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100" windowHeight="1185"/>
  </bookViews>
  <sheets>
    <sheet name="Смета 12 гр. по ФЕР" sheetId="5" r:id="rId1"/>
    <sheet name="Акт КС-2 c НР и СП" sheetId="6" r:id="rId2"/>
    <sheet name="Макет форма-3" sheetId="7" r:id="rId3"/>
    <sheet name="Source" sheetId="1" r:id="rId4"/>
    <sheet name="SourceObSm" sheetId="2" r:id="rId5"/>
    <sheet name="SmtRes" sheetId="3" r:id="rId6"/>
    <sheet name="EtalonRes" sheetId="4" r:id="rId7"/>
  </sheets>
  <definedNames>
    <definedName name="_xlnm.Print_Titles" localSheetId="1">'Акт КС-2 c НР и СП'!$35:$35</definedName>
    <definedName name="_xlnm.Print_Titles" localSheetId="0">'Смета 12 гр. по ФЕР'!$26:$26</definedName>
    <definedName name="_xlnm.Print_Area" localSheetId="1">'Акт КС-2 c НР и СП'!$A$1:$H$1637</definedName>
    <definedName name="_xlnm.Print_Area" localSheetId="0">'Смета 12 гр. по ФЕР'!$A$1:$L$1190</definedName>
  </definedNames>
  <calcPr calcId="145621"/>
</workbook>
</file>

<file path=xl/calcChain.xml><?xml version="1.0" encoding="utf-8"?>
<calcChain xmlns="http://schemas.openxmlformats.org/spreadsheetml/2006/main">
  <c r="A1" i="7" l="1"/>
  <c r="G1632" i="6"/>
  <c r="G1627" i="6"/>
  <c r="C1632" i="6"/>
  <c r="C1627" i="6"/>
  <c r="AG1623" i="6"/>
  <c r="H1623" i="6"/>
  <c r="C1623" i="6"/>
  <c r="G1621" i="6"/>
  <c r="C1621" i="6"/>
  <c r="G1620" i="6"/>
  <c r="C1620" i="6"/>
  <c r="G1619" i="6"/>
  <c r="C1619" i="6"/>
  <c r="H1616" i="6"/>
  <c r="C1616" i="6"/>
  <c r="H1612" i="6"/>
  <c r="C1612" i="6"/>
  <c r="D1610" i="6"/>
  <c r="AB1609" i="6"/>
  <c r="AA1609" i="6"/>
  <c r="Z1609" i="6"/>
  <c r="Y1609" i="6"/>
  <c r="X1609" i="6"/>
  <c r="W1609" i="6"/>
  <c r="V1609" i="6"/>
  <c r="U1609" i="6"/>
  <c r="T1609" i="6"/>
  <c r="H1609" i="6"/>
  <c r="G1609" i="6"/>
  <c r="F1609" i="6"/>
  <c r="E1609" i="6"/>
  <c r="C1609" i="6"/>
  <c r="D1609" i="6"/>
  <c r="B1609" i="6"/>
  <c r="D1608" i="6"/>
  <c r="AB1607" i="6"/>
  <c r="AA1607" i="6"/>
  <c r="Z1607" i="6"/>
  <c r="Y1607" i="6"/>
  <c r="X1607" i="6"/>
  <c r="W1607" i="6"/>
  <c r="V1607" i="6"/>
  <c r="U1607" i="6"/>
  <c r="T1607" i="6"/>
  <c r="H1607" i="6"/>
  <c r="G1607" i="6"/>
  <c r="F1607" i="6"/>
  <c r="E1607" i="6"/>
  <c r="C1607" i="6"/>
  <c r="D1607" i="6"/>
  <c r="B1607" i="6"/>
  <c r="H1606" i="6"/>
  <c r="G1606" i="6"/>
  <c r="H1605" i="6"/>
  <c r="G1605" i="6"/>
  <c r="H1604" i="6"/>
  <c r="G1604" i="6"/>
  <c r="F1604" i="6"/>
  <c r="H1603" i="6"/>
  <c r="G1603" i="6"/>
  <c r="H1602" i="6"/>
  <c r="G1602" i="6"/>
  <c r="F1602" i="6"/>
  <c r="D1596" i="6"/>
  <c r="D1595" i="6"/>
  <c r="D1594" i="6"/>
  <c r="D1593" i="6"/>
  <c r="C1592" i="6"/>
  <c r="AB1591" i="6"/>
  <c r="AA1591" i="6"/>
  <c r="Z1591" i="6"/>
  <c r="Y1591" i="6"/>
  <c r="X1591" i="6"/>
  <c r="W1591" i="6"/>
  <c r="V1591" i="6"/>
  <c r="U1591" i="6"/>
  <c r="T1591" i="6"/>
  <c r="H1591" i="6"/>
  <c r="G1591" i="6"/>
  <c r="F1591" i="6"/>
  <c r="E1591" i="6"/>
  <c r="C1591" i="6"/>
  <c r="D1591" i="6"/>
  <c r="B1591" i="6"/>
  <c r="D1590" i="6"/>
  <c r="AB1589" i="6"/>
  <c r="AA1589" i="6"/>
  <c r="Z1589" i="6"/>
  <c r="Y1589" i="6"/>
  <c r="X1589" i="6"/>
  <c r="W1589" i="6"/>
  <c r="V1589" i="6"/>
  <c r="U1589" i="6"/>
  <c r="T1589" i="6"/>
  <c r="H1589" i="6"/>
  <c r="G1589" i="6"/>
  <c r="F1589" i="6"/>
  <c r="E1589" i="6"/>
  <c r="C1589" i="6"/>
  <c r="D1589" i="6"/>
  <c r="B1589" i="6"/>
  <c r="D1588" i="6"/>
  <c r="AB1587" i="6"/>
  <c r="AA1587" i="6"/>
  <c r="Z1587" i="6"/>
  <c r="Y1587" i="6"/>
  <c r="X1587" i="6"/>
  <c r="W1587" i="6"/>
  <c r="V1587" i="6"/>
  <c r="U1587" i="6"/>
  <c r="T1587" i="6"/>
  <c r="H1587" i="6"/>
  <c r="G1587" i="6"/>
  <c r="F1587" i="6"/>
  <c r="E1587" i="6"/>
  <c r="C1587" i="6"/>
  <c r="D1587" i="6"/>
  <c r="B1587" i="6"/>
  <c r="H1586" i="6"/>
  <c r="G1586" i="6"/>
  <c r="H1585" i="6"/>
  <c r="G1585" i="6"/>
  <c r="H1584" i="6"/>
  <c r="G1584" i="6"/>
  <c r="F1584" i="6"/>
  <c r="H1583" i="6"/>
  <c r="G1583" i="6"/>
  <c r="H1582" i="6"/>
  <c r="G1582" i="6"/>
  <c r="F1582" i="6"/>
  <c r="D1576" i="6"/>
  <c r="D1575" i="6"/>
  <c r="D1574" i="6"/>
  <c r="D1573" i="6"/>
  <c r="C1572" i="6"/>
  <c r="AB1571" i="6"/>
  <c r="AA1571" i="6"/>
  <c r="Z1571" i="6"/>
  <c r="Y1571" i="6"/>
  <c r="X1571" i="6"/>
  <c r="W1571" i="6"/>
  <c r="V1571" i="6"/>
  <c r="U1571" i="6"/>
  <c r="T1571" i="6"/>
  <c r="H1571" i="6"/>
  <c r="G1571" i="6"/>
  <c r="F1571" i="6"/>
  <c r="E1571" i="6"/>
  <c r="C1571" i="6"/>
  <c r="D1571" i="6"/>
  <c r="B1571" i="6"/>
  <c r="D1570" i="6"/>
  <c r="AB1569" i="6"/>
  <c r="AA1569" i="6"/>
  <c r="Z1569" i="6"/>
  <c r="Y1569" i="6"/>
  <c r="X1569" i="6"/>
  <c r="W1569" i="6"/>
  <c r="V1569" i="6"/>
  <c r="U1569" i="6"/>
  <c r="T1569" i="6"/>
  <c r="H1569" i="6"/>
  <c r="G1569" i="6"/>
  <c r="F1569" i="6"/>
  <c r="E1569" i="6"/>
  <c r="C1569" i="6"/>
  <c r="D1569" i="6"/>
  <c r="B1569" i="6"/>
  <c r="H1568" i="6"/>
  <c r="G1568" i="6"/>
  <c r="H1567" i="6"/>
  <c r="G1567" i="6"/>
  <c r="H1566" i="6"/>
  <c r="G1566" i="6"/>
  <c r="F1566" i="6"/>
  <c r="H1565" i="6"/>
  <c r="G1565" i="6"/>
  <c r="H1564" i="6"/>
  <c r="G1564" i="6"/>
  <c r="F1564" i="6"/>
  <c r="D1558" i="6"/>
  <c r="D1557" i="6"/>
  <c r="D1556" i="6"/>
  <c r="D1555" i="6"/>
  <c r="C1554" i="6"/>
  <c r="AB1553" i="6"/>
  <c r="AA1553" i="6"/>
  <c r="Z1553" i="6"/>
  <c r="Y1553" i="6"/>
  <c r="X1553" i="6"/>
  <c r="W1553" i="6"/>
  <c r="V1553" i="6"/>
  <c r="U1553" i="6"/>
  <c r="T1553" i="6"/>
  <c r="H1553" i="6"/>
  <c r="G1553" i="6"/>
  <c r="F1553" i="6"/>
  <c r="E1553" i="6"/>
  <c r="C1553" i="6"/>
  <c r="D1553" i="6"/>
  <c r="B1553" i="6"/>
  <c r="D1552" i="6"/>
  <c r="AB1551" i="6"/>
  <c r="AA1551" i="6"/>
  <c r="Z1551" i="6"/>
  <c r="Y1551" i="6"/>
  <c r="X1551" i="6"/>
  <c r="W1551" i="6"/>
  <c r="V1551" i="6"/>
  <c r="U1551" i="6"/>
  <c r="T1551" i="6"/>
  <c r="H1551" i="6"/>
  <c r="G1551" i="6"/>
  <c r="F1551" i="6"/>
  <c r="E1551" i="6"/>
  <c r="C1551" i="6"/>
  <c r="D1551" i="6"/>
  <c r="B1551" i="6"/>
  <c r="D1550" i="6"/>
  <c r="AB1549" i="6"/>
  <c r="AA1549" i="6"/>
  <c r="Z1549" i="6"/>
  <c r="Y1549" i="6"/>
  <c r="X1549" i="6"/>
  <c r="W1549" i="6"/>
  <c r="V1549" i="6"/>
  <c r="U1549" i="6"/>
  <c r="T1549" i="6"/>
  <c r="H1549" i="6"/>
  <c r="G1549" i="6"/>
  <c r="F1549" i="6"/>
  <c r="E1549" i="6"/>
  <c r="C1549" i="6"/>
  <c r="D1549" i="6"/>
  <c r="B1549" i="6"/>
  <c r="H1548" i="6"/>
  <c r="G1548" i="6"/>
  <c r="H1547" i="6"/>
  <c r="G1547" i="6"/>
  <c r="H1546" i="6"/>
  <c r="G1546" i="6"/>
  <c r="F1546" i="6"/>
  <c r="H1545" i="6"/>
  <c r="G1545" i="6"/>
  <c r="H1544" i="6"/>
  <c r="G1544" i="6"/>
  <c r="F1544" i="6"/>
  <c r="D1538" i="6"/>
  <c r="D1537" i="6"/>
  <c r="D1536" i="6"/>
  <c r="D1535" i="6"/>
  <c r="C1534" i="6"/>
  <c r="AB1533" i="6"/>
  <c r="AA1533" i="6"/>
  <c r="Z1533" i="6"/>
  <c r="Y1533" i="6"/>
  <c r="X1533" i="6"/>
  <c r="W1533" i="6"/>
  <c r="V1533" i="6"/>
  <c r="U1533" i="6"/>
  <c r="T1533" i="6"/>
  <c r="H1533" i="6"/>
  <c r="G1533" i="6"/>
  <c r="F1533" i="6"/>
  <c r="E1533" i="6"/>
  <c r="C1533" i="6"/>
  <c r="D1533" i="6"/>
  <c r="B1533" i="6"/>
  <c r="H1532" i="6"/>
  <c r="G1532" i="6"/>
  <c r="H1531" i="6"/>
  <c r="G1531" i="6"/>
  <c r="F1531" i="6"/>
  <c r="H1530" i="6"/>
  <c r="G1530" i="6"/>
  <c r="F1530" i="6"/>
  <c r="D1529" i="6"/>
  <c r="D1528" i="6"/>
  <c r="D1527" i="6"/>
  <c r="D1526" i="6"/>
  <c r="C1525" i="6"/>
  <c r="AB1524" i="6"/>
  <c r="AA1524" i="6"/>
  <c r="Z1524" i="6"/>
  <c r="Y1524" i="6"/>
  <c r="X1524" i="6"/>
  <c r="W1524" i="6"/>
  <c r="V1524" i="6"/>
  <c r="U1524" i="6"/>
  <c r="T1524" i="6"/>
  <c r="H1524" i="6"/>
  <c r="G1524" i="6"/>
  <c r="F1524" i="6"/>
  <c r="E1524" i="6"/>
  <c r="C1524" i="6"/>
  <c r="D1524" i="6"/>
  <c r="B1524" i="6"/>
  <c r="H1523" i="6"/>
  <c r="G1523" i="6"/>
  <c r="H1522" i="6"/>
  <c r="G1522" i="6"/>
  <c r="H1521" i="6"/>
  <c r="G1521" i="6"/>
  <c r="F1521" i="6"/>
  <c r="H1520" i="6"/>
  <c r="G1520" i="6"/>
  <c r="H1519" i="6"/>
  <c r="G1519" i="6"/>
  <c r="F1519" i="6"/>
  <c r="D1512" i="6"/>
  <c r="D1511" i="6"/>
  <c r="D1510" i="6"/>
  <c r="D1509" i="6"/>
  <c r="C1508" i="6"/>
  <c r="AB1507" i="6"/>
  <c r="AA1507" i="6"/>
  <c r="Z1507" i="6"/>
  <c r="Y1507" i="6"/>
  <c r="X1507" i="6"/>
  <c r="W1507" i="6"/>
  <c r="V1507" i="6"/>
  <c r="U1507" i="6"/>
  <c r="T1507" i="6"/>
  <c r="H1507" i="6"/>
  <c r="G1507" i="6"/>
  <c r="F1507" i="6"/>
  <c r="E1507" i="6"/>
  <c r="C1507" i="6"/>
  <c r="D1507" i="6"/>
  <c r="B1507" i="6"/>
  <c r="A1506" i="6"/>
  <c r="AG1502" i="6"/>
  <c r="H1502" i="6"/>
  <c r="C1502" i="6"/>
  <c r="H1500" i="6"/>
  <c r="G1500" i="6"/>
  <c r="H1499" i="6"/>
  <c r="G1499" i="6"/>
  <c r="H1498" i="6"/>
  <c r="G1498" i="6"/>
  <c r="F1498" i="6"/>
  <c r="H1497" i="6"/>
  <c r="G1497" i="6"/>
  <c r="H1496" i="6"/>
  <c r="G1496" i="6"/>
  <c r="F1496" i="6"/>
  <c r="D1490" i="6"/>
  <c r="D1489" i="6"/>
  <c r="D1488" i="6"/>
  <c r="D1487" i="6"/>
  <c r="C1486" i="6"/>
  <c r="AB1485" i="6"/>
  <c r="AA1485" i="6"/>
  <c r="Z1485" i="6"/>
  <c r="Y1485" i="6"/>
  <c r="X1485" i="6"/>
  <c r="W1485" i="6"/>
  <c r="V1485" i="6"/>
  <c r="U1485" i="6"/>
  <c r="T1485" i="6"/>
  <c r="H1485" i="6"/>
  <c r="G1485" i="6"/>
  <c r="F1485" i="6"/>
  <c r="E1485" i="6"/>
  <c r="C1485" i="6"/>
  <c r="D1485" i="6"/>
  <c r="B1485" i="6"/>
  <c r="D1484" i="6"/>
  <c r="AB1483" i="6"/>
  <c r="AA1483" i="6"/>
  <c r="Z1483" i="6"/>
  <c r="Y1483" i="6"/>
  <c r="X1483" i="6"/>
  <c r="W1483" i="6"/>
  <c r="V1483" i="6"/>
  <c r="U1483" i="6"/>
  <c r="T1483" i="6"/>
  <c r="H1483" i="6"/>
  <c r="G1483" i="6"/>
  <c r="F1483" i="6"/>
  <c r="E1483" i="6"/>
  <c r="C1483" i="6"/>
  <c r="D1483" i="6"/>
  <c r="B1483" i="6"/>
  <c r="D1482" i="6"/>
  <c r="AB1481" i="6"/>
  <c r="AA1481" i="6"/>
  <c r="Z1481" i="6"/>
  <c r="Y1481" i="6"/>
  <c r="X1481" i="6"/>
  <c r="W1481" i="6"/>
  <c r="V1481" i="6"/>
  <c r="U1481" i="6"/>
  <c r="T1481" i="6"/>
  <c r="H1481" i="6"/>
  <c r="G1481" i="6"/>
  <c r="F1481" i="6"/>
  <c r="E1481" i="6"/>
  <c r="C1481" i="6"/>
  <c r="D1481" i="6"/>
  <c r="B1481" i="6"/>
  <c r="D1480" i="6"/>
  <c r="AB1479" i="6"/>
  <c r="AA1479" i="6"/>
  <c r="Z1479" i="6"/>
  <c r="Y1479" i="6"/>
  <c r="X1479" i="6"/>
  <c r="W1479" i="6"/>
  <c r="V1479" i="6"/>
  <c r="U1479" i="6"/>
  <c r="T1479" i="6"/>
  <c r="H1479" i="6"/>
  <c r="G1479" i="6"/>
  <c r="F1479" i="6"/>
  <c r="E1479" i="6"/>
  <c r="C1479" i="6"/>
  <c r="D1479" i="6"/>
  <c r="B1479" i="6"/>
  <c r="H1478" i="6"/>
  <c r="G1478" i="6"/>
  <c r="H1477" i="6"/>
  <c r="G1477" i="6"/>
  <c r="H1476" i="6"/>
  <c r="G1476" i="6"/>
  <c r="F1476" i="6"/>
  <c r="H1475" i="6"/>
  <c r="G1475" i="6"/>
  <c r="H1474" i="6"/>
  <c r="G1474" i="6"/>
  <c r="F1474" i="6"/>
  <c r="D1468" i="6"/>
  <c r="D1467" i="6"/>
  <c r="D1466" i="6"/>
  <c r="D1465" i="6"/>
  <c r="C1464" i="6"/>
  <c r="AB1463" i="6"/>
  <c r="AA1463" i="6"/>
  <c r="Z1463" i="6"/>
  <c r="Y1463" i="6"/>
  <c r="X1463" i="6"/>
  <c r="W1463" i="6"/>
  <c r="V1463" i="6"/>
  <c r="U1463" i="6"/>
  <c r="T1463" i="6"/>
  <c r="H1463" i="6"/>
  <c r="G1463" i="6"/>
  <c r="F1463" i="6"/>
  <c r="E1463" i="6"/>
  <c r="C1463" i="6"/>
  <c r="D1463" i="6"/>
  <c r="B1463" i="6"/>
  <c r="D1462" i="6"/>
  <c r="AB1461" i="6"/>
  <c r="AA1461" i="6"/>
  <c r="Z1461" i="6"/>
  <c r="Y1461" i="6"/>
  <c r="X1461" i="6"/>
  <c r="W1461" i="6"/>
  <c r="V1461" i="6"/>
  <c r="U1461" i="6"/>
  <c r="T1461" i="6"/>
  <c r="H1461" i="6"/>
  <c r="G1461" i="6"/>
  <c r="F1461" i="6"/>
  <c r="E1461" i="6"/>
  <c r="C1461" i="6"/>
  <c r="D1461" i="6"/>
  <c r="B1461" i="6"/>
  <c r="H1460" i="6"/>
  <c r="G1460" i="6"/>
  <c r="H1459" i="6"/>
  <c r="G1459" i="6"/>
  <c r="H1458" i="6"/>
  <c r="G1458" i="6"/>
  <c r="F1458" i="6"/>
  <c r="H1457" i="6"/>
  <c r="G1457" i="6"/>
  <c r="H1456" i="6"/>
  <c r="G1456" i="6"/>
  <c r="F1456" i="6"/>
  <c r="D1455" i="6"/>
  <c r="D1454" i="6"/>
  <c r="D1453" i="6"/>
  <c r="D1452" i="6"/>
  <c r="AB1451" i="6"/>
  <c r="AA1451" i="6"/>
  <c r="Z1451" i="6"/>
  <c r="Y1451" i="6"/>
  <c r="X1451" i="6"/>
  <c r="W1451" i="6"/>
  <c r="V1451" i="6"/>
  <c r="U1451" i="6"/>
  <c r="T1451" i="6"/>
  <c r="H1451" i="6"/>
  <c r="G1451" i="6"/>
  <c r="F1451" i="6"/>
  <c r="E1451" i="6"/>
  <c r="C1451" i="6"/>
  <c r="D1451" i="6"/>
  <c r="B1451" i="6"/>
  <c r="H1450" i="6"/>
  <c r="G1450" i="6"/>
  <c r="H1449" i="6"/>
  <c r="G1449" i="6"/>
  <c r="F1449" i="6"/>
  <c r="H1448" i="6"/>
  <c r="G1448" i="6"/>
  <c r="F1448" i="6"/>
  <c r="D1447" i="6"/>
  <c r="D1446" i="6"/>
  <c r="D1445" i="6"/>
  <c r="D1444" i="6"/>
  <c r="C1443" i="6"/>
  <c r="AB1442" i="6"/>
  <c r="AA1442" i="6"/>
  <c r="Z1442" i="6"/>
  <c r="Y1442" i="6"/>
  <c r="X1442" i="6"/>
  <c r="W1442" i="6"/>
  <c r="V1442" i="6"/>
  <c r="U1442" i="6"/>
  <c r="T1442" i="6"/>
  <c r="H1442" i="6"/>
  <c r="G1442" i="6"/>
  <c r="F1442" i="6"/>
  <c r="E1442" i="6"/>
  <c r="C1442" i="6"/>
  <c r="D1442" i="6"/>
  <c r="B1442" i="6"/>
  <c r="A1441" i="6"/>
  <c r="H1437" i="6"/>
  <c r="C1437" i="6"/>
  <c r="D1435" i="6"/>
  <c r="AB1434" i="6"/>
  <c r="AA1434" i="6"/>
  <c r="Z1434" i="6"/>
  <c r="Y1434" i="6"/>
  <c r="X1434" i="6"/>
  <c r="W1434" i="6"/>
  <c r="V1434" i="6"/>
  <c r="U1434" i="6"/>
  <c r="T1434" i="6"/>
  <c r="H1434" i="6"/>
  <c r="G1434" i="6"/>
  <c r="F1434" i="6"/>
  <c r="E1434" i="6"/>
  <c r="C1434" i="6"/>
  <c r="D1434" i="6"/>
  <c r="B1434" i="6"/>
  <c r="D1433" i="6"/>
  <c r="AB1432" i="6"/>
  <c r="AA1432" i="6"/>
  <c r="Z1432" i="6"/>
  <c r="Y1432" i="6"/>
  <c r="X1432" i="6"/>
  <c r="W1432" i="6"/>
  <c r="V1432" i="6"/>
  <c r="U1432" i="6"/>
  <c r="T1432" i="6"/>
  <c r="H1432" i="6"/>
  <c r="G1432" i="6"/>
  <c r="F1432" i="6"/>
  <c r="E1432" i="6"/>
  <c r="C1432" i="6"/>
  <c r="D1432" i="6"/>
  <c r="B1432" i="6"/>
  <c r="D1431" i="6"/>
  <c r="AB1430" i="6"/>
  <c r="AA1430" i="6"/>
  <c r="Z1430" i="6"/>
  <c r="Y1430" i="6"/>
  <c r="X1430" i="6"/>
  <c r="W1430" i="6"/>
  <c r="V1430" i="6"/>
  <c r="U1430" i="6"/>
  <c r="T1430" i="6"/>
  <c r="H1430" i="6"/>
  <c r="G1430" i="6"/>
  <c r="F1430" i="6"/>
  <c r="E1430" i="6"/>
  <c r="C1430" i="6"/>
  <c r="D1430" i="6"/>
  <c r="B1430" i="6"/>
  <c r="H1429" i="6"/>
  <c r="G1429" i="6"/>
  <c r="H1428" i="6"/>
  <c r="G1428" i="6"/>
  <c r="H1427" i="6"/>
  <c r="G1427" i="6"/>
  <c r="F1427" i="6"/>
  <c r="H1426" i="6"/>
  <c r="G1426" i="6"/>
  <c r="H1425" i="6"/>
  <c r="G1425" i="6"/>
  <c r="F1425" i="6"/>
  <c r="D1419" i="6"/>
  <c r="D1418" i="6"/>
  <c r="D1417" i="6"/>
  <c r="D1416" i="6"/>
  <c r="C1415" i="6"/>
  <c r="AB1414" i="6"/>
  <c r="AA1414" i="6"/>
  <c r="Z1414" i="6"/>
  <c r="Y1414" i="6"/>
  <c r="X1414" i="6"/>
  <c r="W1414" i="6"/>
  <c r="V1414" i="6"/>
  <c r="U1414" i="6"/>
  <c r="T1414" i="6"/>
  <c r="H1414" i="6"/>
  <c r="G1414" i="6"/>
  <c r="F1414" i="6"/>
  <c r="E1414" i="6"/>
  <c r="C1414" i="6"/>
  <c r="D1414" i="6"/>
  <c r="B1414" i="6"/>
  <c r="H1413" i="6"/>
  <c r="G1413" i="6"/>
  <c r="H1412" i="6"/>
  <c r="G1412" i="6"/>
  <c r="F1412" i="6"/>
  <c r="H1411" i="6"/>
  <c r="G1411" i="6"/>
  <c r="F1411" i="6"/>
  <c r="D1410" i="6"/>
  <c r="D1409" i="6"/>
  <c r="D1408" i="6"/>
  <c r="D1407" i="6"/>
  <c r="C1406" i="6"/>
  <c r="AB1405" i="6"/>
  <c r="AA1405" i="6"/>
  <c r="Z1405" i="6"/>
  <c r="Y1405" i="6"/>
  <c r="X1405" i="6"/>
  <c r="W1405" i="6"/>
  <c r="V1405" i="6"/>
  <c r="U1405" i="6"/>
  <c r="T1405" i="6"/>
  <c r="H1405" i="6"/>
  <c r="G1405" i="6"/>
  <c r="F1405" i="6"/>
  <c r="E1405" i="6"/>
  <c r="C1405" i="6"/>
  <c r="D1405" i="6"/>
  <c r="B1405" i="6"/>
  <c r="A1404" i="6"/>
  <c r="H1400" i="6"/>
  <c r="C1400" i="6"/>
  <c r="D1398" i="6"/>
  <c r="AB1397" i="6"/>
  <c r="AA1397" i="6"/>
  <c r="Z1397" i="6"/>
  <c r="Y1397" i="6"/>
  <c r="X1397" i="6"/>
  <c r="W1397" i="6"/>
  <c r="V1397" i="6"/>
  <c r="U1397" i="6"/>
  <c r="T1397" i="6"/>
  <c r="H1397" i="6"/>
  <c r="G1397" i="6"/>
  <c r="F1397" i="6"/>
  <c r="E1397" i="6"/>
  <c r="C1397" i="6"/>
  <c r="D1397" i="6"/>
  <c r="B1397" i="6"/>
  <c r="H1396" i="6"/>
  <c r="G1396" i="6"/>
  <c r="H1395" i="6"/>
  <c r="G1395" i="6"/>
  <c r="F1395" i="6"/>
  <c r="H1394" i="6"/>
  <c r="G1394" i="6"/>
  <c r="F1394" i="6"/>
  <c r="D1393" i="6"/>
  <c r="D1392" i="6"/>
  <c r="D1391" i="6"/>
  <c r="D1390" i="6"/>
  <c r="C1389" i="6"/>
  <c r="AB1388" i="6"/>
  <c r="AA1388" i="6"/>
  <c r="Z1388" i="6"/>
  <c r="Y1388" i="6"/>
  <c r="X1388" i="6"/>
  <c r="W1388" i="6"/>
  <c r="V1388" i="6"/>
  <c r="U1388" i="6"/>
  <c r="T1388" i="6"/>
  <c r="H1388" i="6"/>
  <c r="G1388" i="6"/>
  <c r="F1388" i="6"/>
  <c r="E1388" i="6"/>
  <c r="C1388" i="6"/>
  <c r="D1388" i="6"/>
  <c r="B1388" i="6"/>
  <c r="D1387" i="6"/>
  <c r="AB1386" i="6"/>
  <c r="AA1386" i="6"/>
  <c r="Z1386" i="6"/>
  <c r="Y1386" i="6"/>
  <c r="X1386" i="6"/>
  <c r="W1386" i="6"/>
  <c r="V1386" i="6"/>
  <c r="U1386" i="6"/>
  <c r="T1386" i="6"/>
  <c r="H1386" i="6"/>
  <c r="G1386" i="6"/>
  <c r="F1386" i="6"/>
  <c r="E1386" i="6"/>
  <c r="C1386" i="6"/>
  <c r="D1386" i="6"/>
  <c r="B1386" i="6"/>
  <c r="H1385" i="6"/>
  <c r="G1385" i="6"/>
  <c r="H1384" i="6"/>
  <c r="G1384" i="6"/>
  <c r="F1384" i="6"/>
  <c r="H1383" i="6"/>
  <c r="G1383" i="6"/>
  <c r="F1383" i="6"/>
  <c r="D1382" i="6"/>
  <c r="D1381" i="6"/>
  <c r="D1380" i="6"/>
  <c r="D1379" i="6"/>
  <c r="C1378" i="6"/>
  <c r="AB1377" i="6"/>
  <c r="AA1377" i="6"/>
  <c r="Z1377" i="6"/>
  <c r="Y1377" i="6"/>
  <c r="X1377" i="6"/>
  <c r="W1377" i="6"/>
  <c r="V1377" i="6"/>
  <c r="U1377" i="6"/>
  <c r="T1377" i="6"/>
  <c r="H1377" i="6"/>
  <c r="G1377" i="6"/>
  <c r="F1377" i="6"/>
  <c r="E1377" i="6"/>
  <c r="C1377" i="6"/>
  <c r="D1377" i="6"/>
  <c r="B1377" i="6"/>
  <c r="H1376" i="6"/>
  <c r="G1376" i="6"/>
  <c r="H1375" i="6"/>
  <c r="G1375" i="6"/>
  <c r="F1375" i="6"/>
  <c r="H1374" i="6"/>
  <c r="G1374" i="6"/>
  <c r="F1374" i="6"/>
  <c r="D1373" i="6"/>
  <c r="D1372" i="6"/>
  <c r="D1371" i="6"/>
  <c r="D1370" i="6"/>
  <c r="C1369" i="6"/>
  <c r="AB1368" i="6"/>
  <c r="AA1368" i="6"/>
  <c r="Z1368" i="6"/>
  <c r="Y1368" i="6"/>
  <c r="X1368" i="6"/>
  <c r="W1368" i="6"/>
  <c r="V1368" i="6"/>
  <c r="U1368" i="6"/>
  <c r="T1368" i="6"/>
  <c r="H1368" i="6"/>
  <c r="G1368" i="6"/>
  <c r="F1368" i="6"/>
  <c r="E1368" i="6"/>
  <c r="C1368" i="6"/>
  <c r="D1368" i="6"/>
  <c r="B1368" i="6"/>
  <c r="D1367" i="6"/>
  <c r="AB1366" i="6"/>
  <c r="AA1366" i="6"/>
  <c r="Z1366" i="6"/>
  <c r="Y1366" i="6"/>
  <c r="X1366" i="6"/>
  <c r="W1366" i="6"/>
  <c r="V1366" i="6"/>
  <c r="U1366" i="6"/>
  <c r="T1366" i="6"/>
  <c r="H1366" i="6"/>
  <c r="G1366" i="6"/>
  <c r="F1366" i="6"/>
  <c r="E1366" i="6"/>
  <c r="C1366" i="6"/>
  <c r="D1366" i="6"/>
  <c r="B1366" i="6"/>
  <c r="H1365" i="6"/>
  <c r="G1365" i="6"/>
  <c r="H1364" i="6"/>
  <c r="G1364" i="6"/>
  <c r="F1364" i="6"/>
  <c r="H1363" i="6"/>
  <c r="G1363" i="6"/>
  <c r="F1363" i="6"/>
  <c r="D1362" i="6"/>
  <c r="D1361" i="6"/>
  <c r="D1360" i="6"/>
  <c r="D1359" i="6"/>
  <c r="C1358" i="6"/>
  <c r="AB1357" i="6"/>
  <c r="AA1357" i="6"/>
  <c r="Z1357" i="6"/>
  <c r="Y1357" i="6"/>
  <c r="X1357" i="6"/>
  <c r="W1357" i="6"/>
  <c r="V1357" i="6"/>
  <c r="U1357" i="6"/>
  <c r="T1357" i="6"/>
  <c r="H1357" i="6"/>
  <c r="G1357" i="6"/>
  <c r="F1357" i="6"/>
  <c r="E1357" i="6"/>
  <c r="C1357" i="6"/>
  <c r="D1357" i="6"/>
  <c r="B1357" i="6"/>
  <c r="D1356" i="6"/>
  <c r="AB1355" i="6"/>
  <c r="AA1355" i="6"/>
  <c r="Z1355" i="6"/>
  <c r="Y1355" i="6"/>
  <c r="X1355" i="6"/>
  <c r="W1355" i="6"/>
  <c r="V1355" i="6"/>
  <c r="U1355" i="6"/>
  <c r="T1355" i="6"/>
  <c r="H1355" i="6"/>
  <c r="G1355" i="6"/>
  <c r="F1355" i="6"/>
  <c r="E1355" i="6"/>
  <c r="C1355" i="6"/>
  <c r="D1355" i="6"/>
  <c r="B1355" i="6"/>
  <c r="H1354" i="6"/>
  <c r="G1354" i="6"/>
  <c r="H1353" i="6"/>
  <c r="G1353" i="6"/>
  <c r="F1353" i="6"/>
  <c r="H1352" i="6"/>
  <c r="G1352" i="6"/>
  <c r="F1352" i="6"/>
  <c r="D1351" i="6"/>
  <c r="D1350" i="6"/>
  <c r="D1349" i="6"/>
  <c r="D1348" i="6"/>
  <c r="C1347" i="6"/>
  <c r="AB1346" i="6"/>
  <c r="AA1346" i="6"/>
  <c r="Z1346" i="6"/>
  <c r="Y1346" i="6"/>
  <c r="X1346" i="6"/>
  <c r="W1346" i="6"/>
  <c r="V1346" i="6"/>
  <c r="U1346" i="6"/>
  <c r="T1346" i="6"/>
  <c r="H1346" i="6"/>
  <c r="G1346" i="6"/>
  <c r="F1346" i="6"/>
  <c r="E1346" i="6"/>
  <c r="C1346" i="6"/>
  <c r="D1346" i="6"/>
  <c r="B1346" i="6"/>
  <c r="A1345" i="6"/>
  <c r="H1341" i="6"/>
  <c r="C1341" i="6"/>
  <c r="H1339" i="6"/>
  <c r="G1339" i="6"/>
  <c r="H1338" i="6"/>
  <c r="G1338" i="6"/>
  <c r="F1338" i="6"/>
  <c r="H1337" i="6"/>
  <c r="G1337" i="6"/>
  <c r="F1337" i="6"/>
  <c r="D1336" i="6"/>
  <c r="D1335" i="6"/>
  <c r="D1334" i="6"/>
  <c r="D1333" i="6"/>
  <c r="AB1332" i="6"/>
  <c r="AA1332" i="6"/>
  <c r="Z1332" i="6"/>
  <c r="Y1332" i="6"/>
  <c r="X1332" i="6"/>
  <c r="W1332" i="6"/>
  <c r="V1332" i="6"/>
  <c r="U1332" i="6"/>
  <c r="T1332" i="6"/>
  <c r="H1332" i="6"/>
  <c r="G1332" i="6"/>
  <c r="F1332" i="6"/>
  <c r="E1332" i="6"/>
  <c r="C1332" i="6"/>
  <c r="D1332" i="6"/>
  <c r="B1332" i="6"/>
  <c r="D1331" i="6"/>
  <c r="AB1330" i="6"/>
  <c r="AA1330" i="6"/>
  <c r="Z1330" i="6"/>
  <c r="Y1330" i="6"/>
  <c r="X1330" i="6"/>
  <c r="W1330" i="6"/>
  <c r="V1330" i="6"/>
  <c r="U1330" i="6"/>
  <c r="T1330" i="6"/>
  <c r="H1330" i="6"/>
  <c r="G1330" i="6"/>
  <c r="F1330" i="6"/>
  <c r="E1330" i="6"/>
  <c r="C1330" i="6"/>
  <c r="D1330" i="6"/>
  <c r="B1330" i="6"/>
  <c r="H1329" i="6"/>
  <c r="G1329" i="6"/>
  <c r="H1328" i="6"/>
  <c r="G1328" i="6"/>
  <c r="F1328" i="6"/>
  <c r="H1327" i="6"/>
  <c r="G1327" i="6"/>
  <c r="F1327" i="6"/>
  <c r="D1326" i="6"/>
  <c r="D1325" i="6"/>
  <c r="D1324" i="6"/>
  <c r="D1323" i="6"/>
  <c r="C1322" i="6"/>
  <c r="AB1321" i="6"/>
  <c r="AA1321" i="6"/>
  <c r="Z1321" i="6"/>
  <c r="Y1321" i="6"/>
  <c r="X1321" i="6"/>
  <c r="W1321" i="6"/>
  <c r="V1321" i="6"/>
  <c r="U1321" i="6"/>
  <c r="T1321" i="6"/>
  <c r="H1321" i="6"/>
  <c r="G1321" i="6"/>
  <c r="F1321" i="6"/>
  <c r="E1321" i="6"/>
  <c r="C1321" i="6"/>
  <c r="D1321" i="6"/>
  <c r="B1321" i="6"/>
  <c r="D1320" i="6"/>
  <c r="AB1319" i="6"/>
  <c r="AA1319" i="6"/>
  <c r="Z1319" i="6"/>
  <c r="Y1319" i="6"/>
  <c r="X1319" i="6"/>
  <c r="W1319" i="6"/>
  <c r="V1319" i="6"/>
  <c r="U1319" i="6"/>
  <c r="T1319" i="6"/>
  <c r="H1319" i="6"/>
  <c r="G1319" i="6"/>
  <c r="F1319" i="6"/>
  <c r="E1319" i="6"/>
  <c r="C1319" i="6"/>
  <c r="D1319" i="6"/>
  <c r="B1319" i="6"/>
  <c r="H1318" i="6"/>
  <c r="G1318" i="6"/>
  <c r="H1317" i="6"/>
  <c r="G1317" i="6"/>
  <c r="F1317" i="6"/>
  <c r="H1316" i="6"/>
  <c r="G1316" i="6"/>
  <c r="F1316" i="6"/>
  <c r="D1315" i="6"/>
  <c r="D1314" i="6"/>
  <c r="D1313" i="6"/>
  <c r="D1312" i="6"/>
  <c r="C1311" i="6"/>
  <c r="AB1310" i="6"/>
  <c r="AA1310" i="6"/>
  <c r="Z1310" i="6"/>
  <c r="Y1310" i="6"/>
  <c r="X1310" i="6"/>
  <c r="W1310" i="6"/>
  <c r="V1310" i="6"/>
  <c r="U1310" i="6"/>
  <c r="T1310" i="6"/>
  <c r="H1310" i="6"/>
  <c r="G1310" i="6"/>
  <c r="F1310" i="6"/>
  <c r="E1310" i="6"/>
  <c r="C1310" i="6"/>
  <c r="D1310" i="6"/>
  <c r="B1310" i="6"/>
  <c r="D1309" i="6"/>
  <c r="AB1308" i="6"/>
  <c r="AA1308" i="6"/>
  <c r="Z1308" i="6"/>
  <c r="Y1308" i="6"/>
  <c r="X1308" i="6"/>
  <c r="W1308" i="6"/>
  <c r="V1308" i="6"/>
  <c r="U1308" i="6"/>
  <c r="T1308" i="6"/>
  <c r="H1308" i="6"/>
  <c r="G1308" i="6"/>
  <c r="F1308" i="6"/>
  <c r="E1308" i="6"/>
  <c r="C1308" i="6"/>
  <c r="D1308" i="6"/>
  <c r="B1308" i="6"/>
  <c r="H1307" i="6"/>
  <c r="G1307" i="6"/>
  <c r="H1306" i="6"/>
  <c r="G1306" i="6"/>
  <c r="F1306" i="6"/>
  <c r="H1305" i="6"/>
  <c r="G1305" i="6"/>
  <c r="F1305" i="6"/>
  <c r="D1304" i="6"/>
  <c r="D1303" i="6"/>
  <c r="D1302" i="6"/>
  <c r="D1301" i="6"/>
  <c r="AB1300" i="6"/>
  <c r="AA1300" i="6"/>
  <c r="Z1300" i="6"/>
  <c r="Y1300" i="6"/>
  <c r="X1300" i="6"/>
  <c r="W1300" i="6"/>
  <c r="V1300" i="6"/>
  <c r="U1300" i="6"/>
  <c r="T1300" i="6"/>
  <c r="H1300" i="6"/>
  <c r="G1300" i="6"/>
  <c r="F1300" i="6"/>
  <c r="E1300" i="6"/>
  <c r="C1300" i="6"/>
  <c r="D1300" i="6"/>
  <c r="B1300" i="6"/>
  <c r="A1299" i="6"/>
  <c r="H1295" i="6"/>
  <c r="C1295" i="6"/>
  <c r="H1293" i="6"/>
  <c r="G1293" i="6"/>
  <c r="H1292" i="6"/>
  <c r="G1292" i="6"/>
  <c r="F1292" i="6"/>
  <c r="H1291" i="6"/>
  <c r="G1291" i="6"/>
  <c r="F1291" i="6"/>
  <c r="D1288" i="6"/>
  <c r="AB1287" i="6"/>
  <c r="AA1287" i="6"/>
  <c r="Z1287" i="6"/>
  <c r="Y1287" i="6"/>
  <c r="X1287" i="6"/>
  <c r="W1287" i="6"/>
  <c r="V1287" i="6"/>
  <c r="U1287" i="6"/>
  <c r="T1287" i="6"/>
  <c r="H1287" i="6"/>
  <c r="G1287" i="6"/>
  <c r="F1287" i="6"/>
  <c r="E1287" i="6"/>
  <c r="C1287" i="6"/>
  <c r="D1287" i="6"/>
  <c r="B1287" i="6"/>
  <c r="H1286" i="6"/>
  <c r="G1286" i="6"/>
  <c r="H1285" i="6"/>
  <c r="G1285" i="6"/>
  <c r="F1285" i="6"/>
  <c r="H1284" i="6"/>
  <c r="G1284" i="6"/>
  <c r="F1284" i="6"/>
  <c r="D1281" i="6"/>
  <c r="C1280" i="6"/>
  <c r="AB1279" i="6"/>
  <c r="AA1279" i="6"/>
  <c r="Z1279" i="6"/>
  <c r="Y1279" i="6"/>
  <c r="X1279" i="6"/>
  <c r="W1279" i="6"/>
  <c r="V1279" i="6"/>
  <c r="U1279" i="6"/>
  <c r="T1279" i="6"/>
  <c r="H1279" i="6"/>
  <c r="G1279" i="6"/>
  <c r="F1279" i="6"/>
  <c r="E1279" i="6"/>
  <c r="C1279" i="6"/>
  <c r="D1279" i="6"/>
  <c r="B1279" i="6"/>
  <c r="H1278" i="6"/>
  <c r="G1278" i="6"/>
  <c r="H1277" i="6"/>
  <c r="G1277" i="6"/>
  <c r="F1277" i="6"/>
  <c r="H1276" i="6"/>
  <c r="G1276" i="6"/>
  <c r="F1276" i="6"/>
  <c r="D1273" i="6"/>
  <c r="AB1272" i="6"/>
  <c r="AA1272" i="6"/>
  <c r="Z1272" i="6"/>
  <c r="Y1272" i="6"/>
  <c r="X1272" i="6"/>
  <c r="W1272" i="6"/>
  <c r="V1272" i="6"/>
  <c r="U1272" i="6"/>
  <c r="T1272" i="6"/>
  <c r="H1272" i="6"/>
  <c r="G1272" i="6"/>
  <c r="F1272" i="6"/>
  <c r="E1272" i="6"/>
  <c r="C1272" i="6"/>
  <c r="D1272" i="6"/>
  <c r="B1272" i="6"/>
  <c r="H1271" i="6"/>
  <c r="G1271" i="6"/>
  <c r="H1270" i="6"/>
  <c r="G1270" i="6"/>
  <c r="F1270" i="6"/>
  <c r="H1269" i="6"/>
  <c r="G1269" i="6"/>
  <c r="F1269" i="6"/>
  <c r="D1266" i="6"/>
  <c r="AB1265" i="6"/>
  <c r="AA1265" i="6"/>
  <c r="Z1265" i="6"/>
  <c r="Y1265" i="6"/>
  <c r="X1265" i="6"/>
  <c r="W1265" i="6"/>
  <c r="V1265" i="6"/>
  <c r="U1265" i="6"/>
  <c r="T1265" i="6"/>
  <c r="H1265" i="6"/>
  <c r="G1265" i="6"/>
  <c r="F1265" i="6"/>
  <c r="E1265" i="6"/>
  <c r="C1265" i="6"/>
  <c r="D1265" i="6"/>
  <c r="B1265" i="6"/>
  <c r="A1264" i="6"/>
  <c r="H1260" i="6"/>
  <c r="C1260" i="6"/>
  <c r="H1256" i="6"/>
  <c r="C1256" i="6"/>
  <c r="D1254" i="6"/>
  <c r="AB1253" i="6"/>
  <c r="AA1253" i="6"/>
  <c r="Z1253" i="6"/>
  <c r="Y1253" i="6"/>
  <c r="X1253" i="6"/>
  <c r="W1253" i="6"/>
  <c r="V1253" i="6"/>
  <c r="U1253" i="6"/>
  <c r="T1253" i="6"/>
  <c r="H1253" i="6"/>
  <c r="G1253" i="6"/>
  <c r="F1253" i="6"/>
  <c r="E1253" i="6"/>
  <c r="C1253" i="6"/>
  <c r="D1253" i="6"/>
  <c r="B1253" i="6"/>
  <c r="H1252" i="6"/>
  <c r="G1252" i="6"/>
  <c r="H1251" i="6"/>
  <c r="G1251" i="6"/>
  <c r="F1251" i="6"/>
  <c r="H1250" i="6"/>
  <c r="G1250" i="6"/>
  <c r="F1250" i="6"/>
  <c r="D1249" i="6"/>
  <c r="D1248" i="6"/>
  <c r="D1247" i="6"/>
  <c r="D1246" i="6"/>
  <c r="AB1245" i="6"/>
  <c r="AA1245" i="6"/>
  <c r="Z1245" i="6"/>
  <c r="Y1245" i="6"/>
  <c r="X1245" i="6"/>
  <c r="W1245" i="6"/>
  <c r="V1245" i="6"/>
  <c r="U1245" i="6"/>
  <c r="T1245" i="6"/>
  <c r="H1245" i="6"/>
  <c r="G1245" i="6"/>
  <c r="F1245" i="6"/>
  <c r="E1245" i="6"/>
  <c r="C1245" i="6"/>
  <c r="D1245" i="6"/>
  <c r="B1245" i="6"/>
  <c r="D1244" i="6"/>
  <c r="AB1243" i="6"/>
  <c r="AA1243" i="6"/>
  <c r="Z1243" i="6"/>
  <c r="Y1243" i="6"/>
  <c r="X1243" i="6"/>
  <c r="W1243" i="6"/>
  <c r="V1243" i="6"/>
  <c r="U1243" i="6"/>
  <c r="T1243" i="6"/>
  <c r="H1243" i="6"/>
  <c r="G1243" i="6"/>
  <c r="F1243" i="6"/>
  <c r="E1243" i="6"/>
  <c r="C1243" i="6"/>
  <c r="D1243" i="6"/>
  <c r="B1243" i="6"/>
  <c r="H1242" i="6"/>
  <c r="G1242" i="6"/>
  <c r="H1241" i="6"/>
  <c r="G1241" i="6"/>
  <c r="F1241" i="6"/>
  <c r="H1240" i="6"/>
  <c r="G1240" i="6"/>
  <c r="F1240" i="6"/>
  <c r="D1239" i="6"/>
  <c r="D1238" i="6"/>
  <c r="D1237" i="6"/>
  <c r="D1236" i="6"/>
  <c r="C1235" i="6"/>
  <c r="AB1234" i="6"/>
  <c r="AA1234" i="6"/>
  <c r="Z1234" i="6"/>
  <c r="Y1234" i="6"/>
  <c r="X1234" i="6"/>
  <c r="W1234" i="6"/>
  <c r="V1234" i="6"/>
  <c r="U1234" i="6"/>
  <c r="T1234" i="6"/>
  <c r="H1234" i="6"/>
  <c r="G1234" i="6"/>
  <c r="F1234" i="6"/>
  <c r="E1234" i="6"/>
  <c r="C1234" i="6"/>
  <c r="D1234" i="6"/>
  <c r="B1234" i="6"/>
  <c r="H1233" i="6"/>
  <c r="G1233" i="6"/>
  <c r="H1232" i="6"/>
  <c r="G1232" i="6"/>
  <c r="F1232" i="6"/>
  <c r="H1231" i="6"/>
  <c r="G1231" i="6"/>
  <c r="F1231" i="6"/>
  <c r="D1230" i="6"/>
  <c r="D1229" i="6"/>
  <c r="D1228" i="6"/>
  <c r="D1227" i="6"/>
  <c r="C1226" i="6"/>
  <c r="AB1225" i="6"/>
  <c r="AA1225" i="6"/>
  <c r="Z1225" i="6"/>
  <c r="Y1225" i="6"/>
  <c r="X1225" i="6"/>
  <c r="W1225" i="6"/>
  <c r="V1225" i="6"/>
  <c r="U1225" i="6"/>
  <c r="T1225" i="6"/>
  <c r="H1225" i="6"/>
  <c r="G1225" i="6"/>
  <c r="F1225" i="6"/>
  <c r="E1225" i="6"/>
  <c r="C1225" i="6"/>
  <c r="D1225" i="6"/>
  <c r="B1225" i="6"/>
  <c r="D1224" i="6"/>
  <c r="AB1223" i="6"/>
  <c r="AA1223" i="6"/>
  <c r="Z1223" i="6"/>
  <c r="Y1223" i="6"/>
  <c r="X1223" i="6"/>
  <c r="W1223" i="6"/>
  <c r="V1223" i="6"/>
  <c r="U1223" i="6"/>
  <c r="T1223" i="6"/>
  <c r="H1223" i="6"/>
  <c r="G1223" i="6"/>
  <c r="F1223" i="6"/>
  <c r="E1223" i="6"/>
  <c r="C1223" i="6"/>
  <c r="D1223" i="6"/>
  <c r="B1223" i="6"/>
  <c r="D1222" i="6"/>
  <c r="AB1221" i="6"/>
  <c r="AA1221" i="6"/>
  <c r="Z1221" i="6"/>
  <c r="Y1221" i="6"/>
  <c r="X1221" i="6"/>
  <c r="W1221" i="6"/>
  <c r="V1221" i="6"/>
  <c r="U1221" i="6"/>
  <c r="T1221" i="6"/>
  <c r="H1221" i="6"/>
  <c r="G1221" i="6"/>
  <c r="F1221" i="6"/>
  <c r="E1221" i="6"/>
  <c r="C1221" i="6"/>
  <c r="D1221" i="6"/>
  <c r="B1221" i="6"/>
  <c r="D1220" i="6"/>
  <c r="AB1219" i="6"/>
  <c r="AA1219" i="6"/>
  <c r="Z1219" i="6"/>
  <c r="Y1219" i="6"/>
  <c r="X1219" i="6"/>
  <c r="W1219" i="6"/>
  <c r="V1219" i="6"/>
  <c r="U1219" i="6"/>
  <c r="T1219" i="6"/>
  <c r="H1219" i="6"/>
  <c r="G1219" i="6"/>
  <c r="F1219" i="6"/>
  <c r="E1219" i="6"/>
  <c r="C1219" i="6"/>
  <c r="D1219" i="6"/>
  <c r="B1219" i="6"/>
  <c r="H1218" i="6"/>
  <c r="G1218" i="6"/>
  <c r="H1217" i="6"/>
  <c r="G1217" i="6"/>
  <c r="F1217" i="6"/>
  <c r="H1216" i="6"/>
  <c r="G1216" i="6"/>
  <c r="F1216" i="6"/>
  <c r="D1215" i="6"/>
  <c r="D1214" i="6"/>
  <c r="D1213" i="6"/>
  <c r="D1212" i="6"/>
  <c r="AB1211" i="6"/>
  <c r="AA1211" i="6"/>
  <c r="Z1211" i="6"/>
  <c r="Y1211" i="6"/>
  <c r="X1211" i="6"/>
  <c r="W1211" i="6"/>
  <c r="V1211" i="6"/>
  <c r="U1211" i="6"/>
  <c r="T1211" i="6"/>
  <c r="H1211" i="6"/>
  <c r="G1211" i="6"/>
  <c r="F1211" i="6"/>
  <c r="E1211" i="6"/>
  <c r="C1211" i="6"/>
  <c r="D1211" i="6"/>
  <c r="B1211" i="6"/>
  <c r="D1210" i="6"/>
  <c r="AB1209" i="6"/>
  <c r="AA1209" i="6"/>
  <c r="Z1209" i="6"/>
  <c r="Y1209" i="6"/>
  <c r="X1209" i="6"/>
  <c r="W1209" i="6"/>
  <c r="V1209" i="6"/>
  <c r="U1209" i="6"/>
  <c r="T1209" i="6"/>
  <c r="H1209" i="6"/>
  <c r="G1209" i="6"/>
  <c r="F1209" i="6"/>
  <c r="E1209" i="6"/>
  <c r="C1209" i="6"/>
  <c r="D1209" i="6"/>
  <c r="B1209" i="6"/>
  <c r="D1208" i="6"/>
  <c r="AB1207" i="6"/>
  <c r="AA1207" i="6"/>
  <c r="Z1207" i="6"/>
  <c r="Y1207" i="6"/>
  <c r="X1207" i="6"/>
  <c r="W1207" i="6"/>
  <c r="V1207" i="6"/>
  <c r="U1207" i="6"/>
  <c r="T1207" i="6"/>
  <c r="H1207" i="6"/>
  <c r="G1207" i="6"/>
  <c r="F1207" i="6"/>
  <c r="E1207" i="6"/>
  <c r="C1207" i="6"/>
  <c r="D1207" i="6"/>
  <c r="B1207" i="6"/>
  <c r="D1206" i="6"/>
  <c r="AB1205" i="6"/>
  <c r="AA1205" i="6"/>
  <c r="Z1205" i="6"/>
  <c r="Y1205" i="6"/>
  <c r="X1205" i="6"/>
  <c r="W1205" i="6"/>
  <c r="V1205" i="6"/>
  <c r="U1205" i="6"/>
  <c r="T1205" i="6"/>
  <c r="H1205" i="6"/>
  <c r="G1205" i="6"/>
  <c r="F1205" i="6"/>
  <c r="E1205" i="6"/>
  <c r="C1205" i="6"/>
  <c r="D1205" i="6"/>
  <c r="B1205" i="6"/>
  <c r="D1204" i="6"/>
  <c r="AB1203" i="6"/>
  <c r="AA1203" i="6"/>
  <c r="Z1203" i="6"/>
  <c r="Y1203" i="6"/>
  <c r="X1203" i="6"/>
  <c r="W1203" i="6"/>
  <c r="V1203" i="6"/>
  <c r="U1203" i="6"/>
  <c r="T1203" i="6"/>
  <c r="H1203" i="6"/>
  <c r="G1203" i="6"/>
  <c r="F1203" i="6"/>
  <c r="E1203" i="6"/>
  <c r="C1203" i="6"/>
  <c r="D1203" i="6"/>
  <c r="B1203" i="6"/>
  <c r="H1202" i="6"/>
  <c r="G1202" i="6"/>
  <c r="H1201" i="6"/>
  <c r="G1201" i="6"/>
  <c r="F1201" i="6"/>
  <c r="H1200" i="6"/>
  <c r="G1200" i="6"/>
  <c r="F1200" i="6"/>
  <c r="D1199" i="6"/>
  <c r="D1198" i="6"/>
  <c r="D1197" i="6"/>
  <c r="D1196" i="6"/>
  <c r="AB1195" i="6"/>
  <c r="AA1195" i="6"/>
  <c r="Z1195" i="6"/>
  <c r="Y1195" i="6"/>
  <c r="X1195" i="6"/>
  <c r="W1195" i="6"/>
  <c r="V1195" i="6"/>
  <c r="U1195" i="6"/>
  <c r="T1195" i="6"/>
  <c r="H1195" i="6"/>
  <c r="G1195" i="6"/>
  <c r="F1195" i="6"/>
  <c r="E1195" i="6"/>
  <c r="C1195" i="6"/>
  <c r="D1195" i="6"/>
  <c r="B1195" i="6"/>
  <c r="D1194" i="6"/>
  <c r="AB1193" i="6"/>
  <c r="AA1193" i="6"/>
  <c r="Z1193" i="6"/>
  <c r="Y1193" i="6"/>
  <c r="X1193" i="6"/>
  <c r="W1193" i="6"/>
  <c r="V1193" i="6"/>
  <c r="U1193" i="6"/>
  <c r="T1193" i="6"/>
  <c r="H1193" i="6"/>
  <c r="G1193" i="6"/>
  <c r="F1193" i="6"/>
  <c r="E1193" i="6"/>
  <c r="C1193" i="6"/>
  <c r="D1193" i="6"/>
  <c r="B1193" i="6"/>
  <c r="H1192" i="6"/>
  <c r="G1192" i="6"/>
  <c r="H1191" i="6"/>
  <c r="G1191" i="6"/>
  <c r="F1191" i="6"/>
  <c r="H1190" i="6"/>
  <c r="G1190" i="6"/>
  <c r="F1190" i="6"/>
  <c r="D1189" i="6"/>
  <c r="D1188" i="6"/>
  <c r="D1187" i="6"/>
  <c r="D1186" i="6"/>
  <c r="AB1185" i="6"/>
  <c r="AA1185" i="6"/>
  <c r="Z1185" i="6"/>
  <c r="Y1185" i="6"/>
  <c r="X1185" i="6"/>
  <c r="W1185" i="6"/>
  <c r="V1185" i="6"/>
  <c r="U1185" i="6"/>
  <c r="T1185" i="6"/>
  <c r="H1185" i="6"/>
  <c r="G1185" i="6"/>
  <c r="F1185" i="6"/>
  <c r="E1185" i="6"/>
  <c r="C1185" i="6"/>
  <c r="D1185" i="6"/>
  <c r="B1185" i="6"/>
  <c r="D1184" i="6"/>
  <c r="AB1183" i="6"/>
  <c r="AA1183" i="6"/>
  <c r="Z1183" i="6"/>
  <c r="Y1183" i="6"/>
  <c r="X1183" i="6"/>
  <c r="W1183" i="6"/>
  <c r="V1183" i="6"/>
  <c r="U1183" i="6"/>
  <c r="T1183" i="6"/>
  <c r="H1183" i="6"/>
  <c r="G1183" i="6"/>
  <c r="F1183" i="6"/>
  <c r="E1183" i="6"/>
  <c r="C1183" i="6"/>
  <c r="D1183" i="6"/>
  <c r="B1183" i="6"/>
  <c r="H1182" i="6"/>
  <c r="G1182" i="6"/>
  <c r="H1181" i="6"/>
  <c r="G1181" i="6"/>
  <c r="F1181" i="6"/>
  <c r="H1180" i="6"/>
  <c r="G1180" i="6"/>
  <c r="F1180" i="6"/>
  <c r="D1179" i="6"/>
  <c r="D1178" i="6"/>
  <c r="D1177" i="6"/>
  <c r="D1176" i="6"/>
  <c r="AB1175" i="6"/>
  <c r="AA1175" i="6"/>
  <c r="Z1175" i="6"/>
  <c r="Y1175" i="6"/>
  <c r="X1175" i="6"/>
  <c r="W1175" i="6"/>
  <c r="V1175" i="6"/>
  <c r="U1175" i="6"/>
  <c r="T1175" i="6"/>
  <c r="H1175" i="6"/>
  <c r="G1175" i="6"/>
  <c r="F1175" i="6"/>
  <c r="E1175" i="6"/>
  <c r="C1175" i="6"/>
  <c r="D1175" i="6"/>
  <c r="B1175" i="6"/>
  <c r="D1174" i="6"/>
  <c r="AB1173" i="6"/>
  <c r="AA1173" i="6"/>
  <c r="Z1173" i="6"/>
  <c r="Y1173" i="6"/>
  <c r="X1173" i="6"/>
  <c r="W1173" i="6"/>
  <c r="V1173" i="6"/>
  <c r="U1173" i="6"/>
  <c r="T1173" i="6"/>
  <c r="H1173" i="6"/>
  <c r="G1173" i="6"/>
  <c r="F1173" i="6"/>
  <c r="E1173" i="6"/>
  <c r="C1173" i="6"/>
  <c r="D1173" i="6"/>
  <c r="B1173" i="6"/>
  <c r="D1172" i="6"/>
  <c r="AB1171" i="6"/>
  <c r="AA1171" i="6"/>
  <c r="Z1171" i="6"/>
  <c r="Y1171" i="6"/>
  <c r="X1171" i="6"/>
  <c r="W1171" i="6"/>
  <c r="V1171" i="6"/>
  <c r="U1171" i="6"/>
  <c r="T1171" i="6"/>
  <c r="H1171" i="6"/>
  <c r="G1171" i="6"/>
  <c r="F1171" i="6"/>
  <c r="E1171" i="6"/>
  <c r="C1171" i="6"/>
  <c r="D1171" i="6"/>
  <c r="B1171" i="6"/>
  <c r="H1170" i="6"/>
  <c r="G1170" i="6"/>
  <c r="H1169" i="6"/>
  <c r="G1169" i="6"/>
  <c r="F1169" i="6"/>
  <c r="H1168" i="6"/>
  <c r="G1168" i="6"/>
  <c r="F1168" i="6"/>
  <c r="D1167" i="6"/>
  <c r="D1166" i="6"/>
  <c r="D1165" i="6"/>
  <c r="D1164" i="6"/>
  <c r="C1163" i="6"/>
  <c r="AB1162" i="6"/>
  <c r="AA1162" i="6"/>
  <c r="Z1162" i="6"/>
  <c r="Y1162" i="6"/>
  <c r="X1162" i="6"/>
  <c r="W1162" i="6"/>
  <c r="V1162" i="6"/>
  <c r="U1162" i="6"/>
  <c r="T1162" i="6"/>
  <c r="H1162" i="6"/>
  <c r="G1162" i="6"/>
  <c r="F1162" i="6"/>
  <c r="E1162" i="6"/>
  <c r="C1162" i="6"/>
  <c r="D1162" i="6"/>
  <c r="B1162" i="6"/>
  <c r="D1161" i="6"/>
  <c r="AB1160" i="6"/>
  <c r="AA1160" i="6"/>
  <c r="Z1160" i="6"/>
  <c r="Y1160" i="6"/>
  <c r="X1160" i="6"/>
  <c r="W1160" i="6"/>
  <c r="V1160" i="6"/>
  <c r="U1160" i="6"/>
  <c r="T1160" i="6"/>
  <c r="H1160" i="6"/>
  <c r="G1160" i="6"/>
  <c r="F1160" i="6"/>
  <c r="E1160" i="6"/>
  <c r="C1160" i="6"/>
  <c r="D1160" i="6"/>
  <c r="B1160" i="6"/>
  <c r="H1159" i="6"/>
  <c r="G1159" i="6"/>
  <c r="H1158" i="6"/>
  <c r="G1158" i="6"/>
  <c r="F1158" i="6"/>
  <c r="H1157" i="6"/>
  <c r="G1157" i="6"/>
  <c r="F1157" i="6"/>
  <c r="D1156" i="6"/>
  <c r="D1155" i="6"/>
  <c r="D1154" i="6"/>
  <c r="D1153" i="6"/>
  <c r="C1152" i="6"/>
  <c r="AB1151" i="6"/>
  <c r="AA1151" i="6"/>
  <c r="Z1151" i="6"/>
  <c r="Y1151" i="6"/>
  <c r="X1151" i="6"/>
  <c r="W1151" i="6"/>
  <c r="V1151" i="6"/>
  <c r="U1151" i="6"/>
  <c r="T1151" i="6"/>
  <c r="H1151" i="6"/>
  <c r="G1151" i="6"/>
  <c r="F1151" i="6"/>
  <c r="E1151" i="6"/>
  <c r="C1151" i="6"/>
  <c r="D1151" i="6"/>
  <c r="B1151" i="6"/>
  <c r="D1150" i="6"/>
  <c r="AB1149" i="6"/>
  <c r="AA1149" i="6"/>
  <c r="Z1149" i="6"/>
  <c r="Y1149" i="6"/>
  <c r="X1149" i="6"/>
  <c r="W1149" i="6"/>
  <c r="V1149" i="6"/>
  <c r="U1149" i="6"/>
  <c r="T1149" i="6"/>
  <c r="H1149" i="6"/>
  <c r="G1149" i="6"/>
  <c r="F1149" i="6"/>
  <c r="E1149" i="6"/>
  <c r="C1149" i="6"/>
  <c r="D1149" i="6"/>
  <c r="B1149" i="6"/>
  <c r="H1148" i="6"/>
  <c r="G1148" i="6"/>
  <c r="H1147" i="6"/>
  <c r="G1147" i="6"/>
  <c r="F1147" i="6"/>
  <c r="H1146" i="6"/>
  <c r="G1146" i="6"/>
  <c r="F1146" i="6"/>
  <c r="D1145" i="6"/>
  <c r="D1144" i="6"/>
  <c r="D1143" i="6"/>
  <c r="D1142" i="6"/>
  <c r="C1141" i="6"/>
  <c r="AB1140" i="6"/>
  <c r="AA1140" i="6"/>
  <c r="Z1140" i="6"/>
  <c r="Y1140" i="6"/>
  <c r="X1140" i="6"/>
  <c r="W1140" i="6"/>
  <c r="V1140" i="6"/>
  <c r="U1140" i="6"/>
  <c r="T1140" i="6"/>
  <c r="H1140" i="6"/>
  <c r="G1140" i="6"/>
  <c r="F1140" i="6"/>
  <c r="E1140" i="6"/>
  <c r="C1140" i="6"/>
  <c r="D1140" i="6"/>
  <c r="B1140" i="6"/>
  <c r="D1139" i="6"/>
  <c r="AB1138" i="6"/>
  <c r="AA1138" i="6"/>
  <c r="Z1138" i="6"/>
  <c r="Y1138" i="6"/>
  <c r="X1138" i="6"/>
  <c r="W1138" i="6"/>
  <c r="V1138" i="6"/>
  <c r="U1138" i="6"/>
  <c r="T1138" i="6"/>
  <c r="H1138" i="6"/>
  <c r="G1138" i="6"/>
  <c r="F1138" i="6"/>
  <c r="E1138" i="6"/>
  <c r="C1138" i="6"/>
  <c r="D1138" i="6"/>
  <c r="B1138" i="6"/>
  <c r="H1137" i="6"/>
  <c r="G1137" i="6"/>
  <c r="H1136" i="6"/>
  <c r="G1136" i="6"/>
  <c r="F1136" i="6"/>
  <c r="H1135" i="6"/>
  <c r="G1135" i="6"/>
  <c r="F1135" i="6"/>
  <c r="D1134" i="6"/>
  <c r="D1133" i="6"/>
  <c r="D1132" i="6"/>
  <c r="D1131" i="6"/>
  <c r="C1130" i="6"/>
  <c r="AB1129" i="6"/>
  <c r="AA1129" i="6"/>
  <c r="Z1129" i="6"/>
  <c r="Y1129" i="6"/>
  <c r="X1129" i="6"/>
  <c r="W1129" i="6"/>
  <c r="V1129" i="6"/>
  <c r="U1129" i="6"/>
  <c r="T1129" i="6"/>
  <c r="H1129" i="6"/>
  <c r="G1129" i="6"/>
  <c r="F1129" i="6"/>
  <c r="E1129" i="6"/>
  <c r="C1129" i="6"/>
  <c r="D1129" i="6"/>
  <c r="B1129" i="6"/>
  <c r="D1128" i="6"/>
  <c r="AB1127" i="6"/>
  <c r="AA1127" i="6"/>
  <c r="Z1127" i="6"/>
  <c r="Y1127" i="6"/>
  <c r="X1127" i="6"/>
  <c r="W1127" i="6"/>
  <c r="V1127" i="6"/>
  <c r="U1127" i="6"/>
  <c r="T1127" i="6"/>
  <c r="H1127" i="6"/>
  <c r="G1127" i="6"/>
  <c r="F1127" i="6"/>
  <c r="E1127" i="6"/>
  <c r="C1127" i="6"/>
  <c r="D1127" i="6"/>
  <c r="B1127" i="6"/>
  <c r="H1126" i="6"/>
  <c r="G1126" i="6"/>
  <c r="H1125" i="6"/>
  <c r="G1125" i="6"/>
  <c r="F1125" i="6"/>
  <c r="H1124" i="6"/>
  <c r="G1124" i="6"/>
  <c r="F1124" i="6"/>
  <c r="D1123" i="6"/>
  <c r="D1122" i="6"/>
  <c r="D1121" i="6"/>
  <c r="D1120" i="6"/>
  <c r="C1119" i="6"/>
  <c r="AB1118" i="6"/>
  <c r="AA1118" i="6"/>
  <c r="Z1118" i="6"/>
  <c r="Y1118" i="6"/>
  <c r="X1118" i="6"/>
  <c r="W1118" i="6"/>
  <c r="V1118" i="6"/>
  <c r="U1118" i="6"/>
  <c r="T1118" i="6"/>
  <c r="H1118" i="6"/>
  <c r="G1118" i="6"/>
  <c r="F1118" i="6"/>
  <c r="E1118" i="6"/>
  <c r="C1118" i="6"/>
  <c r="D1118" i="6"/>
  <c r="B1118" i="6"/>
  <c r="D1117" i="6"/>
  <c r="AB1116" i="6"/>
  <c r="AA1116" i="6"/>
  <c r="Z1116" i="6"/>
  <c r="Y1116" i="6"/>
  <c r="X1116" i="6"/>
  <c r="W1116" i="6"/>
  <c r="V1116" i="6"/>
  <c r="U1116" i="6"/>
  <c r="T1116" i="6"/>
  <c r="H1116" i="6"/>
  <c r="G1116" i="6"/>
  <c r="F1116" i="6"/>
  <c r="E1116" i="6"/>
  <c r="C1116" i="6"/>
  <c r="D1116" i="6"/>
  <c r="B1116" i="6"/>
  <c r="H1115" i="6"/>
  <c r="G1115" i="6"/>
  <c r="H1114" i="6"/>
  <c r="G1114" i="6"/>
  <c r="F1114" i="6"/>
  <c r="H1113" i="6"/>
  <c r="G1113" i="6"/>
  <c r="F1113" i="6"/>
  <c r="D1112" i="6"/>
  <c r="D1111" i="6"/>
  <c r="D1110" i="6"/>
  <c r="D1109" i="6"/>
  <c r="C1108" i="6"/>
  <c r="AB1107" i="6"/>
  <c r="AA1107" i="6"/>
  <c r="Z1107" i="6"/>
  <c r="Y1107" i="6"/>
  <c r="X1107" i="6"/>
  <c r="W1107" i="6"/>
  <c r="V1107" i="6"/>
  <c r="U1107" i="6"/>
  <c r="T1107" i="6"/>
  <c r="H1107" i="6"/>
  <c r="G1107" i="6"/>
  <c r="F1107" i="6"/>
  <c r="E1107" i="6"/>
  <c r="C1107" i="6"/>
  <c r="D1107" i="6"/>
  <c r="B1107" i="6"/>
  <c r="D1106" i="6"/>
  <c r="AB1105" i="6"/>
  <c r="AA1105" i="6"/>
  <c r="Z1105" i="6"/>
  <c r="Y1105" i="6"/>
  <c r="X1105" i="6"/>
  <c r="W1105" i="6"/>
  <c r="V1105" i="6"/>
  <c r="U1105" i="6"/>
  <c r="T1105" i="6"/>
  <c r="H1105" i="6"/>
  <c r="G1105" i="6"/>
  <c r="F1105" i="6"/>
  <c r="E1105" i="6"/>
  <c r="C1105" i="6"/>
  <c r="D1105" i="6"/>
  <c r="B1105" i="6"/>
  <c r="H1104" i="6"/>
  <c r="G1104" i="6"/>
  <c r="H1103" i="6"/>
  <c r="G1103" i="6"/>
  <c r="F1103" i="6"/>
  <c r="H1102" i="6"/>
  <c r="G1102" i="6"/>
  <c r="F1102" i="6"/>
  <c r="D1101" i="6"/>
  <c r="D1100" i="6"/>
  <c r="D1099" i="6"/>
  <c r="D1098" i="6"/>
  <c r="C1097" i="6"/>
  <c r="AB1096" i="6"/>
  <c r="AA1096" i="6"/>
  <c r="Z1096" i="6"/>
  <c r="Y1096" i="6"/>
  <c r="X1096" i="6"/>
  <c r="W1096" i="6"/>
  <c r="V1096" i="6"/>
  <c r="U1096" i="6"/>
  <c r="T1096" i="6"/>
  <c r="H1096" i="6"/>
  <c r="G1096" i="6"/>
  <c r="F1096" i="6"/>
  <c r="E1096" i="6"/>
  <c r="C1096" i="6"/>
  <c r="D1096" i="6"/>
  <c r="B1096" i="6"/>
  <c r="D1095" i="6"/>
  <c r="AB1094" i="6"/>
  <c r="AA1094" i="6"/>
  <c r="Z1094" i="6"/>
  <c r="Y1094" i="6"/>
  <c r="X1094" i="6"/>
  <c r="W1094" i="6"/>
  <c r="V1094" i="6"/>
  <c r="U1094" i="6"/>
  <c r="T1094" i="6"/>
  <c r="H1094" i="6"/>
  <c r="G1094" i="6"/>
  <c r="F1094" i="6"/>
  <c r="E1094" i="6"/>
  <c r="C1094" i="6"/>
  <c r="D1094" i="6"/>
  <c r="B1094" i="6"/>
  <c r="H1093" i="6"/>
  <c r="G1093" i="6"/>
  <c r="H1092" i="6"/>
  <c r="G1092" i="6"/>
  <c r="F1092" i="6"/>
  <c r="H1091" i="6"/>
  <c r="G1091" i="6"/>
  <c r="F1091" i="6"/>
  <c r="D1090" i="6"/>
  <c r="D1089" i="6"/>
  <c r="D1088" i="6"/>
  <c r="D1087" i="6"/>
  <c r="C1086" i="6"/>
  <c r="AB1085" i="6"/>
  <c r="AA1085" i="6"/>
  <c r="Z1085" i="6"/>
  <c r="Y1085" i="6"/>
  <c r="X1085" i="6"/>
  <c r="W1085" i="6"/>
  <c r="V1085" i="6"/>
  <c r="U1085" i="6"/>
  <c r="T1085" i="6"/>
  <c r="H1085" i="6"/>
  <c r="G1085" i="6"/>
  <c r="F1085" i="6"/>
  <c r="E1085" i="6"/>
  <c r="C1085" i="6"/>
  <c r="D1085" i="6"/>
  <c r="B1085" i="6"/>
  <c r="D1084" i="6"/>
  <c r="AB1083" i="6"/>
  <c r="AA1083" i="6"/>
  <c r="Z1083" i="6"/>
  <c r="Y1083" i="6"/>
  <c r="X1083" i="6"/>
  <c r="W1083" i="6"/>
  <c r="V1083" i="6"/>
  <c r="U1083" i="6"/>
  <c r="T1083" i="6"/>
  <c r="H1083" i="6"/>
  <c r="G1083" i="6"/>
  <c r="F1083" i="6"/>
  <c r="E1083" i="6"/>
  <c r="C1083" i="6"/>
  <c r="D1083" i="6"/>
  <c r="B1083" i="6"/>
  <c r="H1082" i="6"/>
  <c r="G1082" i="6"/>
  <c r="H1081" i="6"/>
  <c r="G1081" i="6"/>
  <c r="F1081" i="6"/>
  <c r="H1080" i="6"/>
  <c r="G1080" i="6"/>
  <c r="F1080" i="6"/>
  <c r="D1079" i="6"/>
  <c r="D1078" i="6"/>
  <c r="D1077" i="6"/>
  <c r="D1076" i="6"/>
  <c r="C1075" i="6"/>
  <c r="AB1074" i="6"/>
  <c r="AA1074" i="6"/>
  <c r="Z1074" i="6"/>
  <c r="Y1074" i="6"/>
  <c r="X1074" i="6"/>
  <c r="W1074" i="6"/>
  <c r="V1074" i="6"/>
  <c r="U1074" i="6"/>
  <c r="T1074" i="6"/>
  <c r="H1074" i="6"/>
  <c r="G1074" i="6"/>
  <c r="F1074" i="6"/>
  <c r="E1074" i="6"/>
  <c r="C1074" i="6"/>
  <c r="D1074" i="6"/>
  <c r="B1074" i="6"/>
  <c r="A1073" i="6"/>
  <c r="H1069" i="6"/>
  <c r="C1069" i="6"/>
  <c r="D1067" i="6"/>
  <c r="AB1066" i="6"/>
  <c r="AA1066" i="6"/>
  <c r="Z1066" i="6"/>
  <c r="Y1066" i="6"/>
  <c r="X1066" i="6"/>
  <c r="W1066" i="6"/>
  <c r="V1066" i="6"/>
  <c r="U1066" i="6"/>
  <c r="T1066" i="6"/>
  <c r="H1066" i="6"/>
  <c r="G1066" i="6"/>
  <c r="F1066" i="6"/>
  <c r="E1066" i="6"/>
  <c r="C1066" i="6"/>
  <c r="D1066" i="6"/>
  <c r="B1066" i="6"/>
  <c r="H1065" i="6"/>
  <c r="G1065" i="6"/>
  <c r="H1064" i="6"/>
  <c r="G1064" i="6"/>
  <c r="F1064" i="6"/>
  <c r="H1063" i="6"/>
  <c r="G1063" i="6"/>
  <c r="F1063" i="6"/>
  <c r="D1062" i="6"/>
  <c r="D1061" i="6"/>
  <c r="D1060" i="6"/>
  <c r="D1059" i="6"/>
  <c r="C1058" i="6"/>
  <c r="AB1057" i="6"/>
  <c r="AA1057" i="6"/>
  <c r="Z1057" i="6"/>
  <c r="Y1057" i="6"/>
  <c r="X1057" i="6"/>
  <c r="W1057" i="6"/>
  <c r="V1057" i="6"/>
  <c r="U1057" i="6"/>
  <c r="T1057" i="6"/>
  <c r="H1057" i="6"/>
  <c r="G1057" i="6"/>
  <c r="F1057" i="6"/>
  <c r="E1057" i="6"/>
  <c r="C1057" i="6"/>
  <c r="D1057" i="6"/>
  <c r="B1057" i="6"/>
  <c r="D1056" i="6"/>
  <c r="AB1055" i="6"/>
  <c r="AA1055" i="6"/>
  <c r="Z1055" i="6"/>
  <c r="Y1055" i="6"/>
  <c r="X1055" i="6"/>
  <c r="W1055" i="6"/>
  <c r="V1055" i="6"/>
  <c r="U1055" i="6"/>
  <c r="T1055" i="6"/>
  <c r="H1055" i="6"/>
  <c r="G1055" i="6"/>
  <c r="F1055" i="6"/>
  <c r="E1055" i="6"/>
  <c r="C1055" i="6"/>
  <c r="D1055" i="6"/>
  <c r="B1055" i="6"/>
  <c r="H1054" i="6"/>
  <c r="G1054" i="6"/>
  <c r="H1053" i="6"/>
  <c r="G1053" i="6"/>
  <c r="F1053" i="6"/>
  <c r="H1052" i="6"/>
  <c r="G1052" i="6"/>
  <c r="F1052" i="6"/>
  <c r="D1051" i="6"/>
  <c r="D1050" i="6"/>
  <c r="D1049" i="6"/>
  <c r="D1048" i="6"/>
  <c r="C1047" i="6"/>
  <c r="AB1046" i="6"/>
  <c r="AA1046" i="6"/>
  <c r="Z1046" i="6"/>
  <c r="Y1046" i="6"/>
  <c r="X1046" i="6"/>
  <c r="W1046" i="6"/>
  <c r="V1046" i="6"/>
  <c r="U1046" i="6"/>
  <c r="T1046" i="6"/>
  <c r="H1046" i="6"/>
  <c r="G1046" i="6"/>
  <c r="F1046" i="6"/>
  <c r="E1046" i="6"/>
  <c r="C1046" i="6"/>
  <c r="D1046" i="6"/>
  <c r="B1046" i="6"/>
  <c r="D1045" i="6"/>
  <c r="AB1044" i="6"/>
  <c r="AA1044" i="6"/>
  <c r="Z1044" i="6"/>
  <c r="Y1044" i="6"/>
  <c r="X1044" i="6"/>
  <c r="W1044" i="6"/>
  <c r="V1044" i="6"/>
  <c r="U1044" i="6"/>
  <c r="T1044" i="6"/>
  <c r="H1044" i="6"/>
  <c r="G1044" i="6"/>
  <c r="F1044" i="6"/>
  <c r="E1044" i="6"/>
  <c r="C1044" i="6"/>
  <c r="D1044" i="6"/>
  <c r="B1044" i="6"/>
  <c r="D1043" i="6"/>
  <c r="AB1042" i="6"/>
  <c r="AA1042" i="6"/>
  <c r="Z1042" i="6"/>
  <c r="Y1042" i="6"/>
  <c r="X1042" i="6"/>
  <c r="W1042" i="6"/>
  <c r="V1042" i="6"/>
  <c r="U1042" i="6"/>
  <c r="T1042" i="6"/>
  <c r="H1042" i="6"/>
  <c r="G1042" i="6"/>
  <c r="F1042" i="6"/>
  <c r="E1042" i="6"/>
  <c r="C1042" i="6"/>
  <c r="D1042" i="6"/>
  <c r="B1042" i="6"/>
  <c r="H1041" i="6"/>
  <c r="G1041" i="6"/>
  <c r="H1040" i="6"/>
  <c r="G1040" i="6"/>
  <c r="F1040" i="6"/>
  <c r="H1039" i="6"/>
  <c r="G1039" i="6"/>
  <c r="F1039" i="6"/>
  <c r="D1038" i="6"/>
  <c r="D1037" i="6"/>
  <c r="D1036" i="6"/>
  <c r="D1035" i="6"/>
  <c r="AB1034" i="6"/>
  <c r="AA1034" i="6"/>
  <c r="Z1034" i="6"/>
  <c r="Y1034" i="6"/>
  <c r="X1034" i="6"/>
  <c r="W1034" i="6"/>
  <c r="V1034" i="6"/>
  <c r="U1034" i="6"/>
  <c r="T1034" i="6"/>
  <c r="H1034" i="6"/>
  <c r="G1034" i="6"/>
  <c r="F1034" i="6"/>
  <c r="E1034" i="6"/>
  <c r="C1034" i="6"/>
  <c r="D1034" i="6"/>
  <c r="B1034" i="6"/>
  <c r="D1033" i="6"/>
  <c r="AB1032" i="6"/>
  <c r="AA1032" i="6"/>
  <c r="Z1032" i="6"/>
  <c r="Y1032" i="6"/>
  <c r="X1032" i="6"/>
  <c r="W1032" i="6"/>
  <c r="V1032" i="6"/>
  <c r="U1032" i="6"/>
  <c r="T1032" i="6"/>
  <c r="H1032" i="6"/>
  <c r="G1032" i="6"/>
  <c r="F1032" i="6"/>
  <c r="E1032" i="6"/>
  <c r="C1032" i="6"/>
  <c r="D1032" i="6"/>
  <c r="B1032" i="6"/>
  <c r="H1031" i="6"/>
  <c r="G1031" i="6"/>
  <c r="H1030" i="6"/>
  <c r="G1030" i="6"/>
  <c r="F1030" i="6"/>
  <c r="H1029" i="6"/>
  <c r="G1029" i="6"/>
  <c r="F1029" i="6"/>
  <c r="D1028" i="6"/>
  <c r="D1027" i="6"/>
  <c r="D1026" i="6"/>
  <c r="D1025" i="6"/>
  <c r="AB1024" i="6"/>
  <c r="AA1024" i="6"/>
  <c r="Z1024" i="6"/>
  <c r="Y1024" i="6"/>
  <c r="X1024" i="6"/>
  <c r="W1024" i="6"/>
  <c r="V1024" i="6"/>
  <c r="U1024" i="6"/>
  <c r="T1024" i="6"/>
  <c r="H1024" i="6"/>
  <c r="G1024" i="6"/>
  <c r="F1024" i="6"/>
  <c r="E1024" i="6"/>
  <c r="C1024" i="6"/>
  <c r="D1024" i="6"/>
  <c r="B1024" i="6"/>
  <c r="D1023" i="6"/>
  <c r="AB1022" i="6"/>
  <c r="AA1022" i="6"/>
  <c r="Z1022" i="6"/>
  <c r="Y1022" i="6"/>
  <c r="X1022" i="6"/>
  <c r="W1022" i="6"/>
  <c r="V1022" i="6"/>
  <c r="U1022" i="6"/>
  <c r="T1022" i="6"/>
  <c r="H1022" i="6"/>
  <c r="G1022" i="6"/>
  <c r="F1022" i="6"/>
  <c r="E1022" i="6"/>
  <c r="C1022" i="6"/>
  <c r="D1022" i="6"/>
  <c r="B1022" i="6"/>
  <c r="H1021" i="6"/>
  <c r="G1021" i="6"/>
  <c r="H1020" i="6"/>
  <c r="G1020" i="6"/>
  <c r="F1020" i="6"/>
  <c r="H1019" i="6"/>
  <c r="G1019" i="6"/>
  <c r="F1019" i="6"/>
  <c r="D1018" i="6"/>
  <c r="D1017" i="6"/>
  <c r="D1016" i="6"/>
  <c r="D1015" i="6"/>
  <c r="AB1014" i="6"/>
  <c r="AA1014" i="6"/>
  <c r="Z1014" i="6"/>
  <c r="Y1014" i="6"/>
  <c r="X1014" i="6"/>
  <c r="W1014" i="6"/>
  <c r="V1014" i="6"/>
  <c r="U1014" i="6"/>
  <c r="T1014" i="6"/>
  <c r="H1014" i="6"/>
  <c r="G1014" i="6"/>
  <c r="F1014" i="6"/>
  <c r="E1014" i="6"/>
  <c r="C1014" i="6"/>
  <c r="D1014" i="6"/>
  <c r="B1014" i="6"/>
  <c r="D1013" i="6"/>
  <c r="AB1012" i="6"/>
  <c r="AA1012" i="6"/>
  <c r="Z1012" i="6"/>
  <c r="Y1012" i="6"/>
  <c r="X1012" i="6"/>
  <c r="W1012" i="6"/>
  <c r="V1012" i="6"/>
  <c r="U1012" i="6"/>
  <c r="T1012" i="6"/>
  <c r="H1012" i="6"/>
  <c r="G1012" i="6"/>
  <c r="F1012" i="6"/>
  <c r="E1012" i="6"/>
  <c r="C1012" i="6"/>
  <c r="D1012" i="6"/>
  <c r="B1012" i="6"/>
  <c r="H1011" i="6"/>
  <c r="G1011" i="6"/>
  <c r="H1010" i="6"/>
  <c r="G1010" i="6"/>
  <c r="F1010" i="6"/>
  <c r="H1009" i="6"/>
  <c r="G1009" i="6"/>
  <c r="F1009" i="6"/>
  <c r="D1008" i="6"/>
  <c r="D1007" i="6"/>
  <c r="D1006" i="6"/>
  <c r="D1005" i="6"/>
  <c r="C1004" i="6"/>
  <c r="AB1003" i="6"/>
  <c r="AA1003" i="6"/>
  <c r="Z1003" i="6"/>
  <c r="Y1003" i="6"/>
  <c r="X1003" i="6"/>
  <c r="W1003" i="6"/>
  <c r="V1003" i="6"/>
  <c r="U1003" i="6"/>
  <c r="T1003" i="6"/>
  <c r="H1003" i="6"/>
  <c r="G1003" i="6"/>
  <c r="F1003" i="6"/>
  <c r="E1003" i="6"/>
  <c r="C1003" i="6"/>
  <c r="D1003" i="6"/>
  <c r="B1003" i="6"/>
  <c r="H1002" i="6"/>
  <c r="G1002" i="6"/>
  <c r="H1001" i="6"/>
  <c r="G1001" i="6"/>
  <c r="F1001" i="6"/>
  <c r="H1000" i="6"/>
  <c r="G1000" i="6"/>
  <c r="F1000" i="6"/>
  <c r="D999" i="6"/>
  <c r="D998" i="6"/>
  <c r="D997" i="6"/>
  <c r="D996" i="6"/>
  <c r="C995" i="6"/>
  <c r="AB994" i="6"/>
  <c r="AA994" i="6"/>
  <c r="Z994" i="6"/>
  <c r="Y994" i="6"/>
  <c r="X994" i="6"/>
  <c r="W994" i="6"/>
  <c r="V994" i="6"/>
  <c r="U994" i="6"/>
  <c r="T994" i="6"/>
  <c r="H994" i="6"/>
  <c r="G994" i="6"/>
  <c r="F994" i="6"/>
  <c r="E994" i="6"/>
  <c r="C994" i="6"/>
  <c r="D994" i="6"/>
  <c r="B994" i="6"/>
  <c r="D993" i="6"/>
  <c r="AB992" i="6"/>
  <c r="AA992" i="6"/>
  <c r="Z992" i="6"/>
  <c r="Y992" i="6"/>
  <c r="X992" i="6"/>
  <c r="W992" i="6"/>
  <c r="V992" i="6"/>
  <c r="U992" i="6"/>
  <c r="T992" i="6"/>
  <c r="H992" i="6"/>
  <c r="G992" i="6"/>
  <c r="F992" i="6"/>
  <c r="E992" i="6"/>
  <c r="C992" i="6"/>
  <c r="D992" i="6"/>
  <c r="B992" i="6"/>
  <c r="H991" i="6"/>
  <c r="G991" i="6"/>
  <c r="H990" i="6"/>
  <c r="G990" i="6"/>
  <c r="F990" i="6"/>
  <c r="H989" i="6"/>
  <c r="G989" i="6"/>
  <c r="F989" i="6"/>
  <c r="D988" i="6"/>
  <c r="D987" i="6"/>
  <c r="D986" i="6"/>
  <c r="D985" i="6"/>
  <c r="AB984" i="6"/>
  <c r="AA984" i="6"/>
  <c r="Z984" i="6"/>
  <c r="Y984" i="6"/>
  <c r="X984" i="6"/>
  <c r="W984" i="6"/>
  <c r="V984" i="6"/>
  <c r="U984" i="6"/>
  <c r="T984" i="6"/>
  <c r="H984" i="6"/>
  <c r="G984" i="6"/>
  <c r="F984" i="6"/>
  <c r="E984" i="6"/>
  <c r="C984" i="6"/>
  <c r="D984" i="6"/>
  <c r="B984" i="6"/>
  <c r="D983" i="6"/>
  <c r="AB982" i="6"/>
  <c r="AA982" i="6"/>
  <c r="Z982" i="6"/>
  <c r="Y982" i="6"/>
  <c r="X982" i="6"/>
  <c r="W982" i="6"/>
  <c r="V982" i="6"/>
  <c r="U982" i="6"/>
  <c r="T982" i="6"/>
  <c r="H982" i="6"/>
  <c r="G982" i="6"/>
  <c r="F982" i="6"/>
  <c r="E982" i="6"/>
  <c r="C982" i="6"/>
  <c r="D982" i="6"/>
  <c r="B982" i="6"/>
  <c r="H981" i="6"/>
  <c r="G981" i="6"/>
  <c r="H980" i="6"/>
  <c r="G980" i="6"/>
  <c r="F980" i="6"/>
  <c r="H979" i="6"/>
  <c r="G979" i="6"/>
  <c r="F979" i="6"/>
  <c r="D978" i="6"/>
  <c r="D977" i="6"/>
  <c r="D976" i="6"/>
  <c r="D975" i="6"/>
  <c r="C974" i="6"/>
  <c r="AB973" i="6"/>
  <c r="AA973" i="6"/>
  <c r="Z973" i="6"/>
  <c r="Y973" i="6"/>
  <c r="X973" i="6"/>
  <c r="W973" i="6"/>
  <c r="V973" i="6"/>
  <c r="U973" i="6"/>
  <c r="T973" i="6"/>
  <c r="H973" i="6"/>
  <c r="G973" i="6"/>
  <c r="F973" i="6"/>
  <c r="E973" i="6"/>
  <c r="C973" i="6"/>
  <c r="D973" i="6"/>
  <c r="B973" i="6"/>
  <c r="D972" i="6"/>
  <c r="AB971" i="6"/>
  <c r="AA971" i="6"/>
  <c r="Z971" i="6"/>
  <c r="Y971" i="6"/>
  <c r="X971" i="6"/>
  <c r="W971" i="6"/>
  <c r="V971" i="6"/>
  <c r="U971" i="6"/>
  <c r="T971" i="6"/>
  <c r="H971" i="6"/>
  <c r="G971" i="6"/>
  <c r="F971" i="6"/>
  <c r="E971" i="6"/>
  <c r="C971" i="6"/>
  <c r="D971" i="6"/>
  <c r="B971" i="6"/>
  <c r="H970" i="6"/>
  <c r="G970" i="6"/>
  <c r="H969" i="6"/>
  <c r="G969" i="6"/>
  <c r="F969" i="6"/>
  <c r="H968" i="6"/>
  <c r="G968" i="6"/>
  <c r="F968" i="6"/>
  <c r="D967" i="6"/>
  <c r="D966" i="6"/>
  <c r="D965" i="6"/>
  <c r="D964" i="6"/>
  <c r="C963" i="6"/>
  <c r="AB962" i="6"/>
  <c r="AA962" i="6"/>
  <c r="Z962" i="6"/>
  <c r="Y962" i="6"/>
  <c r="X962" i="6"/>
  <c r="W962" i="6"/>
  <c r="V962" i="6"/>
  <c r="U962" i="6"/>
  <c r="T962" i="6"/>
  <c r="H962" i="6"/>
  <c r="G962" i="6"/>
  <c r="F962" i="6"/>
  <c r="E962" i="6"/>
  <c r="C962" i="6"/>
  <c r="D962" i="6"/>
  <c r="B962" i="6"/>
  <c r="D961" i="6"/>
  <c r="AB960" i="6"/>
  <c r="AA960" i="6"/>
  <c r="Z960" i="6"/>
  <c r="Y960" i="6"/>
  <c r="X960" i="6"/>
  <c r="W960" i="6"/>
  <c r="V960" i="6"/>
  <c r="U960" i="6"/>
  <c r="T960" i="6"/>
  <c r="H960" i="6"/>
  <c r="G960" i="6"/>
  <c r="F960" i="6"/>
  <c r="E960" i="6"/>
  <c r="C960" i="6"/>
  <c r="D960" i="6"/>
  <c r="B960" i="6"/>
  <c r="H959" i="6"/>
  <c r="G959" i="6"/>
  <c r="H958" i="6"/>
  <c r="G958" i="6"/>
  <c r="F958" i="6"/>
  <c r="H957" i="6"/>
  <c r="G957" i="6"/>
  <c r="F957" i="6"/>
  <c r="D956" i="6"/>
  <c r="D955" i="6"/>
  <c r="D954" i="6"/>
  <c r="D953" i="6"/>
  <c r="C952" i="6"/>
  <c r="AB951" i="6"/>
  <c r="AA951" i="6"/>
  <c r="Z951" i="6"/>
  <c r="Y951" i="6"/>
  <c r="X951" i="6"/>
  <c r="W951" i="6"/>
  <c r="V951" i="6"/>
  <c r="U951" i="6"/>
  <c r="T951" i="6"/>
  <c r="H951" i="6"/>
  <c r="G951" i="6"/>
  <c r="F951" i="6"/>
  <c r="E951" i="6"/>
  <c r="C951" i="6"/>
  <c r="D951" i="6"/>
  <c r="B951" i="6"/>
  <c r="D950" i="6"/>
  <c r="AB949" i="6"/>
  <c r="AA949" i="6"/>
  <c r="Z949" i="6"/>
  <c r="Y949" i="6"/>
  <c r="X949" i="6"/>
  <c r="W949" i="6"/>
  <c r="V949" i="6"/>
  <c r="U949" i="6"/>
  <c r="T949" i="6"/>
  <c r="H949" i="6"/>
  <c r="G949" i="6"/>
  <c r="F949" i="6"/>
  <c r="E949" i="6"/>
  <c r="C949" i="6"/>
  <c r="D949" i="6"/>
  <c r="B949" i="6"/>
  <c r="H948" i="6"/>
  <c r="G948" i="6"/>
  <c r="H947" i="6"/>
  <c r="G947" i="6"/>
  <c r="F947" i="6"/>
  <c r="H946" i="6"/>
  <c r="G946" i="6"/>
  <c r="F946" i="6"/>
  <c r="D945" i="6"/>
  <c r="D944" i="6"/>
  <c r="D943" i="6"/>
  <c r="D942" i="6"/>
  <c r="C941" i="6"/>
  <c r="AB940" i="6"/>
  <c r="AA940" i="6"/>
  <c r="Z940" i="6"/>
  <c r="Y940" i="6"/>
  <c r="X940" i="6"/>
  <c r="W940" i="6"/>
  <c r="V940" i="6"/>
  <c r="U940" i="6"/>
  <c r="T940" i="6"/>
  <c r="H940" i="6"/>
  <c r="G940" i="6"/>
  <c r="F940" i="6"/>
  <c r="E940" i="6"/>
  <c r="C940" i="6"/>
  <c r="D940" i="6"/>
  <c r="B940" i="6"/>
  <c r="D939" i="6"/>
  <c r="AB938" i="6"/>
  <c r="AA938" i="6"/>
  <c r="Z938" i="6"/>
  <c r="Y938" i="6"/>
  <c r="X938" i="6"/>
  <c r="W938" i="6"/>
  <c r="V938" i="6"/>
  <c r="U938" i="6"/>
  <c r="T938" i="6"/>
  <c r="H938" i="6"/>
  <c r="G938" i="6"/>
  <c r="F938" i="6"/>
  <c r="E938" i="6"/>
  <c r="C938" i="6"/>
  <c r="D938" i="6"/>
  <c r="B938" i="6"/>
  <c r="H937" i="6"/>
  <c r="G937" i="6"/>
  <c r="H936" i="6"/>
  <c r="G936" i="6"/>
  <c r="F936" i="6"/>
  <c r="H935" i="6"/>
  <c r="G935" i="6"/>
  <c r="F935" i="6"/>
  <c r="D934" i="6"/>
  <c r="D933" i="6"/>
  <c r="D932" i="6"/>
  <c r="D931" i="6"/>
  <c r="C930" i="6"/>
  <c r="AB929" i="6"/>
  <c r="AA929" i="6"/>
  <c r="Z929" i="6"/>
  <c r="Y929" i="6"/>
  <c r="X929" i="6"/>
  <c r="W929" i="6"/>
  <c r="V929" i="6"/>
  <c r="U929" i="6"/>
  <c r="T929" i="6"/>
  <c r="H929" i="6"/>
  <c r="G929" i="6"/>
  <c r="F929" i="6"/>
  <c r="E929" i="6"/>
  <c r="C929" i="6"/>
  <c r="D929" i="6"/>
  <c r="B929" i="6"/>
  <c r="A928" i="6"/>
  <c r="H924" i="6"/>
  <c r="C924" i="6"/>
  <c r="H922" i="6"/>
  <c r="G922" i="6"/>
  <c r="H921" i="6"/>
  <c r="G921" i="6"/>
  <c r="F921" i="6"/>
  <c r="H920" i="6"/>
  <c r="G920" i="6"/>
  <c r="F920" i="6"/>
  <c r="D913" i="6"/>
  <c r="D912" i="6"/>
  <c r="D911" i="6"/>
  <c r="D910" i="6"/>
  <c r="AB909" i="6"/>
  <c r="AA909" i="6"/>
  <c r="Z909" i="6"/>
  <c r="Y909" i="6"/>
  <c r="X909" i="6"/>
  <c r="W909" i="6"/>
  <c r="V909" i="6"/>
  <c r="U909" i="6"/>
  <c r="T909" i="6"/>
  <c r="H909" i="6"/>
  <c r="G909" i="6"/>
  <c r="F909" i="6"/>
  <c r="E909" i="6"/>
  <c r="C909" i="6"/>
  <c r="D909" i="6"/>
  <c r="B909" i="6"/>
  <c r="H908" i="6"/>
  <c r="G908" i="6"/>
  <c r="H907" i="6"/>
  <c r="G907" i="6"/>
  <c r="F907" i="6"/>
  <c r="H906" i="6"/>
  <c r="G906" i="6"/>
  <c r="F906" i="6"/>
  <c r="D899" i="6"/>
  <c r="D898" i="6"/>
  <c r="D897" i="6"/>
  <c r="D896" i="6"/>
  <c r="C895" i="6"/>
  <c r="AB894" i="6"/>
  <c r="AA894" i="6"/>
  <c r="Z894" i="6"/>
  <c r="Y894" i="6"/>
  <c r="X894" i="6"/>
  <c r="W894" i="6"/>
  <c r="V894" i="6"/>
  <c r="U894" i="6"/>
  <c r="T894" i="6"/>
  <c r="H894" i="6"/>
  <c r="G894" i="6"/>
  <c r="F894" i="6"/>
  <c r="E894" i="6"/>
  <c r="C894" i="6"/>
  <c r="D894" i="6"/>
  <c r="B894" i="6"/>
  <c r="H893" i="6"/>
  <c r="G893" i="6"/>
  <c r="H892" i="6"/>
  <c r="G892" i="6"/>
  <c r="F892" i="6"/>
  <c r="H891" i="6"/>
  <c r="G891" i="6"/>
  <c r="F891" i="6"/>
  <c r="D890" i="6"/>
  <c r="D889" i="6"/>
  <c r="D888" i="6"/>
  <c r="D887" i="6"/>
  <c r="C886" i="6"/>
  <c r="AB885" i="6"/>
  <c r="AA885" i="6"/>
  <c r="Z885" i="6"/>
  <c r="Y885" i="6"/>
  <c r="X885" i="6"/>
  <c r="W885" i="6"/>
  <c r="V885" i="6"/>
  <c r="U885" i="6"/>
  <c r="T885" i="6"/>
  <c r="H885" i="6"/>
  <c r="G885" i="6"/>
  <c r="F885" i="6"/>
  <c r="E885" i="6"/>
  <c r="C885" i="6"/>
  <c r="D885" i="6"/>
  <c r="B885" i="6"/>
  <c r="H884" i="6"/>
  <c r="G884" i="6"/>
  <c r="H883" i="6"/>
  <c r="G883" i="6"/>
  <c r="F883" i="6"/>
  <c r="H882" i="6"/>
  <c r="G882" i="6"/>
  <c r="F882" i="6"/>
  <c r="D881" i="6"/>
  <c r="D880" i="6"/>
  <c r="D879" i="6"/>
  <c r="D878" i="6"/>
  <c r="C877" i="6"/>
  <c r="AB876" i="6"/>
  <c r="AA876" i="6"/>
  <c r="Z876" i="6"/>
  <c r="Y876" i="6"/>
  <c r="X876" i="6"/>
  <c r="W876" i="6"/>
  <c r="V876" i="6"/>
  <c r="U876" i="6"/>
  <c r="T876" i="6"/>
  <c r="H876" i="6"/>
  <c r="G876" i="6"/>
  <c r="F876" i="6"/>
  <c r="E876" i="6"/>
  <c r="C876" i="6"/>
  <c r="D876" i="6"/>
  <c r="B876" i="6"/>
  <c r="H875" i="6"/>
  <c r="G875" i="6"/>
  <c r="H874" i="6"/>
  <c r="G874" i="6"/>
  <c r="F874" i="6"/>
  <c r="H873" i="6"/>
  <c r="G873" i="6"/>
  <c r="F873" i="6"/>
  <c r="D872" i="6"/>
  <c r="D871" i="6"/>
  <c r="D870" i="6"/>
  <c r="D869" i="6"/>
  <c r="C868" i="6"/>
  <c r="AB867" i="6"/>
  <c r="AA867" i="6"/>
  <c r="Z867" i="6"/>
  <c r="Y867" i="6"/>
  <c r="X867" i="6"/>
  <c r="W867" i="6"/>
  <c r="V867" i="6"/>
  <c r="U867" i="6"/>
  <c r="T867" i="6"/>
  <c r="H867" i="6"/>
  <c r="G867" i="6"/>
  <c r="F867" i="6"/>
  <c r="E867" i="6"/>
  <c r="C867" i="6"/>
  <c r="D867" i="6"/>
  <c r="B867" i="6"/>
  <c r="A866" i="6"/>
  <c r="A864" i="6"/>
  <c r="H860" i="6"/>
  <c r="C860" i="6"/>
  <c r="H856" i="6"/>
  <c r="C856" i="6"/>
  <c r="D854" i="6"/>
  <c r="AB853" i="6"/>
  <c r="AA853" i="6"/>
  <c r="Z853" i="6"/>
  <c r="Y853" i="6"/>
  <c r="X853" i="6"/>
  <c r="W853" i="6"/>
  <c r="V853" i="6"/>
  <c r="U853" i="6"/>
  <c r="T853" i="6"/>
  <c r="H853" i="6"/>
  <c r="G853" i="6"/>
  <c r="F853" i="6"/>
  <c r="E853" i="6"/>
  <c r="C853" i="6"/>
  <c r="D853" i="6"/>
  <c r="B853" i="6"/>
  <c r="D852" i="6"/>
  <c r="AB851" i="6"/>
  <c r="AA851" i="6"/>
  <c r="Z851" i="6"/>
  <c r="Y851" i="6"/>
  <c r="X851" i="6"/>
  <c r="W851" i="6"/>
  <c r="V851" i="6"/>
  <c r="U851" i="6"/>
  <c r="T851" i="6"/>
  <c r="H851" i="6"/>
  <c r="G851" i="6"/>
  <c r="F851" i="6"/>
  <c r="E851" i="6"/>
  <c r="C851" i="6"/>
  <c r="D851" i="6"/>
  <c r="B851" i="6"/>
  <c r="H850" i="6"/>
  <c r="G850" i="6"/>
  <c r="H849" i="6"/>
  <c r="G849" i="6"/>
  <c r="F849" i="6"/>
  <c r="H848" i="6"/>
  <c r="G848" i="6"/>
  <c r="F848" i="6"/>
  <c r="D847" i="6"/>
  <c r="D846" i="6"/>
  <c r="D845" i="6"/>
  <c r="D844" i="6"/>
  <c r="AB843" i="6"/>
  <c r="AA843" i="6"/>
  <c r="Z843" i="6"/>
  <c r="Y843" i="6"/>
  <c r="X843" i="6"/>
  <c r="W843" i="6"/>
  <c r="V843" i="6"/>
  <c r="U843" i="6"/>
  <c r="T843" i="6"/>
  <c r="H843" i="6"/>
  <c r="G843" i="6"/>
  <c r="F843" i="6"/>
  <c r="E843" i="6"/>
  <c r="C843" i="6"/>
  <c r="D843" i="6"/>
  <c r="B843" i="6"/>
  <c r="D842" i="6"/>
  <c r="AB841" i="6"/>
  <c r="AA841" i="6"/>
  <c r="Z841" i="6"/>
  <c r="Y841" i="6"/>
  <c r="X841" i="6"/>
  <c r="W841" i="6"/>
  <c r="V841" i="6"/>
  <c r="U841" i="6"/>
  <c r="T841" i="6"/>
  <c r="H841" i="6"/>
  <c r="G841" i="6"/>
  <c r="F841" i="6"/>
  <c r="E841" i="6"/>
  <c r="C841" i="6"/>
  <c r="D841" i="6"/>
  <c r="B841" i="6"/>
  <c r="D840" i="6"/>
  <c r="AB839" i="6"/>
  <c r="AA839" i="6"/>
  <c r="Z839" i="6"/>
  <c r="Y839" i="6"/>
  <c r="X839" i="6"/>
  <c r="W839" i="6"/>
  <c r="V839" i="6"/>
  <c r="U839" i="6"/>
  <c r="T839" i="6"/>
  <c r="H839" i="6"/>
  <c r="G839" i="6"/>
  <c r="F839" i="6"/>
  <c r="E839" i="6"/>
  <c r="D839" i="6"/>
  <c r="B839" i="6"/>
  <c r="D838" i="6"/>
  <c r="AB837" i="6"/>
  <c r="AA837" i="6"/>
  <c r="Z837" i="6"/>
  <c r="Y837" i="6"/>
  <c r="X837" i="6"/>
  <c r="W837" i="6"/>
  <c r="V837" i="6"/>
  <c r="U837" i="6"/>
  <c r="T837" i="6"/>
  <c r="H837" i="6"/>
  <c r="G837" i="6"/>
  <c r="F837" i="6"/>
  <c r="E837" i="6"/>
  <c r="C837" i="6"/>
  <c r="D837" i="6"/>
  <c r="B837" i="6"/>
  <c r="H836" i="6"/>
  <c r="G836" i="6"/>
  <c r="H835" i="6"/>
  <c r="G835" i="6"/>
  <c r="H834" i="6"/>
  <c r="G834" i="6"/>
  <c r="F834" i="6"/>
  <c r="H833" i="6"/>
  <c r="G833" i="6"/>
  <c r="H832" i="6"/>
  <c r="G832" i="6"/>
  <c r="F832" i="6"/>
  <c r="D826" i="6"/>
  <c r="D825" i="6"/>
  <c r="D824" i="6"/>
  <c r="D823" i="6"/>
  <c r="C822" i="6"/>
  <c r="AB821" i="6"/>
  <c r="AA821" i="6"/>
  <c r="Z821" i="6"/>
  <c r="Y821" i="6"/>
  <c r="X821" i="6"/>
  <c r="W821" i="6"/>
  <c r="V821" i="6"/>
  <c r="U821" i="6"/>
  <c r="T821" i="6"/>
  <c r="H821" i="6"/>
  <c r="G821" i="6"/>
  <c r="F821" i="6"/>
  <c r="E821" i="6"/>
  <c r="C821" i="6"/>
  <c r="D821" i="6"/>
  <c r="B821" i="6"/>
  <c r="H820" i="6"/>
  <c r="G820" i="6"/>
  <c r="H819" i="6"/>
  <c r="G819" i="6"/>
  <c r="H818" i="6"/>
  <c r="G818" i="6"/>
  <c r="F818" i="6"/>
  <c r="H817" i="6"/>
  <c r="G817" i="6"/>
  <c r="H816" i="6"/>
  <c r="G816" i="6"/>
  <c r="F816" i="6"/>
  <c r="D810" i="6"/>
  <c r="D809" i="6"/>
  <c r="D808" i="6"/>
  <c r="D807" i="6"/>
  <c r="C806" i="6"/>
  <c r="AB805" i="6"/>
  <c r="AA805" i="6"/>
  <c r="Z805" i="6"/>
  <c r="Y805" i="6"/>
  <c r="X805" i="6"/>
  <c r="W805" i="6"/>
  <c r="V805" i="6"/>
  <c r="U805" i="6"/>
  <c r="T805" i="6"/>
  <c r="H805" i="6"/>
  <c r="G805" i="6"/>
  <c r="F805" i="6"/>
  <c r="E805" i="6"/>
  <c r="C805" i="6"/>
  <c r="D805" i="6"/>
  <c r="B805" i="6"/>
  <c r="D804" i="6"/>
  <c r="AB803" i="6"/>
  <c r="AA803" i="6"/>
  <c r="Z803" i="6"/>
  <c r="Y803" i="6"/>
  <c r="X803" i="6"/>
  <c r="W803" i="6"/>
  <c r="V803" i="6"/>
  <c r="U803" i="6"/>
  <c r="T803" i="6"/>
  <c r="H803" i="6"/>
  <c r="G803" i="6"/>
  <c r="F803" i="6"/>
  <c r="E803" i="6"/>
  <c r="C803" i="6"/>
  <c r="D803" i="6"/>
  <c r="B803" i="6"/>
  <c r="D802" i="6"/>
  <c r="AB801" i="6"/>
  <c r="AA801" i="6"/>
  <c r="Z801" i="6"/>
  <c r="Y801" i="6"/>
  <c r="X801" i="6"/>
  <c r="W801" i="6"/>
  <c r="V801" i="6"/>
  <c r="U801" i="6"/>
  <c r="T801" i="6"/>
  <c r="H801" i="6"/>
  <c r="G801" i="6"/>
  <c r="F801" i="6"/>
  <c r="E801" i="6"/>
  <c r="C801" i="6"/>
  <c r="D801" i="6"/>
  <c r="B801" i="6"/>
  <c r="D800" i="6"/>
  <c r="AB799" i="6"/>
  <c r="AA799" i="6"/>
  <c r="Z799" i="6"/>
  <c r="Y799" i="6"/>
  <c r="X799" i="6"/>
  <c r="W799" i="6"/>
  <c r="V799" i="6"/>
  <c r="U799" i="6"/>
  <c r="T799" i="6"/>
  <c r="H799" i="6"/>
  <c r="G799" i="6"/>
  <c r="F799" i="6"/>
  <c r="E799" i="6"/>
  <c r="C799" i="6"/>
  <c r="D799" i="6"/>
  <c r="B799" i="6"/>
  <c r="H798" i="6"/>
  <c r="G798" i="6"/>
  <c r="H797" i="6"/>
  <c r="G797" i="6"/>
  <c r="H796" i="6"/>
  <c r="G796" i="6"/>
  <c r="F796" i="6"/>
  <c r="H795" i="6"/>
  <c r="G795" i="6"/>
  <c r="H794" i="6"/>
  <c r="G794" i="6"/>
  <c r="F794" i="6"/>
  <c r="D788" i="6"/>
  <c r="D787" i="6"/>
  <c r="D786" i="6"/>
  <c r="D785" i="6"/>
  <c r="C784" i="6"/>
  <c r="AB783" i="6"/>
  <c r="AA783" i="6"/>
  <c r="Z783" i="6"/>
  <c r="Y783" i="6"/>
  <c r="X783" i="6"/>
  <c r="W783" i="6"/>
  <c r="V783" i="6"/>
  <c r="U783" i="6"/>
  <c r="T783" i="6"/>
  <c r="H783" i="6"/>
  <c r="G783" i="6"/>
  <c r="F783" i="6"/>
  <c r="E783" i="6"/>
  <c r="C783" i="6"/>
  <c r="D783" i="6"/>
  <c r="B783" i="6"/>
  <c r="D782" i="6"/>
  <c r="AB781" i="6"/>
  <c r="AA781" i="6"/>
  <c r="Z781" i="6"/>
  <c r="Y781" i="6"/>
  <c r="X781" i="6"/>
  <c r="W781" i="6"/>
  <c r="V781" i="6"/>
  <c r="U781" i="6"/>
  <c r="T781" i="6"/>
  <c r="H781" i="6"/>
  <c r="G781" i="6"/>
  <c r="F781" i="6"/>
  <c r="E781" i="6"/>
  <c r="C781" i="6"/>
  <c r="D781" i="6"/>
  <c r="B781" i="6"/>
  <c r="D780" i="6"/>
  <c r="AB779" i="6"/>
  <c r="AA779" i="6"/>
  <c r="Z779" i="6"/>
  <c r="Y779" i="6"/>
  <c r="X779" i="6"/>
  <c r="W779" i="6"/>
  <c r="V779" i="6"/>
  <c r="U779" i="6"/>
  <c r="T779" i="6"/>
  <c r="H779" i="6"/>
  <c r="G779" i="6"/>
  <c r="F779" i="6"/>
  <c r="E779" i="6"/>
  <c r="C779" i="6"/>
  <c r="D779" i="6"/>
  <c r="B779" i="6"/>
  <c r="H778" i="6"/>
  <c r="G778" i="6"/>
  <c r="H777" i="6"/>
  <c r="G777" i="6"/>
  <c r="H776" i="6"/>
  <c r="G776" i="6"/>
  <c r="F776" i="6"/>
  <c r="H775" i="6"/>
  <c r="G775" i="6"/>
  <c r="H774" i="6"/>
  <c r="G774" i="6"/>
  <c r="F774" i="6"/>
  <c r="D768" i="6"/>
  <c r="D767" i="6"/>
  <c r="D766" i="6"/>
  <c r="D765" i="6"/>
  <c r="C764" i="6"/>
  <c r="AB763" i="6"/>
  <c r="AA763" i="6"/>
  <c r="Z763" i="6"/>
  <c r="Y763" i="6"/>
  <c r="X763" i="6"/>
  <c r="W763" i="6"/>
  <c r="V763" i="6"/>
  <c r="U763" i="6"/>
  <c r="T763" i="6"/>
  <c r="H763" i="6"/>
  <c r="G763" i="6"/>
  <c r="F763" i="6"/>
  <c r="E763" i="6"/>
  <c r="C763" i="6"/>
  <c r="D763" i="6"/>
  <c r="B763" i="6"/>
  <c r="D762" i="6"/>
  <c r="AB761" i="6"/>
  <c r="AA761" i="6"/>
  <c r="Z761" i="6"/>
  <c r="Y761" i="6"/>
  <c r="X761" i="6"/>
  <c r="W761" i="6"/>
  <c r="V761" i="6"/>
  <c r="U761" i="6"/>
  <c r="T761" i="6"/>
  <c r="H761" i="6"/>
  <c r="G761" i="6"/>
  <c r="F761" i="6"/>
  <c r="E761" i="6"/>
  <c r="C761" i="6"/>
  <c r="D761" i="6"/>
  <c r="B761" i="6"/>
  <c r="D760" i="6"/>
  <c r="AB759" i="6"/>
  <c r="AA759" i="6"/>
  <c r="Z759" i="6"/>
  <c r="Y759" i="6"/>
  <c r="X759" i="6"/>
  <c r="W759" i="6"/>
  <c r="V759" i="6"/>
  <c r="U759" i="6"/>
  <c r="T759" i="6"/>
  <c r="H759" i="6"/>
  <c r="G759" i="6"/>
  <c r="F759" i="6"/>
  <c r="E759" i="6"/>
  <c r="C759" i="6"/>
  <c r="D759" i="6"/>
  <c r="B759" i="6"/>
  <c r="H758" i="6"/>
  <c r="G758" i="6"/>
  <c r="H757" i="6"/>
  <c r="G757" i="6"/>
  <c r="H756" i="6"/>
  <c r="G756" i="6"/>
  <c r="F756" i="6"/>
  <c r="H755" i="6"/>
  <c r="G755" i="6"/>
  <c r="H754" i="6"/>
  <c r="G754" i="6"/>
  <c r="F754" i="6"/>
  <c r="D748" i="6"/>
  <c r="D747" i="6"/>
  <c r="D746" i="6"/>
  <c r="D745" i="6"/>
  <c r="C744" i="6"/>
  <c r="AB743" i="6"/>
  <c r="AA743" i="6"/>
  <c r="Z743" i="6"/>
  <c r="Y743" i="6"/>
  <c r="X743" i="6"/>
  <c r="W743" i="6"/>
  <c r="V743" i="6"/>
  <c r="U743" i="6"/>
  <c r="T743" i="6"/>
  <c r="H743" i="6"/>
  <c r="G743" i="6"/>
  <c r="F743" i="6"/>
  <c r="E743" i="6"/>
  <c r="C743" i="6"/>
  <c r="D743" i="6"/>
  <c r="B743" i="6"/>
  <c r="D742" i="6"/>
  <c r="AB741" i="6"/>
  <c r="AA741" i="6"/>
  <c r="Z741" i="6"/>
  <c r="Y741" i="6"/>
  <c r="X741" i="6"/>
  <c r="W741" i="6"/>
  <c r="V741" i="6"/>
  <c r="U741" i="6"/>
  <c r="T741" i="6"/>
  <c r="H741" i="6"/>
  <c r="G741" i="6"/>
  <c r="F741" i="6"/>
  <c r="E741" i="6"/>
  <c r="C741" i="6"/>
  <c r="D741" i="6"/>
  <c r="B741" i="6"/>
  <c r="D740" i="6"/>
  <c r="AB739" i="6"/>
  <c r="AA739" i="6"/>
  <c r="Z739" i="6"/>
  <c r="Y739" i="6"/>
  <c r="X739" i="6"/>
  <c r="W739" i="6"/>
  <c r="V739" i="6"/>
  <c r="U739" i="6"/>
  <c r="T739" i="6"/>
  <c r="H739" i="6"/>
  <c r="G739" i="6"/>
  <c r="F739" i="6"/>
  <c r="E739" i="6"/>
  <c r="C739" i="6"/>
  <c r="D739" i="6"/>
  <c r="B739" i="6"/>
  <c r="H738" i="6"/>
  <c r="G738" i="6"/>
  <c r="H737" i="6"/>
  <c r="G737" i="6"/>
  <c r="H736" i="6"/>
  <c r="G736" i="6"/>
  <c r="F736" i="6"/>
  <c r="H735" i="6"/>
  <c r="G735" i="6"/>
  <c r="H734" i="6"/>
  <c r="G734" i="6"/>
  <c r="F734" i="6"/>
  <c r="D728" i="6"/>
  <c r="D727" i="6"/>
  <c r="D726" i="6"/>
  <c r="D725" i="6"/>
  <c r="C724" i="6"/>
  <c r="AB723" i="6"/>
  <c r="AA723" i="6"/>
  <c r="Z723" i="6"/>
  <c r="Y723" i="6"/>
  <c r="X723" i="6"/>
  <c r="W723" i="6"/>
  <c r="V723" i="6"/>
  <c r="U723" i="6"/>
  <c r="T723" i="6"/>
  <c r="H723" i="6"/>
  <c r="G723" i="6"/>
  <c r="F723" i="6"/>
  <c r="E723" i="6"/>
  <c r="C723" i="6"/>
  <c r="D723" i="6"/>
  <c r="B723" i="6"/>
  <c r="H722" i="6"/>
  <c r="G722" i="6"/>
  <c r="H721" i="6"/>
  <c r="G721" i="6"/>
  <c r="H720" i="6"/>
  <c r="G720" i="6"/>
  <c r="F720" i="6"/>
  <c r="H719" i="6"/>
  <c r="G719" i="6"/>
  <c r="H718" i="6"/>
  <c r="G718" i="6"/>
  <c r="F718" i="6"/>
  <c r="D712" i="6"/>
  <c r="D711" i="6"/>
  <c r="D710" i="6"/>
  <c r="D709" i="6"/>
  <c r="C708" i="6"/>
  <c r="AB707" i="6"/>
  <c r="AA707" i="6"/>
  <c r="Z707" i="6"/>
  <c r="Y707" i="6"/>
  <c r="X707" i="6"/>
  <c r="W707" i="6"/>
  <c r="V707" i="6"/>
  <c r="U707" i="6"/>
  <c r="T707" i="6"/>
  <c r="H707" i="6"/>
  <c r="G707" i="6"/>
  <c r="F707" i="6"/>
  <c r="E707" i="6"/>
  <c r="C707" i="6"/>
  <c r="D707" i="6"/>
  <c r="B707" i="6"/>
  <c r="D706" i="6"/>
  <c r="AB705" i="6"/>
  <c r="AA705" i="6"/>
  <c r="Z705" i="6"/>
  <c r="Y705" i="6"/>
  <c r="X705" i="6"/>
  <c r="W705" i="6"/>
  <c r="V705" i="6"/>
  <c r="U705" i="6"/>
  <c r="T705" i="6"/>
  <c r="H705" i="6"/>
  <c r="G705" i="6"/>
  <c r="F705" i="6"/>
  <c r="E705" i="6"/>
  <c r="C705" i="6"/>
  <c r="D705" i="6"/>
  <c r="B705" i="6"/>
  <c r="D704" i="6"/>
  <c r="AB703" i="6"/>
  <c r="AA703" i="6"/>
  <c r="Z703" i="6"/>
  <c r="Y703" i="6"/>
  <c r="X703" i="6"/>
  <c r="W703" i="6"/>
  <c r="V703" i="6"/>
  <c r="U703" i="6"/>
  <c r="T703" i="6"/>
  <c r="H703" i="6"/>
  <c r="G703" i="6"/>
  <c r="F703" i="6"/>
  <c r="E703" i="6"/>
  <c r="D703" i="6"/>
  <c r="B703" i="6"/>
  <c r="H702" i="6"/>
  <c r="G702" i="6"/>
  <c r="H701" i="6"/>
  <c r="G701" i="6"/>
  <c r="H700" i="6"/>
  <c r="G700" i="6"/>
  <c r="F700" i="6"/>
  <c r="H699" i="6"/>
  <c r="G699" i="6"/>
  <c r="H698" i="6"/>
  <c r="G698" i="6"/>
  <c r="F698" i="6"/>
  <c r="D692" i="6"/>
  <c r="D691" i="6"/>
  <c r="D690" i="6"/>
  <c r="D689" i="6"/>
  <c r="C688" i="6"/>
  <c r="AB687" i="6"/>
  <c r="AA687" i="6"/>
  <c r="Z687" i="6"/>
  <c r="Y687" i="6"/>
  <c r="X687" i="6"/>
  <c r="W687" i="6"/>
  <c r="V687" i="6"/>
  <c r="U687" i="6"/>
  <c r="T687" i="6"/>
  <c r="H687" i="6"/>
  <c r="G687" i="6"/>
  <c r="F687" i="6"/>
  <c r="E687" i="6"/>
  <c r="C687" i="6"/>
  <c r="D687" i="6"/>
  <c r="B687" i="6"/>
  <c r="H686" i="6"/>
  <c r="G686" i="6"/>
  <c r="H685" i="6"/>
  <c r="G685" i="6"/>
  <c r="H684" i="6"/>
  <c r="G684" i="6"/>
  <c r="F684" i="6"/>
  <c r="H683" i="6"/>
  <c r="G683" i="6"/>
  <c r="H682" i="6"/>
  <c r="G682" i="6"/>
  <c r="F682" i="6"/>
  <c r="D676" i="6"/>
  <c r="D675" i="6"/>
  <c r="D674" i="6"/>
  <c r="D673" i="6"/>
  <c r="C672" i="6"/>
  <c r="AB671" i="6"/>
  <c r="AA671" i="6"/>
  <c r="Z671" i="6"/>
  <c r="Y671" i="6"/>
  <c r="X671" i="6"/>
  <c r="W671" i="6"/>
  <c r="V671" i="6"/>
  <c r="U671" i="6"/>
  <c r="T671" i="6"/>
  <c r="H671" i="6"/>
  <c r="G671" i="6"/>
  <c r="F671" i="6"/>
  <c r="E671" i="6"/>
  <c r="C671" i="6"/>
  <c r="D671" i="6"/>
  <c r="B671" i="6"/>
  <c r="H670" i="6"/>
  <c r="G670" i="6"/>
  <c r="H669" i="6"/>
  <c r="G669" i="6"/>
  <c r="H668" i="6"/>
  <c r="G668" i="6"/>
  <c r="F668" i="6"/>
  <c r="H667" i="6"/>
  <c r="G667" i="6"/>
  <c r="H666" i="6"/>
  <c r="G666" i="6"/>
  <c r="F666" i="6"/>
  <c r="D659" i="6"/>
  <c r="D658" i="6"/>
  <c r="D657" i="6"/>
  <c r="D656" i="6"/>
  <c r="C655" i="6"/>
  <c r="AB654" i="6"/>
  <c r="AA654" i="6"/>
  <c r="Z654" i="6"/>
  <c r="Y654" i="6"/>
  <c r="X654" i="6"/>
  <c r="W654" i="6"/>
  <c r="V654" i="6"/>
  <c r="U654" i="6"/>
  <c r="T654" i="6"/>
  <c r="H654" i="6"/>
  <c r="G654" i="6"/>
  <c r="F654" i="6"/>
  <c r="E654" i="6"/>
  <c r="C654" i="6"/>
  <c r="D654" i="6"/>
  <c r="B654" i="6"/>
  <c r="H653" i="6"/>
  <c r="G653" i="6"/>
  <c r="H652" i="6"/>
  <c r="G652" i="6"/>
  <c r="H651" i="6"/>
  <c r="G651" i="6"/>
  <c r="F651" i="6"/>
  <c r="H650" i="6"/>
  <c r="G650" i="6"/>
  <c r="H649" i="6"/>
  <c r="G649" i="6"/>
  <c r="F649" i="6"/>
  <c r="D643" i="6"/>
  <c r="D642" i="6"/>
  <c r="D641" i="6"/>
  <c r="D640" i="6"/>
  <c r="C639" i="6"/>
  <c r="AB638" i="6"/>
  <c r="AA638" i="6"/>
  <c r="Z638" i="6"/>
  <c r="Y638" i="6"/>
  <c r="X638" i="6"/>
  <c r="W638" i="6"/>
  <c r="V638" i="6"/>
  <c r="U638" i="6"/>
  <c r="T638" i="6"/>
  <c r="H638" i="6"/>
  <c r="G638" i="6"/>
  <c r="F638" i="6"/>
  <c r="E638" i="6"/>
  <c r="C638" i="6"/>
  <c r="D638" i="6"/>
  <c r="B638" i="6"/>
  <c r="D637" i="6"/>
  <c r="AB636" i="6"/>
  <c r="AA636" i="6"/>
  <c r="Z636" i="6"/>
  <c r="Y636" i="6"/>
  <c r="X636" i="6"/>
  <c r="W636" i="6"/>
  <c r="V636" i="6"/>
  <c r="U636" i="6"/>
  <c r="T636" i="6"/>
  <c r="H636" i="6"/>
  <c r="G636" i="6"/>
  <c r="F636" i="6"/>
  <c r="E636" i="6"/>
  <c r="C636" i="6"/>
  <c r="D636" i="6"/>
  <c r="B636" i="6"/>
  <c r="D635" i="6"/>
  <c r="AB634" i="6"/>
  <c r="AA634" i="6"/>
  <c r="Z634" i="6"/>
  <c r="Y634" i="6"/>
  <c r="X634" i="6"/>
  <c r="W634" i="6"/>
  <c r="V634" i="6"/>
  <c r="U634" i="6"/>
  <c r="T634" i="6"/>
  <c r="H634" i="6"/>
  <c r="G634" i="6"/>
  <c r="F634" i="6"/>
  <c r="E634" i="6"/>
  <c r="C634" i="6"/>
  <c r="D634" i="6"/>
  <c r="B634" i="6"/>
  <c r="H633" i="6"/>
  <c r="G633" i="6"/>
  <c r="H632" i="6"/>
  <c r="G632" i="6"/>
  <c r="H631" i="6"/>
  <c r="G631" i="6"/>
  <c r="F631" i="6"/>
  <c r="H630" i="6"/>
  <c r="G630" i="6"/>
  <c r="H629" i="6"/>
  <c r="G629" i="6"/>
  <c r="F629" i="6"/>
  <c r="D622" i="6"/>
  <c r="D621" i="6"/>
  <c r="D620" i="6"/>
  <c r="D619" i="6"/>
  <c r="C618" i="6"/>
  <c r="AB617" i="6"/>
  <c r="AA617" i="6"/>
  <c r="Z617" i="6"/>
  <c r="Y617" i="6"/>
  <c r="X617" i="6"/>
  <c r="W617" i="6"/>
  <c r="V617" i="6"/>
  <c r="U617" i="6"/>
  <c r="T617" i="6"/>
  <c r="H617" i="6"/>
  <c r="G617" i="6"/>
  <c r="F617" i="6"/>
  <c r="E617" i="6"/>
  <c r="C617" i="6"/>
  <c r="D617" i="6"/>
  <c r="B617" i="6"/>
  <c r="D616" i="6"/>
  <c r="AB615" i="6"/>
  <c r="AA615" i="6"/>
  <c r="Z615" i="6"/>
  <c r="Y615" i="6"/>
  <c r="X615" i="6"/>
  <c r="W615" i="6"/>
  <c r="V615" i="6"/>
  <c r="U615" i="6"/>
  <c r="T615" i="6"/>
  <c r="H615" i="6"/>
  <c r="G615" i="6"/>
  <c r="F615" i="6"/>
  <c r="E615" i="6"/>
  <c r="C615" i="6"/>
  <c r="D615" i="6"/>
  <c r="B615" i="6"/>
  <c r="D614" i="6"/>
  <c r="AB613" i="6"/>
  <c r="AA613" i="6"/>
  <c r="Z613" i="6"/>
  <c r="Y613" i="6"/>
  <c r="X613" i="6"/>
  <c r="W613" i="6"/>
  <c r="V613" i="6"/>
  <c r="U613" i="6"/>
  <c r="T613" i="6"/>
  <c r="H613" i="6"/>
  <c r="G613" i="6"/>
  <c r="F613" i="6"/>
  <c r="E613" i="6"/>
  <c r="C613" i="6"/>
  <c r="D613" i="6"/>
  <c r="B613" i="6"/>
  <c r="H612" i="6"/>
  <c r="G612" i="6"/>
  <c r="H611" i="6"/>
  <c r="G611" i="6"/>
  <c r="H610" i="6"/>
  <c r="G610" i="6"/>
  <c r="F610" i="6"/>
  <c r="H609" i="6"/>
  <c r="G609" i="6"/>
  <c r="H608" i="6"/>
  <c r="G608" i="6"/>
  <c r="F608" i="6"/>
  <c r="D602" i="6"/>
  <c r="D601" i="6"/>
  <c r="D600" i="6"/>
  <c r="D599" i="6"/>
  <c r="C598" i="6"/>
  <c r="AB597" i="6"/>
  <c r="AA597" i="6"/>
  <c r="Z597" i="6"/>
  <c r="Y597" i="6"/>
  <c r="X597" i="6"/>
  <c r="W597" i="6"/>
  <c r="V597" i="6"/>
  <c r="U597" i="6"/>
  <c r="T597" i="6"/>
  <c r="H597" i="6"/>
  <c r="G597" i="6"/>
  <c r="F597" i="6"/>
  <c r="E597" i="6"/>
  <c r="C597" i="6"/>
  <c r="D597" i="6"/>
  <c r="B597" i="6"/>
  <c r="D596" i="6"/>
  <c r="AB595" i="6"/>
  <c r="AA595" i="6"/>
  <c r="Z595" i="6"/>
  <c r="Y595" i="6"/>
  <c r="X595" i="6"/>
  <c r="W595" i="6"/>
  <c r="V595" i="6"/>
  <c r="U595" i="6"/>
  <c r="T595" i="6"/>
  <c r="H595" i="6"/>
  <c r="G595" i="6"/>
  <c r="F595" i="6"/>
  <c r="E595" i="6"/>
  <c r="C595" i="6"/>
  <c r="D595" i="6"/>
  <c r="B595" i="6"/>
  <c r="D594" i="6"/>
  <c r="AB593" i="6"/>
  <c r="AA593" i="6"/>
  <c r="Z593" i="6"/>
  <c r="Y593" i="6"/>
  <c r="X593" i="6"/>
  <c r="W593" i="6"/>
  <c r="V593" i="6"/>
  <c r="U593" i="6"/>
  <c r="T593" i="6"/>
  <c r="H593" i="6"/>
  <c r="G593" i="6"/>
  <c r="F593" i="6"/>
  <c r="E593" i="6"/>
  <c r="C593" i="6"/>
  <c r="D593" i="6"/>
  <c r="B593" i="6"/>
  <c r="H592" i="6"/>
  <c r="G592" i="6"/>
  <c r="H591" i="6"/>
  <c r="G591" i="6"/>
  <c r="H590" i="6"/>
  <c r="G590" i="6"/>
  <c r="F590" i="6"/>
  <c r="H589" i="6"/>
  <c r="G589" i="6"/>
  <c r="H588" i="6"/>
  <c r="G588" i="6"/>
  <c r="F588" i="6"/>
  <c r="D582" i="6"/>
  <c r="D581" i="6"/>
  <c r="D580" i="6"/>
  <c r="D579" i="6"/>
  <c r="AB578" i="6"/>
  <c r="AA578" i="6"/>
  <c r="Z578" i="6"/>
  <c r="Y578" i="6"/>
  <c r="X578" i="6"/>
  <c r="W578" i="6"/>
  <c r="V578" i="6"/>
  <c r="U578" i="6"/>
  <c r="T578" i="6"/>
  <c r="H578" i="6"/>
  <c r="G578" i="6"/>
  <c r="F578" i="6"/>
  <c r="E578" i="6"/>
  <c r="C578" i="6"/>
  <c r="D578" i="6"/>
  <c r="B578" i="6"/>
  <c r="D577" i="6"/>
  <c r="AB576" i="6"/>
  <c r="AA576" i="6"/>
  <c r="Z576" i="6"/>
  <c r="Y576" i="6"/>
  <c r="X576" i="6"/>
  <c r="W576" i="6"/>
  <c r="V576" i="6"/>
  <c r="U576" i="6"/>
  <c r="T576" i="6"/>
  <c r="H576" i="6"/>
  <c r="G576" i="6"/>
  <c r="F576" i="6"/>
  <c r="E576" i="6"/>
  <c r="C576" i="6"/>
  <c r="D576" i="6"/>
  <c r="B576" i="6"/>
  <c r="D575" i="6"/>
  <c r="AB574" i="6"/>
  <c r="AA574" i="6"/>
  <c r="Z574" i="6"/>
  <c r="Y574" i="6"/>
  <c r="X574" i="6"/>
  <c r="W574" i="6"/>
  <c r="V574" i="6"/>
  <c r="U574" i="6"/>
  <c r="T574" i="6"/>
  <c r="H574" i="6"/>
  <c r="G574" i="6"/>
  <c r="F574" i="6"/>
  <c r="E574" i="6"/>
  <c r="C574" i="6"/>
  <c r="D574" i="6"/>
  <c r="B574" i="6"/>
  <c r="D573" i="6"/>
  <c r="AB572" i="6"/>
  <c r="AA572" i="6"/>
  <c r="Z572" i="6"/>
  <c r="Y572" i="6"/>
  <c r="X572" i="6"/>
  <c r="W572" i="6"/>
  <c r="V572" i="6"/>
  <c r="U572" i="6"/>
  <c r="T572" i="6"/>
  <c r="H572" i="6"/>
  <c r="G572" i="6"/>
  <c r="F572" i="6"/>
  <c r="E572" i="6"/>
  <c r="C572" i="6"/>
  <c r="D572" i="6"/>
  <c r="B572" i="6"/>
  <c r="D571" i="6"/>
  <c r="AB570" i="6"/>
  <c r="AA570" i="6"/>
  <c r="Z570" i="6"/>
  <c r="Y570" i="6"/>
  <c r="X570" i="6"/>
  <c r="W570" i="6"/>
  <c r="V570" i="6"/>
  <c r="U570" i="6"/>
  <c r="T570" i="6"/>
  <c r="H570" i="6"/>
  <c r="G570" i="6"/>
  <c r="F570" i="6"/>
  <c r="E570" i="6"/>
  <c r="C570" i="6"/>
  <c r="D570" i="6"/>
  <c r="B570" i="6"/>
  <c r="D569" i="6"/>
  <c r="AB568" i="6"/>
  <c r="AA568" i="6"/>
  <c r="Z568" i="6"/>
  <c r="Y568" i="6"/>
  <c r="X568" i="6"/>
  <c r="W568" i="6"/>
  <c r="V568" i="6"/>
  <c r="U568" i="6"/>
  <c r="T568" i="6"/>
  <c r="H568" i="6"/>
  <c r="G568" i="6"/>
  <c r="F568" i="6"/>
  <c r="E568" i="6"/>
  <c r="C568" i="6"/>
  <c r="D568" i="6"/>
  <c r="B568" i="6"/>
  <c r="D567" i="6"/>
  <c r="AB566" i="6"/>
  <c r="AA566" i="6"/>
  <c r="Z566" i="6"/>
  <c r="Y566" i="6"/>
  <c r="X566" i="6"/>
  <c r="W566" i="6"/>
  <c r="V566" i="6"/>
  <c r="U566" i="6"/>
  <c r="T566" i="6"/>
  <c r="H566" i="6"/>
  <c r="G566" i="6"/>
  <c r="F566" i="6"/>
  <c r="E566" i="6"/>
  <c r="C566" i="6"/>
  <c r="D566" i="6"/>
  <c r="B566" i="6"/>
  <c r="H565" i="6"/>
  <c r="G565" i="6"/>
  <c r="H564" i="6"/>
  <c r="G564" i="6"/>
  <c r="H563" i="6"/>
  <c r="G563" i="6"/>
  <c r="F563" i="6"/>
  <c r="H562" i="6"/>
  <c r="G562" i="6"/>
  <c r="H561" i="6"/>
  <c r="G561" i="6"/>
  <c r="F561" i="6"/>
  <c r="D555" i="6"/>
  <c r="D554" i="6"/>
  <c r="D553" i="6"/>
  <c r="D552" i="6"/>
  <c r="C551" i="6"/>
  <c r="AB550" i="6"/>
  <c r="AA550" i="6"/>
  <c r="Z550" i="6"/>
  <c r="Y550" i="6"/>
  <c r="X550" i="6"/>
  <c r="W550" i="6"/>
  <c r="V550" i="6"/>
  <c r="U550" i="6"/>
  <c r="T550" i="6"/>
  <c r="H550" i="6"/>
  <c r="G550" i="6"/>
  <c r="F550" i="6"/>
  <c r="E550" i="6"/>
  <c r="C550" i="6"/>
  <c r="D550" i="6"/>
  <c r="B550" i="6"/>
  <c r="D549" i="6"/>
  <c r="AB548" i="6"/>
  <c r="AA548" i="6"/>
  <c r="Z548" i="6"/>
  <c r="Y548" i="6"/>
  <c r="X548" i="6"/>
  <c r="W548" i="6"/>
  <c r="V548" i="6"/>
  <c r="U548" i="6"/>
  <c r="T548" i="6"/>
  <c r="H548" i="6"/>
  <c r="G548" i="6"/>
  <c r="F548" i="6"/>
  <c r="E548" i="6"/>
  <c r="D548" i="6"/>
  <c r="B548" i="6"/>
  <c r="D547" i="6"/>
  <c r="AB546" i="6"/>
  <c r="AA546" i="6"/>
  <c r="Z546" i="6"/>
  <c r="Y546" i="6"/>
  <c r="X546" i="6"/>
  <c r="W546" i="6"/>
  <c r="V546" i="6"/>
  <c r="U546" i="6"/>
  <c r="T546" i="6"/>
  <c r="H546" i="6"/>
  <c r="G546" i="6"/>
  <c r="F546" i="6"/>
  <c r="E546" i="6"/>
  <c r="C546" i="6"/>
  <c r="D546" i="6"/>
  <c r="B546" i="6"/>
  <c r="H545" i="6"/>
  <c r="G545" i="6"/>
  <c r="H544" i="6"/>
  <c r="G544" i="6"/>
  <c r="H543" i="6"/>
  <c r="G543" i="6"/>
  <c r="F543" i="6"/>
  <c r="H542" i="6"/>
  <c r="G542" i="6"/>
  <c r="H541" i="6"/>
  <c r="G541" i="6"/>
  <c r="F541" i="6"/>
  <c r="D535" i="6"/>
  <c r="D534" i="6"/>
  <c r="D533" i="6"/>
  <c r="D532" i="6"/>
  <c r="C531" i="6"/>
  <c r="AB530" i="6"/>
  <c r="AA530" i="6"/>
  <c r="Z530" i="6"/>
  <c r="Y530" i="6"/>
  <c r="X530" i="6"/>
  <c r="W530" i="6"/>
  <c r="V530" i="6"/>
  <c r="U530" i="6"/>
  <c r="T530" i="6"/>
  <c r="H530" i="6"/>
  <c r="G530" i="6"/>
  <c r="F530" i="6"/>
  <c r="E530" i="6"/>
  <c r="C530" i="6"/>
  <c r="D530" i="6"/>
  <c r="B530" i="6"/>
  <c r="H529" i="6"/>
  <c r="G529" i="6"/>
  <c r="H528" i="6"/>
  <c r="G528" i="6"/>
  <c r="H527" i="6"/>
  <c r="G527" i="6"/>
  <c r="F527" i="6"/>
  <c r="H526" i="6"/>
  <c r="G526" i="6"/>
  <c r="H525" i="6"/>
  <c r="G525" i="6"/>
  <c r="F525" i="6"/>
  <c r="D519" i="6"/>
  <c r="D518" i="6"/>
  <c r="D517" i="6"/>
  <c r="D516" i="6"/>
  <c r="C515" i="6"/>
  <c r="AB514" i="6"/>
  <c r="AA514" i="6"/>
  <c r="Z514" i="6"/>
  <c r="Y514" i="6"/>
  <c r="X514" i="6"/>
  <c r="W514" i="6"/>
  <c r="V514" i="6"/>
  <c r="U514" i="6"/>
  <c r="T514" i="6"/>
  <c r="H514" i="6"/>
  <c r="G514" i="6"/>
  <c r="F514" i="6"/>
  <c r="E514" i="6"/>
  <c r="C514" i="6"/>
  <c r="D514" i="6"/>
  <c r="B514" i="6"/>
  <c r="D513" i="6"/>
  <c r="AB512" i="6"/>
  <c r="AA512" i="6"/>
  <c r="Z512" i="6"/>
  <c r="Y512" i="6"/>
  <c r="X512" i="6"/>
  <c r="W512" i="6"/>
  <c r="V512" i="6"/>
  <c r="U512" i="6"/>
  <c r="T512" i="6"/>
  <c r="H512" i="6"/>
  <c r="G512" i="6"/>
  <c r="F512" i="6"/>
  <c r="E512" i="6"/>
  <c r="C512" i="6"/>
  <c r="D512" i="6"/>
  <c r="B512" i="6"/>
  <c r="D511" i="6"/>
  <c r="AB510" i="6"/>
  <c r="AA510" i="6"/>
  <c r="Z510" i="6"/>
  <c r="Y510" i="6"/>
  <c r="X510" i="6"/>
  <c r="W510" i="6"/>
  <c r="V510" i="6"/>
  <c r="U510" i="6"/>
  <c r="T510" i="6"/>
  <c r="H510" i="6"/>
  <c r="G510" i="6"/>
  <c r="F510" i="6"/>
  <c r="E510" i="6"/>
  <c r="C510" i="6"/>
  <c r="D510" i="6"/>
  <c r="B510" i="6"/>
  <c r="H509" i="6"/>
  <c r="G509" i="6"/>
  <c r="H508" i="6"/>
  <c r="G508" i="6"/>
  <c r="H507" i="6"/>
  <c r="G507" i="6"/>
  <c r="F507" i="6"/>
  <c r="H506" i="6"/>
  <c r="G506" i="6"/>
  <c r="H505" i="6"/>
  <c r="G505" i="6"/>
  <c r="F505" i="6"/>
  <c r="D504" i="6"/>
  <c r="D503" i="6"/>
  <c r="D502" i="6"/>
  <c r="D501" i="6"/>
  <c r="C500" i="6"/>
  <c r="AB499" i="6"/>
  <c r="AA499" i="6"/>
  <c r="Z499" i="6"/>
  <c r="Y499" i="6"/>
  <c r="X499" i="6"/>
  <c r="W499" i="6"/>
  <c r="V499" i="6"/>
  <c r="U499" i="6"/>
  <c r="T499" i="6"/>
  <c r="H499" i="6"/>
  <c r="G499" i="6"/>
  <c r="F499" i="6"/>
  <c r="E499" i="6"/>
  <c r="C499" i="6"/>
  <c r="D499" i="6"/>
  <c r="B499" i="6"/>
  <c r="D498" i="6"/>
  <c r="AB497" i="6"/>
  <c r="AA497" i="6"/>
  <c r="Z497" i="6"/>
  <c r="Y497" i="6"/>
  <c r="X497" i="6"/>
  <c r="W497" i="6"/>
  <c r="V497" i="6"/>
  <c r="U497" i="6"/>
  <c r="T497" i="6"/>
  <c r="H497" i="6"/>
  <c r="G497" i="6"/>
  <c r="F497" i="6"/>
  <c r="E497" i="6"/>
  <c r="C497" i="6"/>
  <c r="D497" i="6"/>
  <c r="B497" i="6"/>
  <c r="H496" i="6"/>
  <c r="G496" i="6"/>
  <c r="H495" i="6"/>
  <c r="G495" i="6"/>
  <c r="H494" i="6"/>
  <c r="G494" i="6"/>
  <c r="F494" i="6"/>
  <c r="H493" i="6"/>
  <c r="G493" i="6"/>
  <c r="H492" i="6"/>
  <c r="G492" i="6"/>
  <c r="F492" i="6"/>
  <c r="D491" i="6"/>
  <c r="D490" i="6"/>
  <c r="D489" i="6"/>
  <c r="D488" i="6"/>
  <c r="C487" i="6"/>
  <c r="AB486" i="6"/>
  <c r="AA486" i="6"/>
  <c r="Z486" i="6"/>
  <c r="Y486" i="6"/>
  <c r="X486" i="6"/>
  <c r="W486" i="6"/>
  <c r="V486" i="6"/>
  <c r="U486" i="6"/>
  <c r="T486" i="6"/>
  <c r="H486" i="6"/>
  <c r="G486" i="6"/>
  <c r="F486" i="6"/>
  <c r="E486" i="6"/>
  <c r="C486" i="6"/>
  <c r="D486" i="6"/>
  <c r="B486" i="6"/>
  <c r="D485" i="6"/>
  <c r="AB484" i="6"/>
  <c r="AA484" i="6"/>
  <c r="Z484" i="6"/>
  <c r="Y484" i="6"/>
  <c r="X484" i="6"/>
  <c r="W484" i="6"/>
  <c r="V484" i="6"/>
  <c r="U484" i="6"/>
  <c r="T484" i="6"/>
  <c r="H484" i="6"/>
  <c r="G484" i="6"/>
  <c r="F484" i="6"/>
  <c r="E484" i="6"/>
  <c r="C484" i="6"/>
  <c r="D484" i="6"/>
  <c r="B484" i="6"/>
  <c r="D483" i="6"/>
  <c r="AB482" i="6"/>
  <c r="AA482" i="6"/>
  <c r="Z482" i="6"/>
  <c r="Y482" i="6"/>
  <c r="X482" i="6"/>
  <c r="W482" i="6"/>
  <c r="V482" i="6"/>
  <c r="U482" i="6"/>
  <c r="T482" i="6"/>
  <c r="H482" i="6"/>
  <c r="G482" i="6"/>
  <c r="F482" i="6"/>
  <c r="E482" i="6"/>
  <c r="C482" i="6"/>
  <c r="D482" i="6"/>
  <c r="B482" i="6"/>
  <c r="H481" i="6"/>
  <c r="G481" i="6"/>
  <c r="H480" i="6"/>
  <c r="G480" i="6"/>
  <c r="F480" i="6"/>
  <c r="H479" i="6"/>
  <c r="G479" i="6"/>
  <c r="F479" i="6"/>
  <c r="D478" i="6"/>
  <c r="D477" i="6"/>
  <c r="D476" i="6"/>
  <c r="D475" i="6"/>
  <c r="C474" i="6"/>
  <c r="AB473" i="6"/>
  <c r="AA473" i="6"/>
  <c r="Z473" i="6"/>
  <c r="Y473" i="6"/>
  <c r="X473" i="6"/>
  <c r="W473" i="6"/>
  <c r="V473" i="6"/>
  <c r="U473" i="6"/>
  <c r="T473" i="6"/>
  <c r="H473" i="6"/>
  <c r="G473" i="6"/>
  <c r="F473" i="6"/>
  <c r="E473" i="6"/>
  <c r="C473" i="6"/>
  <c r="D473" i="6"/>
  <c r="B473" i="6"/>
  <c r="H472" i="6"/>
  <c r="G472" i="6"/>
  <c r="H471" i="6"/>
  <c r="G471" i="6"/>
  <c r="H470" i="6"/>
  <c r="G470" i="6"/>
  <c r="F470" i="6"/>
  <c r="H469" i="6"/>
  <c r="G469" i="6"/>
  <c r="H468" i="6"/>
  <c r="G468" i="6"/>
  <c r="F468" i="6"/>
  <c r="D467" i="6"/>
  <c r="D466" i="6"/>
  <c r="D465" i="6"/>
  <c r="D464" i="6"/>
  <c r="C463" i="6"/>
  <c r="AB462" i="6"/>
  <c r="AA462" i="6"/>
  <c r="Z462" i="6"/>
  <c r="Y462" i="6"/>
  <c r="X462" i="6"/>
  <c r="W462" i="6"/>
  <c r="V462" i="6"/>
  <c r="U462" i="6"/>
  <c r="T462" i="6"/>
  <c r="H462" i="6"/>
  <c r="G462" i="6"/>
  <c r="F462" i="6"/>
  <c r="E462" i="6"/>
  <c r="C462" i="6"/>
  <c r="D462" i="6"/>
  <c r="B462" i="6"/>
  <c r="D461" i="6"/>
  <c r="AB460" i="6"/>
  <c r="AA460" i="6"/>
  <c r="Z460" i="6"/>
  <c r="Y460" i="6"/>
  <c r="X460" i="6"/>
  <c r="W460" i="6"/>
  <c r="V460" i="6"/>
  <c r="U460" i="6"/>
  <c r="T460" i="6"/>
  <c r="H460" i="6"/>
  <c r="G460" i="6"/>
  <c r="F460" i="6"/>
  <c r="E460" i="6"/>
  <c r="C460" i="6"/>
  <c r="D460" i="6"/>
  <c r="B460" i="6"/>
  <c r="D459" i="6"/>
  <c r="AB458" i="6"/>
  <c r="AA458" i="6"/>
  <c r="Z458" i="6"/>
  <c r="Y458" i="6"/>
  <c r="X458" i="6"/>
  <c r="W458" i="6"/>
  <c r="V458" i="6"/>
  <c r="U458" i="6"/>
  <c r="T458" i="6"/>
  <c r="H458" i="6"/>
  <c r="G458" i="6"/>
  <c r="F458" i="6"/>
  <c r="E458" i="6"/>
  <c r="C458" i="6"/>
  <c r="D458" i="6"/>
  <c r="B458" i="6"/>
  <c r="H457" i="6"/>
  <c r="G457" i="6"/>
  <c r="H456" i="6"/>
  <c r="G456" i="6"/>
  <c r="F456" i="6"/>
  <c r="H455" i="6"/>
  <c r="G455" i="6"/>
  <c r="F455" i="6"/>
  <c r="D454" i="6"/>
  <c r="D453" i="6"/>
  <c r="D452" i="6"/>
  <c r="D451" i="6"/>
  <c r="C450" i="6"/>
  <c r="AB449" i="6"/>
  <c r="AA449" i="6"/>
  <c r="Z449" i="6"/>
  <c r="Y449" i="6"/>
  <c r="X449" i="6"/>
  <c r="W449" i="6"/>
  <c r="V449" i="6"/>
  <c r="U449" i="6"/>
  <c r="T449" i="6"/>
  <c r="H449" i="6"/>
  <c r="G449" i="6"/>
  <c r="F449" i="6"/>
  <c r="E449" i="6"/>
  <c r="C449" i="6"/>
  <c r="D449" i="6"/>
  <c r="B449" i="6"/>
  <c r="D448" i="6"/>
  <c r="AB447" i="6"/>
  <c r="AA447" i="6"/>
  <c r="Z447" i="6"/>
  <c r="Y447" i="6"/>
  <c r="X447" i="6"/>
  <c r="W447" i="6"/>
  <c r="V447" i="6"/>
  <c r="U447" i="6"/>
  <c r="T447" i="6"/>
  <c r="H447" i="6"/>
  <c r="G447" i="6"/>
  <c r="F447" i="6"/>
  <c r="E447" i="6"/>
  <c r="C447" i="6"/>
  <c r="D447" i="6"/>
  <c r="B447" i="6"/>
  <c r="D446" i="6"/>
  <c r="AB445" i="6"/>
  <c r="AA445" i="6"/>
  <c r="Z445" i="6"/>
  <c r="Y445" i="6"/>
  <c r="X445" i="6"/>
  <c r="W445" i="6"/>
  <c r="V445" i="6"/>
  <c r="U445" i="6"/>
  <c r="T445" i="6"/>
  <c r="H445" i="6"/>
  <c r="G445" i="6"/>
  <c r="F445" i="6"/>
  <c r="E445" i="6"/>
  <c r="C445" i="6"/>
  <c r="D445" i="6"/>
  <c r="B445" i="6"/>
  <c r="H444" i="6"/>
  <c r="G444" i="6"/>
  <c r="H443" i="6"/>
  <c r="G443" i="6"/>
  <c r="H442" i="6"/>
  <c r="G442" i="6"/>
  <c r="F442" i="6"/>
  <c r="H441" i="6"/>
  <c r="G441" i="6"/>
  <c r="H440" i="6"/>
  <c r="G440" i="6"/>
  <c r="F440" i="6"/>
  <c r="D439" i="6"/>
  <c r="D438" i="6"/>
  <c r="D437" i="6"/>
  <c r="D436" i="6"/>
  <c r="AB435" i="6"/>
  <c r="AA435" i="6"/>
  <c r="Z435" i="6"/>
  <c r="Y435" i="6"/>
  <c r="X435" i="6"/>
  <c r="W435" i="6"/>
  <c r="V435" i="6"/>
  <c r="U435" i="6"/>
  <c r="T435" i="6"/>
  <c r="H435" i="6"/>
  <c r="G435" i="6"/>
  <c r="F435" i="6"/>
  <c r="E435" i="6"/>
  <c r="C435" i="6"/>
  <c r="D435" i="6"/>
  <c r="B435" i="6"/>
  <c r="D434" i="6"/>
  <c r="AB433" i="6"/>
  <c r="AA433" i="6"/>
  <c r="Z433" i="6"/>
  <c r="Y433" i="6"/>
  <c r="X433" i="6"/>
  <c r="W433" i="6"/>
  <c r="V433" i="6"/>
  <c r="U433" i="6"/>
  <c r="T433" i="6"/>
  <c r="H433" i="6"/>
  <c r="G433" i="6"/>
  <c r="F433" i="6"/>
  <c r="E433" i="6"/>
  <c r="C433" i="6"/>
  <c r="D433" i="6"/>
  <c r="B433" i="6"/>
  <c r="D432" i="6"/>
  <c r="AB431" i="6"/>
  <c r="AA431" i="6"/>
  <c r="Z431" i="6"/>
  <c r="Y431" i="6"/>
  <c r="X431" i="6"/>
  <c r="W431" i="6"/>
  <c r="V431" i="6"/>
  <c r="U431" i="6"/>
  <c r="T431" i="6"/>
  <c r="H431" i="6"/>
  <c r="G431" i="6"/>
  <c r="F431" i="6"/>
  <c r="E431" i="6"/>
  <c r="C431" i="6"/>
  <c r="D431" i="6"/>
  <c r="B431" i="6"/>
  <c r="D430" i="6"/>
  <c r="AB429" i="6"/>
  <c r="AA429" i="6"/>
  <c r="Z429" i="6"/>
  <c r="Y429" i="6"/>
  <c r="X429" i="6"/>
  <c r="W429" i="6"/>
  <c r="V429" i="6"/>
  <c r="U429" i="6"/>
  <c r="T429" i="6"/>
  <c r="H429" i="6"/>
  <c r="G429" i="6"/>
  <c r="F429" i="6"/>
  <c r="E429" i="6"/>
  <c r="C429" i="6"/>
  <c r="D429" i="6"/>
  <c r="B429" i="6"/>
  <c r="D428" i="6"/>
  <c r="AB427" i="6"/>
  <c r="AA427" i="6"/>
  <c r="Z427" i="6"/>
  <c r="Y427" i="6"/>
  <c r="X427" i="6"/>
  <c r="W427" i="6"/>
  <c r="V427" i="6"/>
  <c r="U427" i="6"/>
  <c r="T427" i="6"/>
  <c r="H427" i="6"/>
  <c r="G427" i="6"/>
  <c r="F427" i="6"/>
  <c r="E427" i="6"/>
  <c r="C427" i="6"/>
  <c r="D427" i="6"/>
  <c r="B427" i="6"/>
  <c r="H426" i="6"/>
  <c r="G426" i="6"/>
  <c r="H425" i="6"/>
  <c r="G425" i="6"/>
  <c r="H424" i="6"/>
  <c r="G424" i="6"/>
  <c r="F424" i="6"/>
  <c r="H423" i="6"/>
  <c r="G423" i="6"/>
  <c r="H422" i="6"/>
  <c r="G422" i="6"/>
  <c r="F422" i="6"/>
  <c r="D421" i="6"/>
  <c r="D420" i="6"/>
  <c r="D419" i="6"/>
  <c r="D418" i="6"/>
  <c r="C417" i="6"/>
  <c r="AB416" i="6"/>
  <c r="AA416" i="6"/>
  <c r="Z416" i="6"/>
  <c r="Y416" i="6"/>
  <c r="X416" i="6"/>
  <c r="W416" i="6"/>
  <c r="V416" i="6"/>
  <c r="U416" i="6"/>
  <c r="T416" i="6"/>
  <c r="H416" i="6"/>
  <c r="G416" i="6"/>
  <c r="F416" i="6"/>
  <c r="E416" i="6"/>
  <c r="C416" i="6"/>
  <c r="D416" i="6"/>
  <c r="B416" i="6"/>
  <c r="D415" i="6"/>
  <c r="AB414" i="6"/>
  <c r="AA414" i="6"/>
  <c r="Z414" i="6"/>
  <c r="Y414" i="6"/>
  <c r="X414" i="6"/>
  <c r="W414" i="6"/>
  <c r="V414" i="6"/>
  <c r="U414" i="6"/>
  <c r="T414" i="6"/>
  <c r="H414" i="6"/>
  <c r="G414" i="6"/>
  <c r="F414" i="6"/>
  <c r="E414" i="6"/>
  <c r="C414" i="6"/>
  <c r="D414" i="6"/>
  <c r="B414" i="6"/>
  <c r="D413" i="6"/>
  <c r="AB412" i="6"/>
  <c r="AA412" i="6"/>
  <c r="Z412" i="6"/>
  <c r="Y412" i="6"/>
  <c r="X412" i="6"/>
  <c r="W412" i="6"/>
  <c r="V412" i="6"/>
  <c r="U412" i="6"/>
  <c r="T412" i="6"/>
  <c r="H412" i="6"/>
  <c r="G412" i="6"/>
  <c r="F412" i="6"/>
  <c r="E412" i="6"/>
  <c r="C412" i="6"/>
  <c r="D412" i="6"/>
  <c r="B412" i="6"/>
  <c r="D411" i="6"/>
  <c r="AB410" i="6"/>
  <c r="AA410" i="6"/>
  <c r="Z410" i="6"/>
  <c r="Y410" i="6"/>
  <c r="X410" i="6"/>
  <c r="W410" i="6"/>
  <c r="V410" i="6"/>
  <c r="U410" i="6"/>
  <c r="T410" i="6"/>
  <c r="H410" i="6"/>
  <c r="G410" i="6"/>
  <c r="F410" i="6"/>
  <c r="E410" i="6"/>
  <c r="C410" i="6"/>
  <c r="D410" i="6"/>
  <c r="B410" i="6"/>
  <c r="D409" i="6"/>
  <c r="AB408" i="6"/>
  <c r="AA408" i="6"/>
  <c r="Z408" i="6"/>
  <c r="Y408" i="6"/>
  <c r="X408" i="6"/>
  <c r="W408" i="6"/>
  <c r="V408" i="6"/>
  <c r="U408" i="6"/>
  <c r="T408" i="6"/>
  <c r="H408" i="6"/>
  <c r="G408" i="6"/>
  <c r="F408" i="6"/>
  <c r="E408" i="6"/>
  <c r="C408" i="6"/>
  <c r="D408" i="6"/>
  <c r="B408" i="6"/>
  <c r="D407" i="6"/>
  <c r="AB406" i="6"/>
  <c r="AA406" i="6"/>
  <c r="Z406" i="6"/>
  <c r="Y406" i="6"/>
  <c r="X406" i="6"/>
  <c r="W406" i="6"/>
  <c r="V406" i="6"/>
  <c r="U406" i="6"/>
  <c r="T406" i="6"/>
  <c r="H406" i="6"/>
  <c r="G406" i="6"/>
  <c r="F406" i="6"/>
  <c r="E406" i="6"/>
  <c r="C406" i="6"/>
  <c r="D406" i="6"/>
  <c r="B406" i="6"/>
  <c r="D405" i="6"/>
  <c r="AB404" i="6"/>
  <c r="AA404" i="6"/>
  <c r="Z404" i="6"/>
  <c r="Y404" i="6"/>
  <c r="X404" i="6"/>
  <c r="W404" i="6"/>
  <c r="V404" i="6"/>
  <c r="U404" i="6"/>
  <c r="T404" i="6"/>
  <c r="H404" i="6"/>
  <c r="G404" i="6"/>
  <c r="F404" i="6"/>
  <c r="E404" i="6"/>
  <c r="C404" i="6"/>
  <c r="D404" i="6"/>
  <c r="B404" i="6"/>
  <c r="H403" i="6"/>
  <c r="G403" i="6"/>
  <c r="H402" i="6"/>
  <c r="G402" i="6"/>
  <c r="F402" i="6"/>
  <c r="H401" i="6"/>
  <c r="G401" i="6"/>
  <c r="F401" i="6"/>
  <c r="D400" i="6"/>
  <c r="D399" i="6"/>
  <c r="D398" i="6"/>
  <c r="D397" i="6"/>
  <c r="AB396" i="6"/>
  <c r="AA396" i="6"/>
  <c r="Z396" i="6"/>
  <c r="Y396" i="6"/>
  <c r="X396" i="6"/>
  <c r="W396" i="6"/>
  <c r="V396" i="6"/>
  <c r="U396" i="6"/>
  <c r="T396" i="6"/>
  <c r="H396" i="6"/>
  <c r="G396" i="6"/>
  <c r="F396" i="6"/>
  <c r="E396" i="6"/>
  <c r="C396" i="6"/>
  <c r="D396" i="6"/>
  <c r="B396" i="6"/>
  <c r="D395" i="6"/>
  <c r="AB394" i="6"/>
  <c r="AA394" i="6"/>
  <c r="Z394" i="6"/>
  <c r="Y394" i="6"/>
  <c r="X394" i="6"/>
  <c r="W394" i="6"/>
  <c r="V394" i="6"/>
  <c r="U394" i="6"/>
  <c r="T394" i="6"/>
  <c r="H394" i="6"/>
  <c r="G394" i="6"/>
  <c r="F394" i="6"/>
  <c r="E394" i="6"/>
  <c r="C394" i="6"/>
  <c r="D394" i="6"/>
  <c r="B394" i="6"/>
  <c r="H393" i="6"/>
  <c r="G393" i="6"/>
  <c r="H392" i="6"/>
  <c r="G392" i="6"/>
  <c r="F392" i="6"/>
  <c r="H391" i="6"/>
  <c r="G391" i="6"/>
  <c r="F391" i="6"/>
  <c r="D390" i="6"/>
  <c r="D389" i="6"/>
  <c r="D388" i="6"/>
  <c r="D387" i="6"/>
  <c r="C386" i="6"/>
  <c r="AB385" i="6"/>
  <c r="AA385" i="6"/>
  <c r="Z385" i="6"/>
  <c r="Y385" i="6"/>
  <c r="X385" i="6"/>
  <c r="W385" i="6"/>
  <c r="V385" i="6"/>
  <c r="U385" i="6"/>
  <c r="T385" i="6"/>
  <c r="H385" i="6"/>
  <c r="G385" i="6"/>
  <c r="F385" i="6"/>
  <c r="E385" i="6"/>
  <c r="C385" i="6"/>
  <c r="D385" i="6"/>
  <c r="B385" i="6"/>
  <c r="H384" i="6"/>
  <c r="G384" i="6"/>
  <c r="H383" i="6"/>
  <c r="G383" i="6"/>
  <c r="H382" i="6"/>
  <c r="G382" i="6"/>
  <c r="F382" i="6"/>
  <c r="H381" i="6"/>
  <c r="G381" i="6"/>
  <c r="H380" i="6"/>
  <c r="G380" i="6"/>
  <c r="F380" i="6"/>
  <c r="D374" i="6"/>
  <c r="D373" i="6"/>
  <c r="D372" i="6"/>
  <c r="D371" i="6"/>
  <c r="C370" i="6"/>
  <c r="AB369" i="6"/>
  <c r="AA369" i="6"/>
  <c r="Z369" i="6"/>
  <c r="Y369" i="6"/>
  <c r="X369" i="6"/>
  <c r="W369" i="6"/>
  <c r="V369" i="6"/>
  <c r="U369" i="6"/>
  <c r="T369" i="6"/>
  <c r="H369" i="6"/>
  <c r="G369" i="6"/>
  <c r="F369" i="6"/>
  <c r="E369" i="6"/>
  <c r="C369" i="6"/>
  <c r="D369" i="6"/>
  <c r="B369" i="6"/>
  <c r="D368" i="6"/>
  <c r="AB367" i="6"/>
  <c r="AA367" i="6"/>
  <c r="Z367" i="6"/>
  <c r="Y367" i="6"/>
  <c r="X367" i="6"/>
  <c r="W367" i="6"/>
  <c r="V367" i="6"/>
  <c r="U367" i="6"/>
  <c r="T367" i="6"/>
  <c r="H367" i="6"/>
  <c r="G367" i="6"/>
  <c r="F367" i="6"/>
  <c r="E367" i="6"/>
  <c r="C367" i="6"/>
  <c r="D367" i="6"/>
  <c r="B367" i="6"/>
  <c r="D366" i="6"/>
  <c r="AB365" i="6"/>
  <c r="AA365" i="6"/>
  <c r="Z365" i="6"/>
  <c r="Y365" i="6"/>
  <c r="X365" i="6"/>
  <c r="W365" i="6"/>
  <c r="V365" i="6"/>
  <c r="U365" i="6"/>
  <c r="T365" i="6"/>
  <c r="H365" i="6"/>
  <c r="G365" i="6"/>
  <c r="F365" i="6"/>
  <c r="E365" i="6"/>
  <c r="C365" i="6"/>
  <c r="D365" i="6"/>
  <c r="B365" i="6"/>
  <c r="D364" i="6"/>
  <c r="AB363" i="6"/>
  <c r="AA363" i="6"/>
  <c r="Z363" i="6"/>
  <c r="Y363" i="6"/>
  <c r="X363" i="6"/>
  <c r="W363" i="6"/>
  <c r="V363" i="6"/>
  <c r="U363" i="6"/>
  <c r="T363" i="6"/>
  <c r="H363" i="6"/>
  <c r="G363" i="6"/>
  <c r="F363" i="6"/>
  <c r="E363" i="6"/>
  <c r="C363" i="6"/>
  <c r="D363" i="6"/>
  <c r="B363" i="6"/>
  <c r="H362" i="6"/>
  <c r="G362" i="6"/>
  <c r="H361" i="6"/>
  <c r="G361" i="6"/>
  <c r="H360" i="6"/>
  <c r="G360" i="6"/>
  <c r="F360" i="6"/>
  <c r="H359" i="6"/>
  <c r="G359" i="6"/>
  <c r="H358" i="6"/>
  <c r="G358" i="6"/>
  <c r="F358" i="6"/>
  <c r="D352" i="6"/>
  <c r="D351" i="6"/>
  <c r="D350" i="6"/>
  <c r="D349" i="6"/>
  <c r="C348" i="6"/>
  <c r="AB347" i="6"/>
  <c r="AA347" i="6"/>
  <c r="Z347" i="6"/>
  <c r="Y347" i="6"/>
  <c r="X347" i="6"/>
  <c r="W347" i="6"/>
  <c r="V347" i="6"/>
  <c r="U347" i="6"/>
  <c r="T347" i="6"/>
  <c r="H347" i="6"/>
  <c r="G347" i="6"/>
  <c r="F347" i="6"/>
  <c r="E347" i="6"/>
  <c r="C347" i="6"/>
  <c r="D347" i="6"/>
  <c r="B347" i="6"/>
  <c r="D346" i="6"/>
  <c r="AB345" i="6"/>
  <c r="AA345" i="6"/>
  <c r="Z345" i="6"/>
  <c r="Y345" i="6"/>
  <c r="X345" i="6"/>
  <c r="W345" i="6"/>
  <c r="V345" i="6"/>
  <c r="U345" i="6"/>
  <c r="T345" i="6"/>
  <c r="H345" i="6"/>
  <c r="G345" i="6"/>
  <c r="F345" i="6"/>
  <c r="E345" i="6"/>
  <c r="C345" i="6"/>
  <c r="D345" i="6"/>
  <c r="B345" i="6"/>
  <c r="H344" i="6"/>
  <c r="G344" i="6"/>
  <c r="H343" i="6"/>
  <c r="G343" i="6"/>
  <c r="H342" i="6"/>
  <c r="G342" i="6"/>
  <c r="F342" i="6"/>
  <c r="H341" i="6"/>
  <c r="G341" i="6"/>
  <c r="H340" i="6"/>
  <c r="G340" i="6"/>
  <c r="F340" i="6"/>
  <c r="D334" i="6"/>
  <c r="D333" i="6"/>
  <c r="D332" i="6"/>
  <c r="D331" i="6"/>
  <c r="AB330" i="6"/>
  <c r="AA330" i="6"/>
  <c r="Z330" i="6"/>
  <c r="Y330" i="6"/>
  <c r="X330" i="6"/>
  <c r="W330" i="6"/>
  <c r="V330" i="6"/>
  <c r="U330" i="6"/>
  <c r="T330" i="6"/>
  <c r="H330" i="6"/>
  <c r="G330" i="6"/>
  <c r="F330" i="6"/>
  <c r="E330" i="6"/>
  <c r="C330" i="6"/>
  <c r="D330" i="6"/>
  <c r="B330" i="6"/>
  <c r="D329" i="6"/>
  <c r="AB328" i="6"/>
  <c r="AA328" i="6"/>
  <c r="Z328" i="6"/>
  <c r="Y328" i="6"/>
  <c r="X328" i="6"/>
  <c r="W328" i="6"/>
  <c r="V328" i="6"/>
  <c r="U328" i="6"/>
  <c r="T328" i="6"/>
  <c r="H328" i="6"/>
  <c r="G328" i="6"/>
  <c r="F328" i="6"/>
  <c r="E328" i="6"/>
  <c r="C328" i="6"/>
  <c r="D328" i="6"/>
  <c r="B328" i="6"/>
  <c r="D327" i="6"/>
  <c r="AB326" i="6"/>
  <c r="AA326" i="6"/>
  <c r="Z326" i="6"/>
  <c r="Y326" i="6"/>
  <c r="X326" i="6"/>
  <c r="W326" i="6"/>
  <c r="V326" i="6"/>
  <c r="U326" i="6"/>
  <c r="T326" i="6"/>
  <c r="H326" i="6"/>
  <c r="G326" i="6"/>
  <c r="F326" i="6"/>
  <c r="E326" i="6"/>
  <c r="C326" i="6"/>
  <c r="D326" i="6"/>
  <c r="B326" i="6"/>
  <c r="D325" i="6"/>
  <c r="AB324" i="6"/>
  <c r="AA324" i="6"/>
  <c r="Z324" i="6"/>
  <c r="Y324" i="6"/>
  <c r="X324" i="6"/>
  <c r="W324" i="6"/>
  <c r="V324" i="6"/>
  <c r="U324" i="6"/>
  <c r="T324" i="6"/>
  <c r="H324" i="6"/>
  <c r="G324" i="6"/>
  <c r="F324" i="6"/>
  <c r="E324" i="6"/>
  <c r="C324" i="6"/>
  <c r="D324" i="6"/>
  <c r="B324" i="6"/>
  <c r="H323" i="6"/>
  <c r="G323" i="6"/>
  <c r="H322" i="6"/>
  <c r="G322" i="6"/>
  <c r="H321" i="6"/>
  <c r="G321" i="6"/>
  <c r="F321" i="6"/>
  <c r="H320" i="6"/>
  <c r="G320" i="6"/>
  <c r="H319" i="6"/>
  <c r="G319" i="6"/>
  <c r="F319" i="6"/>
  <c r="D313" i="6"/>
  <c r="D312" i="6"/>
  <c r="D311" i="6"/>
  <c r="D310" i="6"/>
  <c r="AB309" i="6"/>
  <c r="AA309" i="6"/>
  <c r="Z309" i="6"/>
  <c r="Y309" i="6"/>
  <c r="X309" i="6"/>
  <c r="W309" i="6"/>
  <c r="V309" i="6"/>
  <c r="U309" i="6"/>
  <c r="T309" i="6"/>
  <c r="H309" i="6"/>
  <c r="G309" i="6"/>
  <c r="F309" i="6"/>
  <c r="E309" i="6"/>
  <c r="C309" i="6"/>
  <c r="D309" i="6"/>
  <c r="B309" i="6"/>
  <c r="D308" i="6"/>
  <c r="AB307" i="6"/>
  <c r="AA307" i="6"/>
  <c r="Z307" i="6"/>
  <c r="Y307" i="6"/>
  <c r="X307" i="6"/>
  <c r="W307" i="6"/>
  <c r="V307" i="6"/>
  <c r="U307" i="6"/>
  <c r="T307" i="6"/>
  <c r="H307" i="6"/>
  <c r="G307" i="6"/>
  <c r="F307" i="6"/>
  <c r="E307" i="6"/>
  <c r="C307" i="6"/>
  <c r="D307" i="6"/>
  <c r="B307" i="6"/>
  <c r="D306" i="6"/>
  <c r="AB305" i="6"/>
  <c r="AA305" i="6"/>
  <c r="Z305" i="6"/>
  <c r="Y305" i="6"/>
  <c r="X305" i="6"/>
  <c r="W305" i="6"/>
  <c r="V305" i="6"/>
  <c r="U305" i="6"/>
  <c r="T305" i="6"/>
  <c r="H305" i="6"/>
  <c r="G305" i="6"/>
  <c r="F305" i="6"/>
  <c r="E305" i="6"/>
  <c r="C305" i="6"/>
  <c r="D305" i="6"/>
  <c r="B305" i="6"/>
  <c r="H304" i="6"/>
  <c r="G304" i="6"/>
  <c r="H303" i="6"/>
  <c r="G303" i="6"/>
  <c r="H302" i="6"/>
  <c r="G302" i="6"/>
  <c r="F302" i="6"/>
  <c r="H301" i="6"/>
  <c r="G301" i="6"/>
  <c r="H300" i="6"/>
  <c r="G300" i="6"/>
  <c r="F300" i="6"/>
  <c r="D294" i="6"/>
  <c r="D293" i="6"/>
  <c r="D292" i="6"/>
  <c r="D291" i="6"/>
  <c r="C290" i="6"/>
  <c r="AB289" i="6"/>
  <c r="AA289" i="6"/>
  <c r="Z289" i="6"/>
  <c r="Y289" i="6"/>
  <c r="X289" i="6"/>
  <c r="W289" i="6"/>
  <c r="V289" i="6"/>
  <c r="U289" i="6"/>
  <c r="T289" i="6"/>
  <c r="H289" i="6"/>
  <c r="G289" i="6"/>
  <c r="F289" i="6"/>
  <c r="E289" i="6"/>
  <c r="C289" i="6"/>
  <c r="D289" i="6"/>
  <c r="B289" i="6"/>
  <c r="H288" i="6"/>
  <c r="G288" i="6"/>
  <c r="H287" i="6"/>
  <c r="G287" i="6"/>
  <c r="H286" i="6"/>
  <c r="G286" i="6"/>
  <c r="F286" i="6"/>
  <c r="H285" i="6"/>
  <c r="G285" i="6"/>
  <c r="H284" i="6"/>
  <c r="G284" i="6"/>
  <c r="F284" i="6"/>
  <c r="D278" i="6"/>
  <c r="D277" i="6"/>
  <c r="D276" i="6"/>
  <c r="D275" i="6"/>
  <c r="C274" i="6"/>
  <c r="AB273" i="6"/>
  <c r="AA273" i="6"/>
  <c r="Z273" i="6"/>
  <c r="Y273" i="6"/>
  <c r="X273" i="6"/>
  <c r="W273" i="6"/>
  <c r="V273" i="6"/>
  <c r="U273" i="6"/>
  <c r="T273" i="6"/>
  <c r="H273" i="6"/>
  <c r="G273" i="6"/>
  <c r="F273" i="6"/>
  <c r="E273" i="6"/>
  <c r="C273" i="6"/>
  <c r="D273" i="6"/>
  <c r="B273" i="6"/>
  <c r="D272" i="6"/>
  <c r="AB271" i="6"/>
  <c r="AA271" i="6"/>
  <c r="Z271" i="6"/>
  <c r="Y271" i="6"/>
  <c r="X271" i="6"/>
  <c r="W271" i="6"/>
  <c r="V271" i="6"/>
  <c r="U271" i="6"/>
  <c r="T271" i="6"/>
  <c r="H271" i="6"/>
  <c r="G271" i="6"/>
  <c r="F271" i="6"/>
  <c r="E271" i="6"/>
  <c r="C271" i="6"/>
  <c r="D271" i="6"/>
  <c r="B271" i="6"/>
  <c r="H270" i="6"/>
  <c r="G270" i="6"/>
  <c r="H269" i="6"/>
  <c r="G269" i="6"/>
  <c r="H268" i="6"/>
  <c r="G268" i="6"/>
  <c r="F268" i="6"/>
  <c r="H267" i="6"/>
  <c r="G267" i="6"/>
  <c r="H266" i="6"/>
  <c r="G266" i="6"/>
  <c r="F266" i="6"/>
  <c r="D260" i="6"/>
  <c r="D259" i="6"/>
  <c r="D258" i="6"/>
  <c r="D257" i="6"/>
  <c r="C256" i="6"/>
  <c r="AB255" i="6"/>
  <c r="AA255" i="6"/>
  <c r="Z255" i="6"/>
  <c r="Y255" i="6"/>
  <c r="X255" i="6"/>
  <c r="W255" i="6"/>
  <c r="V255" i="6"/>
  <c r="U255" i="6"/>
  <c r="T255" i="6"/>
  <c r="H255" i="6"/>
  <c r="G255" i="6"/>
  <c r="F255" i="6"/>
  <c r="E255" i="6"/>
  <c r="C255" i="6"/>
  <c r="D255" i="6"/>
  <c r="B255" i="6"/>
  <c r="H254" i="6"/>
  <c r="G254" i="6"/>
  <c r="H253" i="6"/>
  <c r="G253" i="6"/>
  <c r="H252" i="6"/>
  <c r="G252" i="6"/>
  <c r="F252" i="6"/>
  <c r="H251" i="6"/>
  <c r="G251" i="6"/>
  <c r="H250" i="6"/>
  <c r="G250" i="6"/>
  <c r="F250" i="6"/>
  <c r="D244" i="6"/>
  <c r="D243" i="6"/>
  <c r="D242" i="6"/>
  <c r="D241" i="6"/>
  <c r="C240" i="6"/>
  <c r="AB239" i="6"/>
  <c r="AA239" i="6"/>
  <c r="Z239" i="6"/>
  <c r="Y239" i="6"/>
  <c r="X239" i="6"/>
  <c r="W239" i="6"/>
  <c r="V239" i="6"/>
  <c r="U239" i="6"/>
  <c r="T239" i="6"/>
  <c r="H239" i="6"/>
  <c r="G239" i="6"/>
  <c r="F239" i="6"/>
  <c r="E239" i="6"/>
  <c r="C239" i="6"/>
  <c r="D239" i="6"/>
  <c r="B239" i="6"/>
  <c r="D238" i="6"/>
  <c r="AB237" i="6"/>
  <c r="AA237" i="6"/>
  <c r="Z237" i="6"/>
  <c r="Y237" i="6"/>
  <c r="X237" i="6"/>
  <c r="W237" i="6"/>
  <c r="V237" i="6"/>
  <c r="U237" i="6"/>
  <c r="T237" i="6"/>
  <c r="H237" i="6"/>
  <c r="G237" i="6"/>
  <c r="F237" i="6"/>
  <c r="E237" i="6"/>
  <c r="C237" i="6"/>
  <c r="D237" i="6"/>
  <c r="B237" i="6"/>
  <c r="D236" i="6"/>
  <c r="AB235" i="6"/>
  <c r="AA235" i="6"/>
  <c r="Z235" i="6"/>
  <c r="Y235" i="6"/>
  <c r="X235" i="6"/>
  <c r="W235" i="6"/>
  <c r="V235" i="6"/>
  <c r="U235" i="6"/>
  <c r="T235" i="6"/>
  <c r="H235" i="6"/>
  <c r="G235" i="6"/>
  <c r="F235" i="6"/>
  <c r="E235" i="6"/>
  <c r="C235" i="6"/>
  <c r="D235" i="6"/>
  <c r="B235" i="6"/>
  <c r="H234" i="6"/>
  <c r="G234" i="6"/>
  <c r="H233" i="6"/>
  <c r="G233" i="6"/>
  <c r="H232" i="6"/>
  <c r="G232" i="6"/>
  <c r="F232" i="6"/>
  <c r="H231" i="6"/>
  <c r="G231" i="6"/>
  <c r="H230" i="6"/>
  <c r="G230" i="6"/>
  <c r="F230" i="6"/>
  <c r="D224" i="6"/>
  <c r="D223" i="6"/>
  <c r="D222" i="6"/>
  <c r="D221" i="6"/>
  <c r="C220" i="6"/>
  <c r="AB219" i="6"/>
  <c r="AA219" i="6"/>
  <c r="Z219" i="6"/>
  <c r="Y219" i="6"/>
  <c r="X219" i="6"/>
  <c r="W219" i="6"/>
  <c r="V219" i="6"/>
  <c r="U219" i="6"/>
  <c r="T219" i="6"/>
  <c r="H219" i="6"/>
  <c r="G219" i="6"/>
  <c r="F219" i="6"/>
  <c r="E219" i="6"/>
  <c r="C219" i="6"/>
  <c r="D219" i="6"/>
  <c r="B219" i="6"/>
  <c r="D218" i="6"/>
  <c r="AB217" i="6"/>
  <c r="AA217" i="6"/>
  <c r="Z217" i="6"/>
  <c r="Y217" i="6"/>
  <c r="X217" i="6"/>
  <c r="W217" i="6"/>
  <c r="V217" i="6"/>
  <c r="U217" i="6"/>
  <c r="T217" i="6"/>
  <c r="H217" i="6"/>
  <c r="G217" i="6"/>
  <c r="F217" i="6"/>
  <c r="E217" i="6"/>
  <c r="C217" i="6"/>
  <c r="D217" i="6"/>
  <c r="B217" i="6"/>
  <c r="D216" i="6"/>
  <c r="AB215" i="6"/>
  <c r="AA215" i="6"/>
  <c r="Z215" i="6"/>
  <c r="Y215" i="6"/>
  <c r="X215" i="6"/>
  <c r="W215" i="6"/>
  <c r="V215" i="6"/>
  <c r="U215" i="6"/>
  <c r="T215" i="6"/>
  <c r="H215" i="6"/>
  <c r="G215" i="6"/>
  <c r="F215" i="6"/>
  <c r="E215" i="6"/>
  <c r="C215" i="6"/>
  <c r="D215" i="6"/>
  <c r="B215" i="6"/>
  <c r="H214" i="6"/>
  <c r="G214" i="6"/>
  <c r="H213" i="6"/>
  <c r="G213" i="6"/>
  <c r="H212" i="6"/>
  <c r="G212" i="6"/>
  <c r="F212" i="6"/>
  <c r="H211" i="6"/>
  <c r="G211" i="6"/>
  <c r="H210" i="6"/>
  <c r="G210" i="6"/>
  <c r="F210" i="6"/>
  <c r="D204" i="6"/>
  <c r="D203" i="6"/>
  <c r="D202" i="6"/>
  <c r="D201" i="6"/>
  <c r="C200" i="6"/>
  <c r="AB199" i="6"/>
  <c r="AA199" i="6"/>
  <c r="Z199" i="6"/>
  <c r="Y199" i="6"/>
  <c r="X199" i="6"/>
  <c r="W199" i="6"/>
  <c r="V199" i="6"/>
  <c r="U199" i="6"/>
  <c r="T199" i="6"/>
  <c r="H199" i="6"/>
  <c r="G199" i="6"/>
  <c r="F199" i="6"/>
  <c r="E199" i="6"/>
  <c r="C199" i="6"/>
  <c r="D199" i="6"/>
  <c r="B199" i="6"/>
  <c r="A198" i="6"/>
  <c r="H194" i="6"/>
  <c r="C194" i="6"/>
  <c r="H192" i="6"/>
  <c r="G192" i="6"/>
  <c r="H191" i="6"/>
  <c r="G191" i="6"/>
  <c r="H190" i="6"/>
  <c r="G190" i="6"/>
  <c r="F190" i="6"/>
  <c r="H189" i="6"/>
  <c r="G189" i="6"/>
  <c r="H188" i="6"/>
  <c r="G188" i="6"/>
  <c r="F188" i="6"/>
  <c r="D187" i="6"/>
  <c r="D186" i="6"/>
  <c r="D185" i="6"/>
  <c r="D184" i="6"/>
  <c r="C183" i="6"/>
  <c r="AB182" i="6"/>
  <c r="AA182" i="6"/>
  <c r="Z182" i="6"/>
  <c r="Y182" i="6"/>
  <c r="X182" i="6"/>
  <c r="W182" i="6"/>
  <c r="V182" i="6"/>
  <c r="U182" i="6"/>
  <c r="T182" i="6"/>
  <c r="H182" i="6"/>
  <c r="G182" i="6"/>
  <c r="F182" i="6"/>
  <c r="E182" i="6"/>
  <c r="C182" i="6"/>
  <c r="D182" i="6"/>
  <c r="B182" i="6"/>
  <c r="D181" i="6"/>
  <c r="AB180" i="6"/>
  <c r="AA180" i="6"/>
  <c r="Z180" i="6"/>
  <c r="Y180" i="6"/>
  <c r="X180" i="6"/>
  <c r="W180" i="6"/>
  <c r="V180" i="6"/>
  <c r="U180" i="6"/>
  <c r="T180" i="6"/>
  <c r="H180" i="6"/>
  <c r="G180" i="6"/>
  <c r="F180" i="6"/>
  <c r="E180" i="6"/>
  <c r="C180" i="6"/>
  <c r="D180" i="6"/>
  <c r="B180" i="6"/>
  <c r="H179" i="6"/>
  <c r="G179" i="6"/>
  <c r="H178" i="6"/>
  <c r="G178" i="6"/>
  <c r="F178" i="6"/>
  <c r="H177" i="6"/>
  <c r="G177" i="6"/>
  <c r="F177" i="6"/>
  <c r="D176" i="6"/>
  <c r="D175" i="6"/>
  <c r="D174" i="6"/>
  <c r="D173" i="6"/>
  <c r="C172" i="6"/>
  <c r="AB171" i="6"/>
  <c r="AA171" i="6"/>
  <c r="Z171" i="6"/>
  <c r="Y171" i="6"/>
  <c r="X171" i="6"/>
  <c r="W171" i="6"/>
  <c r="V171" i="6"/>
  <c r="U171" i="6"/>
  <c r="T171" i="6"/>
  <c r="H171" i="6"/>
  <c r="G171" i="6"/>
  <c r="F171" i="6"/>
  <c r="E171" i="6"/>
  <c r="C171" i="6"/>
  <c r="D171" i="6"/>
  <c r="B171" i="6"/>
  <c r="D170" i="6"/>
  <c r="AB169" i="6"/>
  <c r="AA169" i="6"/>
  <c r="Z169" i="6"/>
  <c r="Y169" i="6"/>
  <c r="X169" i="6"/>
  <c r="W169" i="6"/>
  <c r="V169" i="6"/>
  <c r="U169" i="6"/>
  <c r="T169" i="6"/>
  <c r="H169" i="6"/>
  <c r="G169" i="6"/>
  <c r="F169" i="6"/>
  <c r="E169" i="6"/>
  <c r="C169" i="6"/>
  <c r="D169" i="6"/>
  <c r="B169" i="6"/>
  <c r="H168" i="6"/>
  <c r="G168" i="6"/>
  <c r="H167" i="6"/>
  <c r="G167" i="6"/>
  <c r="F167" i="6"/>
  <c r="H166" i="6"/>
  <c r="G166" i="6"/>
  <c r="F166" i="6"/>
  <c r="D165" i="6"/>
  <c r="D164" i="6"/>
  <c r="D163" i="6"/>
  <c r="D162" i="6"/>
  <c r="C161" i="6"/>
  <c r="AB160" i="6"/>
  <c r="AA160" i="6"/>
  <c r="Z160" i="6"/>
  <c r="Y160" i="6"/>
  <c r="X160" i="6"/>
  <c r="W160" i="6"/>
  <c r="V160" i="6"/>
  <c r="U160" i="6"/>
  <c r="T160" i="6"/>
  <c r="H160" i="6"/>
  <c r="G160" i="6"/>
  <c r="F160" i="6"/>
  <c r="E160" i="6"/>
  <c r="C160" i="6"/>
  <c r="D160" i="6"/>
  <c r="B160" i="6"/>
  <c r="H159" i="6"/>
  <c r="G159" i="6"/>
  <c r="H158" i="6"/>
  <c r="G158" i="6"/>
  <c r="H157" i="6"/>
  <c r="G157" i="6"/>
  <c r="F157" i="6"/>
  <c r="H156" i="6"/>
  <c r="G156" i="6"/>
  <c r="H155" i="6"/>
  <c r="G155" i="6"/>
  <c r="F155" i="6"/>
  <c r="D148" i="6"/>
  <c r="D147" i="6"/>
  <c r="D146" i="6"/>
  <c r="D145" i="6"/>
  <c r="AB144" i="6"/>
  <c r="AA144" i="6"/>
  <c r="Z144" i="6"/>
  <c r="Y144" i="6"/>
  <c r="X144" i="6"/>
  <c r="W144" i="6"/>
  <c r="V144" i="6"/>
  <c r="U144" i="6"/>
  <c r="T144" i="6"/>
  <c r="H144" i="6"/>
  <c r="G144" i="6"/>
  <c r="F144" i="6"/>
  <c r="E144" i="6"/>
  <c r="C144" i="6"/>
  <c r="D144" i="6"/>
  <c r="B144" i="6"/>
  <c r="H143" i="6"/>
  <c r="G143" i="6"/>
  <c r="H142" i="6"/>
  <c r="G142" i="6"/>
  <c r="F142" i="6"/>
  <c r="H141" i="6"/>
  <c r="G141" i="6"/>
  <c r="F141" i="6"/>
  <c r="D140" i="6"/>
  <c r="D139" i="6"/>
  <c r="D138" i="6"/>
  <c r="D137" i="6"/>
  <c r="C136" i="6"/>
  <c r="AB135" i="6"/>
  <c r="AA135" i="6"/>
  <c r="Z135" i="6"/>
  <c r="Y135" i="6"/>
  <c r="X135" i="6"/>
  <c r="W135" i="6"/>
  <c r="V135" i="6"/>
  <c r="U135" i="6"/>
  <c r="T135" i="6"/>
  <c r="H135" i="6"/>
  <c r="G135" i="6"/>
  <c r="F135" i="6"/>
  <c r="E135" i="6"/>
  <c r="C135" i="6"/>
  <c r="D135" i="6"/>
  <c r="B135" i="6"/>
  <c r="H134" i="6"/>
  <c r="G134" i="6"/>
  <c r="H133" i="6"/>
  <c r="G133" i="6"/>
  <c r="F133" i="6"/>
  <c r="H132" i="6"/>
  <c r="G132" i="6"/>
  <c r="F132" i="6"/>
  <c r="D131" i="6"/>
  <c r="D130" i="6"/>
  <c r="D129" i="6"/>
  <c r="D128" i="6"/>
  <c r="C127" i="6"/>
  <c r="AB126" i="6"/>
  <c r="AA126" i="6"/>
  <c r="Z126" i="6"/>
  <c r="Y126" i="6"/>
  <c r="X126" i="6"/>
  <c r="W126" i="6"/>
  <c r="V126" i="6"/>
  <c r="U126" i="6"/>
  <c r="T126" i="6"/>
  <c r="H126" i="6"/>
  <c r="G126" i="6"/>
  <c r="F126" i="6"/>
  <c r="E126" i="6"/>
  <c r="C126" i="6"/>
  <c r="D126" i="6"/>
  <c r="B126" i="6"/>
  <c r="H125" i="6"/>
  <c r="G125" i="6"/>
  <c r="H124" i="6"/>
  <c r="G124" i="6"/>
  <c r="F124" i="6"/>
  <c r="H123" i="6"/>
  <c r="G123" i="6"/>
  <c r="F123" i="6"/>
  <c r="D122" i="6"/>
  <c r="D121" i="6"/>
  <c r="D120" i="6"/>
  <c r="D119" i="6"/>
  <c r="C118" i="6"/>
  <c r="AB117" i="6"/>
  <c r="AA117" i="6"/>
  <c r="Z117" i="6"/>
  <c r="Y117" i="6"/>
  <c r="X117" i="6"/>
  <c r="W117" i="6"/>
  <c r="V117" i="6"/>
  <c r="U117" i="6"/>
  <c r="T117" i="6"/>
  <c r="H117" i="6"/>
  <c r="G117" i="6"/>
  <c r="F117" i="6"/>
  <c r="E117" i="6"/>
  <c r="C117" i="6"/>
  <c r="D117" i="6"/>
  <c r="B117" i="6"/>
  <c r="D116" i="6"/>
  <c r="AB115" i="6"/>
  <c r="AA115" i="6"/>
  <c r="Z115" i="6"/>
  <c r="Y115" i="6"/>
  <c r="X115" i="6"/>
  <c r="W115" i="6"/>
  <c r="V115" i="6"/>
  <c r="U115" i="6"/>
  <c r="T115" i="6"/>
  <c r="H115" i="6"/>
  <c r="G115" i="6"/>
  <c r="F115" i="6"/>
  <c r="E115" i="6"/>
  <c r="C115" i="6"/>
  <c r="D115" i="6"/>
  <c r="B115" i="6"/>
  <c r="H114" i="6"/>
  <c r="G114" i="6"/>
  <c r="H113" i="6"/>
  <c r="G113" i="6"/>
  <c r="F113" i="6"/>
  <c r="H112" i="6"/>
  <c r="G112" i="6"/>
  <c r="F112" i="6"/>
  <c r="D111" i="6"/>
  <c r="D110" i="6"/>
  <c r="D109" i="6"/>
  <c r="D108" i="6"/>
  <c r="C107" i="6"/>
  <c r="AB106" i="6"/>
  <c r="AA106" i="6"/>
  <c r="Z106" i="6"/>
  <c r="Y106" i="6"/>
  <c r="X106" i="6"/>
  <c r="W106" i="6"/>
  <c r="V106" i="6"/>
  <c r="U106" i="6"/>
  <c r="T106" i="6"/>
  <c r="H106" i="6"/>
  <c r="G106" i="6"/>
  <c r="F106" i="6"/>
  <c r="E106" i="6"/>
  <c r="C106" i="6"/>
  <c r="D106" i="6"/>
  <c r="B106" i="6"/>
  <c r="H105" i="6"/>
  <c r="G105" i="6"/>
  <c r="H104" i="6"/>
  <c r="G104" i="6"/>
  <c r="F104" i="6"/>
  <c r="H103" i="6"/>
  <c r="G103" i="6"/>
  <c r="F103" i="6"/>
  <c r="D102" i="6"/>
  <c r="D101" i="6"/>
  <c r="D100" i="6"/>
  <c r="D99" i="6"/>
  <c r="C98" i="6"/>
  <c r="AB97" i="6"/>
  <c r="AA97" i="6"/>
  <c r="Z97" i="6"/>
  <c r="Y97" i="6"/>
  <c r="X97" i="6"/>
  <c r="W97" i="6"/>
  <c r="V97" i="6"/>
  <c r="U97" i="6"/>
  <c r="T97" i="6"/>
  <c r="H97" i="6"/>
  <c r="G97" i="6"/>
  <c r="F97" i="6"/>
  <c r="E97" i="6"/>
  <c r="C97" i="6"/>
  <c r="D97" i="6"/>
  <c r="B97" i="6"/>
  <c r="D96" i="6"/>
  <c r="AB95" i="6"/>
  <c r="AA95" i="6"/>
  <c r="Z95" i="6"/>
  <c r="Y95" i="6"/>
  <c r="X95" i="6"/>
  <c r="W95" i="6"/>
  <c r="V95" i="6"/>
  <c r="U95" i="6"/>
  <c r="T95" i="6"/>
  <c r="H95" i="6"/>
  <c r="G95" i="6"/>
  <c r="F95" i="6"/>
  <c r="E95" i="6"/>
  <c r="C95" i="6"/>
  <c r="D95" i="6"/>
  <c r="B95" i="6"/>
  <c r="D94" i="6"/>
  <c r="AB93" i="6"/>
  <c r="AA93" i="6"/>
  <c r="Z93" i="6"/>
  <c r="Y93" i="6"/>
  <c r="X93" i="6"/>
  <c r="W93" i="6"/>
  <c r="V93" i="6"/>
  <c r="U93" i="6"/>
  <c r="T93" i="6"/>
  <c r="H93" i="6"/>
  <c r="G93" i="6"/>
  <c r="F93" i="6"/>
  <c r="E93" i="6"/>
  <c r="C93" i="6"/>
  <c r="D93" i="6"/>
  <c r="B93" i="6"/>
  <c r="H92" i="6"/>
  <c r="G92" i="6"/>
  <c r="H91" i="6"/>
  <c r="G91" i="6"/>
  <c r="F91" i="6"/>
  <c r="H90" i="6"/>
  <c r="G90" i="6"/>
  <c r="F90" i="6"/>
  <c r="D89" i="6"/>
  <c r="D88" i="6"/>
  <c r="D87" i="6"/>
  <c r="D86" i="6"/>
  <c r="C85" i="6"/>
  <c r="AB84" i="6"/>
  <c r="AA84" i="6"/>
  <c r="Z84" i="6"/>
  <c r="Y84" i="6"/>
  <c r="X84" i="6"/>
  <c r="W84" i="6"/>
  <c r="V84" i="6"/>
  <c r="U84" i="6"/>
  <c r="T84" i="6"/>
  <c r="H84" i="6"/>
  <c r="G84" i="6"/>
  <c r="F84" i="6"/>
  <c r="E84" i="6"/>
  <c r="C84" i="6"/>
  <c r="D84" i="6"/>
  <c r="B84" i="6"/>
  <c r="H83" i="6"/>
  <c r="G83" i="6"/>
  <c r="H82" i="6"/>
  <c r="G82" i="6"/>
  <c r="H81" i="6"/>
  <c r="G81" i="6"/>
  <c r="F81" i="6"/>
  <c r="H80" i="6"/>
  <c r="G80" i="6"/>
  <c r="H79" i="6"/>
  <c r="G79" i="6"/>
  <c r="F79" i="6"/>
  <c r="D78" i="6"/>
  <c r="D77" i="6"/>
  <c r="D76" i="6"/>
  <c r="D75" i="6"/>
  <c r="C74" i="6"/>
  <c r="AB73" i="6"/>
  <c r="AA73" i="6"/>
  <c r="Z73" i="6"/>
  <c r="Y73" i="6"/>
  <c r="X73" i="6"/>
  <c r="W73" i="6"/>
  <c r="V73" i="6"/>
  <c r="U73" i="6"/>
  <c r="T73" i="6"/>
  <c r="H73" i="6"/>
  <c r="G73" i="6"/>
  <c r="F73" i="6"/>
  <c r="E73" i="6"/>
  <c r="C73" i="6"/>
  <c r="D73" i="6"/>
  <c r="B73" i="6"/>
  <c r="H72" i="6"/>
  <c r="G72" i="6"/>
  <c r="H71" i="6"/>
  <c r="G71" i="6"/>
  <c r="F71" i="6"/>
  <c r="H70" i="6"/>
  <c r="G70" i="6"/>
  <c r="F70" i="6"/>
  <c r="D69" i="6"/>
  <c r="D68" i="6"/>
  <c r="D67" i="6"/>
  <c r="D66" i="6"/>
  <c r="C65" i="6"/>
  <c r="AB64" i="6"/>
  <c r="AA64" i="6"/>
  <c r="Z64" i="6"/>
  <c r="Y64" i="6"/>
  <c r="X64" i="6"/>
  <c r="W64" i="6"/>
  <c r="V64" i="6"/>
  <c r="U64" i="6"/>
  <c r="T64" i="6"/>
  <c r="H64" i="6"/>
  <c r="G64" i="6"/>
  <c r="F64" i="6"/>
  <c r="E64" i="6"/>
  <c r="C64" i="6"/>
  <c r="D64" i="6"/>
  <c r="B64" i="6"/>
  <c r="H63" i="6"/>
  <c r="G63" i="6"/>
  <c r="H62" i="6"/>
  <c r="G62" i="6"/>
  <c r="H61" i="6"/>
  <c r="G61" i="6"/>
  <c r="F61" i="6"/>
  <c r="H60" i="6"/>
  <c r="G60" i="6"/>
  <c r="H59" i="6"/>
  <c r="G59" i="6"/>
  <c r="F59" i="6"/>
  <c r="D58" i="6"/>
  <c r="D57" i="6"/>
  <c r="D56" i="6"/>
  <c r="D55" i="6"/>
  <c r="C54" i="6"/>
  <c r="AB53" i="6"/>
  <c r="AA53" i="6"/>
  <c r="Z53" i="6"/>
  <c r="Y53" i="6"/>
  <c r="X53" i="6"/>
  <c r="W53" i="6"/>
  <c r="V53" i="6"/>
  <c r="U53" i="6"/>
  <c r="T53" i="6"/>
  <c r="H53" i="6"/>
  <c r="G53" i="6"/>
  <c r="F53" i="6"/>
  <c r="E53" i="6"/>
  <c r="C53" i="6"/>
  <c r="D53" i="6"/>
  <c r="B53" i="6"/>
  <c r="H52" i="6"/>
  <c r="G52" i="6"/>
  <c r="H51" i="6"/>
  <c r="G51" i="6"/>
  <c r="H50" i="6"/>
  <c r="G50" i="6"/>
  <c r="F50" i="6"/>
  <c r="H49" i="6"/>
  <c r="G49" i="6"/>
  <c r="H48" i="6"/>
  <c r="G48" i="6"/>
  <c r="F48" i="6"/>
  <c r="D47" i="6"/>
  <c r="D46" i="6"/>
  <c r="D45" i="6"/>
  <c r="D44" i="6"/>
  <c r="C43" i="6"/>
  <c r="AB42" i="6"/>
  <c r="AA42" i="6"/>
  <c r="Z42" i="6"/>
  <c r="Y42" i="6"/>
  <c r="X42" i="6"/>
  <c r="W42" i="6"/>
  <c r="V42" i="6"/>
  <c r="U42" i="6"/>
  <c r="T42" i="6"/>
  <c r="H42" i="6"/>
  <c r="G42" i="6"/>
  <c r="F42" i="6"/>
  <c r="E42" i="6"/>
  <c r="C42" i="6"/>
  <c r="D42" i="6"/>
  <c r="B42" i="6"/>
  <c r="A41" i="6"/>
  <c r="A39" i="6"/>
  <c r="A37" i="6"/>
  <c r="F31" i="6"/>
  <c r="D26" i="6"/>
  <c r="G22" i="6"/>
  <c r="G21" i="6"/>
  <c r="G20" i="6"/>
  <c r="G19" i="6"/>
  <c r="G16" i="6"/>
  <c r="AE17" i="6"/>
  <c r="C17" i="6"/>
  <c r="G14" i="6"/>
  <c r="G12" i="6"/>
  <c r="C13" i="6"/>
  <c r="G10" i="6"/>
  <c r="C11" i="6"/>
  <c r="G8" i="6"/>
  <c r="C9" i="6"/>
  <c r="A1" i="6"/>
  <c r="AF1115" i="5"/>
  <c r="AD10" i="5"/>
  <c r="J1187" i="5"/>
  <c r="C1187" i="5"/>
  <c r="J1186" i="5"/>
  <c r="C1186" i="5"/>
  <c r="J1185" i="5"/>
  <c r="C1185" i="5"/>
  <c r="I22" i="5"/>
  <c r="I21" i="5"/>
  <c r="G21" i="5" s="1"/>
  <c r="I20" i="5"/>
  <c r="I19" i="5"/>
  <c r="I18" i="5"/>
  <c r="I17" i="5"/>
  <c r="I16" i="5"/>
  <c r="A1184" i="5"/>
  <c r="A1183" i="5"/>
  <c r="L1181" i="5"/>
  <c r="Q1181" i="5" s="1"/>
  <c r="Z1181" i="5"/>
  <c r="Y1181" i="5"/>
  <c r="X1181" i="5"/>
  <c r="K1180" i="5"/>
  <c r="J1180" i="5"/>
  <c r="Z1180" i="5"/>
  <c r="Y1180" i="5"/>
  <c r="X1180" i="5"/>
  <c r="H1180" i="5"/>
  <c r="W1180" i="5" s="1"/>
  <c r="F1180" i="5"/>
  <c r="V1180" i="5"/>
  <c r="T1180" i="5"/>
  <c r="U1180" i="5"/>
  <c r="S1180" i="5"/>
  <c r="E1180" i="5"/>
  <c r="D1180" i="5"/>
  <c r="C1180" i="5"/>
  <c r="B1180" i="5"/>
  <c r="A1180" i="5"/>
  <c r="K1179" i="5"/>
  <c r="J1179" i="5"/>
  <c r="Z1179" i="5"/>
  <c r="Y1179" i="5"/>
  <c r="X1179" i="5"/>
  <c r="H1179" i="5"/>
  <c r="W1179" i="5" s="1"/>
  <c r="F1179" i="5"/>
  <c r="V1179" i="5"/>
  <c r="T1179" i="5"/>
  <c r="U1179" i="5"/>
  <c r="S1179" i="5"/>
  <c r="E1179" i="5"/>
  <c r="D1179" i="5"/>
  <c r="C1179" i="5"/>
  <c r="B1179" i="5"/>
  <c r="A1179" i="5"/>
  <c r="L1178" i="5"/>
  <c r="G1178" i="5"/>
  <c r="E1178" i="5"/>
  <c r="J1177" i="5"/>
  <c r="F1177" i="5"/>
  <c r="E1177" i="5"/>
  <c r="J1176" i="5"/>
  <c r="F1176" i="5"/>
  <c r="E1176" i="5"/>
  <c r="K1175" i="5"/>
  <c r="J1175" i="5"/>
  <c r="H1175" i="5"/>
  <c r="G1175" i="5"/>
  <c r="F1175" i="5"/>
  <c r="K1174" i="5"/>
  <c r="J1174" i="5"/>
  <c r="H1174" i="5"/>
  <c r="R1174" i="5" s="1"/>
  <c r="G1174" i="5"/>
  <c r="F1174" i="5"/>
  <c r="K1173" i="5"/>
  <c r="J1173" i="5"/>
  <c r="H1173" i="5"/>
  <c r="G1173" i="5"/>
  <c r="F1173" i="5"/>
  <c r="K1172" i="5"/>
  <c r="J1172" i="5"/>
  <c r="H1172" i="5"/>
  <c r="G1172" i="5"/>
  <c r="F1172" i="5"/>
  <c r="C1171" i="5"/>
  <c r="V1170" i="5"/>
  <c r="T1170" i="5"/>
  <c r="U1170" i="5"/>
  <c r="S1170" i="5"/>
  <c r="F1170" i="5"/>
  <c r="E1170" i="5"/>
  <c r="D1170" i="5"/>
  <c r="I1170" i="5"/>
  <c r="C1170" i="5"/>
  <c r="B1170" i="5"/>
  <c r="A1170" i="5"/>
  <c r="L1169" i="5"/>
  <c r="Q1169" i="5" s="1"/>
  <c r="Z1169" i="5"/>
  <c r="Y1169" i="5"/>
  <c r="X1169" i="5"/>
  <c r="K1168" i="5"/>
  <c r="J1168" i="5"/>
  <c r="Z1168" i="5"/>
  <c r="Y1168" i="5"/>
  <c r="X1168" i="5"/>
  <c r="H1168" i="5"/>
  <c r="W1168" i="5" s="1"/>
  <c r="F1168" i="5"/>
  <c r="V1168" i="5"/>
  <c r="T1168" i="5"/>
  <c r="U1168" i="5"/>
  <c r="S1168" i="5"/>
  <c r="E1168" i="5"/>
  <c r="D1168" i="5"/>
  <c r="C1168" i="5"/>
  <c r="B1168" i="5"/>
  <c r="A1168" i="5"/>
  <c r="K1167" i="5"/>
  <c r="J1167" i="5"/>
  <c r="Z1167" i="5"/>
  <c r="Y1167" i="5"/>
  <c r="X1167" i="5"/>
  <c r="H1167" i="5"/>
  <c r="W1167" i="5" s="1"/>
  <c r="F1167" i="5"/>
  <c r="V1167" i="5"/>
  <c r="T1167" i="5"/>
  <c r="U1167" i="5"/>
  <c r="S1167" i="5"/>
  <c r="E1167" i="5"/>
  <c r="D1167" i="5"/>
  <c r="C1167" i="5"/>
  <c r="B1167" i="5"/>
  <c r="A1167" i="5"/>
  <c r="L1166" i="5"/>
  <c r="G1166" i="5"/>
  <c r="E1166" i="5"/>
  <c r="J1165" i="5"/>
  <c r="F1165" i="5"/>
  <c r="E1165" i="5"/>
  <c r="J1164" i="5"/>
  <c r="F1164" i="5"/>
  <c r="E1164" i="5"/>
  <c r="K1163" i="5"/>
  <c r="J1163" i="5"/>
  <c r="H1163" i="5"/>
  <c r="G1163" i="5"/>
  <c r="F1163" i="5"/>
  <c r="K1162" i="5"/>
  <c r="J1162" i="5"/>
  <c r="H1162" i="5"/>
  <c r="R1162" i="5" s="1"/>
  <c r="G1162" i="5"/>
  <c r="F1162" i="5"/>
  <c r="K1161" i="5"/>
  <c r="J1161" i="5"/>
  <c r="H1161" i="5"/>
  <c r="G1161" i="5"/>
  <c r="F1161" i="5"/>
  <c r="K1160" i="5"/>
  <c r="J1160" i="5"/>
  <c r="H1160" i="5"/>
  <c r="R1160" i="5" s="1"/>
  <c r="G1160" i="5"/>
  <c r="F1160" i="5"/>
  <c r="C1159" i="5"/>
  <c r="V1158" i="5"/>
  <c r="T1158" i="5"/>
  <c r="U1158" i="5"/>
  <c r="S1158" i="5"/>
  <c r="F1158" i="5"/>
  <c r="E1158" i="5"/>
  <c r="D1158" i="5"/>
  <c r="I1158" i="5"/>
  <c r="C1158" i="5"/>
  <c r="B1158" i="5"/>
  <c r="A1158" i="5"/>
  <c r="L1157" i="5"/>
  <c r="Q1157" i="5" s="1"/>
  <c r="Z1157" i="5"/>
  <c r="Y1157" i="5"/>
  <c r="X1157" i="5"/>
  <c r="K1156" i="5"/>
  <c r="J1156" i="5"/>
  <c r="Z1156" i="5"/>
  <c r="Y1156" i="5"/>
  <c r="X1156" i="5"/>
  <c r="H1156" i="5"/>
  <c r="W1156" i="5" s="1"/>
  <c r="F1156" i="5"/>
  <c r="V1156" i="5"/>
  <c r="T1156" i="5"/>
  <c r="U1156" i="5"/>
  <c r="S1156" i="5"/>
  <c r="E1156" i="5"/>
  <c r="D1156" i="5"/>
  <c r="C1156" i="5"/>
  <c r="B1156" i="5"/>
  <c r="A1156" i="5"/>
  <c r="L1155" i="5"/>
  <c r="G1155" i="5"/>
  <c r="E1155" i="5"/>
  <c r="J1154" i="5"/>
  <c r="F1154" i="5"/>
  <c r="E1154" i="5"/>
  <c r="J1153" i="5"/>
  <c r="F1153" i="5"/>
  <c r="E1153" i="5"/>
  <c r="K1152" i="5"/>
  <c r="J1152" i="5"/>
  <c r="H1152" i="5"/>
  <c r="G1152" i="5"/>
  <c r="F1152" i="5"/>
  <c r="K1151" i="5"/>
  <c r="J1151" i="5"/>
  <c r="H1151" i="5"/>
  <c r="R1151" i="5" s="1"/>
  <c r="G1151" i="5"/>
  <c r="F1151" i="5"/>
  <c r="K1150" i="5"/>
  <c r="J1150" i="5"/>
  <c r="H1150" i="5"/>
  <c r="G1150" i="5"/>
  <c r="F1150" i="5"/>
  <c r="K1149" i="5"/>
  <c r="J1149" i="5"/>
  <c r="H1149" i="5"/>
  <c r="R1149" i="5" s="1"/>
  <c r="G1149" i="5"/>
  <c r="F1149" i="5"/>
  <c r="C1148" i="5"/>
  <c r="V1147" i="5"/>
  <c r="T1147" i="5"/>
  <c r="U1147" i="5"/>
  <c r="S1147" i="5"/>
  <c r="F1147" i="5"/>
  <c r="E1147" i="5"/>
  <c r="D1147" i="5"/>
  <c r="I1147" i="5"/>
  <c r="C1147" i="5"/>
  <c r="B1147" i="5"/>
  <c r="A1147" i="5"/>
  <c r="L1146" i="5"/>
  <c r="Q1146" i="5" s="1"/>
  <c r="Z1146" i="5"/>
  <c r="Y1146" i="5"/>
  <c r="X1146" i="5"/>
  <c r="K1145" i="5"/>
  <c r="J1145" i="5"/>
  <c r="Z1145" i="5"/>
  <c r="Y1145" i="5"/>
  <c r="X1145" i="5"/>
  <c r="H1145" i="5"/>
  <c r="W1145" i="5" s="1"/>
  <c r="F1145" i="5"/>
  <c r="V1145" i="5"/>
  <c r="T1145" i="5"/>
  <c r="U1145" i="5"/>
  <c r="S1145" i="5"/>
  <c r="E1145" i="5"/>
  <c r="D1145" i="5"/>
  <c r="C1145" i="5"/>
  <c r="B1145" i="5"/>
  <c r="A1145" i="5"/>
  <c r="K1144" i="5"/>
  <c r="J1144" i="5"/>
  <c r="Z1144" i="5"/>
  <c r="Y1144" i="5"/>
  <c r="X1144" i="5"/>
  <c r="H1144" i="5"/>
  <c r="W1144" i="5" s="1"/>
  <c r="F1144" i="5"/>
  <c r="V1144" i="5"/>
  <c r="T1144" i="5"/>
  <c r="U1144" i="5"/>
  <c r="S1144" i="5"/>
  <c r="E1144" i="5"/>
  <c r="D1144" i="5"/>
  <c r="C1144" i="5"/>
  <c r="B1144" i="5"/>
  <c r="A1144" i="5"/>
  <c r="L1143" i="5"/>
  <c r="G1143" i="5"/>
  <c r="E1143" i="5"/>
  <c r="J1142" i="5"/>
  <c r="F1142" i="5"/>
  <c r="E1142" i="5"/>
  <c r="J1141" i="5"/>
  <c r="F1141" i="5"/>
  <c r="E1141" i="5"/>
  <c r="K1140" i="5"/>
  <c r="J1140" i="5"/>
  <c r="H1140" i="5"/>
  <c r="G1140" i="5"/>
  <c r="F1140" i="5"/>
  <c r="K1139" i="5"/>
  <c r="J1139" i="5"/>
  <c r="H1139" i="5"/>
  <c r="R1139" i="5" s="1"/>
  <c r="G1139" i="5"/>
  <c r="F1139" i="5"/>
  <c r="K1138" i="5"/>
  <c r="J1138" i="5"/>
  <c r="H1138" i="5"/>
  <c r="G1138" i="5"/>
  <c r="F1138" i="5"/>
  <c r="K1137" i="5"/>
  <c r="J1137" i="5"/>
  <c r="H1137" i="5"/>
  <c r="G1137" i="5"/>
  <c r="F1137" i="5"/>
  <c r="C1136" i="5"/>
  <c r="V1135" i="5"/>
  <c r="T1135" i="5"/>
  <c r="U1135" i="5"/>
  <c r="S1135" i="5"/>
  <c r="F1135" i="5"/>
  <c r="E1135" i="5"/>
  <c r="D1135" i="5"/>
  <c r="I1135" i="5"/>
  <c r="C1135" i="5"/>
  <c r="B1135" i="5"/>
  <c r="A1135" i="5"/>
  <c r="L1134" i="5"/>
  <c r="Q1134" i="5" s="1"/>
  <c r="Z1134" i="5"/>
  <c r="Y1134" i="5"/>
  <c r="X1134" i="5"/>
  <c r="L1133" i="5"/>
  <c r="G1133" i="5"/>
  <c r="E1133" i="5"/>
  <c r="J1132" i="5"/>
  <c r="E1132" i="5"/>
  <c r="J1131" i="5"/>
  <c r="E1131" i="5"/>
  <c r="K1130" i="5"/>
  <c r="J1130" i="5"/>
  <c r="H1130" i="5"/>
  <c r="R1130" i="5" s="1"/>
  <c r="G1130" i="5"/>
  <c r="F1130" i="5"/>
  <c r="K1129" i="5"/>
  <c r="J1129" i="5"/>
  <c r="H1129" i="5"/>
  <c r="G1129" i="5"/>
  <c r="F1129" i="5"/>
  <c r="K1128" i="5"/>
  <c r="J1128" i="5"/>
  <c r="H1128" i="5"/>
  <c r="R1128" i="5" s="1"/>
  <c r="G1128" i="5"/>
  <c r="F1128" i="5"/>
  <c r="C1127" i="5"/>
  <c r="V1126" i="5"/>
  <c r="K1132" i="5" s="1"/>
  <c r="T1126" i="5"/>
  <c r="K1131" i="5" s="1"/>
  <c r="U1126" i="5"/>
  <c r="H1132" i="5" s="1"/>
  <c r="S1126" i="5"/>
  <c r="H1131" i="5" s="1"/>
  <c r="F1126" i="5"/>
  <c r="E1126" i="5"/>
  <c r="D1126" i="5"/>
  <c r="I1126" i="5"/>
  <c r="C1126" i="5"/>
  <c r="B1126" i="5"/>
  <c r="A1126" i="5"/>
  <c r="L1125" i="5"/>
  <c r="Q1125" i="5" s="1"/>
  <c r="Z1125" i="5"/>
  <c r="Y1125" i="5"/>
  <c r="X1125" i="5"/>
  <c r="L1124" i="5"/>
  <c r="G1124" i="5"/>
  <c r="E1124" i="5"/>
  <c r="J1123" i="5"/>
  <c r="F1123" i="5"/>
  <c r="E1123" i="5"/>
  <c r="J1122" i="5"/>
  <c r="F1122" i="5"/>
  <c r="E1122" i="5"/>
  <c r="K1121" i="5"/>
  <c r="J1121" i="5"/>
  <c r="H1121" i="5"/>
  <c r="R1121" i="5" s="1"/>
  <c r="G1121" i="5"/>
  <c r="F1121" i="5"/>
  <c r="K1120" i="5"/>
  <c r="J1120" i="5"/>
  <c r="H1120" i="5"/>
  <c r="G1120" i="5"/>
  <c r="F1120" i="5"/>
  <c r="K1119" i="5"/>
  <c r="J1119" i="5"/>
  <c r="H1119" i="5"/>
  <c r="R1119" i="5" s="1"/>
  <c r="G1119" i="5"/>
  <c r="F1119" i="5"/>
  <c r="C1118" i="5"/>
  <c r="V1117" i="5"/>
  <c r="K1123" i="5" s="1"/>
  <c r="T1117" i="5"/>
  <c r="K1122" i="5" s="1"/>
  <c r="U1117" i="5"/>
  <c r="H1123" i="5" s="1"/>
  <c r="S1117" i="5"/>
  <c r="H1122" i="5" s="1"/>
  <c r="F1117" i="5"/>
  <c r="E1117" i="5"/>
  <c r="D1117" i="5"/>
  <c r="I1117" i="5"/>
  <c r="C1117" i="5"/>
  <c r="B1117" i="5"/>
  <c r="A1117" i="5"/>
  <c r="A1116" i="5"/>
  <c r="A1115" i="5"/>
  <c r="L1113" i="5"/>
  <c r="Q1113" i="5" s="1"/>
  <c r="Z1113" i="5"/>
  <c r="Y1113" i="5"/>
  <c r="X1113" i="5"/>
  <c r="L1112" i="5"/>
  <c r="G1112" i="5"/>
  <c r="E1112" i="5"/>
  <c r="J1111" i="5"/>
  <c r="F1111" i="5"/>
  <c r="E1111" i="5"/>
  <c r="J1110" i="5"/>
  <c r="F1110" i="5"/>
  <c r="E1110" i="5"/>
  <c r="K1109" i="5"/>
  <c r="J1109" i="5"/>
  <c r="H1109" i="5"/>
  <c r="G1109" i="5"/>
  <c r="F1109" i="5"/>
  <c r="K1108" i="5"/>
  <c r="J1108" i="5"/>
  <c r="H1108" i="5"/>
  <c r="R1108" i="5" s="1"/>
  <c r="G1108" i="5"/>
  <c r="F1108" i="5"/>
  <c r="C1107" i="5"/>
  <c r="V1106" i="5"/>
  <c r="K1111" i="5" s="1"/>
  <c r="T1106" i="5"/>
  <c r="K1110" i="5" s="1"/>
  <c r="U1106" i="5"/>
  <c r="H1111" i="5" s="1"/>
  <c r="S1106" i="5"/>
  <c r="H1110" i="5" s="1"/>
  <c r="F1106" i="5"/>
  <c r="E1106" i="5"/>
  <c r="D1106" i="5"/>
  <c r="I1106" i="5"/>
  <c r="C1106" i="5"/>
  <c r="B1106" i="5"/>
  <c r="A1106" i="5"/>
  <c r="L1105" i="5"/>
  <c r="Q1105" i="5" s="1"/>
  <c r="Z1105" i="5"/>
  <c r="Y1105" i="5"/>
  <c r="X1105" i="5"/>
  <c r="K1104" i="5"/>
  <c r="J1104" i="5"/>
  <c r="Z1104" i="5"/>
  <c r="Y1104" i="5"/>
  <c r="X1104" i="5"/>
  <c r="H1104" i="5"/>
  <c r="W1104" i="5" s="1"/>
  <c r="F1104" i="5"/>
  <c r="V1104" i="5"/>
  <c r="T1104" i="5"/>
  <c r="U1104" i="5"/>
  <c r="S1104" i="5"/>
  <c r="E1104" i="5"/>
  <c r="D1104" i="5"/>
  <c r="C1104" i="5"/>
  <c r="B1104" i="5"/>
  <c r="A1104" i="5"/>
  <c r="K1103" i="5"/>
  <c r="J1103" i="5"/>
  <c r="Z1103" i="5"/>
  <c r="Y1103" i="5"/>
  <c r="X1103" i="5"/>
  <c r="H1103" i="5"/>
  <c r="W1103" i="5" s="1"/>
  <c r="F1103" i="5"/>
  <c r="V1103" i="5"/>
  <c r="T1103" i="5"/>
  <c r="U1103" i="5"/>
  <c r="S1103" i="5"/>
  <c r="E1103" i="5"/>
  <c r="D1103" i="5"/>
  <c r="C1103" i="5"/>
  <c r="B1103" i="5"/>
  <c r="A1103" i="5"/>
  <c r="K1102" i="5"/>
  <c r="J1102" i="5"/>
  <c r="Z1102" i="5"/>
  <c r="Y1102" i="5"/>
  <c r="X1102" i="5"/>
  <c r="H1102" i="5"/>
  <c r="W1102" i="5" s="1"/>
  <c r="F1102" i="5"/>
  <c r="V1102" i="5"/>
  <c r="T1102" i="5"/>
  <c r="U1102" i="5"/>
  <c r="S1102" i="5"/>
  <c r="E1102" i="5"/>
  <c r="D1102" i="5"/>
  <c r="C1102" i="5"/>
  <c r="B1102" i="5"/>
  <c r="A1102" i="5"/>
  <c r="L1101" i="5"/>
  <c r="G1101" i="5"/>
  <c r="E1101" i="5"/>
  <c r="J1100" i="5"/>
  <c r="F1100" i="5"/>
  <c r="E1100" i="5"/>
  <c r="J1099" i="5"/>
  <c r="F1099" i="5"/>
  <c r="E1099" i="5"/>
  <c r="K1098" i="5"/>
  <c r="J1098" i="5"/>
  <c r="H1098" i="5"/>
  <c r="G1098" i="5"/>
  <c r="F1098" i="5"/>
  <c r="K1097" i="5"/>
  <c r="J1097" i="5"/>
  <c r="H1097" i="5"/>
  <c r="R1097" i="5" s="1"/>
  <c r="G1097" i="5"/>
  <c r="F1097" i="5"/>
  <c r="K1096" i="5"/>
  <c r="J1096" i="5"/>
  <c r="H1096" i="5"/>
  <c r="G1096" i="5"/>
  <c r="F1096" i="5"/>
  <c r="K1095" i="5"/>
  <c r="J1095" i="5"/>
  <c r="H1095" i="5"/>
  <c r="R1095" i="5" s="1"/>
  <c r="G1095" i="5"/>
  <c r="F1095" i="5"/>
  <c r="C1094" i="5"/>
  <c r="V1093" i="5"/>
  <c r="T1093" i="5"/>
  <c r="U1093" i="5"/>
  <c r="S1093" i="5"/>
  <c r="F1093" i="5"/>
  <c r="E1093" i="5"/>
  <c r="D1093" i="5"/>
  <c r="I1093" i="5"/>
  <c r="C1093" i="5"/>
  <c r="B1093" i="5"/>
  <c r="A1093" i="5"/>
  <c r="L1092" i="5"/>
  <c r="Q1092" i="5" s="1"/>
  <c r="Z1092" i="5"/>
  <c r="Y1092" i="5"/>
  <c r="X1092" i="5"/>
  <c r="K1091" i="5"/>
  <c r="J1091" i="5"/>
  <c r="Z1091" i="5"/>
  <c r="Y1091" i="5"/>
  <c r="X1091" i="5"/>
  <c r="H1091" i="5"/>
  <c r="W1091" i="5" s="1"/>
  <c r="F1091" i="5"/>
  <c r="V1091" i="5"/>
  <c r="T1091" i="5"/>
  <c r="U1091" i="5"/>
  <c r="S1091" i="5"/>
  <c r="E1091" i="5"/>
  <c r="D1091" i="5"/>
  <c r="C1091" i="5"/>
  <c r="B1091" i="5"/>
  <c r="A1091" i="5"/>
  <c r="L1090" i="5"/>
  <c r="G1090" i="5"/>
  <c r="E1090" i="5"/>
  <c r="J1089" i="5"/>
  <c r="F1089" i="5"/>
  <c r="E1089" i="5"/>
  <c r="J1088" i="5"/>
  <c r="F1088" i="5"/>
  <c r="E1088" i="5"/>
  <c r="K1087" i="5"/>
  <c r="J1087" i="5"/>
  <c r="H1087" i="5"/>
  <c r="G1087" i="5"/>
  <c r="F1087" i="5"/>
  <c r="K1086" i="5"/>
  <c r="J1086" i="5"/>
  <c r="H1086" i="5"/>
  <c r="R1086" i="5" s="1"/>
  <c r="G1086" i="5"/>
  <c r="F1086" i="5"/>
  <c r="K1085" i="5"/>
  <c r="J1085" i="5"/>
  <c r="H1085" i="5"/>
  <c r="G1085" i="5"/>
  <c r="F1085" i="5"/>
  <c r="K1084" i="5"/>
  <c r="J1084" i="5"/>
  <c r="H1084" i="5"/>
  <c r="G1084" i="5"/>
  <c r="F1084" i="5"/>
  <c r="V1083" i="5"/>
  <c r="T1083" i="5"/>
  <c r="U1083" i="5"/>
  <c r="S1083" i="5"/>
  <c r="F1083" i="5"/>
  <c r="E1083" i="5"/>
  <c r="D1083" i="5"/>
  <c r="I1083" i="5"/>
  <c r="C1083" i="5"/>
  <c r="B1083" i="5"/>
  <c r="A1083" i="5"/>
  <c r="L1082" i="5"/>
  <c r="Q1082" i="5" s="1"/>
  <c r="Z1082" i="5"/>
  <c r="Y1082" i="5"/>
  <c r="X1082" i="5"/>
  <c r="L1081" i="5"/>
  <c r="G1081" i="5"/>
  <c r="E1081" i="5"/>
  <c r="J1080" i="5"/>
  <c r="E1080" i="5"/>
  <c r="J1079" i="5"/>
  <c r="E1079" i="5"/>
  <c r="K1078" i="5"/>
  <c r="J1078" i="5"/>
  <c r="H1078" i="5"/>
  <c r="R1078" i="5" s="1"/>
  <c r="G1078" i="5"/>
  <c r="F1078" i="5"/>
  <c r="K1077" i="5"/>
  <c r="J1077" i="5"/>
  <c r="H1077" i="5"/>
  <c r="G1077" i="5"/>
  <c r="F1077" i="5"/>
  <c r="K1076" i="5"/>
  <c r="J1076" i="5"/>
  <c r="H1076" i="5"/>
  <c r="G1076" i="5"/>
  <c r="F1076" i="5"/>
  <c r="C1075" i="5"/>
  <c r="V1074" i="5"/>
  <c r="K1080" i="5" s="1"/>
  <c r="T1074" i="5"/>
  <c r="K1079" i="5" s="1"/>
  <c r="U1074" i="5"/>
  <c r="H1080" i="5" s="1"/>
  <c r="S1074" i="5"/>
  <c r="H1079" i="5" s="1"/>
  <c r="F1074" i="5"/>
  <c r="E1074" i="5"/>
  <c r="D1074" i="5"/>
  <c r="I1074" i="5"/>
  <c r="C1074" i="5"/>
  <c r="B1074" i="5"/>
  <c r="A1074" i="5"/>
  <c r="A1073" i="5"/>
  <c r="A1072" i="5"/>
  <c r="L1070" i="5"/>
  <c r="Q1070" i="5" s="1"/>
  <c r="Z1070" i="5"/>
  <c r="Y1070" i="5"/>
  <c r="X1070" i="5"/>
  <c r="K1069" i="5"/>
  <c r="J1069" i="5"/>
  <c r="Z1069" i="5"/>
  <c r="Y1069" i="5"/>
  <c r="X1069" i="5"/>
  <c r="H1069" i="5"/>
  <c r="W1069" i="5" s="1"/>
  <c r="F1069" i="5"/>
  <c r="V1069" i="5"/>
  <c r="T1069" i="5"/>
  <c r="U1069" i="5"/>
  <c r="S1069" i="5"/>
  <c r="E1069" i="5"/>
  <c r="D1069" i="5"/>
  <c r="C1069" i="5"/>
  <c r="B1069" i="5"/>
  <c r="A1069" i="5"/>
  <c r="K1068" i="5"/>
  <c r="J1068" i="5"/>
  <c r="Z1068" i="5"/>
  <c r="Y1068" i="5"/>
  <c r="X1068" i="5"/>
  <c r="H1068" i="5"/>
  <c r="W1068" i="5" s="1"/>
  <c r="F1068" i="5"/>
  <c r="V1068" i="5"/>
  <c r="T1068" i="5"/>
  <c r="U1068" i="5"/>
  <c r="S1068" i="5"/>
  <c r="E1068" i="5"/>
  <c r="D1068" i="5"/>
  <c r="C1068" i="5"/>
  <c r="B1068" i="5"/>
  <c r="A1068" i="5"/>
  <c r="K1067" i="5"/>
  <c r="J1067" i="5"/>
  <c r="Z1067" i="5"/>
  <c r="Y1067" i="5"/>
  <c r="X1067" i="5"/>
  <c r="H1067" i="5"/>
  <c r="W1067" i="5" s="1"/>
  <c r="F1067" i="5"/>
  <c r="V1067" i="5"/>
  <c r="T1067" i="5"/>
  <c r="U1067" i="5"/>
  <c r="S1067" i="5"/>
  <c r="E1067" i="5"/>
  <c r="D1067" i="5"/>
  <c r="C1067" i="5"/>
  <c r="B1067" i="5"/>
  <c r="A1067" i="5"/>
  <c r="L1066" i="5"/>
  <c r="G1066" i="5"/>
  <c r="E1066" i="5"/>
  <c r="J1065" i="5"/>
  <c r="F1065" i="5"/>
  <c r="E1065" i="5"/>
  <c r="J1064" i="5"/>
  <c r="F1064" i="5"/>
  <c r="E1064" i="5"/>
  <c r="K1063" i="5"/>
  <c r="J1063" i="5"/>
  <c r="H1063" i="5"/>
  <c r="G1063" i="5"/>
  <c r="F1063" i="5"/>
  <c r="K1062" i="5"/>
  <c r="J1062" i="5"/>
  <c r="H1062" i="5"/>
  <c r="R1062" i="5" s="1"/>
  <c r="G1062" i="5"/>
  <c r="F1062" i="5"/>
  <c r="K1061" i="5"/>
  <c r="J1061" i="5"/>
  <c r="H1061" i="5"/>
  <c r="G1061" i="5"/>
  <c r="F1061" i="5"/>
  <c r="K1060" i="5"/>
  <c r="J1060" i="5"/>
  <c r="H1060" i="5"/>
  <c r="R1060" i="5" s="1"/>
  <c r="G1060" i="5"/>
  <c r="F1060" i="5"/>
  <c r="C1059" i="5"/>
  <c r="V1058" i="5"/>
  <c r="T1058" i="5"/>
  <c r="U1058" i="5"/>
  <c r="S1058" i="5"/>
  <c r="F1058" i="5"/>
  <c r="E1058" i="5"/>
  <c r="D1058" i="5"/>
  <c r="I1058" i="5"/>
  <c r="C1058" i="5"/>
  <c r="B1058" i="5"/>
  <c r="A1058" i="5"/>
  <c r="L1057" i="5"/>
  <c r="Q1057" i="5" s="1"/>
  <c r="Z1057" i="5"/>
  <c r="Y1057" i="5"/>
  <c r="X1057" i="5"/>
  <c r="L1056" i="5"/>
  <c r="G1056" i="5"/>
  <c r="E1056" i="5"/>
  <c r="J1055" i="5"/>
  <c r="E1055" i="5"/>
  <c r="J1054" i="5"/>
  <c r="E1054" i="5"/>
  <c r="K1053" i="5"/>
  <c r="J1053" i="5"/>
  <c r="H1053" i="5"/>
  <c r="R1053" i="5" s="1"/>
  <c r="G1053" i="5"/>
  <c r="F1053" i="5"/>
  <c r="K1052" i="5"/>
  <c r="J1052" i="5"/>
  <c r="H1052" i="5"/>
  <c r="G1052" i="5"/>
  <c r="F1052" i="5"/>
  <c r="K1051" i="5"/>
  <c r="J1051" i="5"/>
  <c r="H1051" i="5"/>
  <c r="G1051" i="5"/>
  <c r="F1051" i="5"/>
  <c r="C1050" i="5"/>
  <c r="V1049" i="5"/>
  <c r="K1055" i="5" s="1"/>
  <c r="T1049" i="5"/>
  <c r="K1054" i="5" s="1"/>
  <c r="U1049" i="5"/>
  <c r="H1055" i="5" s="1"/>
  <c r="S1049" i="5"/>
  <c r="H1054" i="5" s="1"/>
  <c r="F1049" i="5"/>
  <c r="E1049" i="5"/>
  <c r="D1049" i="5"/>
  <c r="I1049" i="5"/>
  <c r="C1049" i="5"/>
  <c r="B1049" i="5"/>
  <c r="A1049" i="5"/>
  <c r="A1048" i="5"/>
  <c r="A1047" i="5"/>
  <c r="L1045" i="5"/>
  <c r="Q1045" i="5" s="1"/>
  <c r="Z1045" i="5"/>
  <c r="Y1045" i="5"/>
  <c r="W1045" i="5"/>
  <c r="K1044" i="5"/>
  <c r="J1044" i="5"/>
  <c r="Z1044" i="5"/>
  <c r="Y1044" i="5"/>
  <c r="W1044" i="5"/>
  <c r="H1044" i="5"/>
  <c r="X1044" i="5" s="1"/>
  <c r="F1044" i="5"/>
  <c r="V1044" i="5"/>
  <c r="T1044" i="5"/>
  <c r="U1044" i="5"/>
  <c r="S1044" i="5"/>
  <c r="E1044" i="5"/>
  <c r="D1044" i="5"/>
  <c r="C1044" i="5"/>
  <c r="B1044" i="5"/>
  <c r="A1044" i="5"/>
  <c r="L1043" i="5"/>
  <c r="G1043" i="5"/>
  <c r="E1043" i="5"/>
  <c r="J1042" i="5"/>
  <c r="E1042" i="5"/>
  <c r="J1041" i="5"/>
  <c r="E1041" i="5"/>
  <c r="K1040" i="5"/>
  <c r="J1040" i="5"/>
  <c r="H1040" i="5"/>
  <c r="G1040" i="5"/>
  <c r="F1040" i="5"/>
  <c r="K1039" i="5"/>
  <c r="J1039" i="5"/>
  <c r="H1039" i="5"/>
  <c r="R1039" i="5" s="1"/>
  <c r="G1039" i="5"/>
  <c r="F1039" i="5"/>
  <c r="K1038" i="5"/>
  <c r="J1038" i="5"/>
  <c r="H1038" i="5"/>
  <c r="G1038" i="5"/>
  <c r="F1038" i="5"/>
  <c r="K1037" i="5"/>
  <c r="J1037" i="5"/>
  <c r="H1037" i="5"/>
  <c r="G1037" i="5"/>
  <c r="F1037" i="5"/>
  <c r="C1036" i="5"/>
  <c r="V1035" i="5"/>
  <c r="T1035" i="5"/>
  <c r="U1035" i="5"/>
  <c r="S1035" i="5"/>
  <c r="F1035" i="5"/>
  <c r="E1035" i="5"/>
  <c r="D1035" i="5"/>
  <c r="I1035" i="5"/>
  <c r="C1035" i="5"/>
  <c r="B1035" i="5"/>
  <c r="A1035" i="5"/>
  <c r="L1034" i="5"/>
  <c r="Q1034" i="5" s="1"/>
  <c r="Z1034" i="5"/>
  <c r="Y1034" i="5"/>
  <c r="W1034" i="5"/>
  <c r="K1033" i="5"/>
  <c r="J1033" i="5"/>
  <c r="Z1033" i="5"/>
  <c r="Y1033" i="5"/>
  <c r="W1033" i="5"/>
  <c r="H1033" i="5"/>
  <c r="X1033" i="5" s="1"/>
  <c r="F1033" i="5"/>
  <c r="V1033" i="5"/>
  <c r="T1033" i="5"/>
  <c r="U1033" i="5"/>
  <c r="S1033" i="5"/>
  <c r="E1033" i="5"/>
  <c r="D1033" i="5"/>
  <c r="C1033" i="5"/>
  <c r="B1033" i="5"/>
  <c r="A1033" i="5"/>
  <c r="L1032" i="5"/>
  <c r="G1032" i="5"/>
  <c r="E1032" i="5"/>
  <c r="J1031" i="5"/>
  <c r="E1031" i="5"/>
  <c r="J1030" i="5"/>
  <c r="E1030" i="5"/>
  <c r="K1029" i="5"/>
  <c r="J1029" i="5"/>
  <c r="H1029" i="5"/>
  <c r="G1029" i="5"/>
  <c r="F1029" i="5"/>
  <c r="K1028" i="5"/>
  <c r="J1028" i="5"/>
  <c r="H1028" i="5"/>
  <c r="R1028" i="5" s="1"/>
  <c r="G1028" i="5"/>
  <c r="F1028" i="5"/>
  <c r="K1027" i="5"/>
  <c r="J1027" i="5"/>
  <c r="H1027" i="5"/>
  <c r="G1027" i="5"/>
  <c r="F1027" i="5"/>
  <c r="K1026" i="5"/>
  <c r="J1026" i="5"/>
  <c r="H1026" i="5"/>
  <c r="G1026" i="5"/>
  <c r="F1026" i="5"/>
  <c r="C1025" i="5"/>
  <c r="V1024" i="5"/>
  <c r="T1024" i="5"/>
  <c r="U1024" i="5"/>
  <c r="S1024" i="5"/>
  <c r="F1024" i="5"/>
  <c r="E1024" i="5"/>
  <c r="D1024" i="5"/>
  <c r="I1024" i="5"/>
  <c r="C1024" i="5"/>
  <c r="B1024" i="5"/>
  <c r="A1024" i="5"/>
  <c r="L1023" i="5"/>
  <c r="Q1023" i="5" s="1"/>
  <c r="Z1023" i="5"/>
  <c r="Y1023" i="5"/>
  <c r="X1023" i="5"/>
  <c r="L1022" i="5"/>
  <c r="G1022" i="5"/>
  <c r="E1022" i="5"/>
  <c r="J1021" i="5"/>
  <c r="E1021" i="5"/>
  <c r="J1020" i="5"/>
  <c r="E1020" i="5"/>
  <c r="K1019" i="5"/>
  <c r="J1019" i="5"/>
  <c r="H1019" i="5"/>
  <c r="R1019" i="5" s="1"/>
  <c r="G1019" i="5"/>
  <c r="F1019" i="5"/>
  <c r="C1018" i="5"/>
  <c r="V1017" i="5"/>
  <c r="K1021" i="5" s="1"/>
  <c r="T1017" i="5"/>
  <c r="K1020" i="5" s="1"/>
  <c r="U1017" i="5"/>
  <c r="H1021" i="5" s="1"/>
  <c r="S1017" i="5"/>
  <c r="H1020" i="5" s="1"/>
  <c r="F1017" i="5"/>
  <c r="E1017" i="5"/>
  <c r="D1017" i="5"/>
  <c r="I1017" i="5"/>
  <c r="C1017" i="5"/>
  <c r="B1017" i="5"/>
  <c r="A1017" i="5"/>
  <c r="L1016" i="5"/>
  <c r="Q1016" i="5" s="1"/>
  <c r="Z1016" i="5"/>
  <c r="Y1016" i="5"/>
  <c r="W1016" i="5"/>
  <c r="K1015" i="5"/>
  <c r="J1015" i="5"/>
  <c r="Z1015" i="5"/>
  <c r="Y1015" i="5"/>
  <c r="W1015" i="5"/>
  <c r="H1015" i="5"/>
  <c r="X1015" i="5" s="1"/>
  <c r="F1015" i="5"/>
  <c r="V1015" i="5"/>
  <c r="T1015" i="5"/>
  <c r="U1015" i="5"/>
  <c r="S1015" i="5"/>
  <c r="E1015" i="5"/>
  <c r="D1015" i="5"/>
  <c r="C1015" i="5"/>
  <c r="B1015" i="5"/>
  <c r="A1015" i="5"/>
  <c r="L1014" i="5"/>
  <c r="G1014" i="5"/>
  <c r="E1014" i="5"/>
  <c r="J1013" i="5"/>
  <c r="E1013" i="5"/>
  <c r="J1012" i="5"/>
  <c r="E1012" i="5"/>
  <c r="K1011" i="5"/>
  <c r="J1011" i="5"/>
  <c r="H1011" i="5"/>
  <c r="G1011" i="5"/>
  <c r="F1011" i="5"/>
  <c r="K1010" i="5"/>
  <c r="J1010" i="5"/>
  <c r="H1010" i="5"/>
  <c r="R1010" i="5" s="1"/>
  <c r="G1010" i="5"/>
  <c r="F1010" i="5"/>
  <c r="K1009" i="5"/>
  <c r="J1009" i="5"/>
  <c r="H1009" i="5"/>
  <c r="G1009" i="5"/>
  <c r="F1009" i="5"/>
  <c r="K1008" i="5"/>
  <c r="J1008" i="5"/>
  <c r="H1008" i="5"/>
  <c r="R1008" i="5" s="1"/>
  <c r="G1008" i="5"/>
  <c r="F1008" i="5"/>
  <c r="C1007" i="5"/>
  <c r="V1006" i="5"/>
  <c r="T1006" i="5"/>
  <c r="U1006" i="5"/>
  <c r="S1006" i="5"/>
  <c r="F1006" i="5"/>
  <c r="E1006" i="5"/>
  <c r="D1006" i="5"/>
  <c r="I1006" i="5"/>
  <c r="C1006" i="5"/>
  <c r="B1006" i="5"/>
  <c r="A1006" i="5"/>
  <c r="L1005" i="5"/>
  <c r="Q1005" i="5" s="1"/>
  <c r="Z1005" i="5"/>
  <c r="Y1005" i="5"/>
  <c r="W1005" i="5"/>
  <c r="K1004" i="5"/>
  <c r="J1004" i="5"/>
  <c r="Z1004" i="5"/>
  <c r="Y1004" i="5"/>
  <c r="W1004" i="5"/>
  <c r="H1004" i="5"/>
  <c r="X1004" i="5" s="1"/>
  <c r="F1004" i="5"/>
  <c r="V1004" i="5"/>
  <c r="T1004" i="5"/>
  <c r="U1004" i="5"/>
  <c r="S1004" i="5"/>
  <c r="E1004" i="5"/>
  <c r="D1004" i="5"/>
  <c r="C1004" i="5"/>
  <c r="B1004" i="5"/>
  <c r="A1004" i="5"/>
  <c r="L1003" i="5"/>
  <c r="G1003" i="5"/>
  <c r="E1003" i="5"/>
  <c r="J1002" i="5"/>
  <c r="E1002" i="5"/>
  <c r="J1001" i="5"/>
  <c r="E1001" i="5"/>
  <c r="K1000" i="5"/>
  <c r="J1000" i="5"/>
  <c r="H1000" i="5"/>
  <c r="G1000" i="5"/>
  <c r="F1000" i="5"/>
  <c r="K999" i="5"/>
  <c r="J999" i="5"/>
  <c r="H999" i="5"/>
  <c r="R999" i="5" s="1"/>
  <c r="G999" i="5"/>
  <c r="F999" i="5"/>
  <c r="K998" i="5"/>
  <c r="J998" i="5"/>
  <c r="H998" i="5"/>
  <c r="G998" i="5"/>
  <c r="F998" i="5"/>
  <c r="K997" i="5"/>
  <c r="J997" i="5"/>
  <c r="H997" i="5"/>
  <c r="R997" i="5" s="1"/>
  <c r="G997" i="5"/>
  <c r="F997" i="5"/>
  <c r="C996" i="5"/>
  <c r="V995" i="5"/>
  <c r="T995" i="5"/>
  <c r="U995" i="5"/>
  <c r="S995" i="5"/>
  <c r="F995" i="5"/>
  <c r="E995" i="5"/>
  <c r="D995" i="5"/>
  <c r="I995" i="5"/>
  <c r="C995" i="5"/>
  <c r="B995" i="5"/>
  <c r="A995" i="5"/>
  <c r="A994" i="5"/>
  <c r="A993" i="5"/>
  <c r="L991" i="5"/>
  <c r="Q991" i="5" s="1"/>
  <c r="Z991" i="5"/>
  <c r="Y991" i="5"/>
  <c r="W991" i="5"/>
  <c r="L990" i="5"/>
  <c r="G990" i="5"/>
  <c r="E990" i="5"/>
  <c r="J989" i="5"/>
  <c r="E989" i="5"/>
  <c r="J988" i="5"/>
  <c r="E988" i="5"/>
  <c r="K987" i="5"/>
  <c r="J987" i="5"/>
  <c r="H987" i="5"/>
  <c r="G987" i="5"/>
  <c r="F987" i="5"/>
  <c r="K986" i="5"/>
  <c r="J986" i="5"/>
  <c r="H986" i="5"/>
  <c r="G986" i="5"/>
  <c r="F986" i="5"/>
  <c r="V985" i="5"/>
  <c r="K989" i="5" s="1"/>
  <c r="T985" i="5"/>
  <c r="K988" i="5" s="1"/>
  <c r="U985" i="5"/>
  <c r="H989" i="5" s="1"/>
  <c r="S985" i="5"/>
  <c r="H988" i="5" s="1"/>
  <c r="F985" i="5"/>
  <c r="E985" i="5"/>
  <c r="D985" i="5"/>
  <c r="I985" i="5"/>
  <c r="C985" i="5"/>
  <c r="B985" i="5"/>
  <c r="A985" i="5"/>
  <c r="L984" i="5"/>
  <c r="Q984" i="5" s="1"/>
  <c r="Z984" i="5"/>
  <c r="Y984" i="5"/>
  <c r="W984" i="5"/>
  <c r="K983" i="5"/>
  <c r="J983" i="5"/>
  <c r="Z983" i="5"/>
  <c r="Y983" i="5"/>
  <c r="W983" i="5"/>
  <c r="H983" i="5"/>
  <c r="X983" i="5" s="1"/>
  <c r="F983" i="5"/>
  <c r="V983" i="5"/>
  <c r="T983" i="5"/>
  <c r="U983" i="5"/>
  <c r="S983" i="5"/>
  <c r="E983" i="5"/>
  <c r="D983" i="5"/>
  <c r="C983" i="5"/>
  <c r="B983" i="5"/>
  <c r="A983" i="5"/>
  <c r="L982" i="5"/>
  <c r="G982" i="5"/>
  <c r="E982" i="5"/>
  <c r="J981" i="5"/>
  <c r="E981" i="5"/>
  <c r="J980" i="5"/>
  <c r="E980" i="5"/>
  <c r="K979" i="5"/>
  <c r="J979" i="5"/>
  <c r="H979" i="5"/>
  <c r="G979" i="5"/>
  <c r="F979" i="5"/>
  <c r="K978" i="5"/>
  <c r="J978" i="5"/>
  <c r="H978" i="5"/>
  <c r="R978" i="5" s="1"/>
  <c r="G978" i="5"/>
  <c r="F978" i="5"/>
  <c r="K977" i="5"/>
  <c r="J977" i="5"/>
  <c r="H977" i="5"/>
  <c r="G977" i="5"/>
  <c r="F977" i="5"/>
  <c r="K976" i="5"/>
  <c r="J976" i="5"/>
  <c r="H976" i="5"/>
  <c r="R976" i="5" s="1"/>
  <c r="G976" i="5"/>
  <c r="F976" i="5"/>
  <c r="C975" i="5"/>
  <c r="V974" i="5"/>
  <c r="T974" i="5"/>
  <c r="U974" i="5"/>
  <c r="S974" i="5"/>
  <c r="F974" i="5"/>
  <c r="E974" i="5"/>
  <c r="D974" i="5"/>
  <c r="I974" i="5"/>
  <c r="C974" i="5"/>
  <c r="B974" i="5"/>
  <c r="A974" i="5"/>
  <c r="L973" i="5"/>
  <c r="Q973" i="5" s="1"/>
  <c r="Z973" i="5"/>
  <c r="Y973" i="5"/>
  <c r="W973" i="5"/>
  <c r="K972" i="5"/>
  <c r="J972" i="5"/>
  <c r="Z972" i="5"/>
  <c r="Y972" i="5"/>
  <c r="W972" i="5"/>
  <c r="H972" i="5"/>
  <c r="X972" i="5" s="1"/>
  <c r="F972" i="5"/>
  <c r="V972" i="5"/>
  <c r="T972" i="5"/>
  <c r="U972" i="5"/>
  <c r="S972" i="5"/>
  <c r="E972" i="5"/>
  <c r="D972" i="5"/>
  <c r="C972" i="5"/>
  <c r="B972" i="5"/>
  <c r="A972" i="5"/>
  <c r="L971" i="5"/>
  <c r="G971" i="5"/>
  <c r="E971" i="5"/>
  <c r="J970" i="5"/>
  <c r="E970" i="5"/>
  <c r="J969" i="5"/>
  <c r="E969" i="5"/>
  <c r="K968" i="5"/>
  <c r="J968" i="5"/>
  <c r="H968" i="5"/>
  <c r="G968" i="5"/>
  <c r="F968" i="5"/>
  <c r="K967" i="5"/>
  <c r="J967" i="5"/>
  <c r="H967" i="5"/>
  <c r="G967" i="5"/>
  <c r="F967" i="5"/>
  <c r="C966" i="5"/>
  <c r="V965" i="5"/>
  <c r="T965" i="5"/>
  <c r="U965" i="5"/>
  <c r="S965" i="5"/>
  <c r="F965" i="5"/>
  <c r="E965" i="5"/>
  <c r="D965" i="5"/>
  <c r="I965" i="5"/>
  <c r="C965" i="5"/>
  <c r="B965" i="5"/>
  <c r="A965" i="5"/>
  <c r="L964" i="5"/>
  <c r="Q964" i="5" s="1"/>
  <c r="Z964" i="5"/>
  <c r="Y964" i="5"/>
  <c r="W964" i="5"/>
  <c r="K963" i="5"/>
  <c r="J963" i="5"/>
  <c r="Z963" i="5"/>
  <c r="Y963" i="5"/>
  <c r="W963" i="5"/>
  <c r="H963" i="5"/>
  <c r="X963" i="5" s="1"/>
  <c r="F963" i="5"/>
  <c r="V963" i="5"/>
  <c r="T963" i="5"/>
  <c r="U963" i="5"/>
  <c r="S963" i="5"/>
  <c r="E963" i="5"/>
  <c r="D963" i="5"/>
  <c r="C963" i="5"/>
  <c r="B963" i="5"/>
  <c r="A963" i="5"/>
  <c r="L962" i="5"/>
  <c r="G962" i="5"/>
  <c r="E962" i="5"/>
  <c r="J961" i="5"/>
  <c r="E961" i="5"/>
  <c r="J960" i="5"/>
  <c r="E960" i="5"/>
  <c r="K959" i="5"/>
  <c r="J959" i="5"/>
  <c r="H959" i="5"/>
  <c r="G959" i="5"/>
  <c r="F959" i="5"/>
  <c r="K958" i="5"/>
  <c r="J958" i="5"/>
  <c r="H958" i="5"/>
  <c r="R958" i="5" s="1"/>
  <c r="G958" i="5"/>
  <c r="F958" i="5"/>
  <c r="V957" i="5"/>
  <c r="T957" i="5"/>
  <c r="U957" i="5"/>
  <c r="S957" i="5"/>
  <c r="F957" i="5"/>
  <c r="E957" i="5"/>
  <c r="D957" i="5"/>
  <c r="I957" i="5"/>
  <c r="C957" i="5"/>
  <c r="B957" i="5"/>
  <c r="A957" i="5"/>
  <c r="A956" i="5"/>
  <c r="A955" i="5"/>
  <c r="L953" i="5"/>
  <c r="Q953" i="5" s="1"/>
  <c r="Y953" i="5"/>
  <c r="X953" i="5"/>
  <c r="W953" i="5"/>
  <c r="L952" i="5"/>
  <c r="G952" i="5"/>
  <c r="E952" i="5"/>
  <c r="J951" i="5"/>
  <c r="E951" i="5"/>
  <c r="J950" i="5"/>
  <c r="E950" i="5"/>
  <c r="K949" i="5"/>
  <c r="J949" i="5"/>
  <c r="H949" i="5"/>
  <c r="R949" i="5" s="1"/>
  <c r="G949" i="5"/>
  <c r="F949" i="5"/>
  <c r="V948" i="5"/>
  <c r="K951" i="5" s="1"/>
  <c r="T948" i="5"/>
  <c r="K950" i="5" s="1"/>
  <c r="U948" i="5"/>
  <c r="H951" i="5" s="1"/>
  <c r="S948" i="5"/>
  <c r="H950" i="5" s="1"/>
  <c r="F948" i="5"/>
  <c r="E948" i="5"/>
  <c r="D948" i="5"/>
  <c r="I948" i="5"/>
  <c r="C948" i="5"/>
  <c r="B948" i="5"/>
  <c r="A948" i="5"/>
  <c r="L947" i="5"/>
  <c r="Q947" i="5" s="1"/>
  <c r="Y947" i="5"/>
  <c r="X947" i="5"/>
  <c r="W947" i="5"/>
  <c r="L946" i="5"/>
  <c r="G946" i="5"/>
  <c r="E946" i="5"/>
  <c r="J945" i="5"/>
  <c r="E945" i="5"/>
  <c r="J944" i="5"/>
  <c r="E944" i="5"/>
  <c r="K943" i="5"/>
  <c r="J943" i="5"/>
  <c r="H943" i="5"/>
  <c r="G943" i="5"/>
  <c r="F943" i="5"/>
  <c r="C942" i="5"/>
  <c r="V941" i="5"/>
  <c r="K945" i="5" s="1"/>
  <c r="T941" i="5"/>
  <c r="K944" i="5" s="1"/>
  <c r="U941" i="5"/>
  <c r="H945" i="5" s="1"/>
  <c r="S941" i="5"/>
  <c r="H944" i="5" s="1"/>
  <c r="F941" i="5"/>
  <c r="E941" i="5"/>
  <c r="D941" i="5"/>
  <c r="I941" i="5"/>
  <c r="C941" i="5"/>
  <c r="B941" i="5"/>
  <c r="A941" i="5"/>
  <c r="L940" i="5"/>
  <c r="Q940" i="5" s="1"/>
  <c r="Y940" i="5"/>
  <c r="X940" i="5"/>
  <c r="W940" i="5"/>
  <c r="L939" i="5"/>
  <c r="G939" i="5"/>
  <c r="E939" i="5"/>
  <c r="J938" i="5"/>
  <c r="E938" i="5"/>
  <c r="J937" i="5"/>
  <c r="E937" i="5"/>
  <c r="K936" i="5"/>
  <c r="J936" i="5"/>
  <c r="H936" i="5"/>
  <c r="R936" i="5" s="1"/>
  <c r="G936" i="5"/>
  <c r="F936" i="5"/>
  <c r="V935" i="5"/>
  <c r="K938" i="5" s="1"/>
  <c r="T935" i="5"/>
  <c r="K937" i="5" s="1"/>
  <c r="U935" i="5"/>
  <c r="H938" i="5" s="1"/>
  <c r="S935" i="5"/>
  <c r="H937" i="5" s="1"/>
  <c r="F935" i="5"/>
  <c r="E935" i="5"/>
  <c r="D935" i="5"/>
  <c r="I935" i="5"/>
  <c r="C935" i="5"/>
  <c r="B935" i="5"/>
  <c r="A935" i="5"/>
  <c r="L934" i="5"/>
  <c r="Q934" i="5" s="1"/>
  <c r="Y934" i="5"/>
  <c r="X934" i="5"/>
  <c r="W934" i="5"/>
  <c r="L933" i="5"/>
  <c r="G933" i="5"/>
  <c r="E933" i="5"/>
  <c r="J932" i="5"/>
  <c r="E932" i="5"/>
  <c r="J931" i="5"/>
  <c r="E931" i="5"/>
  <c r="K930" i="5"/>
  <c r="J930" i="5"/>
  <c r="H930" i="5"/>
  <c r="R930" i="5" s="1"/>
  <c r="G930" i="5"/>
  <c r="F930" i="5"/>
  <c r="V929" i="5"/>
  <c r="K932" i="5" s="1"/>
  <c r="T929" i="5"/>
  <c r="K931" i="5" s="1"/>
  <c r="U929" i="5"/>
  <c r="H932" i="5" s="1"/>
  <c r="S929" i="5"/>
  <c r="H931" i="5" s="1"/>
  <c r="F929" i="5"/>
  <c r="E929" i="5"/>
  <c r="D929" i="5"/>
  <c r="I929" i="5"/>
  <c r="C929" i="5"/>
  <c r="B929" i="5"/>
  <c r="A929" i="5"/>
  <c r="A928" i="5"/>
  <c r="A927" i="5"/>
  <c r="A925" i="5"/>
  <c r="L923" i="5"/>
  <c r="Q923" i="5" s="1"/>
  <c r="Z923" i="5"/>
  <c r="Y923" i="5"/>
  <c r="W923" i="5"/>
  <c r="K922" i="5"/>
  <c r="J922" i="5"/>
  <c r="Z922" i="5"/>
  <c r="Y922" i="5"/>
  <c r="W922" i="5"/>
  <c r="H922" i="5"/>
  <c r="X922" i="5" s="1"/>
  <c r="F922" i="5"/>
  <c r="V922" i="5"/>
  <c r="T922" i="5"/>
  <c r="U922" i="5"/>
  <c r="S922" i="5"/>
  <c r="E922" i="5"/>
  <c r="D922" i="5"/>
  <c r="C922" i="5"/>
  <c r="B922" i="5"/>
  <c r="A922" i="5"/>
  <c r="L921" i="5"/>
  <c r="G921" i="5"/>
  <c r="E921" i="5"/>
  <c r="J920" i="5"/>
  <c r="E920" i="5"/>
  <c r="J919" i="5"/>
  <c r="E919" i="5"/>
  <c r="K918" i="5"/>
  <c r="J918" i="5"/>
  <c r="H918" i="5"/>
  <c r="G918" i="5"/>
  <c r="F918" i="5"/>
  <c r="K917" i="5"/>
  <c r="J917" i="5"/>
  <c r="H917" i="5"/>
  <c r="G917" i="5"/>
  <c r="F917" i="5"/>
  <c r="V916" i="5"/>
  <c r="T916" i="5"/>
  <c r="U916" i="5"/>
  <c r="S916" i="5"/>
  <c r="F916" i="5"/>
  <c r="E916" i="5"/>
  <c r="D916" i="5"/>
  <c r="I916" i="5"/>
  <c r="C916" i="5"/>
  <c r="B916" i="5"/>
  <c r="A916" i="5"/>
  <c r="L915" i="5"/>
  <c r="Q915" i="5" s="1"/>
  <c r="Z915" i="5"/>
  <c r="Y915" i="5"/>
  <c r="W915" i="5"/>
  <c r="K914" i="5"/>
  <c r="J914" i="5"/>
  <c r="Z914" i="5"/>
  <c r="Y914" i="5"/>
  <c r="W914" i="5"/>
  <c r="H914" i="5"/>
  <c r="X914" i="5" s="1"/>
  <c r="F914" i="5"/>
  <c r="V914" i="5"/>
  <c r="T914" i="5"/>
  <c r="U914" i="5"/>
  <c r="S914" i="5"/>
  <c r="E914" i="5"/>
  <c r="D914" i="5"/>
  <c r="C914" i="5"/>
  <c r="B914" i="5"/>
  <c r="A914" i="5"/>
  <c r="L913" i="5"/>
  <c r="G913" i="5"/>
  <c r="E913" i="5"/>
  <c r="J912" i="5"/>
  <c r="E912" i="5"/>
  <c r="J911" i="5"/>
  <c r="E911" i="5"/>
  <c r="K910" i="5"/>
  <c r="J910" i="5"/>
  <c r="H910" i="5"/>
  <c r="G910" i="5"/>
  <c r="F910" i="5"/>
  <c r="K909" i="5"/>
  <c r="J909" i="5"/>
  <c r="H909" i="5"/>
  <c r="R909" i="5" s="1"/>
  <c r="G909" i="5"/>
  <c r="F909" i="5"/>
  <c r="K908" i="5"/>
  <c r="J908" i="5"/>
  <c r="H908" i="5"/>
  <c r="G908" i="5"/>
  <c r="F908" i="5"/>
  <c r="K907" i="5"/>
  <c r="J907" i="5"/>
  <c r="H907" i="5"/>
  <c r="R907" i="5" s="1"/>
  <c r="G907" i="5"/>
  <c r="F907" i="5"/>
  <c r="C906" i="5"/>
  <c r="V905" i="5"/>
  <c r="T905" i="5"/>
  <c r="U905" i="5"/>
  <c r="S905" i="5"/>
  <c r="F905" i="5"/>
  <c r="E905" i="5"/>
  <c r="D905" i="5"/>
  <c r="I905" i="5"/>
  <c r="C905" i="5"/>
  <c r="B905" i="5"/>
  <c r="A905" i="5"/>
  <c r="L904" i="5"/>
  <c r="Q904" i="5" s="1"/>
  <c r="Z904" i="5"/>
  <c r="Y904" i="5"/>
  <c r="X904" i="5"/>
  <c r="L903" i="5"/>
  <c r="G903" i="5"/>
  <c r="E903" i="5"/>
  <c r="J902" i="5"/>
  <c r="E902" i="5"/>
  <c r="J901" i="5"/>
  <c r="E901" i="5"/>
  <c r="K900" i="5"/>
  <c r="J900" i="5"/>
  <c r="H900" i="5"/>
  <c r="R900" i="5" s="1"/>
  <c r="G900" i="5"/>
  <c r="F900" i="5"/>
  <c r="C899" i="5"/>
  <c r="V898" i="5"/>
  <c r="K902" i="5" s="1"/>
  <c r="T898" i="5"/>
  <c r="K901" i="5" s="1"/>
  <c r="U898" i="5"/>
  <c r="H902" i="5" s="1"/>
  <c r="S898" i="5"/>
  <c r="H901" i="5" s="1"/>
  <c r="F898" i="5"/>
  <c r="E898" i="5"/>
  <c r="D898" i="5"/>
  <c r="I898" i="5"/>
  <c r="C898" i="5"/>
  <c r="B898" i="5"/>
  <c r="A898" i="5"/>
  <c r="L897" i="5"/>
  <c r="Q897" i="5" s="1"/>
  <c r="Z897" i="5"/>
  <c r="Y897" i="5"/>
  <c r="W897" i="5"/>
  <c r="K896" i="5"/>
  <c r="J896" i="5"/>
  <c r="Z896" i="5"/>
  <c r="Y896" i="5"/>
  <c r="W896" i="5"/>
  <c r="H896" i="5"/>
  <c r="X896" i="5" s="1"/>
  <c r="F896" i="5"/>
  <c r="V896" i="5"/>
  <c r="T896" i="5"/>
  <c r="U896" i="5"/>
  <c r="S896" i="5"/>
  <c r="E896" i="5"/>
  <c r="D896" i="5"/>
  <c r="C896" i="5"/>
  <c r="B896" i="5"/>
  <c r="A896" i="5"/>
  <c r="K895" i="5"/>
  <c r="J895" i="5"/>
  <c r="Z895" i="5"/>
  <c r="Y895" i="5"/>
  <c r="W895" i="5"/>
  <c r="H895" i="5"/>
  <c r="X895" i="5" s="1"/>
  <c r="F895" i="5"/>
  <c r="V895" i="5"/>
  <c r="T895" i="5"/>
  <c r="U895" i="5"/>
  <c r="S895" i="5"/>
  <c r="E895" i="5"/>
  <c r="D895" i="5"/>
  <c r="C895" i="5"/>
  <c r="B895" i="5"/>
  <c r="A895" i="5"/>
  <c r="K894" i="5"/>
  <c r="J894" i="5"/>
  <c r="Z894" i="5"/>
  <c r="Y894" i="5"/>
  <c r="W894" i="5"/>
  <c r="H894" i="5"/>
  <c r="X894" i="5" s="1"/>
  <c r="F894" i="5"/>
  <c r="V894" i="5"/>
  <c r="T894" i="5"/>
  <c r="U894" i="5"/>
  <c r="S894" i="5"/>
  <c r="E894" i="5"/>
  <c r="D894" i="5"/>
  <c r="C894" i="5"/>
  <c r="B894" i="5"/>
  <c r="A894" i="5"/>
  <c r="L893" i="5"/>
  <c r="G893" i="5"/>
  <c r="E893" i="5"/>
  <c r="J892" i="5"/>
  <c r="E892" i="5"/>
  <c r="J891" i="5"/>
  <c r="E891" i="5"/>
  <c r="K890" i="5"/>
  <c r="J890" i="5"/>
  <c r="H890" i="5"/>
  <c r="G890" i="5"/>
  <c r="F890" i="5"/>
  <c r="K889" i="5"/>
  <c r="J889" i="5"/>
  <c r="H889" i="5"/>
  <c r="G889" i="5"/>
  <c r="F889" i="5"/>
  <c r="V888" i="5"/>
  <c r="T888" i="5"/>
  <c r="U888" i="5"/>
  <c r="S888" i="5"/>
  <c r="F888" i="5"/>
  <c r="E888" i="5"/>
  <c r="D888" i="5"/>
  <c r="I888" i="5"/>
  <c r="C888" i="5"/>
  <c r="B888" i="5"/>
  <c r="A888" i="5"/>
  <c r="L887" i="5"/>
  <c r="Q887" i="5" s="1"/>
  <c r="Z887" i="5"/>
  <c r="Y887" i="5"/>
  <c r="W887" i="5"/>
  <c r="K886" i="5"/>
  <c r="J886" i="5"/>
  <c r="Z886" i="5"/>
  <c r="Y886" i="5"/>
  <c r="W886" i="5"/>
  <c r="H886" i="5"/>
  <c r="X886" i="5" s="1"/>
  <c r="F886" i="5"/>
  <c r="V886" i="5"/>
  <c r="T886" i="5"/>
  <c r="U886" i="5"/>
  <c r="S886" i="5"/>
  <c r="E886" i="5"/>
  <c r="D886" i="5"/>
  <c r="C886" i="5"/>
  <c r="B886" i="5"/>
  <c r="A886" i="5"/>
  <c r="K885" i="5"/>
  <c r="J885" i="5"/>
  <c r="Z885" i="5"/>
  <c r="Y885" i="5"/>
  <c r="W885" i="5"/>
  <c r="H885" i="5"/>
  <c r="X885" i="5" s="1"/>
  <c r="F885" i="5"/>
  <c r="V885" i="5"/>
  <c r="T885" i="5"/>
  <c r="U885" i="5"/>
  <c r="S885" i="5"/>
  <c r="E885" i="5"/>
  <c r="D885" i="5"/>
  <c r="C885" i="5"/>
  <c r="B885" i="5"/>
  <c r="A885" i="5"/>
  <c r="K884" i="5"/>
  <c r="J884" i="5"/>
  <c r="Z884" i="5"/>
  <c r="Y884" i="5"/>
  <c r="W884" i="5"/>
  <c r="H884" i="5"/>
  <c r="X884" i="5" s="1"/>
  <c r="F884" i="5"/>
  <c r="V884" i="5"/>
  <c r="T884" i="5"/>
  <c r="U884" i="5"/>
  <c r="S884" i="5"/>
  <c r="E884" i="5"/>
  <c r="D884" i="5"/>
  <c r="C884" i="5"/>
  <c r="B884" i="5"/>
  <c r="A884" i="5"/>
  <c r="K883" i="5"/>
  <c r="J883" i="5"/>
  <c r="Z883" i="5"/>
  <c r="Y883" i="5"/>
  <c r="W883" i="5"/>
  <c r="H883" i="5"/>
  <c r="X883" i="5" s="1"/>
  <c r="F883" i="5"/>
  <c r="V883" i="5"/>
  <c r="T883" i="5"/>
  <c r="U883" i="5"/>
  <c r="S883" i="5"/>
  <c r="E883" i="5"/>
  <c r="D883" i="5"/>
  <c r="C883" i="5"/>
  <c r="B883" i="5"/>
  <c r="A883" i="5"/>
  <c r="L882" i="5"/>
  <c r="G882" i="5"/>
  <c r="E882" i="5"/>
  <c r="J881" i="5"/>
  <c r="E881" i="5"/>
  <c r="J880" i="5"/>
  <c r="E880" i="5"/>
  <c r="K879" i="5"/>
  <c r="J879" i="5"/>
  <c r="H879" i="5"/>
  <c r="G879" i="5"/>
  <c r="F879" i="5"/>
  <c r="K878" i="5"/>
  <c r="J878" i="5"/>
  <c r="H878" i="5"/>
  <c r="G878" i="5"/>
  <c r="F878" i="5"/>
  <c r="K877" i="5"/>
  <c r="J877" i="5"/>
  <c r="H877" i="5"/>
  <c r="R877" i="5" s="1"/>
  <c r="G877" i="5"/>
  <c r="F877" i="5"/>
  <c r="V876" i="5"/>
  <c r="T876" i="5"/>
  <c r="U876" i="5"/>
  <c r="S876" i="5"/>
  <c r="F876" i="5"/>
  <c r="E876" i="5"/>
  <c r="D876" i="5"/>
  <c r="I876" i="5"/>
  <c r="C876" i="5"/>
  <c r="B876" i="5"/>
  <c r="A876" i="5"/>
  <c r="L875" i="5"/>
  <c r="Q875" i="5" s="1"/>
  <c r="Z875" i="5"/>
  <c r="Y875" i="5"/>
  <c r="W875" i="5"/>
  <c r="K874" i="5"/>
  <c r="J874" i="5"/>
  <c r="Z874" i="5"/>
  <c r="Y874" i="5"/>
  <c r="W874" i="5"/>
  <c r="H874" i="5"/>
  <c r="X874" i="5" s="1"/>
  <c r="F874" i="5"/>
  <c r="V874" i="5"/>
  <c r="T874" i="5"/>
  <c r="U874" i="5"/>
  <c r="S874" i="5"/>
  <c r="E874" i="5"/>
  <c r="D874" i="5"/>
  <c r="C874" i="5"/>
  <c r="B874" i="5"/>
  <c r="A874" i="5"/>
  <c r="L873" i="5"/>
  <c r="G873" i="5"/>
  <c r="E873" i="5"/>
  <c r="J872" i="5"/>
  <c r="E872" i="5"/>
  <c r="J871" i="5"/>
  <c r="E871" i="5"/>
  <c r="K870" i="5"/>
  <c r="J870" i="5"/>
  <c r="H870" i="5"/>
  <c r="G870" i="5"/>
  <c r="F870" i="5"/>
  <c r="K869" i="5"/>
  <c r="J869" i="5"/>
  <c r="H869" i="5"/>
  <c r="R869" i="5" s="1"/>
  <c r="G869" i="5"/>
  <c r="F869" i="5"/>
  <c r="K868" i="5"/>
  <c r="J868" i="5"/>
  <c r="H868" i="5"/>
  <c r="G868" i="5"/>
  <c r="F868" i="5"/>
  <c r="K867" i="5"/>
  <c r="J867" i="5"/>
  <c r="H867" i="5"/>
  <c r="G867" i="5"/>
  <c r="F867" i="5"/>
  <c r="V866" i="5"/>
  <c r="T866" i="5"/>
  <c r="U866" i="5"/>
  <c r="S866" i="5"/>
  <c r="F866" i="5"/>
  <c r="E866" i="5"/>
  <c r="D866" i="5"/>
  <c r="I866" i="5"/>
  <c r="C866" i="5"/>
  <c r="B866" i="5"/>
  <c r="A866" i="5"/>
  <c r="L865" i="5"/>
  <c r="Q865" i="5" s="1"/>
  <c r="Z865" i="5"/>
  <c r="Y865" i="5"/>
  <c r="W865" i="5"/>
  <c r="K864" i="5"/>
  <c r="J864" i="5"/>
  <c r="Z864" i="5"/>
  <c r="Y864" i="5"/>
  <c r="W864" i="5"/>
  <c r="H864" i="5"/>
  <c r="X864" i="5" s="1"/>
  <c r="F864" i="5"/>
  <c r="V864" i="5"/>
  <c r="T864" i="5"/>
  <c r="U864" i="5"/>
  <c r="S864" i="5"/>
  <c r="E864" i="5"/>
  <c r="D864" i="5"/>
  <c r="C864" i="5"/>
  <c r="B864" i="5"/>
  <c r="A864" i="5"/>
  <c r="L863" i="5"/>
  <c r="G863" i="5"/>
  <c r="E863" i="5"/>
  <c r="J862" i="5"/>
  <c r="E862" i="5"/>
  <c r="J861" i="5"/>
  <c r="E861" i="5"/>
  <c r="K860" i="5"/>
  <c r="J860" i="5"/>
  <c r="H860" i="5"/>
  <c r="G860" i="5"/>
  <c r="F860" i="5"/>
  <c r="K859" i="5"/>
  <c r="J859" i="5"/>
  <c r="H859" i="5"/>
  <c r="R859" i="5" s="1"/>
  <c r="G859" i="5"/>
  <c r="F859" i="5"/>
  <c r="K858" i="5"/>
  <c r="J858" i="5"/>
  <c r="H858" i="5"/>
  <c r="G858" i="5"/>
  <c r="F858" i="5"/>
  <c r="K857" i="5"/>
  <c r="J857" i="5"/>
  <c r="H857" i="5"/>
  <c r="G857" i="5"/>
  <c r="F857" i="5"/>
  <c r="V856" i="5"/>
  <c r="K862" i="5" s="1"/>
  <c r="T856" i="5"/>
  <c r="K861" i="5" s="1"/>
  <c r="U856" i="5"/>
  <c r="H862" i="5" s="1"/>
  <c r="S856" i="5"/>
  <c r="H861" i="5" s="1"/>
  <c r="F856" i="5"/>
  <c r="E856" i="5"/>
  <c r="D856" i="5"/>
  <c r="I856" i="5"/>
  <c r="C856" i="5"/>
  <c r="B856" i="5"/>
  <c r="A856" i="5"/>
  <c r="L855" i="5"/>
  <c r="Q855" i="5" s="1"/>
  <c r="Z855" i="5"/>
  <c r="Y855" i="5"/>
  <c r="W855" i="5"/>
  <c r="K854" i="5"/>
  <c r="J854" i="5"/>
  <c r="Z854" i="5"/>
  <c r="Y854" i="5"/>
  <c r="W854" i="5"/>
  <c r="H854" i="5"/>
  <c r="X854" i="5" s="1"/>
  <c r="F854" i="5"/>
  <c r="V854" i="5"/>
  <c r="T854" i="5"/>
  <c r="U854" i="5"/>
  <c r="S854" i="5"/>
  <c r="E854" i="5"/>
  <c r="D854" i="5"/>
  <c r="C854" i="5"/>
  <c r="B854" i="5"/>
  <c r="A854" i="5"/>
  <c r="K853" i="5"/>
  <c r="J853" i="5"/>
  <c r="Z853" i="5"/>
  <c r="Y853" i="5"/>
  <c r="W853" i="5"/>
  <c r="H853" i="5"/>
  <c r="X853" i="5" s="1"/>
  <c r="F853" i="5"/>
  <c r="V853" i="5"/>
  <c r="T853" i="5"/>
  <c r="U853" i="5"/>
  <c r="S853" i="5"/>
  <c r="E853" i="5"/>
  <c r="D853" i="5"/>
  <c r="C853" i="5"/>
  <c r="B853" i="5"/>
  <c r="A853" i="5"/>
  <c r="L852" i="5"/>
  <c r="G852" i="5"/>
  <c r="E852" i="5"/>
  <c r="J851" i="5"/>
  <c r="E851" i="5"/>
  <c r="J850" i="5"/>
  <c r="E850" i="5"/>
  <c r="K849" i="5"/>
  <c r="J849" i="5"/>
  <c r="H849" i="5"/>
  <c r="G849" i="5"/>
  <c r="F849" i="5"/>
  <c r="K848" i="5"/>
  <c r="J848" i="5"/>
  <c r="H848" i="5"/>
  <c r="R848" i="5" s="1"/>
  <c r="G848" i="5"/>
  <c r="F848" i="5"/>
  <c r="K847" i="5"/>
  <c r="J847" i="5"/>
  <c r="H847" i="5"/>
  <c r="G847" i="5"/>
  <c r="F847" i="5"/>
  <c r="K846" i="5"/>
  <c r="J846" i="5"/>
  <c r="H846" i="5"/>
  <c r="R846" i="5" s="1"/>
  <c r="G846" i="5"/>
  <c r="F846" i="5"/>
  <c r="C845" i="5"/>
  <c r="V844" i="5"/>
  <c r="T844" i="5"/>
  <c r="U844" i="5"/>
  <c r="S844" i="5"/>
  <c r="F844" i="5"/>
  <c r="E844" i="5"/>
  <c r="D844" i="5"/>
  <c r="I844" i="5"/>
  <c r="C844" i="5"/>
  <c r="B844" i="5"/>
  <c r="A844" i="5"/>
  <c r="L843" i="5"/>
  <c r="Q843" i="5" s="1"/>
  <c r="Z843" i="5"/>
  <c r="Y843" i="5"/>
  <c r="W843" i="5"/>
  <c r="K842" i="5"/>
  <c r="J842" i="5"/>
  <c r="Z842" i="5"/>
  <c r="Y842" i="5"/>
  <c r="W842" i="5"/>
  <c r="H842" i="5"/>
  <c r="X842" i="5" s="1"/>
  <c r="F842" i="5"/>
  <c r="V842" i="5"/>
  <c r="T842" i="5"/>
  <c r="U842" i="5"/>
  <c r="S842" i="5"/>
  <c r="E842" i="5"/>
  <c r="D842" i="5"/>
  <c r="C842" i="5"/>
  <c r="B842" i="5"/>
  <c r="A842" i="5"/>
  <c r="L841" i="5"/>
  <c r="G841" i="5"/>
  <c r="E841" i="5"/>
  <c r="J840" i="5"/>
  <c r="E840" i="5"/>
  <c r="J839" i="5"/>
  <c r="E839" i="5"/>
  <c r="K838" i="5"/>
  <c r="J838" i="5"/>
  <c r="H838" i="5"/>
  <c r="G838" i="5"/>
  <c r="F838" i="5"/>
  <c r="K837" i="5"/>
  <c r="J837" i="5"/>
  <c r="H837" i="5"/>
  <c r="R837" i="5" s="1"/>
  <c r="G837" i="5"/>
  <c r="F837" i="5"/>
  <c r="K836" i="5"/>
  <c r="J836" i="5"/>
  <c r="H836" i="5"/>
  <c r="G836" i="5"/>
  <c r="F836" i="5"/>
  <c r="K835" i="5"/>
  <c r="J835" i="5"/>
  <c r="H835" i="5"/>
  <c r="R835" i="5" s="1"/>
  <c r="G835" i="5"/>
  <c r="F835" i="5"/>
  <c r="C834" i="5"/>
  <c r="V833" i="5"/>
  <c r="T833" i="5"/>
  <c r="U833" i="5"/>
  <c r="S833" i="5"/>
  <c r="F833" i="5"/>
  <c r="E833" i="5"/>
  <c r="D833" i="5"/>
  <c r="I833" i="5"/>
  <c r="C833" i="5"/>
  <c r="B833" i="5"/>
  <c r="A833" i="5"/>
  <c r="L832" i="5"/>
  <c r="Q832" i="5" s="1"/>
  <c r="Z832" i="5"/>
  <c r="Y832" i="5"/>
  <c r="W832" i="5"/>
  <c r="K831" i="5"/>
  <c r="J831" i="5"/>
  <c r="Z831" i="5"/>
  <c r="Y831" i="5"/>
  <c r="W831" i="5"/>
  <c r="H831" i="5"/>
  <c r="X831" i="5" s="1"/>
  <c r="F831" i="5"/>
  <c r="V831" i="5"/>
  <c r="T831" i="5"/>
  <c r="U831" i="5"/>
  <c r="S831" i="5"/>
  <c r="E831" i="5"/>
  <c r="D831" i="5"/>
  <c r="C831" i="5"/>
  <c r="B831" i="5"/>
  <c r="A831" i="5"/>
  <c r="L830" i="5"/>
  <c r="G830" i="5"/>
  <c r="E830" i="5"/>
  <c r="J829" i="5"/>
  <c r="E829" i="5"/>
  <c r="J828" i="5"/>
  <c r="E828" i="5"/>
  <c r="K827" i="5"/>
  <c r="J827" i="5"/>
  <c r="H827" i="5"/>
  <c r="G827" i="5"/>
  <c r="F827" i="5"/>
  <c r="K826" i="5"/>
  <c r="J826" i="5"/>
  <c r="H826" i="5"/>
  <c r="R826" i="5" s="1"/>
  <c r="G826" i="5"/>
  <c r="F826" i="5"/>
  <c r="K825" i="5"/>
  <c r="J825" i="5"/>
  <c r="H825" i="5"/>
  <c r="G825" i="5"/>
  <c r="F825" i="5"/>
  <c r="K824" i="5"/>
  <c r="J824" i="5"/>
  <c r="H824" i="5"/>
  <c r="G824" i="5"/>
  <c r="F824" i="5"/>
  <c r="C823" i="5"/>
  <c r="V822" i="5"/>
  <c r="T822" i="5"/>
  <c r="U822" i="5"/>
  <c r="S822" i="5"/>
  <c r="F822" i="5"/>
  <c r="E822" i="5"/>
  <c r="D822" i="5"/>
  <c r="I822" i="5"/>
  <c r="C822" i="5"/>
  <c r="B822" i="5"/>
  <c r="A822" i="5"/>
  <c r="L821" i="5"/>
  <c r="Q821" i="5" s="1"/>
  <c r="Z821" i="5"/>
  <c r="Y821" i="5"/>
  <c r="W821" i="5"/>
  <c r="K820" i="5"/>
  <c r="J820" i="5"/>
  <c r="Z820" i="5"/>
  <c r="Y820" i="5"/>
  <c r="W820" i="5"/>
  <c r="H820" i="5"/>
  <c r="X820" i="5" s="1"/>
  <c r="F820" i="5"/>
  <c r="V820" i="5"/>
  <c r="T820" i="5"/>
  <c r="U820" i="5"/>
  <c r="S820" i="5"/>
  <c r="E820" i="5"/>
  <c r="D820" i="5"/>
  <c r="C820" i="5"/>
  <c r="B820" i="5"/>
  <c r="A820" i="5"/>
  <c r="L819" i="5"/>
  <c r="G819" i="5"/>
  <c r="E819" i="5"/>
  <c r="J818" i="5"/>
  <c r="E818" i="5"/>
  <c r="J817" i="5"/>
  <c r="E817" i="5"/>
  <c r="K816" i="5"/>
  <c r="J816" i="5"/>
  <c r="H816" i="5"/>
  <c r="G816" i="5"/>
  <c r="F816" i="5"/>
  <c r="K815" i="5"/>
  <c r="J815" i="5"/>
  <c r="H815" i="5"/>
  <c r="R815" i="5" s="1"/>
  <c r="G815" i="5"/>
  <c r="F815" i="5"/>
  <c r="K814" i="5"/>
  <c r="J814" i="5"/>
  <c r="H814" i="5"/>
  <c r="G814" i="5"/>
  <c r="F814" i="5"/>
  <c r="K813" i="5"/>
  <c r="J813" i="5"/>
  <c r="H813" i="5"/>
  <c r="R813" i="5" s="1"/>
  <c r="G813" i="5"/>
  <c r="F813" i="5"/>
  <c r="C812" i="5"/>
  <c r="V811" i="5"/>
  <c r="T811" i="5"/>
  <c r="U811" i="5"/>
  <c r="S811" i="5"/>
  <c r="F811" i="5"/>
  <c r="E811" i="5"/>
  <c r="D811" i="5"/>
  <c r="I811" i="5"/>
  <c r="C811" i="5"/>
  <c r="B811" i="5"/>
  <c r="A811" i="5"/>
  <c r="L810" i="5"/>
  <c r="Q810" i="5" s="1"/>
  <c r="Z810" i="5"/>
  <c r="Y810" i="5"/>
  <c r="W810" i="5"/>
  <c r="K809" i="5"/>
  <c r="J809" i="5"/>
  <c r="Z809" i="5"/>
  <c r="Y809" i="5"/>
  <c r="W809" i="5"/>
  <c r="H809" i="5"/>
  <c r="X809" i="5" s="1"/>
  <c r="F809" i="5"/>
  <c r="V809" i="5"/>
  <c r="T809" i="5"/>
  <c r="U809" i="5"/>
  <c r="S809" i="5"/>
  <c r="E809" i="5"/>
  <c r="D809" i="5"/>
  <c r="C809" i="5"/>
  <c r="B809" i="5"/>
  <c r="A809" i="5"/>
  <c r="L808" i="5"/>
  <c r="G808" i="5"/>
  <c r="E808" i="5"/>
  <c r="J807" i="5"/>
  <c r="E807" i="5"/>
  <c r="J806" i="5"/>
  <c r="E806" i="5"/>
  <c r="K805" i="5"/>
  <c r="J805" i="5"/>
  <c r="H805" i="5"/>
  <c r="G805" i="5"/>
  <c r="F805" i="5"/>
  <c r="K804" i="5"/>
  <c r="J804" i="5"/>
  <c r="H804" i="5"/>
  <c r="G804" i="5"/>
  <c r="F804" i="5"/>
  <c r="C803" i="5"/>
  <c r="V802" i="5"/>
  <c r="T802" i="5"/>
  <c r="K806" i="5" s="1"/>
  <c r="U802" i="5"/>
  <c r="S802" i="5"/>
  <c r="F802" i="5"/>
  <c r="E802" i="5"/>
  <c r="D802" i="5"/>
  <c r="I802" i="5"/>
  <c r="C802" i="5"/>
  <c r="B802" i="5"/>
  <c r="A802" i="5"/>
  <c r="L801" i="5"/>
  <c r="Q801" i="5" s="1"/>
  <c r="Z801" i="5"/>
  <c r="Y801" i="5"/>
  <c r="W801" i="5"/>
  <c r="K800" i="5"/>
  <c r="J800" i="5"/>
  <c r="Z800" i="5"/>
  <c r="Y800" i="5"/>
  <c r="W800" i="5"/>
  <c r="H800" i="5"/>
  <c r="X800" i="5" s="1"/>
  <c r="F800" i="5"/>
  <c r="V800" i="5"/>
  <c r="T800" i="5"/>
  <c r="U800" i="5"/>
  <c r="S800" i="5"/>
  <c r="E800" i="5"/>
  <c r="D800" i="5"/>
  <c r="C800" i="5"/>
  <c r="B800" i="5"/>
  <c r="A800" i="5"/>
  <c r="L799" i="5"/>
  <c r="G799" i="5"/>
  <c r="E799" i="5"/>
  <c r="J798" i="5"/>
  <c r="E798" i="5"/>
  <c r="J797" i="5"/>
  <c r="E797" i="5"/>
  <c r="K796" i="5"/>
  <c r="J796" i="5"/>
  <c r="H796" i="5"/>
  <c r="G796" i="5"/>
  <c r="F796" i="5"/>
  <c r="K795" i="5"/>
  <c r="J795" i="5"/>
  <c r="H795" i="5"/>
  <c r="R795" i="5" s="1"/>
  <c r="G795" i="5"/>
  <c r="F795" i="5"/>
  <c r="K794" i="5"/>
  <c r="J794" i="5"/>
  <c r="H794" i="5"/>
  <c r="G794" i="5"/>
  <c r="F794" i="5"/>
  <c r="K793" i="5"/>
  <c r="J793" i="5"/>
  <c r="H793" i="5"/>
  <c r="G793" i="5"/>
  <c r="F793" i="5"/>
  <c r="C792" i="5"/>
  <c r="V791" i="5"/>
  <c r="T791" i="5"/>
  <c r="U791" i="5"/>
  <c r="S791" i="5"/>
  <c r="F791" i="5"/>
  <c r="E791" i="5"/>
  <c r="D791" i="5"/>
  <c r="I791" i="5"/>
  <c r="C791" i="5"/>
  <c r="B791" i="5"/>
  <c r="A791" i="5"/>
  <c r="L790" i="5"/>
  <c r="Q790" i="5" s="1"/>
  <c r="Z790" i="5"/>
  <c r="Y790" i="5"/>
  <c r="W790" i="5"/>
  <c r="K789" i="5"/>
  <c r="J789" i="5"/>
  <c r="Z789" i="5"/>
  <c r="Y789" i="5"/>
  <c r="W789" i="5"/>
  <c r="H789" i="5"/>
  <c r="X789" i="5" s="1"/>
  <c r="F789" i="5"/>
  <c r="V789" i="5"/>
  <c r="T789" i="5"/>
  <c r="U789" i="5"/>
  <c r="S789" i="5"/>
  <c r="E789" i="5"/>
  <c r="D789" i="5"/>
  <c r="C789" i="5"/>
  <c r="B789" i="5"/>
  <c r="A789" i="5"/>
  <c r="L788" i="5"/>
  <c r="G788" i="5"/>
  <c r="E788" i="5"/>
  <c r="J787" i="5"/>
  <c r="E787" i="5"/>
  <c r="J786" i="5"/>
  <c r="E786" i="5"/>
  <c r="K785" i="5"/>
  <c r="J785" i="5"/>
  <c r="H785" i="5"/>
  <c r="G785" i="5"/>
  <c r="F785" i="5"/>
  <c r="K784" i="5"/>
  <c r="J784" i="5"/>
  <c r="H784" i="5"/>
  <c r="R784" i="5" s="1"/>
  <c r="G784" i="5"/>
  <c r="F784" i="5"/>
  <c r="K783" i="5"/>
  <c r="J783" i="5"/>
  <c r="H783" i="5"/>
  <c r="G783" i="5"/>
  <c r="F783" i="5"/>
  <c r="K782" i="5"/>
  <c r="J782" i="5"/>
  <c r="H782" i="5"/>
  <c r="G782" i="5"/>
  <c r="F782" i="5"/>
  <c r="C781" i="5"/>
  <c r="V780" i="5"/>
  <c r="T780" i="5"/>
  <c r="U780" i="5"/>
  <c r="S780" i="5"/>
  <c r="F780" i="5"/>
  <c r="E780" i="5"/>
  <c r="D780" i="5"/>
  <c r="I780" i="5"/>
  <c r="C780" i="5"/>
  <c r="B780" i="5"/>
  <c r="A780" i="5"/>
  <c r="L779" i="5"/>
  <c r="Q779" i="5" s="1"/>
  <c r="Z779" i="5"/>
  <c r="Y779" i="5"/>
  <c r="W779" i="5"/>
  <c r="K778" i="5"/>
  <c r="J778" i="5"/>
  <c r="Z778" i="5"/>
  <c r="Y778" i="5"/>
  <c r="W778" i="5"/>
  <c r="H778" i="5"/>
  <c r="X778" i="5" s="1"/>
  <c r="F778" i="5"/>
  <c r="V778" i="5"/>
  <c r="T778" i="5"/>
  <c r="U778" i="5"/>
  <c r="S778" i="5"/>
  <c r="E778" i="5"/>
  <c r="D778" i="5"/>
  <c r="C778" i="5"/>
  <c r="B778" i="5"/>
  <c r="A778" i="5"/>
  <c r="L777" i="5"/>
  <c r="G777" i="5"/>
  <c r="E777" i="5"/>
  <c r="J776" i="5"/>
  <c r="E776" i="5"/>
  <c r="J775" i="5"/>
  <c r="E775" i="5"/>
  <c r="K774" i="5"/>
  <c r="J774" i="5"/>
  <c r="H774" i="5"/>
  <c r="G774" i="5"/>
  <c r="F774" i="5"/>
  <c r="K773" i="5"/>
  <c r="J773" i="5"/>
  <c r="H773" i="5"/>
  <c r="R773" i="5" s="1"/>
  <c r="G773" i="5"/>
  <c r="F773" i="5"/>
  <c r="K772" i="5"/>
  <c r="J772" i="5"/>
  <c r="H772" i="5"/>
  <c r="G772" i="5"/>
  <c r="F772" i="5"/>
  <c r="K771" i="5"/>
  <c r="J771" i="5"/>
  <c r="H771" i="5"/>
  <c r="G771" i="5"/>
  <c r="F771" i="5"/>
  <c r="C770" i="5"/>
  <c r="V769" i="5"/>
  <c r="T769" i="5"/>
  <c r="U769" i="5"/>
  <c r="S769" i="5"/>
  <c r="F769" i="5"/>
  <c r="E769" i="5"/>
  <c r="D769" i="5"/>
  <c r="I769" i="5"/>
  <c r="C769" i="5"/>
  <c r="B769" i="5"/>
  <c r="A769" i="5"/>
  <c r="L768" i="5"/>
  <c r="Q768" i="5" s="1"/>
  <c r="Z768" i="5"/>
  <c r="Y768" i="5"/>
  <c r="W768" i="5"/>
  <c r="K767" i="5"/>
  <c r="J767" i="5"/>
  <c r="Z767" i="5"/>
  <c r="Y767" i="5"/>
  <c r="W767" i="5"/>
  <c r="H767" i="5"/>
  <c r="X767" i="5" s="1"/>
  <c r="F767" i="5"/>
  <c r="V767" i="5"/>
  <c r="T767" i="5"/>
  <c r="U767" i="5"/>
  <c r="S767" i="5"/>
  <c r="E767" i="5"/>
  <c r="D767" i="5"/>
  <c r="C767" i="5"/>
  <c r="B767" i="5"/>
  <c r="A767" i="5"/>
  <c r="L766" i="5"/>
  <c r="G766" i="5"/>
  <c r="E766" i="5"/>
  <c r="J765" i="5"/>
  <c r="E765" i="5"/>
  <c r="J764" i="5"/>
  <c r="E764" i="5"/>
  <c r="K763" i="5"/>
  <c r="J763" i="5"/>
  <c r="H763" i="5"/>
  <c r="G763" i="5"/>
  <c r="F763" i="5"/>
  <c r="K762" i="5"/>
  <c r="J762" i="5"/>
  <c r="H762" i="5"/>
  <c r="R762" i="5" s="1"/>
  <c r="G762" i="5"/>
  <c r="F762" i="5"/>
  <c r="K761" i="5"/>
  <c r="J761" i="5"/>
  <c r="H761" i="5"/>
  <c r="G761" i="5"/>
  <c r="F761" i="5"/>
  <c r="K760" i="5"/>
  <c r="J760" i="5"/>
  <c r="H760" i="5"/>
  <c r="G760" i="5"/>
  <c r="F760" i="5"/>
  <c r="C759" i="5"/>
  <c r="V758" i="5"/>
  <c r="T758" i="5"/>
  <c r="U758" i="5"/>
  <c r="S758" i="5"/>
  <c r="F758" i="5"/>
  <c r="E758" i="5"/>
  <c r="D758" i="5"/>
  <c r="I758" i="5"/>
  <c r="C758" i="5"/>
  <c r="B758" i="5"/>
  <c r="A758" i="5"/>
  <c r="A757" i="5"/>
  <c r="A756" i="5"/>
  <c r="L754" i="5"/>
  <c r="Q754" i="5" s="1"/>
  <c r="Z754" i="5"/>
  <c r="Y754" i="5"/>
  <c r="W754" i="5"/>
  <c r="K753" i="5"/>
  <c r="J753" i="5"/>
  <c r="Z753" i="5"/>
  <c r="Y753" i="5"/>
  <c r="W753" i="5"/>
  <c r="H753" i="5"/>
  <c r="X753" i="5" s="1"/>
  <c r="F753" i="5"/>
  <c r="V753" i="5"/>
  <c r="T753" i="5"/>
  <c r="U753" i="5"/>
  <c r="S753" i="5"/>
  <c r="E753" i="5"/>
  <c r="D753" i="5"/>
  <c r="C753" i="5"/>
  <c r="B753" i="5"/>
  <c r="A753" i="5"/>
  <c r="L752" i="5"/>
  <c r="G752" i="5"/>
  <c r="E752" i="5"/>
  <c r="J751" i="5"/>
  <c r="E751" i="5"/>
  <c r="J750" i="5"/>
  <c r="E750" i="5"/>
  <c r="K749" i="5"/>
  <c r="J749" i="5"/>
  <c r="H749" i="5"/>
  <c r="G749" i="5"/>
  <c r="F749" i="5"/>
  <c r="K748" i="5"/>
  <c r="J748" i="5"/>
  <c r="H748" i="5"/>
  <c r="R748" i="5" s="1"/>
  <c r="G748" i="5"/>
  <c r="F748" i="5"/>
  <c r="K747" i="5"/>
  <c r="J747" i="5"/>
  <c r="H747" i="5"/>
  <c r="G747" i="5"/>
  <c r="F747" i="5"/>
  <c r="K746" i="5"/>
  <c r="J746" i="5"/>
  <c r="H746" i="5"/>
  <c r="R746" i="5" s="1"/>
  <c r="G746" i="5"/>
  <c r="F746" i="5"/>
  <c r="C745" i="5"/>
  <c r="V744" i="5"/>
  <c r="T744" i="5"/>
  <c r="U744" i="5"/>
  <c r="S744" i="5"/>
  <c r="F744" i="5"/>
  <c r="E744" i="5"/>
  <c r="D744" i="5"/>
  <c r="I744" i="5"/>
  <c r="C744" i="5"/>
  <c r="B744" i="5"/>
  <c r="A744" i="5"/>
  <c r="L743" i="5"/>
  <c r="Q743" i="5" s="1"/>
  <c r="Z743" i="5"/>
  <c r="Y743" i="5"/>
  <c r="W743" i="5"/>
  <c r="K742" i="5"/>
  <c r="J742" i="5"/>
  <c r="Z742" i="5"/>
  <c r="Y742" i="5"/>
  <c r="W742" i="5"/>
  <c r="H742" i="5"/>
  <c r="X742" i="5" s="1"/>
  <c r="F742" i="5"/>
  <c r="V742" i="5"/>
  <c r="T742" i="5"/>
  <c r="U742" i="5"/>
  <c r="S742" i="5"/>
  <c r="E742" i="5"/>
  <c r="D742" i="5"/>
  <c r="C742" i="5"/>
  <c r="B742" i="5"/>
  <c r="A742" i="5"/>
  <c r="L741" i="5"/>
  <c r="G741" i="5"/>
  <c r="E741" i="5"/>
  <c r="J740" i="5"/>
  <c r="E740" i="5"/>
  <c r="J739" i="5"/>
  <c r="E739" i="5"/>
  <c r="K738" i="5"/>
  <c r="J738" i="5"/>
  <c r="H738" i="5"/>
  <c r="G738" i="5"/>
  <c r="F738" i="5"/>
  <c r="K737" i="5"/>
  <c r="J737" i="5"/>
  <c r="H737" i="5"/>
  <c r="R737" i="5" s="1"/>
  <c r="G737" i="5"/>
  <c r="F737" i="5"/>
  <c r="K736" i="5"/>
  <c r="J736" i="5"/>
  <c r="H736" i="5"/>
  <c r="G736" i="5"/>
  <c r="F736" i="5"/>
  <c r="K735" i="5"/>
  <c r="J735" i="5"/>
  <c r="H735" i="5"/>
  <c r="R735" i="5" s="1"/>
  <c r="G735" i="5"/>
  <c r="F735" i="5"/>
  <c r="C734" i="5"/>
  <c r="V733" i="5"/>
  <c r="T733" i="5"/>
  <c r="U733" i="5"/>
  <c r="S733" i="5"/>
  <c r="F733" i="5"/>
  <c r="E733" i="5"/>
  <c r="D733" i="5"/>
  <c r="I733" i="5"/>
  <c r="C733" i="5"/>
  <c r="B733" i="5"/>
  <c r="A733" i="5"/>
  <c r="L732" i="5"/>
  <c r="Q732" i="5" s="1"/>
  <c r="Z732" i="5"/>
  <c r="Y732" i="5"/>
  <c r="W732" i="5"/>
  <c r="K731" i="5"/>
  <c r="J731" i="5"/>
  <c r="Z731" i="5"/>
  <c r="Y731" i="5"/>
  <c r="W731" i="5"/>
  <c r="H731" i="5"/>
  <c r="X731" i="5" s="1"/>
  <c r="F731" i="5"/>
  <c r="V731" i="5"/>
  <c r="T731" i="5"/>
  <c r="U731" i="5"/>
  <c r="S731" i="5"/>
  <c r="E731" i="5"/>
  <c r="D731" i="5"/>
  <c r="C731" i="5"/>
  <c r="B731" i="5"/>
  <c r="A731" i="5"/>
  <c r="K730" i="5"/>
  <c r="J730" i="5"/>
  <c r="Z730" i="5"/>
  <c r="Y730" i="5"/>
  <c r="W730" i="5"/>
  <c r="H730" i="5"/>
  <c r="X730" i="5" s="1"/>
  <c r="F730" i="5"/>
  <c r="V730" i="5"/>
  <c r="T730" i="5"/>
  <c r="U730" i="5"/>
  <c r="S730" i="5"/>
  <c r="E730" i="5"/>
  <c r="D730" i="5"/>
  <c r="C730" i="5"/>
  <c r="B730" i="5"/>
  <c r="A730" i="5"/>
  <c r="L729" i="5"/>
  <c r="G729" i="5"/>
  <c r="E729" i="5"/>
  <c r="J728" i="5"/>
  <c r="E728" i="5"/>
  <c r="J727" i="5"/>
  <c r="E727" i="5"/>
  <c r="K726" i="5"/>
  <c r="J726" i="5"/>
  <c r="H726" i="5"/>
  <c r="G726" i="5"/>
  <c r="F726" i="5"/>
  <c r="K725" i="5"/>
  <c r="J725" i="5"/>
  <c r="H725" i="5"/>
  <c r="R725" i="5" s="1"/>
  <c r="G725" i="5"/>
  <c r="F725" i="5"/>
  <c r="V724" i="5"/>
  <c r="T724" i="5"/>
  <c r="U724" i="5"/>
  <c r="S724" i="5"/>
  <c r="F724" i="5"/>
  <c r="E724" i="5"/>
  <c r="D724" i="5"/>
  <c r="I724" i="5"/>
  <c r="C724" i="5"/>
  <c r="B724" i="5"/>
  <c r="A724" i="5"/>
  <c r="L723" i="5"/>
  <c r="Q723" i="5" s="1"/>
  <c r="Z723" i="5"/>
  <c r="Y723" i="5"/>
  <c r="W723" i="5"/>
  <c r="K722" i="5"/>
  <c r="J722" i="5"/>
  <c r="Z722" i="5"/>
  <c r="Y722" i="5"/>
  <c r="W722" i="5"/>
  <c r="H722" i="5"/>
  <c r="X722" i="5" s="1"/>
  <c r="F722" i="5"/>
  <c r="V722" i="5"/>
  <c r="T722" i="5"/>
  <c r="U722" i="5"/>
  <c r="S722" i="5"/>
  <c r="E722" i="5"/>
  <c r="D722" i="5"/>
  <c r="C722" i="5"/>
  <c r="B722" i="5"/>
  <c r="A722" i="5"/>
  <c r="L721" i="5"/>
  <c r="G721" i="5"/>
  <c r="E721" i="5"/>
  <c r="J720" i="5"/>
  <c r="E720" i="5"/>
  <c r="J719" i="5"/>
  <c r="E719" i="5"/>
  <c r="K718" i="5"/>
  <c r="J718" i="5"/>
  <c r="H718" i="5"/>
  <c r="G718" i="5"/>
  <c r="F718" i="5"/>
  <c r="K717" i="5"/>
  <c r="J717" i="5"/>
  <c r="H717" i="5"/>
  <c r="G717" i="5"/>
  <c r="F717" i="5"/>
  <c r="K716" i="5"/>
  <c r="J716" i="5"/>
  <c r="H716" i="5"/>
  <c r="G716" i="5"/>
  <c r="F716" i="5"/>
  <c r="V715" i="5"/>
  <c r="K720" i="5" s="1"/>
  <c r="T715" i="5"/>
  <c r="U715" i="5"/>
  <c r="S715" i="5"/>
  <c r="F715" i="5"/>
  <c r="E715" i="5"/>
  <c r="D715" i="5"/>
  <c r="I715" i="5"/>
  <c r="C715" i="5"/>
  <c r="B715" i="5"/>
  <c r="A715" i="5"/>
  <c r="L714" i="5"/>
  <c r="Q714" i="5" s="1"/>
  <c r="Z714" i="5"/>
  <c r="Y714" i="5"/>
  <c r="W714" i="5"/>
  <c r="K713" i="5"/>
  <c r="J713" i="5"/>
  <c r="Z713" i="5"/>
  <c r="Y713" i="5"/>
  <c r="W713" i="5"/>
  <c r="H713" i="5"/>
  <c r="X713" i="5" s="1"/>
  <c r="F713" i="5"/>
  <c r="V713" i="5"/>
  <c r="T713" i="5"/>
  <c r="U713" i="5"/>
  <c r="S713" i="5"/>
  <c r="E713" i="5"/>
  <c r="D713" i="5"/>
  <c r="C713" i="5"/>
  <c r="B713" i="5"/>
  <c r="A713" i="5"/>
  <c r="L712" i="5"/>
  <c r="G712" i="5"/>
  <c r="E712" i="5"/>
  <c r="J711" i="5"/>
  <c r="E711" i="5"/>
  <c r="J710" i="5"/>
  <c r="E710" i="5"/>
  <c r="K709" i="5"/>
  <c r="J709" i="5"/>
  <c r="H709" i="5"/>
  <c r="G709" i="5"/>
  <c r="F709" i="5"/>
  <c r="K708" i="5"/>
  <c r="J708" i="5"/>
  <c r="H708" i="5"/>
  <c r="R708" i="5" s="1"/>
  <c r="G708" i="5"/>
  <c r="F708" i="5"/>
  <c r="K707" i="5"/>
  <c r="J707" i="5"/>
  <c r="H707" i="5"/>
  <c r="G707" i="5"/>
  <c r="F707" i="5"/>
  <c r="K706" i="5"/>
  <c r="J706" i="5"/>
  <c r="H706" i="5"/>
  <c r="R706" i="5" s="1"/>
  <c r="G706" i="5"/>
  <c r="F706" i="5"/>
  <c r="V705" i="5"/>
  <c r="K711" i="5" s="1"/>
  <c r="T705" i="5"/>
  <c r="K710" i="5" s="1"/>
  <c r="U705" i="5"/>
  <c r="S705" i="5"/>
  <c r="F705" i="5"/>
  <c r="E705" i="5"/>
  <c r="D705" i="5"/>
  <c r="I705" i="5"/>
  <c r="C705" i="5"/>
  <c r="B705" i="5"/>
  <c r="A705" i="5"/>
  <c r="L704" i="5"/>
  <c r="Q704" i="5" s="1"/>
  <c r="Z704" i="5"/>
  <c r="Y704" i="5"/>
  <c r="W704" i="5"/>
  <c r="K703" i="5"/>
  <c r="J703" i="5"/>
  <c r="Z703" i="5"/>
  <c r="Y703" i="5"/>
  <c r="W703" i="5"/>
  <c r="H703" i="5"/>
  <c r="X703" i="5" s="1"/>
  <c r="F703" i="5"/>
  <c r="V703" i="5"/>
  <c r="T703" i="5"/>
  <c r="U703" i="5"/>
  <c r="S703" i="5"/>
  <c r="E703" i="5"/>
  <c r="D703" i="5"/>
  <c r="C703" i="5"/>
  <c r="B703" i="5"/>
  <c r="A703" i="5"/>
  <c r="L702" i="5"/>
  <c r="G702" i="5"/>
  <c r="E702" i="5"/>
  <c r="J701" i="5"/>
  <c r="E701" i="5"/>
  <c r="J700" i="5"/>
  <c r="E700" i="5"/>
  <c r="K699" i="5"/>
  <c r="J699" i="5"/>
  <c r="H699" i="5"/>
  <c r="G699" i="5"/>
  <c r="F699" i="5"/>
  <c r="K698" i="5"/>
  <c r="J698" i="5"/>
  <c r="H698" i="5"/>
  <c r="R698" i="5" s="1"/>
  <c r="G698" i="5"/>
  <c r="F698" i="5"/>
  <c r="K697" i="5"/>
  <c r="J697" i="5"/>
  <c r="H697" i="5"/>
  <c r="G697" i="5"/>
  <c r="F697" i="5"/>
  <c r="K696" i="5"/>
  <c r="J696" i="5"/>
  <c r="H696" i="5"/>
  <c r="G696" i="5"/>
  <c r="F696" i="5"/>
  <c r="C695" i="5"/>
  <c r="V694" i="5"/>
  <c r="T694" i="5"/>
  <c r="U694" i="5"/>
  <c r="S694" i="5"/>
  <c r="F694" i="5"/>
  <c r="E694" i="5"/>
  <c r="D694" i="5"/>
  <c r="I694" i="5"/>
  <c r="C694" i="5"/>
  <c r="B694" i="5"/>
  <c r="A694" i="5"/>
  <c r="L693" i="5"/>
  <c r="Q693" i="5" s="1"/>
  <c r="Z693" i="5"/>
  <c r="Y693" i="5"/>
  <c r="X693" i="5"/>
  <c r="L692" i="5"/>
  <c r="G692" i="5"/>
  <c r="E692" i="5"/>
  <c r="J691" i="5"/>
  <c r="E691" i="5"/>
  <c r="J690" i="5"/>
  <c r="E690" i="5"/>
  <c r="K689" i="5"/>
  <c r="J689" i="5"/>
  <c r="H689" i="5"/>
  <c r="R689" i="5" s="1"/>
  <c r="G689" i="5"/>
  <c r="F689" i="5"/>
  <c r="C688" i="5"/>
  <c r="V687" i="5"/>
  <c r="K691" i="5" s="1"/>
  <c r="T687" i="5"/>
  <c r="K690" i="5" s="1"/>
  <c r="U687" i="5"/>
  <c r="H691" i="5" s="1"/>
  <c r="S687" i="5"/>
  <c r="H690" i="5" s="1"/>
  <c r="F687" i="5"/>
  <c r="E687" i="5"/>
  <c r="D687" i="5"/>
  <c r="I687" i="5"/>
  <c r="C687" i="5"/>
  <c r="B687" i="5"/>
  <c r="A687" i="5"/>
  <c r="Q686" i="5"/>
  <c r="L686" i="5"/>
  <c r="Z686" i="5"/>
  <c r="Y686" i="5"/>
  <c r="W686" i="5"/>
  <c r="K685" i="5"/>
  <c r="J685" i="5"/>
  <c r="Z685" i="5"/>
  <c r="Y685" i="5"/>
  <c r="W685" i="5"/>
  <c r="H685" i="5"/>
  <c r="X685" i="5" s="1"/>
  <c r="F685" i="5"/>
  <c r="V685" i="5"/>
  <c r="T685" i="5"/>
  <c r="U685" i="5"/>
  <c r="S685" i="5"/>
  <c r="E685" i="5"/>
  <c r="D685" i="5"/>
  <c r="C685" i="5"/>
  <c r="B685" i="5"/>
  <c r="A685" i="5"/>
  <c r="L684" i="5"/>
  <c r="G684" i="5"/>
  <c r="E684" i="5"/>
  <c r="J683" i="5"/>
  <c r="E683" i="5"/>
  <c r="J682" i="5"/>
  <c r="E682" i="5"/>
  <c r="K681" i="5"/>
  <c r="J681" i="5"/>
  <c r="H681" i="5"/>
  <c r="G681" i="5"/>
  <c r="F681" i="5"/>
  <c r="K680" i="5"/>
  <c r="J680" i="5"/>
  <c r="H680" i="5"/>
  <c r="G680" i="5"/>
  <c r="F680" i="5"/>
  <c r="V679" i="5"/>
  <c r="T679" i="5"/>
  <c r="U679" i="5"/>
  <c r="S679" i="5"/>
  <c r="F679" i="5"/>
  <c r="E679" i="5"/>
  <c r="D679" i="5"/>
  <c r="I679" i="5"/>
  <c r="C679" i="5"/>
  <c r="B679" i="5"/>
  <c r="A679" i="5"/>
  <c r="L678" i="5"/>
  <c r="Q678" i="5" s="1"/>
  <c r="Z678" i="5"/>
  <c r="Y678" i="5"/>
  <c r="W678" i="5"/>
  <c r="K677" i="5"/>
  <c r="J677" i="5"/>
  <c r="Z677" i="5"/>
  <c r="Y677" i="5"/>
  <c r="W677" i="5"/>
  <c r="H677" i="5"/>
  <c r="X677" i="5" s="1"/>
  <c r="F677" i="5"/>
  <c r="V677" i="5"/>
  <c r="T677" i="5"/>
  <c r="U677" i="5"/>
  <c r="S677" i="5"/>
  <c r="E677" i="5"/>
  <c r="D677" i="5"/>
  <c r="C677" i="5"/>
  <c r="B677" i="5"/>
  <c r="A677" i="5"/>
  <c r="L676" i="5"/>
  <c r="G676" i="5"/>
  <c r="E676" i="5"/>
  <c r="J675" i="5"/>
  <c r="E675" i="5"/>
  <c r="J674" i="5"/>
  <c r="E674" i="5"/>
  <c r="K673" i="5"/>
  <c r="J673" i="5"/>
  <c r="H673" i="5"/>
  <c r="G673" i="5"/>
  <c r="F673" i="5"/>
  <c r="K672" i="5"/>
  <c r="J672" i="5"/>
  <c r="H672" i="5"/>
  <c r="R672" i="5" s="1"/>
  <c r="G672" i="5"/>
  <c r="F672" i="5"/>
  <c r="K671" i="5"/>
  <c r="J671" i="5"/>
  <c r="H671" i="5"/>
  <c r="G671" i="5"/>
  <c r="F671" i="5"/>
  <c r="K670" i="5"/>
  <c r="J670" i="5"/>
  <c r="H670" i="5"/>
  <c r="R670" i="5" s="1"/>
  <c r="G670" i="5"/>
  <c r="F670" i="5"/>
  <c r="C669" i="5"/>
  <c r="V668" i="5"/>
  <c r="T668" i="5"/>
  <c r="K674" i="5" s="1"/>
  <c r="U668" i="5"/>
  <c r="S668" i="5"/>
  <c r="F668" i="5"/>
  <c r="E668" i="5"/>
  <c r="D668" i="5"/>
  <c r="I668" i="5"/>
  <c r="C668" i="5"/>
  <c r="B668" i="5"/>
  <c r="A668" i="5"/>
  <c r="L667" i="5"/>
  <c r="Q667" i="5" s="1"/>
  <c r="Z667" i="5"/>
  <c r="Y667" i="5"/>
  <c r="W667" i="5"/>
  <c r="K666" i="5"/>
  <c r="J666" i="5"/>
  <c r="Z666" i="5"/>
  <c r="Y666" i="5"/>
  <c r="W666" i="5"/>
  <c r="H666" i="5"/>
  <c r="X666" i="5" s="1"/>
  <c r="F666" i="5"/>
  <c r="V666" i="5"/>
  <c r="T666" i="5"/>
  <c r="U666" i="5"/>
  <c r="S666" i="5"/>
  <c r="E666" i="5"/>
  <c r="D666" i="5"/>
  <c r="C666" i="5"/>
  <c r="B666" i="5"/>
  <c r="A666" i="5"/>
  <c r="L665" i="5"/>
  <c r="G665" i="5"/>
  <c r="E665" i="5"/>
  <c r="J664" i="5"/>
  <c r="E664" i="5"/>
  <c r="J663" i="5"/>
  <c r="E663" i="5"/>
  <c r="K662" i="5"/>
  <c r="J662" i="5"/>
  <c r="H662" i="5"/>
  <c r="G662" i="5"/>
  <c r="F662" i="5"/>
  <c r="K661" i="5"/>
  <c r="J661" i="5"/>
  <c r="H661" i="5"/>
  <c r="G661" i="5"/>
  <c r="F661" i="5"/>
  <c r="C660" i="5"/>
  <c r="V659" i="5"/>
  <c r="T659" i="5"/>
  <c r="U659" i="5"/>
  <c r="S659" i="5"/>
  <c r="F659" i="5"/>
  <c r="E659" i="5"/>
  <c r="D659" i="5"/>
  <c r="I659" i="5"/>
  <c r="C659" i="5"/>
  <c r="B659" i="5"/>
  <c r="A659" i="5"/>
  <c r="L658" i="5"/>
  <c r="Q658" i="5" s="1"/>
  <c r="Z658" i="5"/>
  <c r="Y658" i="5"/>
  <c r="W658" i="5"/>
  <c r="K657" i="5"/>
  <c r="J657" i="5"/>
  <c r="Z657" i="5"/>
  <c r="Y657" i="5"/>
  <c r="W657" i="5"/>
  <c r="H657" i="5"/>
  <c r="X657" i="5" s="1"/>
  <c r="F657" i="5"/>
  <c r="V657" i="5"/>
  <c r="T657" i="5"/>
  <c r="U657" i="5"/>
  <c r="S657" i="5"/>
  <c r="E657" i="5"/>
  <c r="D657" i="5"/>
  <c r="C657" i="5"/>
  <c r="B657" i="5"/>
  <c r="A657" i="5"/>
  <c r="L656" i="5"/>
  <c r="G656" i="5"/>
  <c r="E656" i="5"/>
  <c r="J655" i="5"/>
  <c r="E655" i="5"/>
  <c r="J654" i="5"/>
  <c r="E654" i="5"/>
  <c r="K653" i="5"/>
  <c r="J653" i="5"/>
  <c r="H653" i="5"/>
  <c r="G653" i="5"/>
  <c r="F653" i="5"/>
  <c r="K652" i="5"/>
  <c r="J652" i="5"/>
  <c r="H652" i="5"/>
  <c r="R652" i="5" s="1"/>
  <c r="G652" i="5"/>
  <c r="F652" i="5"/>
  <c r="K651" i="5"/>
  <c r="J651" i="5"/>
  <c r="H651" i="5"/>
  <c r="G651" i="5"/>
  <c r="F651" i="5"/>
  <c r="K650" i="5"/>
  <c r="J650" i="5"/>
  <c r="H650" i="5"/>
  <c r="R650" i="5" s="1"/>
  <c r="G650" i="5"/>
  <c r="F650" i="5"/>
  <c r="C649" i="5"/>
  <c r="V648" i="5"/>
  <c r="T648" i="5"/>
  <c r="K654" i="5" s="1"/>
  <c r="U648" i="5"/>
  <c r="S648" i="5"/>
  <c r="F648" i="5"/>
  <c r="E648" i="5"/>
  <c r="D648" i="5"/>
  <c r="I648" i="5"/>
  <c r="C648" i="5"/>
  <c r="B648" i="5"/>
  <c r="A648" i="5"/>
  <c r="L647" i="5"/>
  <c r="Q647" i="5" s="1"/>
  <c r="Z647" i="5"/>
  <c r="Y647" i="5"/>
  <c r="W647" i="5"/>
  <c r="K646" i="5"/>
  <c r="J646" i="5"/>
  <c r="Z646" i="5"/>
  <c r="Y646" i="5"/>
  <c r="W646" i="5"/>
  <c r="H646" i="5"/>
  <c r="X646" i="5" s="1"/>
  <c r="F646" i="5"/>
  <c r="V646" i="5"/>
  <c r="T646" i="5"/>
  <c r="U646" i="5"/>
  <c r="S646" i="5"/>
  <c r="E646" i="5"/>
  <c r="D646" i="5"/>
  <c r="C646" i="5"/>
  <c r="B646" i="5"/>
  <c r="A646" i="5"/>
  <c r="L645" i="5"/>
  <c r="G645" i="5"/>
  <c r="E645" i="5"/>
  <c r="J644" i="5"/>
  <c r="E644" i="5"/>
  <c r="J643" i="5"/>
  <c r="E643" i="5"/>
  <c r="K642" i="5"/>
  <c r="J642" i="5"/>
  <c r="H642" i="5"/>
  <c r="G642" i="5"/>
  <c r="F642" i="5"/>
  <c r="K641" i="5"/>
  <c r="J641" i="5"/>
  <c r="H641" i="5"/>
  <c r="R641" i="5" s="1"/>
  <c r="G641" i="5"/>
  <c r="F641" i="5"/>
  <c r="K640" i="5"/>
  <c r="J640" i="5"/>
  <c r="H640" i="5"/>
  <c r="G640" i="5"/>
  <c r="F640" i="5"/>
  <c r="K639" i="5"/>
  <c r="J639" i="5"/>
  <c r="H639" i="5"/>
  <c r="G639" i="5"/>
  <c r="F639" i="5"/>
  <c r="C638" i="5"/>
  <c r="V637" i="5"/>
  <c r="T637" i="5"/>
  <c r="U637" i="5"/>
  <c r="S637" i="5"/>
  <c r="F637" i="5"/>
  <c r="E637" i="5"/>
  <c r="D637" i="5"/>
  <c r="I637" i="5"/>
  <c r="C637" i="5"/>
  <c r="B637" i="5"/>
  <c r="A637" i="5"/>
  <c r="L636" i="5"/>
  <c r="Q636" i="5" s="1"/>
  <c r="Z636" i="5"/>
  <c r="Y636" i="5"/>
  <c r="W636" i="5"/>
  <c r="K635" i="5"/>
  <c r="J635" i="5"/>
  <c r="Z635" i="5"/>
  <c r="Y635" i="5"/>
  <c r="W635" i="5"/>
  <c r="H635" i="5"/>
  <c r="X635" i="5" s="1"/>
  <c r="F635" i="5"/>
  <c r="V635" i="5"/>
  <c r="T635" i="5"/>
  <c r="U635" i="5"/>
  <c r="S635" i="5"/>
  <c r="E635" i="5"/>
  <c r="D635" i="5"/>
  <c r="C635" i="5"/>
  <c r="B635" i="5"/>
  <c r="A635" i="5"/>
  <c r="L634" i="5"/>
  <c r="G634" i="5"/>
  <c r="E634" i="5"/>
  <c r="J633" i="5"/>
  <c r="E633" i="5"/>
  <c r="J632" i="5"/>
  <c r="E632" i="5"/>
  <c r="K631" i="5"/>
  <c r="J631" i="5"/>
  <c r="H631" i="5"/>
  <c r="G631" i="5"/>
  <c r="F631" i="5"/>
  <c r="K630" i="5"/>
  <c r="J630" i="5"/>
  <c r="H630" i="5"/>
  <c r="R630" i="5" s="1"/>
  <c r="G630" i="5"/>
  <c r="F630" i="5"/>
  <c r="K629" i="5"/>
  <c r="J629" i="5"/>
  <c r="H629" i="5"/>
  <c r="G629" i="5"/>
  <c r="F629" i="5"/>
  <c r="K628" i="5"/>
  <c r="J628" i="5"/>
  <c r="H628" i="5"/>
  <c r="G628" i="5"/>
  <c r="F628" i="5"/>
  <c r="C627" i="5"/>
  <c r="V626" i="5"/>
  <c r="T626" i="5"/>
  <c r="U626" i="5"/>
  <c r="S626" i="5"/>
  <c r="F626" i="5"/>
  <c r="E626" i="5"/>
  <c r="D626" i="5"/>
  <c r="I626" i="5"/>
  <c r="C626" i="5"/>
  <c r="B626" i="5"/>
  <c r="A626" i="5"/>
  <c r="A625" i="5"/>
  <c r="A624" i="5"/>
  <c r="L622" i="5"/>
  <c r="Q622" i="5" s="1"/>
  <c r="Z622" i="5"/>
  <c r="Y622" i="5"/>
  <c r="W622" i="5"/>
  <c r="L621" i="5"/>
  <c r="G621" i="5"/>
  <c r="E621" i="5"/>
  <c r="J620" i="5"/>
  <c r="E620" i="5"/>
  <c r="J619" i="5"/>
  <c r="E619" i="5"/>
  <c r="K618" i="5"/>
  <c r="J618" i="5"/>
  <c r="H618" i="5"/>
  <c r="R618" i="5" s="1"/>
  <c r="G618" i="5"/>
  <c r="F618" i="5"/>
  <c r="K617" i="5"/>
  <c r="J617" i="5"/>
  <c r="H617" i="5"/>
  <c r="G617" i="5"/>
  <c r="F617" i="5"/>
  <c r="K616" i="5"/>
  <c r="J616" i="5"/>
  <c r="H616" i="5"/>
  <c r="G616" i="5"/>
  <c r="F616" i="5"/>
  <c r="V615" i="5"/>
  <c r="K620" i="5" s="1"/>
  <c r="T615" i="5"/>
  <c r="K619" i="5" s="1"/>
  <c r="U615" i="5"/>
  <c r="H620" i="5" s="1"/>
  <c r="S615" i="5"/>
  <c r="H619" i="5" s="1"/>
  <c r="F615" i="5"/>
  <c r="E615" i="5"/>
  <c r="D615" i="5"/>
  <c r="I615" i="5"/>
  <c r="C615" i="5"/>
  <c r="B615" i="5"/>
  <c r="A615" i="5"/>
  <c r="L614" i="5"/>
  <c r="Q614" i="5" s="1"/>
  <c r="Z614" i="5"/>
  <c r="Y614" i="5"/>
  <c r="W614" i="5"/>
  <c r="L613" i="5"/>
  <c r="G613" i="5"/>
  <c r="E613" i="5"/>
  <c r="J612" i="5"/>
  <c r="E612" i="5"/>
  <c r="J611" i="5"/>
  <c r="E611" i="5"/>
  <c r="K610" i="5"/>
  <c r="J610" i="5"/>
  <c r="H610" i="5"/>
  <c r="R610" i="5" s="1"/>
  <c r="G610" i="5"/>
  <c r="F610" i="5"/>
  <c r="K609" i="5"/>
  <c r="J609" i="5"/>
  <c r="H609" i="5"/>
  <c r="G609" i="5"/>
  <c r="F609" i="5"/>
  <c r="K608" i="5"/>
  <c r="J608" i="5"/>
  <c r="H608" i="5"/>
  <c r="R608" i="5" s="1"/>
  <c r="G608" i="5"/>
  <c r="F608" i="5"/>
  <c r="C607" i="5"/>
  <c r="V606" i="5"/>
  <c r="K612" i="5" s="1"/>
  <c r="T606" i="5"/>
  <c r="K611" i="5" s="1"/>
  <c r="U606" i="5"/>
  <c r="H612" i="5" s="1"/>
  <c r="S606" i="5"/>
  <c r="H611" i="5" s="1"/>
  <c r="F606" i="5"/>
  <c r="E606" i="5"/>
  <c r="D606" i="5"/>
  <c r="I606" i="5"/>
  <c r="C606" i="5"/>
  <c r="B606" i="5"/>
  <c r="A606" i="5"/>
  <c r="Q605" i="5"/>
  <c r="L605" i="5"/>
  <c r="Z605" i="5"/>
  <c r="Y605" i="5"/>
  <c r="X605" i="5"/>
  <c r="L604" i="5"/>
  <c r="G604" i="5"/>
  <c r="E604" i="5"/>
  <c r="J603" i="5"/>
  <c r="E603" i="5"/>
  <c r="J602" i="5"/>
  <c r="E602" i="5"/>
  <c r="K601" i="5"/>
  <c r="J601" i="5"/>
  <c r="H601" i="5"/>
  <c r="G601" i="5"/>
  <c r="F601" i="5"/>
  <c r="C600" i="5"/>
  <c r="V599" i="5"/>
  <c r="K603" i="5" s="1"/>
  <c r="T599" i="5"/>
  <c r="K602" i="5" s="1"/>
  <c r="U599" i="5"/>
  <c r="H603" i="5" s="1"/>
  <c r="S599" i="5"/>
  <c r="H602" i="5" s="1"/>
  <c r="F599" i="5"/>
  <c r="E599" i="5"/>
  <c r="D599" i="5"/>
  <c r="I599" i="5"/>
  <c r="C599" i="5"/>
  <c r="B599" i="5"/>
  <c r="A599" i="5"/>
  <c r="L598" i="5"/>
  <c r="Q598" i="5" s="1"/>
  <c r="Z598" i="5"/>
  <c r="Y598" i="5"/>
  <c r="X598" i="5"/>
  <c r="L597" i="5"/>
  <c r="G597" i="5"/>
  <c r="E597" i="5"/>
  <c r="J596" i="5"/>
  <c r="E596" i="5"/>
  <c r="J595" i="5"/>
  <c r="E595" i="5"/>
  <c r="K594" i="5"/>
  <c r="J594" i="5"/>
  <c r="H594" i="5"/>
  <c r="R594" i="5" s="1"/>
  <c r="G594" i="5"/>
  <c r="F594" i="5"/>
  <c r="K593" i="5"/>
  <c r="J593" i="5"/>
  <c r="H593" i="5"/>
  <c r="G593" i="5"/>
  <c r="F593" i="5"/>
  <c r="K592" i="5"/>
  <c r="J592" i="5"/>
  <c r="H592" i="5"/>
  <c r="R592" i="5" s="1"/>
  <c r="G592" i="5"/>
  <c r="F592" i="5"/>
  <c r="C591" i="5"/>
  <c r="V590" i="5"/>
  <c r="K596" i="5" s="1"/>
  <c r="T590" i="5"/>
  <c r="K595" i="5" s="1"/>
  <c r="U590" i="5"/>
  <c r="H596" i="5" s="1"/>
  <c r="S590" i="5"/>
  <c r="H595" i="5" s="1"/>
  <c r="F590" i="5"/>
  <c r="E590" i="5"/>
  <c r="D590" i="5"/>
  <c r="I590" i="5"/>
  <c r="C590" i="5"/>
  <c r="B590" i="5"/>
  <c r="A590" i="5"/>
  <c r="L589" i="5"/>
  <c r="Q589" i="5" s="1"/>
  <c r="Z589" i="5"/>
  <c r="Y589" i="5"/>
  <c r="X589" i="5"/>
  <c r="L588" i="5"/>
  <c r="G588" i="5"/>
  <c r="E588" i="5"/>
  <c r="J587" i="5"/>
  <c r="E587" i="5"/>
  <c r="J586" i="5"/>
  <c r="E586" i="5"/>
  <c r="K585" i="5"/>
  <c r="J585" i="5"/>
  <c r="H585" i="5"/>
  <c r="R585" i="5" s="1"/>
  <c r="G585" i="5"/>
  <c r="F585" i="5"/>
  <c r="K584" i="5"/>
  <c r="J584" i="5"/>
  <c r="H584" i="5"/>
  <c r="G584" i="5"/>
  <c r="F584" i="5"/>
  <c r="K583" i="5"/>
  <c r="J583" i="5"/>
  <c r="H583" i="5"/>
  <c r="G583" i="5"/>
  <c r="F583" i="5"/>
  <c r="C582" i="5"/>
  <c r="V581" i="5"/>
  <c r="K587" i="5" s="1"/>
  <c r="T581" i="5"/>
  <c r="K586" i="5" s="1"/>
  <c r="U581" i="5"/>
  <c r="H587" i="5" s="1"/>
  <c r="S581" i="5"/>
  <c r="H586" i="5" s="1"/>
  <c r="F581" i="5"/>
  <c r="E581" i="5"/>
  <c r="D581" i="5"/>
  <c r="I581" i="5"/>
  <c r="C581" i="5"/>
  <c r="B581" i="5"/>
  <c r="A581" i="5"/>
  <c r="A580" i="5"/>
  <c r="A578" i="5"/>
  <c r="A577" i="5"/>
  <c r="A575" i="5"/>
  <c r="L573" i="5"/>
  <c r="Q573" i="5" s="1"/>
  <c r="Z573" i="5"/>
  <c r="Y573" i="5"/>
  <c r="X573" i="5"/>
  <c r="K572" i="5"/>
  <c r="J573" i="5" s="1"/>
  <c r="P573" i="5" s="1"/>
  <c r="H572" i="5"/>
  <c r="G573" i="5" s="1"/>
  <c r="O573" i="5" s="1"/>
  <c r="J572" i="5"/>
  <c r="G572" i="5"/>
  <c r="F572" i="5"/>
  <c r="V572" i="5"/>
  <c r="T572" i="5"/>
  <c r="U572" i="5"/>
  <c r="S572" i="5"/>
  <c r="E572" i="5"/>
  <c r="D572" i="5"/>
  <c r="I572" i="5"/>
  <c r="C572" i="5"/>
  <c r="B572" i="5"/>
  <c r="A572" i="5"/>
  <c r="L571" i="5"/>
  <c r="Q571" i="5" s="1"/>
  <c r="Z571" i="5"/>
  <c r="Y571" i="5"/>
  <c r="X571" i="5"/>
  <c r="K570" i="5"/>
  <c r="J571" i="5" s="1"/>
  <c r="P571" i="5" s="1"/>
  <c r="H570" i="5"/>
  <c r="G571" i="5" s="1"/>
  <c r="O571" i="5" s="1"/>
  <c r="J570" i="5"/>
  <c r="G570" i="5"/>
  <c r="F570" i="5"/>
  <c r="V570" i="5"/>
  <c r="T570" i="5"/>
  <c r="U570" i="5"/>
  <c r="S570" i="5"/>
  <c r="E570" i="5"/>
  <c r="D570" i="5"/>
  <c r="I570" i="5"/>
  <c r="C570" i="5"/>
  <c r="B570" i="5"/>
  <c r="A570" i="5"/>
  <c r="L569" i="5"/>
  <c r="Q569" i="5" s="1"/>
  <c r="Z569" i="5"/>
  <c r="Y569" i="5"/>
  <c r="X569" i="5"/>
  <c r="L568" i="5"/>
  <c r="G568" i="5"/>
  <c r="E568" i="5"/>
  <c r="J567" i="5"/>
  <c r="E567" i="5"/>
  <c r="J566" i="5"/>
  <c r="E566" i="5"/>
  <c r="K565" i="5"/>
  <c r="J565" i="5"/>
  <c r="H565" i="5"/>
  <c r="G565" i="5"/>
  <c r="F565" i="5"/>
  <c r="K564" i="5"/>
  <c r="J564" i="5"/>
  <c r="H564" i="5"/>
  <c r="G564" i="5"/>
  <c r="F564" i="5"/>
  <c r="V563" i="5"/>
  <c r="K567" i="5" s="1"/>
  <c r="T563" i="5"/>
  <c r="K566" i="5" s="1"/>
  <c r="U563" i="5"/>
  <c r="H567" i="5" s="1"/>
  <c r="S563" i="5"/>
  <c r="H566" i="5" s="1"/>
  <c r="F563" i="5"/>
  <c r="E563" i="5"/>
  <c r="D563" i="5"/>
  <c r="I563" i="5"/>
  <c r="C563" i="5"/>
  <c r="B563" i="5"/>
  <c r="A563" i="5"/>
  <c r="L562" i="5"/>
  <c r="Q562" i="5" s="1"/>
  <c r="Z562" i="5"/>
  <c r="Y562" i="5"/>
  <c r="X562" i="5"/>
  <c r="K561" i="5"/>
  <c r="J561" i="5"/>
  <c r="Z561" i="5"/>
  <c r="Y561" i="5"/>
  <c r="X561" i="5"/>
  <c r="H561" i="5"/>
  <c r="W561" i="5" s="1"/>
  <c r="F561" i="5"/>
  <c r="V561" i="5"/>
  <c r="T561" i="5"/>
  <c r="U561" i="5"/>
  <c r="S561" i="5"/>
  <c r="E561" i="5"/>
  <c r="D561" i="5"/>
  <c r="C561" i="5"/>
  <c r="B561" i="5"/>
  <c r="A561" i="5"/>
  <c r="K560" i="5"/>
  <c r="J560" i="5"/>
  <c r="Z560" i="5"/>
  <c r="Y560" i="5"/>
  <c r="X560" i="5"/>
  <c r="H560" i="5"/>
  <c r="W560" i="5" s="1"/>
  <c r="F560" i="5"/>
  <c r="V560" i="5"/>
  <c r="T560" i="5"/>
  <c r="U560" i="5"/>
  <c r="S560" i="5"/>
  <c r="E560" i="5"/>
  <c r="D560" i="5"/>
  <c r="C560" i="5"/>
  <c r="B560" i="5"/>
  <c r="A560" i="5"/>
  <c r="K559" i="5"/>
  <c r="J559" i="5"/>
  <c r="Z559" i="5"/>
  <c r="Y559" i="5"/>
  <c r="X559" i="5"/>
  <c r="H559" i="5"/>
  <c r="W559" i="5" s="1"/>
  <c r="F559" i="5"/>
  <c r="V559" i="5"/>
  <c r="T559" i="5"/>
  <c r="U559" i="5"/>
  <c r="S559" i="5"/>
  <c r="E559" i="5"/>
  <c r="D559" i="5"/>
  <c r="C559" i="5"/>
  <c r="B559" i="5"/>
  <c r="A559" i="5"/>
  <c r="L558" i="5"/>
  <c r="G558" i="5"/>
  <c r="E558" i="5"/>
  <c r="J557" i="5"/>
  <c r="F557" i="5"/>
  <c r="E557" i="5"/>
  <c r="J556" i="5"/>
  <c r="F556" i="5"/>
  <c r="E556" i="5"/>
  <c r="K555" i="5"/>
  <c r="J555" i="5"/>
  <c r="H555" i="5"/>
  <c r="G555" i="5"/>
  <c r="F555" i="5"/>
  <c r="K554" i="5"/>
  <c r="J554" i="5"/>
  <c r="H554" i="5"/>
  <c r="R554" i="5" s="1"/>
  <c r="G554" i="5"/>
  <c r="F554" i="5"/>
  <c r="K553" i="5"/>
  <c r="J553" i="5"/>
  <c r="H553" i="5"/>
  <c r="G553" i="5"/>
  <c r="F553" i="5"/>
  <c r="K552" i="5"/>
  <c r="J552" i="5"/>
  <c r="H552" i="5"/>
  <c r="R552" i="5" s="1"/>
  <c r="G552" i="5"/>
  <c r="F552" i="5"/>
  <c r="C551" i="5"/>
  <c r="V550" i="5"/>
  <c r="T550" i="5"/>
  <c r="U550" i="5"/>
  <c r="S550" i="5"/>
  <c r="H556" i="5" s="1"/>
  <c r="F550" i="5"/>
  <c r="E550" i="5"/>
  <c r="D550" i="5"/>
  <c r="I550" i="5"/>
  <c r="C550" i="5"/>
  <c r="B550" i="5"/>
  <c r="A550" i="5"/>
  <c r="L549" i="5"/>
  <c r="Q549" i="5" s="1"/>
  <c r="Z549" i="5"/>
  <c r="Y549" i="5"/>
  <c r="X549" i="5"/>
  <c r="L548" i="5"/>
  <c r="G548" i="5"/>
  <c r="E548" i="5"/>
  <c r="J547" i="5"/>
  <c r="F547" i="5"/>
  <c r="E547" i="5"/>
  <c r="J546" i="5"/>
  <c r="F546" i="5"/>
  <c r="E546" i="5"/>
  <c r="K545" i="5"/>
  <c r="J545" i="5"/>
  <c r="H545" i="5"/>
  <c r="G545" i="5"/>
  <c r="F545" i="5"/>
  <c r="K544" i="5"/>
  <c r="J544" i="5"/>
  <c r="R544" i="5"/>
  <c r="H544" i="5"/>
  <c r="G544" i="5"/>
  <c r="F544" i="5"/>
  <c r="K543" i="5"/>
  <c r="J543" i="5"/>
  <c r="H543" i="5"/>
  <c r="G543" i="5"/>
  <c r="F543" i="5"/>
  <c r="K542" i="5"/>
  <c r="J542" i="5"/>
  <c r="H542" i="5"/>
  <c r="G542" i="5"/>
  <c r="F542" i="5"/>
  <c r="C541" i="5"/>
  <c r="V540" i="5"/>
  <c r="K547" i="5" s="1"/>
  <c r="T540" i="5"/>
  <c r="K546" i="5" s="1"/>
  <c r="U540" i="5"/>
  <c r="H547" i="5" s="1"/>
  <c r="S540" i="5"/>
  <c r="H546" i="5" s="1"/>
  <c r="F540" i="5"/>
  <c r="E540" i="5"/>
  <c r="D540" i="5"/>
  <c r="I540" i="5"/>
  <c r="C540" i="5"/>
  <c r="B540" i="5"/>
  <c r="A540" i="5"/>
  <c r="L539" i="5"/>
  <c r="Q539" i="5" s="1"/>
  <c r="Z539" i="5"/>
  <c r="Y539" i="5"/>
  <c r="X539" i="5"/>
  <c r="K538" i="5"/>
  <c r="J538" i="5"/>
  <c r="Z538" i="5"/>
  <c r="Y538" i="5"/>
  <c r="X538" i="5"/>
  <c r="H538" i="5"/>
  <c r="W538" i="5" s="1"/>
  <c r="F538" i="5"/>
  <c r="V538" i="5"/>
  <c r="T538" i="5"/>
  <c r="U538" i="5"/>
  <c r="S538" i="5"/>
  <c r="E538" i="5"/>
  <c r="D538" i="5"/>
  <c r="C538" i="5"/>
  <c r="B538" i="5"/>
  <c r="A538" i="5"/>
  <c r="K537" i="5"/>
  <c r="J537" i="5"/>
  <c r="Z537" i="5"/>
  <c r="Y537" i="5"/>
  <c r="X537" i="5"/>
  <c r="H537" i="5"/>
  <c r="W537" i="5" s="1"/>
  <c r="F537" i="5"/>
  <c r="V537" i="5"/>
  <c r="T537" i="5"/>
  <c r="U537" i="5"/>
  <c r="S537" i="5"/>
  <c r="E537" i="5"/>
  <c r="D537" i="5"/>
  <c r="C537" i="5"/>
  <c r="B537" i="5"/>
  <c r="A537" i="5"/>
  <c r="K536" i="5"/>
  <c r="J536" i="5"/>
  <c r="Z536" i="5"/>
  <c r="Y536" i="5"/>
  <c r="X536" i="5"/>
  <c r="H536" i="5"/>
  <c r="W536" i="5" s="1"/>
  <c r="F536" i="5"/>
  <c r="V536" i="5"/>
  <c r="T536" i="5"/>
  <c r="U536" i="5"/>
  <c r="S536" i="5"/>
  <c r="E536" i="5"/>
  <c r="D536" i="5"/>
  <c r="C536" i="5"/>
  <c r="B536" i="5"/>
  <c r="A536" i="5"/>
  <c r="L535" i="5"/>
  <c r="G535" i="5"/>
  <c r="E535" i="5"/>
  <c r="J534" i="5"/>
  <c r="F534" i="5"/>
  <c r="E534" i="5"/>
  <c r="J533" i="5"/>
  <c r="F533" i="5"/>
  <c r="E533" i="5"/>
  <c r="K532" i="5"/>
  <c r="J532" i="5"/>
  <c r="H532" i="5"/>
  <c r="G532" i="5"/>
  <c r="F532" i="5"/>
  <c r="K531" i="5"/>
  <c r="J531" i="5"/>
  <c r="H531" i="5"/>
  <c r="R531" i="5" s="1"/>
  <c r="G531" i="5"/>
  <c r="F531" i="5"/>
  <c r="C530" i="5"/>
  <c r="V529" i="5"/>
  <c r="T529" i="5"/>
  <c r="U529" i="5"/>
  <c r="S529" i="5"/>
  <c r="F529" i="5"/>
  <c r="E529" i="5"/>
  <c r="D529" i="5"/>
  <c r="I529" i="5"/>
  <c r="C529" i="5"/>
  <c r="B529" i="5"/>
  <c r="A529" i="5"/>
  <c r="L528" i="5"/>
  <c r="Q528" i="5" s="1"/>
  <c r="Z528" i="5"/>
  <c r="Y528" i="5"/>
  <c r="X528" i="5"/>
  <c r="K527" i="5"/>
  <c r="J527" i="5"/>
  <c r="Z527" i="5"/>
  <c r="Y527" i="5"/>
  <c r="X527" i="5"/>
  <c r="H527" i="5"/>
  <c r="W527" i="5" s="1"/>
  <c r="F527" i="5"/>
  <c r="V527" i="5"/>
  <c r="T527" i="5"/>
  <c r="U527" i="5"/>
  <c r="S527" i="5"/>
  <c r="E527" i="5"/>
  <c r="D527" i="5"/>
  <c r="C527" i="5"/>
  <c r="B527" i="5"/>
  <c r="A527" i="5"/>
  <c r="K526" i="5"/>
  <c r="J526" i="5"/>
  <c r="Z526" i="5"/>
  <c r="Y526" i="5"/>
  <c r="X526" i="5"/>
  <c r="H526" i="5"/>
  <c r="W526" i="5" s="1"/>
  <c r="F526" i="5"/>
  <c r="V526" i="5"/>
  <c r="T526" i="5"/>
  <c r="U526" i="5"/>
  <c r="S526" i="5"/>
  <c r="E526" i="5"/>
  <c r="D526" i="5"/>
  <c r="C526" i="5"/>
  <c r="B526" i="5"/>
  <c r="A526" i="5"/>
  <c r="L525" i="5"/>
  <c r="G525" i="5"/>
  <c r="E525" i="5"/>
  <c r="J524" i="5"/>
  <c r="F524" i="5"/>
  <c r="E524" i="5"/>
  <c r="J523" i="5"/>
  <c r="F523" i="5"/>
  <c r="E523" i="5"/>
  <c r="K522" i="5"/>
  <c r="J522" i="5"/>
  <c r="H522" i="5"/>
  <c r="R522" i="5" s="1"/>
  <c r="G522" i="5"/>
  <c r="F522" i="5"/>
  <c r="K521" i="5"/>
  <c r="J521" i="5"/>
  <c r="H521" i="5"/>
  <c r="G521" i="5"/>
  <c r="F521" i="5"/>
  <c r="K520" i="5"/>
  <c r="J520" i="5"/>
  <c r="H520" i="5"/>
  <c r="R520" i="5" s="1"/>
  <c r="G520" i="5"/>
  <c r="F520" i="5"/>
  <c r="C519" i="5"/>
  <c r="V518" i="5"/>
  <c r="T518" i="5"/>
  <c r="U518" i="5"/>
  <c r="S518" i="5"/>
  <c r="F518" i="5"/>
  <c r="E518" i="5"/>
  <c r="D518" i="5"/>
  <c r="I518" i="5"/>
  <c r="C518" i="5"/>
  <c r="B518" i="5"/>
  <c r="A518" i="5"/>
  <c r="L517" i="5"/>
  <c r="Q517" i="5" s="1"/>
  <c r="Z517" i="5"/>
  <c r="Y517" i="5"/>
  <c r="X517" i="5"/>
  <c r="K516" i="5"/>
  <c r="J516" i="5"/>
  <c r="Z516" i="5"/>
  <c r="Y516" i="5"/>
  <c r="X516" i="5"/>
  <c r="H516" i="5"/>
  <c r="W516" i="5" s="1"/>
  <c r="F516" i="5"/>
  <c r="V516" i="5"/>
  <c r="T516" i="5"/>
  <c r="U516" i="5"/>
  <c r="S516" i="5"/>
  <c r="E516" i="5"/>
  <c r="D516" i="5"/>
  <c r="C516" i="5"/>
  <c r="B516" i="5"/>
  <c r="A516" i="5"/>
  <c r="K515" i="5"/>
  <c r="J515" i="5"/>
  <c r="Z515" i="5"/>
  <c r="Y515" i="5"/>
  <c r="X515" i="5"/>
  <c r="H515" i="5"/>
  <c r="W515" i="5" s="1"/>
  <c r="F515" i="5"/>
  <c r="V515" i="5"/>
  <c r="T515" i="5"/>
  <c r="U515" i="5"/>
  <c r="S515" i="5"/>
  <c r="E515" i="5"/>
  <c r="D515" i="5"/>
  <c r="C515" i="5"/>
  <c r="B515" i="5"/>
  <c r="A515" i="5"/>
  <c r="L514" i="5"/>
  <c r="G514" i="5"/>
  <c r="E514" i="5"/>
  <c r="J513" i="5"/>
  <c r="F513" i="5"/>
  <c r="E513" i="5"/>
  <c r="J512" i="5"/>
  <c r="F512" i="5"/>
  <c r="E512" i="5"/>
  <c r="K511" i="5"/>
  <c r="J511" i="5"/>
  <c r="H511" i="5"/>
  <c r="G511" i="5"/>
  <c r="F511" i="5"/>
  <c r="K510" i="5"/>
  <c r="J510" i="5"/>
  <c r="H510" i="5"/>
  <c r="R510" i="5" s="1"/>
  <c r="G510" i="5"/>
  <c r="F510" i="5"/>
  <c r="K509" i="5"/>
  <c r="J509" i="5"/>
  <c r="H509" i="5"/>
  <c r="G509" i="5"/>
  <c r="F509" i="5"/>
  <c r="K508" i="5"/>
  <c r="J508" i="5"/>
  <c r="H508" i="5"/>
  <c r="R508" i="5" s="1"/>
  <c r="G508" i="5"/>
  <c r="F508" i="5"/>
  <c r="C507" i="5"/>
  <c r="V506" i="5"/>
  <c r="T506" i="5"/>
  <c r="U506" i="5"/>
  <c r="S506" i="5"/>
  <c r="F506" i="5"/>
  <c r="E506" i="5"/>
  <c r="D506" i="5"/>
  <c r="I506" i="5"/>
  <c r="C506" i="5"/>
  <c r="B506" i="5"/>
  <c r="A506" i="5"/>
  <c r="L505" i="5"/>
  <c r="Q505" i="5" s="1"/>
  <c r="Z505" i="5"/>
  <c r="Y505" i="5"/>
  <c r="X505" i="5"/>
  <c r="K504" i="5"/>
  <c r="J504" i="5"/>
  <c r="Z504" i="5"/>
  <c r="Y504" i="5"/>
  <c r="X504" i="5"/>
  <c r="H504" i="5"/>
  <c r="W504" i="5" s="1"/>
  <c r="F504" i="5"/>
  <c r="V504" i="5"/>
  <c r="T504" i="5"/>
  <c r="U504" i="5"/>
  <c r="S504" i="5"/>
  <c r="E504" i="5"/>
  <c r="D504" i="5"/>
  <c r="C504" i="5"/>
  <c r="B504" i="5"/>
  <c r="A504" i="5"/>
  <c r="K503" i="5"/>
  <c r="J503" i="5"/>
  <c r="Z503" i="5"/>
  <c r="Y503" i="5"/>
  <c r="X503" i="5"/>
  <c r="H503" i="5"/>
  <c r="W503" i="5" s="1"/>
  <c r="F503" i="5"/>
  <c r="V503" i="5"/>
  <c r="T503" i="5"/>
  <c r="U503" i="5"/>
  <c r="S503" i="5"/>
  <c r="E503" i="5"/>
  <c r="D503" i="5"/>
  <c r="C503" i="5"/>
  <c r="B503" i="5"/>
  <c r="A503" i="5"/>
  <c r="L502" i="5"/>
  <c r="G502" i="5"/>
  <c r="E502" i="5"/>
  <c r="J501" i="5"/>
  <c r="F501" i="5"/>
  <c r="E501" i="5"/>
  <c r="J500" i="5"/>
  <c r="F500" i="5"/>
  <c r="E500" i="5"/>
  <c r="K499" i="5"/>
  <c r="J499" i="5"/>
  <c r="H499" i="5"/>
  <c r="G499" i="5"/>
  <c r="F499" i="5"/>
  <c r="K498" i="5"/>
  <c r="J498" i="5"/>
  <c r="H498" i="5"/>
  <c r="R498" i="5" s="1"/>
  <c r="G498" i="5"/>
  <c r="F498" i="5"/>
  <c r="K497" i="5"/>
  <c r="J497" i="5"/>
  <c r="H497" i="5"/>
  <c r="G497" i="5"/>
  <c r="F497" i="5"/>
  <c r="K496" i="5"/>
  <c r="J496" i="5"/>
  <c r="H496" i="5"/>
  <c r="G496" i="5"/>
  <c r="F496" i="5"/>
  <c r="C495" i="5"/>
  <c r="V494" i="5"/>
  <c r="T494" i="5"/>
  <c r="U494" i="5"/>
  <c r="S494" i="5"/>
  <c r="F494" i="5"/>
  <c r="E494" i="5"/>
  <c r="D494" i="5"/>
  <c r="I494" i="5"/>
  <c r="C494" i="5"/>
  <c r="B494" i="5"/>
  <c r="A494" i="5"/>
  <c r="L493" i="5"/>
  <c r="Q493" i="5" s="1"/>
  <c r="Z493" i="5"/>
  <c r="Y493" i="5"/>
  <c r="X493" i="5"/>
  <c r="L492" i="5"/>
  <c r="G492" i="5"/>
  <c r="E492" i="5"/>
  <c r="J491" i="5"/>
  <c r="F491" i="5"/>
  <c r="E491" i="5"/>
  <c r="J490" i="5"/>
  <c r="F490" i="5"/>
  <c r="E490" i="5"/>
  <c r="K489" i="5"/>
  <c r="J489" i="5"/>
  <c r="H489" i="5"/>
  <c r="G489" i="5"/>
  <c r="F489" i="5"/>
  <c r="K488" i="5"/>
  <c r="J488" i="5"/>
  <c r="H488" i="5"/>
  <c r="R488" i="5" s="1"/>
  <c r="G488" i="5"/>
  <c r="F488" i="5"/>
  <c r="K487" i="5"/>
  <c r="J487" i="5"/>
  <c r="H487" i="5"/>
  <c r="G487" i="5"/>
  <c r="F487" i="5"/>
  <c r="K486" i="5"/>
  <c r="J486" i="5"/>
  <c r="H486" i="5"/>
  <c r="R486" i="5" s="1"/>
  <c r="G486" i="5"/>
  <c r="F486" i="5"/>
  <c r="C485" i="5"/>
  <c r="V484" i="5"/>
  <c r="K491" i="5" s="1"/>
  <c r="T484" i="5"/>
  <c r="K490" i="5" s="1"/>
  <c r="U484" i="5"/>
  <c r="H491" i="5" s="1"/>
  <c r="S484" i="5"/>
  <c r="H490" i="5" s="1"/>
  <c r="F484" i="5"/>
  <c r="E484" i="5"/>
  <c r="D484" i="5"/>
  <c r="I484" i="5"/>
  <c r="C484" i="5"/>
  <c r="B484" i="5"/>
  <c r="A484" i="5"/>
  <c r="L483" i="5"/>
  <c r="Q483" i="5" s="1"/>
  <c r="Z483" i="5"/>
  <c r="Y483" i="5"/>
  <c r="X483" i="5"/>
  <c r="K482" i="5"/>
  <c r="J482" i="5"/>
  <c r="Z482" i="5"/>
  <c r="Y482" i="5"/>
  <c r="X482" i="5"/>
  <c r="H482" i="5"/>
  <c r="W482" i="5" s="1"/>
  <c r="F482" i="5"/>
  <c r="V482" i="5"/>
  <c r="T482" i="5"/>
  <c r="U482" i="5"/>
  <c r="S482" i="5"/>
  <c r="E482" i="5"/>
  <c r="D482" i="5"/>
  <c r="C482" i="5"/>
  <c r="B482" i="5"/>
  <c r="A482" i="5"/>
  <c r="K481" i="5"/>
  <c r="J481" i="5"/>
  <c r="Z481" i="5"/>
  <c r="Y481" i="5"/>
  <c r="X481" i="5"/>
  <c r="H481" i="5"/>
  <c r="W481" i="5" s="1"/>
  <c r="F481" i="5"/>
  <c r="V481" i="5"/>
  <c r="T481" i="5"/>
  <c r="U481" i="5"/>
  <c r="S481" i="5"/>
  <c r="E481" i="5"/>
  <c r="D481" i="5"/>
  <c r="C481" i="5"/>
  <c r="B481" i="5"/>
  <c r="A481" i="5"/>
  <c r="L480" i="5"/>
  <c r="G480" i="5"/>
  <c r="E480" i="5"/>
  <c r="J479" i="5"/>
  <c r="F479" i="5"/>
  <c r="E479" i="5"/>
  <c r="J478" i="5"/>
  <c r="F478" i="5"/>
  <c r="E478" i="5"/>
  <c r="K477" i="5"/>
  <c r="J477" i="5"/>
  <c r="H477" i="5"/>
  <c r="G477" i="5"/>
  <c r="F477" i="5"/>
  <c r="K476" i="5"/>
  <c r="J476" i="5"/>
  <c r="H476" i="5"/>
  <c r="R476" i="5" s="1"/>
  <c r="G476" i="5"/>
  <c r="F476" i="5"/>
  <c r="K475" i="5"/>
  <c r="J475" i="5"/>
  <c r="H475" i="5"/>
  <c r="G475" i="5"/>
  <c r="F475" i="5"/>
  <c r="K474" i="5"/>
  <c r="J474" i="5"/>
  <c r="H474" i="5"/>
  <c r="R474" i="5" s="1"/>
  <c r="G474" i="5"/>
  <c r="F474" i="5"/>
  <c r="C473" i="5"/>
  <c r="V472" i="5"/>
  <c r="T472" i="5"/>
  <c r="U472" i="5"/>
  <c r="S472" i="5"/>
  <c r="H478" i="5" s="1"/>
  <c r="F472" i="5"/>
  <c r="E472" i="5"/>
  <c r="D472" i="5"/>
  <c r="I472" i="5"/>
  <c r="C472" i="5"/>
  <c r="B472" i="5"/>
  <c r="A472" i="5"/>
  <c r="L471" i="5"/>
  <c r="Q471" i="5" s="1"/>
  <c r="Z471" i="5"/>
  <c r="Y471" i="5"/>
  <c r="X471" i="5"/>
  <c r="L470" i="5"/>
  <c r="G470" i="5"/>
  <c r="E470" i="5"/>
  <c r="J469" i="5"/>
  <c r="F469" i="5"/>
  <c r="E469" i="5"/>
  <c r="J468" i="5"/>
  <c r="F468" i="5"/>
  <c r="E468" i="5"/>
  <c r="K467" i="5"/>
  <c r="J467" i="5"/>
  <c r="H467" i="5"/>
  <c r="G467" i="5"/>
  <c r="F467" i="5"/>
  <c r="K466" i="5"/>
  <c r="J466" i="5"/>
  <c r="H466" i="5"/>
  <c r="R466" i="5" s="1"/>
  <c r="G466" i="5"/>
  <c r="F466" i="5"/>
  <c r="K465" i="5"/>
  <c r="J465" i="5"/>
  <c r="H465" i="5"/>
  <c r="G465" i="5"/>
  <c r="F465" i="5"/>
  <c r="K464" i="5"/>
  <c r="J464" i="5"/>
  <c r="H464" i="5"/>
  <c r="R464" i="5" s="1"/>
  <c r="G464" i="5"/>
  <c r="F464" i="5"/>
  <c r="C463" i="5"/>
  <c r="V462" i="5"/>
  <c r="K469" i="5" s="1"/>
  <c r="T462" i="5"/>
  <c r="K468" i="5" s="1"/>
  <c r="U462" i="5"/>
  <c r="H469" i="5" s="1"/>
  <c r="S462" i="5"/>
  <c r="H468" i="5" s="1"/>
  <c r="F462" i="5"/>
  <c r="E462" i="5"/>
  <c r="D462" i="5"/>
  <c r="I462" i="5"/>
  <c r="C462" i="5"/>
  <c r="B462" i="5"/>
  <c r="A462" i="5"/>
  <c r="L461" i="5"/>
  <c r="Q461" i="5" s="1"/>
  <c r="Z461" i="5"/>
  <c r="Y461" i="5"/>
  <c r="X461" i="5"/>
  <c r="L460" i="5"/>
  <c r="G460" i="5"/>
  <c r="E460" i="5"/>
  <c r="J459" i="5"/>
  <c r="F459" i="5"/>
  <c r="E459" i="5"/>
  <c r="J458" i="5"/>
  <c r="F458" i="5"/>
  <c r="E458" i="5"/>
  <c r="K457" i="5"/>
  <c r="J457" i="5"/>
  <c r="H457" i="5"/>
  <c r="G457" i="5"/>
  <c r="F457" i="5"/>
  <c r="K456" i="5"/>
  <c r="J456" i="5"/>
  <c r="H456" i="5"/>
  <c r="R456" i="5" s="1"/>
  <c r="G456" i="5"/>
  <c r="F456" i="5"/>
  <c r="K455" i="5"/>
  <c r="J455" i="5"/>
  <c r="H455" i="5"/>
  <c r="G455" i="5"/>
  <c r="F455" i="5"/>
  <c r="K454" i="5"/>
  <c r="J454" i="5"/>
  <c r="H454" i="5"/>
  <c r="G454" i="5"/>
  <c r="F454" i="5"/>
  <c r="C453" i="5"/>
  <c r="V452" i="5"/>
  <c r="K459" i="5" s="1"/>
  <c r="T452" i="5"/>
  <c r="K458" i="5" s="1"/>
  <c r="U452" i="5"/>
  <c r="H459" i="5" s="1"/>
  <c r="S452" i="5"/>
  <c r="H458" i="5" s="1"/>
  <c r="F452" i="5"/>
  <c r="E452" i="5"/>
  <c r="D452" i="5"/>
  <c r="I452" i="5"/>
  <c r="C452" i="5"/>
  <c r="B452" i="5"/>
  <c r="A452" i="5"/>
  <c r="L451" i="5"/>
  <c r="Q451" i="5" s="1"/>
  <c r="Z451" i="5"/>
  <c r="Y451" i="5"/>
  <c r="X451" i="5"/>
  <c r="L450" i="5"/>
  <c r="G450" i="5"/>
  <c r="E450" i="5"/>
  <c r="J449" i="5"/>
  <c r="F449" i="5"/>
  <c r="E449" i="5"/>
  <c r="J448" i="5"/>
  <c r="F448" i="5"/>
  <c r="E448" i="5"/>
  <c r="K447" i="5"/>
  <c r="J447" i="5"/>
  <c r="H447" i="5"/>
  <c r="G447" i="5"/>
  <c r="F447" i="5"/>
  <c r="K446" i="5"/>
  <c r="J446" i="5"/>
  <c r="H446" i="5"/>
  <c r="R446" i="5" s="1"/>
  <c r="G446" i="5"/>
  <c r="F446" i="5"/>
  <c r="K445" i="5"/>
  <c r="J445" i="5"/>
  <c r="H445" i="5"/>
  <c r="G445" i="5"/>
  <c r="F445" i="5"/>
  <c r="K444" i="5"/>
  <c r="J444" i="5"/>
  <c r="H444" i="5"/>
  <c r="R444" i="5" s="1"/>
  <c r="G444" i="5"/>
  <c r="F444" i="5"/>
  <c r="C443" i="5"/>
  <c r="V442" i="5"/>
  <c r="K449" i="5" s="1"/>
  <c r="T442" i="5"/>
  <c r="K448" i="5" s="1"/>
  <c r="U442" i="5"/>
  <c r="H449" i="5" s="1"/>
  <c r="S442" i="5"/>
  <c r="H448" i="5" s="1"/>
  <c r="F442" i="5"/>
  <c r="E442" i="5"/>
  <c r="D442" i="5"/>
  <c r="I442" i="5"/>
  <c r="C442" i="5"/>
  <c r="B442" i="5"/>
  <c r="A442" i="5"/>
  <c r="L441" i="5"/>
  <c r="Q441" i="5" s="1"/>
  <c r="Z441" i="5"/>
  <c r="Y441" i="5"/>
  <c r="X441" i="5"/>
  <c r="K440" i="5"/>
  <c r="J440" i="5"/>
  <c r="Z440" i="5"/>
  <c r="Y440" i="5"/>
  <c r="X440" i="5"/>
  <c r="H440" i="5"/>
  <c r="W440" i="5" s="1"/>
  <c r="F440" i="5"/>
  <c r="V440" i="5"/>
  <c r="T440" i="5"/>
  <c r="U440" i="5"/>
  <c r="S440" i="5"/>
  <c r="E440" i="5"/>
  <c r="D440" i="5"/>
  <c r="C440" i="5"/>
  <c r="B440" i="5"/>
  <c r="A440" i="5"/>
  <c r="K439" i="5"/>
  <c r="J439" i="5"/>
  <c r="Z439" i="5"/>
  <c r="Y439" i="5"/>
  <c r="X439" i="5"/>
  <c r="H439" i="5"/>
  <c r="W439" i="5" s="1"/>
  <c r="F439" i="5"/>
  <c r="V439" i="5"/>
  <c r="T439" i="5"/>
  <c r="U439" i="5"/>
  <c r="S439" i="5"/>
  <c r="E439" i="5"/>
  <c r="D439" i="5"/>
  <c r="C439" i="5"/>
  <c r="B439" i="5"/>
  <c r="A439" i="5"/>
  <c r="L438" i="5"/>
  <c r="G438" i="5"/>
  <c r="E438" i="5"/>
  <c r="J437" i="5"/>
  <c r="F437" i="5"/>
  <c r="E437" i="5"/>
  <c r="J436" i="5"/>
  <c r="F436" i="5"/>
  <c r="E436" i="5"/>
  <c r="K435" i="5"/>
  <c r="J435" i="5"/>
  <c r="H435" i="5"/>
  <c r="R435" i="5" s="1"/>
  <c r="G435" i="5"/>
  <c r="F435" i="5"/>
  <c r="K434" i="5"/>
  <c r="J434" i="5"/>
  <c r="H434" i="5"/>
  <c r="G434" i="5"/>
  <c r="F434" i="5"/>
  <c r="K433" i="5"/>
  <c r="J433" i="5"/>
  <c r="H433" i="5"/>
  <c r="R433" i="5" s="1"/>
  <c r="G433" i="5"/>
  <c r="F433" i="5"/>
  <c r="C432" i="5"/>
  <c r="V431" i="5"/>
  <c r="T431" i="5"/>
  <c r="U431" i="5"/>
  <c r="H437" i="5" s="1"/>
  <c r="S431" i="5"/>
  <c r="F431" i="5"/>
  <c r="E431" i="5"/>
  <c r="D431" i="5"/>
  <c r="I431" i="5"/>
  <c r="C431" i="5"/>
  <c r="B431" i="5"/>
  <c r="A431" i="5"/>
  <c r="L430" i="5"/>
  <c r="Q430" i="5" s="1"/>
  <c r="Z430" i="5"/>
  <c r="Y430" i="5"/>
  <c r="X430" i="5"/>
  <c r="K429" i="5"/>
  <c r="J429" i="5"/>
  <c r="Z429" i="5"/>
  <c r="Y429" i="5"/>
  <c r="X429" i="5"/>
  <c r="H429" i="5"/>
  <c r="W429" i="5" s="1"/>
  <c r="F429" i="5"/>
  <c r="V429" i="5"/>
  <c r="T429" i="5"/>
  <c r="U429" i="5"/>
  <c r="S429" i="5"/>
  <c r="E429" i="5"/>
  <c r="D429" i="5"/>
  <c r="C429" i="5"/>
  <c r="B429" i="5"/>
  <c r="A429" i="5"/>
  <c r="K428" i="5"/>
  <c r="J428" i="5"/>
  <c r="Z428" i="5"/>
  <c r="Y428" i="5"/>
  <c r="X428" i="5"/>
  <c r="H428" i="5"/>
  <c r="W428" i="5" s="1"/>
  <c r="F428" i="5"/>
  <c r="V428" i="5"/>
  <c r="T428" i="5"/>
  <c r="U428" i="5"/>
  <c r="S428" i="5"/>
  <c r="E428" i="5"/>
  <c r="D428" i="5"/>
  <c r="C428" i="5"/>
  <c r="B428" i="5"/>
  <c r="A428" i="5"/>
  <c r="L427" i="5"/>
  <c r="G427" i="5"/>
  <c r="E427" i="5"/>
  <c r="J426" i="5"/>
  <c r="F426" i="5"/>
  <c r="E426" i="5"/>
  <c r="J425" i="5"/>
  <c r="F425" i="5"/>
  <c r="E425" i="5"/>
  <c r="K424" i="5"/>
  <c r="J424" i="5"/>
  <c r="H424" i="5"/>
  <c r="G424" i="5"/>
  <c r="F424" i="5"/>
  <c r="K423" i="5"/>
  <c r="J423" i="5"/>
  <c r="H423" i="5"/>
  <c r="R423" i="5" s="1"/>
  <c r="G423" i="5"/>
  <c r="F423" i="5"/>
  <c r="K422" i="5"/>
  <c r="J422" i="5"/>
  <c r="H422" i="5"/>
  <c r="G422" i="5"/>
  <c r="F422" i="5"/>
  <c r="K421" i="5"/>
  <c r="J421" i="5"/>
  <c r="H421" i="5"/>
  <c r="R421" i="5" s="1"/>
  <c r="G421" i="5"/>
  <c r="F421" i="5"/>
  <c r="C420" i="5"/>
  <c r="V419" i="5"/>
  <c r="T419" i="5"/>
  <c r="U419" i="5"/>
  <c r="S419" i="5"/>
  <c r="F419" i="5"/>
  <c r="E419" i="5"/>
  <c r="D419" i="5"/>
  <c r="I419" i="5"/>
  <c r="C419" i="5"/>
  <c r="B419" i="5"/>
  <c r="A419" i="5"/>
  <c r="L418" i="5"/>
  <c r="Q418" i="5" s="1"/>
  <c r="Z418" i="5"/>
  <c r="Y418" i="5"/>
  <c r="X418" i="5"/>
  <c r="K417" i="5"/>
  <c r="J417" i="5"/>
  <c r="Z417" i="5"/>
  <c r="Y417" i="5"/>
  <c r="X417" i="5"/>
  <c r="H417" i="5"/>
  <c r="W417" i="5" s="1"/>
  <c r="F417" i="5"/>
  <c r="V417" i="5"/>
  <c r="T417" i="5"/>
  <c r="U417" i="5"/>
  <c r="S417" i="5"/>
  <c r="E417" i="5"/>
  <c r="D417" i="5"/>
  <c r="C417" i="5"/>
  <c r="B417" i="5"/>
  <c r="A417" i="5"/>
  <c r="K416" i="5"/>
  <c r="J416" i="5"/>
  <c r="Z416" i="5"/>
  <c r="Y416" i="5"/>
  <c r="X416" i="5"/>
  <c r="H416" i="5"/>
  <c r="W416" i="5" s="1"/>
  <c r="F416" i="5"/>
  <c r="V416" i="5"/>
  <c r="T416" i="5"/>
  <c r="U416" i="5"/>
  <c r="S416" i="5"/>
  <c r="E416" i="5"/>
  <c r="D416" i="5"/>
  <c r="C416" i="5"/>
  <c r="B416" i="5"/>
  <c r="A416" i="5"/>
  <c r="L415" i="5"/>
  <c r="G415" i="5"/>
  <c r="E415" i="5"/>
  <c r="J414" i="5"/>
  <c r="F414" i="5"/>
  <c r="E414" i="5"/>
  <c r="J413" i="5"/>
  <c r="F413" i="5"/>
  <c r="E413" i="5"/>
  <c r="K412" i="5"/>
  <c r="J412" i="5"/>
  <c r="H412" i="5"/>
  <c r="G412" i="5"/>
  <c r="F412" i="5"/>
  <c r="K411" i="5"/>
  <c r="J411" i="5"/>
  <c r="H411" i="5"/>
  <c r="R411" i="5" s="1"/>
  <c r="G411" i="5"/>
  <c r="F411" i="5"/>
  <c r="K410" i="5"/>
  <c r="J410" i="5"/>
  <c r="H410" i="5"/>
  <c r="G410" i="5"/>
  <c r="F410" i="5"/>
  <c r="K409" i="5"/>
  <c r="J409" i="5"/>
  <c r="H409" i="5"/>
  <c r="R409" i="5" s="1"/>
  <c r="G409" i="5"/>
  <c r="F409" i="5"/>
  <c r="V408" i="5"/>
  <c r="T408" i="5"/>
  <c r="K413" i="5" s="1"/>
  <c r="U408" i="5"/>
  <c r="S408" i="5"/>
  <c r="F408" i="5"/>
  <c r="E408" i="5"/>
  <c r="D408" i="5"/>
  <c r="I408" i="5"/>
  <c r="C408" i="5"/>
  <c r="B408" i="5"/>
  <c r="A408" i="5"/>
  <c r="L407" i="5"/>
  <c r="Q407" i="5" s="1"/>
  <c r="Z407" i="5"/>
  <c r="Y407" i="5"/>
  <c r="X407" i="5"/>
  <c r="K406" i="5"/>
  <c r="J406" i="5"/>
  <c r="Z406" i="5"/>
  <c r="Y406" i="5"/>
  <c r="X406" i="5"/>
  <c r="H406" i="5"/>
  <c r="W406" i="5" s="1"/>
  <c r="F406" i="5"/>
  <c r="V406" i="5"/>
  <c r="T406" i="5"/>
  <c r="U406" i="5"/>
  <c r="S406" i="5"/>
  <c r="E406" i="5"/>
  <c r="D406" i="5"/>
  <c r="C406" i="5"/>
  <c r="B406" i="5"/>
  <c r="A406" i="5"/>
  <c r="K405" i="5"/>
  <c r="J405" i="5"/>
  <c r="Z405" i="5"/>
  <c r="Y405" i="5"/>
  <c r="X405" i="5"/>
  <c r="H405" i="5"/>
  <c r="W405" i="5" s="1"/>
  <c r="F405" i="5"/>
  <c r="V405" i="5"/>
  <c r="T405" i="5"/>
  <c r="U405" i="5"/>
  <c r="S405" i="5"/>
  <c r="E405" i="5"/>
  <c r="D405" i="5"/>
  <c r="C405" i="5"/>
  <c r="B405" i="5"/>
  <c r="A405" i="5"/>
  <c r="K404" i="5"/>
  <c r="J404" i="5"/>
  <c r="Z404" i="5"/>
  <c r="Y404" i="5"/>
  <c r="X404" i="5"/>
  <c r="H404" i="5"/>
  <c r="W404" i="5" s="1"/>
  <c r="F404" i="5"/>
  <c r="V404" i="5"/>
  <c r="T404" i="5"/>
  <c r="U404" i="5"/>
  <c r="S404" i="5"/>
  <c r="E404" i="5"/>
  <c r="D404" i="5"/>
  <c r="C404" i="5"/>
  <c r="B404" i="5"/>
  <c r="A404" i="5"/>
  <c r="K403" i="5"/>
  <c r="J403" i="5"/>
  <c r="Z403" i="5"/>
  <c r="Y403" i="5"/>
  <c r="X403" i="5"/>
  <c r="H403" i="5"/>
  <c r="W403" i="5" s="1"/>
  <c r="F403" i="5"/>
  <c r="V403" i="5"/>
  <c r="T403" i="5"/>
  <c r="U403" i="5"/>
  <c r="S403" i="5"/>
  <c r="E403" i="5"/>
  <c r="D403" i="5"/>
  <c r="C403" i="5"/>
  <c r="B403" i="5"/>
  <c r="A403" i="5"/>
  <c r="K402" i="5"/>
  <c r="J402" i="5"/>
  <c r="Z402" i="5"/>
  <c r="Y402" i="5"/>
  <c r="X402" i="5"/>
  <c r="H402" i="5"/>
  <c r="W402" i="5" s="1"/>
  <c r="F402" i="5"/>
  <c r="V402" i="5"/>
  <c r="T402" i="5"/>
  <c r="U402" i="5"/>
  <c r="S402" i="5"/>
  <c r="E402" i="5"/>
  <c r="D402" i="5"/>
  <c r="C402" i="5"/>
  <c r="B402" i="5"/>
  <c r="A402" i="5"/>
  <c r="K401" i="5"/>
  <c r="J401" i="5"/>
  <c r="Z401" i="5"/>
  <c r="Y401" i="5"/>
  <c r="X401" i="5"/>
  <c r="H401" i="5"/>
  <c r="W401" i="5" s="1"/>
  <c r="F401" i="5"/>
  <c r="V401" i="5"/>
  <c r="T401" i="5"/>
  <c r="U401" i="5"/>
  <c r="S401" i="5"/>
  <c r="E401" i="5"/>
  <c r="D401" i="5"/>
  <c r="C401" i="5"/>
  <c r="B401" i="5"/>
  <c r="A401" i="5"/>
  <c r="L400" i="5"/>
  <c r="G400" i="5"/>
  <c r="E400" i="5"/>
  <c r="J399" i="5"/>
  <c r="F399" i="5"/>
  <c r="E399" i="5"/>
  <c r="J398" i="5"/>
  <c r="F398" i="5"/>
  <c r="E398" i="5"/>
  <c r="K397" i="5"/>
  <c r="J397" i="5"/>
  <c r="H397" i="5"/>
  <c r="G397" i="5"/>
  <c r="F397" i="5"/>
  <c r="K396" i="5"/>
  <c r="J396" i="5"/>
  <c r="H396" i="5"/>
  <c r="R396" i="5" s="1"/>
  <c r="G396" i="5"/>
  <c r="F396" i="5"/>
  <c r="K395" i="5"/>
  <c r="J395" i="5"/>
  <c r="H395" i="5"/>
  <c r="G395" i="5"/>
  <c r="F395" i="5"/>
  <c r="K394" i="5"/>
  <c r="J394" i="5"/>
  <c r="H394" i="5"/>
  <c r="R394" i="5" s="1"/>
  <c r="G394" i="5"/>
  <c r="F394" i="5"/>
  <c r="C393" i="5"/>
  <c r="V392" i="5"/>
  <c r="T392" i="5"/>
  <c r="K398" i="5" s="1"/>
  <c r="U392" i="5"/>
  <c r="S392" i="5"/>
  <c r="F392" i="5"/>
  <c r="E392" i="5"/>
  <c r="D392" i="5"/>
  <c r="I392" i="5"/>
  <c r="C392" i="5"/>
  <c r="B392" i="5"/>
  <c r="A392" i="5"/>
  <c r="L391" i="5"/>
  <c r="Q391" i="5" s="1"/>
  <c r="Z391" i="5"/>
  <c r="Y391" i="5"/>
  <c r="X391" i="5"/>
  <c r="K390" i="5"/>
  <c r="J390" i="5"/>
  <c r="Z390" i="5"/>
  <c r="Y390" i="5"/>
  <c r="X390" i="5"/>
  <c r="H390" i="5"/>
  <c r="W390" i="5" s="1"/>
  <c r="F390" i="5"/>
  <c r="V390" i="5"/>
  <c r="T390" i="5"/>
  <c r="U390" i="5"/>
  <c r="S390" i="5"/>
  <c r="E390" i="5"/>
  <c r="D390" i="5"/>
  <c r="C390" i="5"/>
  <c r="B390" i="5"/>
  <c r="A390" i="5"/>
  <c r="K389" i="5"/>
  <c r="J389" i="5"/>
  <c r="Z389" i="5"/>
  <c r="Y389" i="5"/>
  <c r="X389" i="5"/>
  <c r="H389" i="5"/>
  <c r="W389" i="5" s="1"/>
  <c r="F389" i="5"/>
  <c r="V389" i="5"/>
  <c r="T389" i="5"/>
  <c r="U389" i="5"/>
  <c r="S389" i="5"/>
  <c r="E389" i="5"/>
  <c r="D389" i="5"/>
  <c r="C389" i="5"/>
  <c r="B389" i="5"/>
  <c r="A389" i="5"/>
  <c r="L388" i="5"/>
  <c r="G388" i="5"/>
  <c r="E388" i="5"/>
  <c r="J387" i="5"/>
  <c r="F387" i="5"/>
  <c r="E387" i="5"/>
  <c r="J386" i="5"/>
  <c r="F386" i="5"/>
  <c r="E386" i="5"/>
  <c r="K385" i="5"/>
  <c r="J385" i="5"/>
  <c r="H385" i="5"/>
  <c r="G385" i="5"/>
  <c r="F385" i="5"/>
  <c r="K384" i="5"/>
  <c r="J384" i="5"/>
  <c r="H384" i="5"/>
  <c r="R384" i="5" s="1"/>
  <c r="G384" i="5"/>
  <c r="F384" i="5"/>
  <c r="K383" i="5"/>
  <c r="J383" i="5"/>
  <c r="H383" i="5"/>
  <c r="G383" i="5"/>
  <c r="F383" i="5"/>
  <c r="K382" i="5"/>
  <c r="J382" i="5"/>
  <c r="H382" i="5"/>
  <c r="R382" i="5" s="1"/>
  <c r="G382" i="5"/>
  <c r="F382" i="5"/>
  <c r="C381" i="5"/>
  <c r="V380" i="5"/>
  <c r="T380" i="5"/>
  <c r="U380" i="5"/>
  <c r="S380" i="5"/>
  <c r="H386" i="5" s="1"/>
  <c r="F380" i="5"/>
  <c r="E380" i="5"/>
  <c r="D380" i="5"/>
  <c r="I380" i="5"/>
  <c r="C380" i="5"/>
  <c r="B380" i="5"/>
  <c r="A380" i="5"/>
  <c r="L379" i="5"/>
  <c r="Q379" i="5" s="1"/>
  <c r="Z379" i="5"/>
  <c r="Y379" i="5"/>
  <c r="X379" i="5"/>
  <c r="L378" i="5"/>
  <c r="G378" i="5"/>
  <c r="E378" i="5"/>
  <c r="J377" i="5"/>
  <c r="F377" i="5"/>
  <c r="E377" i="5"/>
  <c r="J376" i="5"/>
  <c r="F376" i="5"/>
  <c r="E376" i="5"/>
  <c r="K375" i="5"/>
  <c r="J375" i="5"/>
  <c r="H375" i="5"/>
  <c r="G375" i="5"/>
  <c r="F375" i="5"/>
  <c r="K374" i="5"/>
  <c r="J374" i="5"/>
  <c r="H374" i="5"/>
  <c r="R374" i="5" s="1"/>
  <c r="G374" i="5"/>
  <c r="F374" i="5"/>
  <c r="K373" i="5"/>
  <c r="J373" i="5"/>
  <c r="H373" i="5"/>
  <c r="G373" i="5"/>
  <c r="F373" i="5"/>
  <c r="K372" i="5"/>
  <c r="J372" i="5"/>
  <c r="H372" i="5"/>
  <c r="R372" i="5" s="1"/>
  <c r="G372" i="5"/>
  <c r="F372" i="5"/>
  <c r="C371" i="5"/>
  <c r="V370" i="5"/>
  <c r="K377" i="5" s="1"/>
  <c r="T370" i="5"/>
  <c r="K376" i="5" s="1"/>
  <c r="U370" i="5"/>
  <c r="H377" i="5" s="1"/>
  <c r="S370" i="5"/>
  <c r="H376" i="5" s="1"/>
  <c r="F370" i="5"/>
  <c r="E370" i="5"/>
  <c r="D370" i="5"/>
  <c r="I370" i="5"/>
  <c r="C370" i="5"/>
  <c r="B370" i="5"/>
  <c r="A370" i="5"/>
  <c r="L369" i="5"/>
  <c r="Q369" i="5" s="1"/>
  <c r="Z369" i="5"/>
  <c r="Y369" i="5"/>
  <c r="X369" i="5"/>
  <c r="K368" i="5"/>
  <c r="J368" i="5"/>
  <c r="Z368" i="5"/>
  <c r="Y368" i="5"/>
  <c r="X368" i="5"/>
  <c r="H368" i="5"/>
  <c r="W368" i="5" s="1"/>
  <c r="F368" i="5"/>
  <c r="V368" i="5"/>
  <c r="T368" i="5"/>
  <c r="U368" i="5"/>
  <c r="S368" i="5"/>
  <c r="E368" i="5"/>
  <c r="D368" i="5"/>
  <c r="C368" i="5"/>
  <c r="B368" i="5"/>
  <c r="A368" i="5"/>
  <c r="K367" i="5"/>
  <c r="J367" i="5"/>
  <c r="Z367" i="5"/>
  <c r="Y367" i="5"/>
  <c r="X367" i="5"/>
  <c r="H367" i="5"/>
  <c r="W367" i="5" s="1"/>
  <c r="F367" i="5"/>
  <c r="V367" i="5"/>
  <c r="T367" i="5"/>
  <c r="U367" i="5"/>
  <c r="S367" i="5"/>
  <c r="E367" i="5"/>
  <c r="D367" i="5"/>
  <c r="C367" i="5"/>
  <c r="B367" i="5"/>
  <c r="A367" i="5"/>
  <c r="L366" i="5"/>
  <c r="G366" i="5"/>
  <c r="E366" i="5"/>
  <c r="J365" i="5"/>
  <c r="F365" i="5"/>
  <c r="E365" i="5"/>
  <c r="J364" i="5"/>
  <c r="F364" i="5"/>
  <c r="E364" i="5"/>
  <c r="K363" i="5"/>
  <c r="J363" i="5"/>
  <c r="H363" i="5"/>
  <c r="R363" i="5" s="1"/>
  <c r="G363" i="5"/>
  <c r="F363" i="5"/>
  <c r="C362" i="5"/>
  <c r="V361" i="5"/>
  <c r="K365" i="5" s="1"/>
  <c r="T361" i="5"/>
  <c r="U361" i="5"/>
  <c r="H365" i="5" s="1"/>
  <c r="S361" i="5"/>
  <c r="H364" i="5" s="1"/>
  <c r="F361" i="5"/>
  <c r="E361" i="5"/>
  <c r="D361" i="5"/>
  <c r="I361" i="5"/>
  <c r="C361" i="5"/>
  <c r="B361" i="5"/>
  <c r="A361" i="5"/>
  <c r="L360" i="5"/>
  <c r="Q360" i="5" s="1"/>
  <c r="Z360" i="5"/>
  <c r="Y360" i="5"/>
  <c r="X360" i="5"/>
  <c r="K359" i="5"/>
  <c r="J359" i="5"/>
  <c r="Z359" i="5"/>
  <c r="Y359" i="5"/>
  <c r="X359" i="5"/>
  <c r="H359" i="5"/>
  <c r="W359" i="5" s="1"/>
  <c r="F359" i="5"/>
  <c r="V359" i="5"/>
  <c r="T359" i="5"/>
  <c r="U359" i="5"/>
  <c r="S359" i="5"/>
  <c r="E359" i="5"/>
  <c r="D359" i="5"/>
  <c r="C359" i="5"/>
  <c r="B359" i="5"/>
  <c r="A359" i="5"/>
  <c r="L358" i="5"/>
  <c r="G358" i="5"/>
  <c r="E358" i="5"/>
  <c r="J357" i="5"/>
  <c r="F357" i="5"/>
  <c r="E357" i="5"/>
  <c r="J356" i="5"/>
  <c r="F356" i="5"/>
  <c r="E356" i="5"/>
  <c r="K355" i="5"/>
  <c r="J355" i="5"/>
  <c r="H355" i="5"/>
  <c r="G355" i="5"/>
  <c r="F355" i="5"/>
  <c r="K354" i="5"/>
  <c r="J354" i="5"/>
  <c r="H354" i="5"/>
  <c r="R354" i="5" s="1"/>
  <c r="G354" i="5"/>
  <c r="F354" i="5"/>
  <c r="K353" i="5"/>
  <c r="J353" i="5"/>
  <c r="H353" i="5"/>
  <c r="G353" i="5"/>
  <c r="F353" i="5"/>
  <c r="K352" i="5"/>
  <c r="J352" i="5"/>
  <c r="H352" i="5"/>
  <c r="R352" i="5" s="1"/>
  <c r="G352" i="5"/>
  <c r="F352" i="5"/>
  <c r="C351" i="5"/>
  <c r="V350" i="5"/>
  <c r="T350" i="5"/>
  <c r="U350" i="5"/>
  <c r="S350" i="5"/>
  <c r="F350" i="5"/>
  <c r="E350" i="5"/>
  <c r="D350" i="5"/>
  <c r="I350" i="5"/>
  <c r="C350" i="5"/>
  <c r="B350" i="5"/>
  <c r="A350" i="5"/>
  <c r="L349" i="5"/>
  <c r="Q349" i="5" s="1"/>
  <c r="Z349" i="5"/>
  <c r="Y349" i="5"/>
  <c r="X349" i="5"/>
  <c r="K348" i="5"/>
  <c r="J348" i="5"/>
  <c r="Z348" i="5"/>
  <c r="Y348" i="5"/>
  <c r="X348" i="5"/>
  <c r="H348" i="5"/>
  <c r="W348" i="5" s="1"/>
  <c r="F348" i="5"/>
  <c r="V348" i="5"/>
  <c r="T348" i="5"/>
  <c r="U348" i="5"/>
  <c r="S348" i="5"/>
  <c r="E348" i="5"/>
  <c r="D348" i="5"/>
  <c r="C348" i="5"/>
  <c r="B348" i="5"/>
  <c r="A348" i="5"/>
  <c r="K347" i="5"/>
  <c r="J347" i="5"/>
  <c r="Z347" i="5"/>
  <c r="Y347" i="5"/>
  <c r="X347" i="5"/>
  <c r="H347" i="5"/>
  <c r="W347" i="5" s="1"/>
  <c r="F347" i="5"/>
  <c r="V347" i="5"/>
  <c r="T347" i="5"/>
  <c r="U347" i="5"/>
  <c r="S347" i="5"/>
  <c r="E347" i="5"/>
  <c r="D347" i="5"/>
  <c r="C347" i="5"/>
  <c r="B347" i="5"/>
  <c r="A347" i="5"/>
  <c r="L346" i="5"/>
  <c r="G346" i="5"/>
  <c r="E346" i="5"/>
  <c r="J345" i="5"/>
  <c r="E345" i="5"/>
  <c r="J344" i="5"/>
  <c r="E344" i="5"/>
  <c r="K343" i="5"/>
  <c r="J343" i="5"/>
  <c r="H343" i="5"/>
  <c r="G343" i="5"/>
  <c r="F343" i="5"/>
  <c r="K342" i="5"/>
  <c r="J342" i="5"/>
  <c r="H342" i="5"/>
  <c r="R342" i="5" s="1"/>
  <c r="G342" i="5"/>
  <c r="F342" i="5"/>
  <c r="K341" i="5"/>
  <c r="J341" i="5"/>
  <c r="H341" i="5"/>
  <c r="G341" i="5"/>
  <c r="F341" i="5"/>
  <c r="K340" i="5"/>
  <c r="J340" i="5"/>
  <c r="H340" i="5"/>
  <c r="R340" i="5" s="1"/>
  <c r="G340" i="5"/>
  <c r="F340" i="5"/>
  <c r="C339" i="5"/>
  <c r="V338" i="5"/>
  <c r="T338" i="5"/>
  <c r="U338" i="5"/>
  <c r="S338" i="5"/>
  <c r="F338" i="5"/>
  <c r="E338" i="5"/>
  <c r="D338" i="5"/>
  <c r="I338" i="5"/>
  <c r="C338" i="5"/>
  <c r="B338" i="5"/>
  <c r="A338" i="5"/>
  <c r="L337" i="5"/>
  <c r="Q337" i="5" s="1"/>
  <c r="Z337" i="5"/>
  <c r="Y337" i="5"/>
  <c r="X337" i="5"/>
  <c r="L336" i="5"/>
  <c r="G336" i="5"/>
  <c r="E336" i="5"/>
  <c r="J335" i="5"/>
  <c r="F335" i="5"/>
  <c r="E335" i="5"/>
  <c r="J334" i="5"/>
  <c r="F334" i="5"/>
  <c r="E334" i="5"/>
  <c r="K333" i="5"/>
  <c r="J333" i="5"/>
  <c r="H333" i="5"/>
  <c r="G333" i="5"/>
  <c r="F333" i="5"/>
  <c r="K332" i="5"/>
  <c r="J332" i="5"/>
  <c r="H332" i="5"/>
  <c r="R332" i="5" s="1"/>
  <c r="G332" i="5"/>
  <c r="F332" i="5"/>
  <c r="K331" i="5"/>
  <c r="J331" i="5"/>
  <c r="H331" i="5"/>
  <c r="G331" i="5"/>
  <c r="F331" i="5"/>
  <c r="K330" i="5"/>
  <c r="J330" i="5"/>
  <c r="H330" i="5"/>
  <c r="G330" i="5"/>
  <c r="F330" i="5"/>
  <c r="C329" i="5"/>
  <c r="V328" i="5"/>
  <c r="K335" i="5" s="1"/>
  <c r="T328" i="5"/>
  <c r="K334" i="5" s="1"/>
  <c r="U328" i="5"/>
  <c r="H335" i="5" s="1"/>
  <c r="S328" i="5"/>
  <c r="H334" i="5" s="1"/>
  <c r="F328" i="5"/>
  <c r="E328" i="5"/>
  <c r="D328" i="5"/>
  <c r="I328" i="5"/>
  <c r="C328" i="5"/>
  <c r="B328" i="5"/>
  <c r="A328" i="5"/>
  <c r="L327" i="5"/>
  <c r="Q327" i="5" s="1"/>
  <c r="Z327" i="5"/>
  <c r="Y327" i="5"/>
  <c r="X327" i="5"/>
  <c r="K326" i="5"/>
  <c r="J326" i="5"/>
  <c r="Z326" i="5"/>
  <c r="Y326" i="5"/>
  <c r="X326" i="5"/>
  <c r="H326" i="5"/>
  <c r="W326" i="5" s="1"/>
  <c r="F326" i="5"/>
  <c r="V326" i="5"/>
  <c r="T326" i="5"/>
  <c r="U326" i="5"/>
  <c r="S326" i="5"/>
  <c r="E326" i="5"/>
  <c r="D326" i="5"/>
  <c r="C326" i="5"/>
  <c r="B326" i="5"/>
  <c r="A326" i="5"/>
  <c r="K325" i="5"/>
  <c r="J325" i="5"/>
  <c r="Z325" i="5"/>
  <c r="Y325" i="5"/>
  <c r="X325" i="5"/>
  <c r="H325" i="5"/>
  <c r="W325" i="5" s="1"/>
  <c r="F325" i="5"/>
  <c r="V325" i="5"/>
  <c r="T325" i="5"/>
  <c r="U325" i="5"/>
  <c r="S325" i="5"/>
  <c r="E325" i="5"/>
  <c r="D325" i="5"/>
  <c r="C325" i="5"/>
  <c r="B325" i="5"/>
  <c r="A325" i="5"/>
  <c r="L324" i="5"/>
  <c r="G324" i="5"/>
  <c r="E324" i="5"/>
  <c r="J323" i="5"/>
  <c r="E323" i="5"/>
  <c r="J322" i="5"/>
  <c r="E322" i="5"/>
  <c r="K321" i="5"/>
  <c r="J321" i="5"/>
  <c r="H321" i="5"/>
  <c r="G321" i="5"/>
  <c r="F321" i="5"/>
  <c r="K320" i="5"/>
  <c r="J320" i="5"/>
  <c r="H320" i="5"/>
  <c r="R320" i="5" s="1"/>
  <c r="G320" i="5"/>
  <c r="F320" i="5"/>
  <c r="K319" i="5"/>
  <c r="J319" i="5"/>
  <c r="H319" i="5"/>
  <c r="G319" i="5"/>
  <c r="F319" i="5"/>
  <c r="K318" i="5"/>
  <c r="J318" i="5"/>
  <c r="H318" i="5"/>
  <c r="R318" i="5" s="1"/>
  <c r="G318" i="5"/>
  <c r="F318" i="5"/>
  <c r="C317" i="5"/>
  <c r="V316" i="5"/>
  <c r="T316" i="5"/>
  <c r="U316" i="5"/>
  <c r="S316" i="5"/>
  <c r="F316" i="5"/>
  <c r="E316" i="5"/>
  <c r="D316" i="5"/>
  <c r="I316" i="5"/>
  <c r="C316" i="5"/>
  <c r="B316" i="5"/>
  <c r="A316" i="5"/>
  <c r="L315" i="5"/>
  <c r="Q315" i="5" s="1"/>
  <c r="Z315" i="5"/>
  <c r="Y315" i="5"/>
  <c r="X315" i="5"/>
  <c r="K314" i="5"/>
  <c r="J314" i="5"/>
  <c r="Z314" i="5"/>
  <c r="Y314" i="5"/>
  <c r="X314" i="5"/>
  <c r="H314" i="5"/>
  <c r="W314" i="5" s="1"/>
  <c r="F314" i="5"/>
  <c r="V314" i="5"/>
  <c r="T314" i="5"/>
  <c r="U314" i="5"/>
  <c r="S314" i="5"/>
  <c r="E314" i="5"/>
  <c r="D314" i="5"/>
  <c r="C314" i="5"/>
  <c r="B314" i="5"/>
  <c r="A314" i="5"/>
  <c r="K313" i="5"/>
  <c r="J313" i="5"/>
  <c r="Z313" i="5"/>
  <c r="Y313" i="5"/>
  <c r="X313" i="5"/>
  <c r="H313" i="5"/>
  <c r="W313" i="5" s="1"/>
  <c r="F313" i="5"/>
  <c r="V313" i="5"/>
  <c r="T313" i="5"/>
  <c r="U313" i="5"/>
  <c r="S313" i="5"/>
  <c r="E313" i="5"/>
  <c r="D313" i="5"/>
  <c r="C313" i="5"/>
  <c r="B313" i="5"/>
  <c r="A313" i="5"/>
  <c r="L312" i="5"/>
  <c r="G312" i="5"/>
  <c r="E312" i="5"/>
  <c r="J311" i="5"/>
  <c r="F311" i="5"/>
  <c r="E311" i="5"/>
  <c r="J310" i="5"/>
  <c r="F310" i="5"/>
  <c r="E310" i="5"/>
  <c r="K309" i="5"/>
  <c r="J309" i="5"/>
  <c r="H309" i="5"/>
  <c r="G309" i="5"/>
  <c r="F309" i="5"/>
  <c r="K308" i="5"/>
  <c r="J308" i="5"/>
  <c r="H308" i="5"/>
  <c r="G308" i="5"/>
  <c r="F308" i="5"/>
  <c r="K307" i="5"/>
  <c r="J307" i="5"/>
  <c r="H307" i="5"/>
  <c r="G307" i="5"/>
  <c r="F307" i="5"/>
  <c r="V306" i="5"/>
  <c r="T306" i="5"/>
  <c r="U306" i="5"/>
  <c r="S306" i="5"/>
  <c r="F306" i="5"/>
  <c r="E306" i="5"/>
  <c r="D306" i="5"/>
  <c r="I306" i="5"/>
  <c r="C306" i="5"/>
  <c r="B306" i="5"/>
  <c r="A306" i="5"/>
  <c r="L305" i="5"/>
  <c r="Q305" i="5" s="1"/>
  <c r="Z305" i="5"/>
  <c r="Y305" i="5"/>
  <c r="X305" i="5"/>
  <c r="K304" i="5"/>
  <c r="J304" i="5"/>
  <c r="Z304" i="5"/>
  <c r="Y304" i="5"/>
  <c r="X304" i="5"/>
  <c r="H304" i="5"/>
  <c r="W304" i="5" s="1"/>
  <c r="F304" i="5"/>
  <c r="V304" i="5"/>
  <c r="T304" i="5"/>
  <c r="U304" i="5"/>
  <c r="S304" i="5"/>
  <c r="E304" i="5"/>
  <c r="D304" i="5"/>
  <c r="C304" i="5"/>
  <c r="B304" i="5"/>
  <c r="A304" i="5"/>
  <c r="K303" i="5"/>
  <c r="J303" i="5"/>
  <c r="Z303" i="5"/>
  <c r="Y303" i="5"/>
  <c r="X303" i="5"/>
  <c r="H303" i="5"/>
  <c r="W303" i="5" s="1"/>
  <c r="F303" i="5"/>
  <c r="V303" i="5"/>
  <c r="T303" i="5"/>
  <c r="U303" i="5"/>
  <c r="S303" i="5"/>
  <c r="E303" i="5"/>
  <c r="D303" i="5"/>
  <c r="C303" i="5"/>
  <c r="B303" i="5"/>
  <c r="A303" i="5"/>
  <c r="K302" i="5"/>
  <c r="J302" i="5"/>
  <c r="Z302" i="5"/>
  <c r="Y302" i="5"/>
  <c r="X302" i="5"/>
  <c r="H302" i="5"/>
  <c r="W302" i="5" s="1"/>
  <c r="F302" i="5"/>
  <c r="V302" i="5"/>
  <c r="T302" i="5"/>
  <c r="U302" i="5"/>
  <c r="S302" i="5"/>
  <c r="E302" i="5"/>
  <c r="D302" i="5"/>
  <c r="C302" i="5"/>
  <c r="B302" i="5"/>
  <c r="A302" i="5"/>
  <c r="K301" i="5"/>
  <c r="J301" i="5"/>
  <c r="Z301" i="5"/>
  <c r="Y301" i="5"/>
  <c r="X301" i="5"/>
  <c r="H301" i="5"/>
  <c r="W301" i="5" s="1"/>
  <c r="F301" i="5"/>
  <c r="V301" i="5"/>
  <c r="T301" i="5"/>
  <c r="U301" i="5"/>
  <c r="S301" i="5"/>
  <c r="E301" i="5"/>
  <c r="D301" i="5"/>
  <c r="C301" i="5"/>
  <c r="B301" i="5"/>
  <c r="A301" i="5"/>
  <c r="L300" i="5"/>
  <c r="G300" i="5"/>
  <c r="E300" i="5"/>
  <c r="J299" i="5"/>
  <c r="F299" i="5"/>
  <c r="E299" i="5"/>
  <c r="J298" i="5"/>
  <c r="F298" i="5"/>
  <c r="E298" i="5"/>
  <c r="K297" i="5"/>
  <c r="J297" i="5"/>
  <c r="H297" i="5"/>
  <c r="G297" i="5"/>
  <c r="F297" i="5"/>
  <c r="K296" i="5"/>
  <c r="J296" i="5"/>
  <c r="H296" i="5"/>
  <c r="R296" i="5" s="1"/>
  <c r="G296" i="5"/>
  <c r="F296" i="5"/>
  <c r="K295" i="5"/>
  <c r="J295" i="5"/>
  <c r="H295" i="5"/>
  <c r="G295" i="5"/>
  <c r="F295" i="5"/>
  <c r="K294" i="5"/>
  <c r="J294" i="5"/>
  <c r="H294" i="5"/>
  <c r="G294" i="5"/>
  <c r="F294" i="5"/>
  <c r="C293" i="5"/>
  <c r="V292" i="5"/>
  <c r="T292" i="5"/>
  <c r="U292" i="5"/>
  <c r="S292" i="5"/>
  <c r="F292" i="5"/>
  <c r="E292" i="5"/>
  <c r="D292" i="5"/>
  <c r="I292" i="5"/>
  <c r="C292" i="5"/>
  <c r="B292" i="5"/>
  <c r="A292" i="5"/>
  <c r="L291" i="5"/>
  <c r="Q291" i="5" s="1"/>
  <c r="Z291" i="5"/>
  <c r="Y291" i="5"/>
  <c r="X291" i="5"/>
  <c r="K290" i="5"/>
  <c r="J290" i="5"/>
  <c r="Z290" i="5"/>
  <c r="Y290" i="5"/>
  <c r="X290" i="5"/>
  <c r="H290" i="5"/>
  <c r="W290" i="5" s="1"/>
  <c r="F290" i="5"/>
  <c r="V290" i="5"/>
  <c r="T290" i="5"/>
  <c r="U290" i="5"/>
  <c r="S290" i="5"/>
  <c r="E290" i="5"/>
  <c r="D290" i="5"/>
  <c r="C290" i="5"/>
  <c r="B290" i="5"/>
  <c r="A290" i="5"/>
  <c r="K289" i="5"/>
  <c r="J289" i="5"/>
  <c r="Z289" i="5"/>
  <c r="Y289" i="5"/>
  <c r="X289" i="5"/>
  <c r="H289" i="5"/>
  <c r="W289" i="5" s="1"/>
  <c r="F289" i="5"/>
  <c r="V289" i="5"/>
  <c r="T289" i="5"/>
  <c r="U289" i="5"/>
  <c r="S289" i="5"/>
  <c r="E289" i="5"/>
  <c r="D289" i="5"/>
  <c r="C289" i="5"/>
  <c r="B289" i="5"/>
  <c r="A289" i="5"/>
  <c r="K288" i="5"/>
  <c r="J288" i="5"/>
  <c r="Z288" i="5"/>
  <c r="Y288" i="5"/>
  <c r="X288" i="5"/>
  <c r="W288" i="5"/>
  <c r="H288" i="5"/>
  <c r="F288" i="5"/>
  <c r="V288" i="5"/>
  <c r="T288" i="5"/>
  <c r="U288" i="5"/>
  <c r="S288" i="5"/>
  <c r="E288" i="5"/>
  <c r="D288" i="5"/>
  <c r="C288" i="5"/>
  <c r="B288" i="5"/>
  <c r="A288" i="5"/>
  <c r="K287" i="5"/>
  <c r="J287" i="5"/>
  <c r="Z287" i="5"/>
  <c r="Y287" i="5"/>
  <c r="X287" i="5"/>
  <c r="H287" i="5"/>
  <c r="W287" i="5" s="1"/>
  <c r="F287" i="5"/>
  <c r="V287" i="5"/>
  <c r="T287" i="5"/>
  <c r="U287" i="5"/>
  <c r="S287" i="5"/>
  <c r="E287" i="5"/>
  <c r="D287" i="5"/>
  <c r="C287" i="5"/>
  <c r="B287" i="5"/>
  <c r="A287" i="5"/>
  <c r="K286" i="5"/>
  <c r="J286" i="5"/>
  <c r="Z286" i="5"/>
  <c r="Y286" i="5"/>
  <c r="X286" i="5"/>
  <c r="H286" i="5"/>
  <c r="W286" i="5" s="1"/>
  <c r="F286" i="5"/>
  <c r="V286" i="5"/>
  <c r="T286" i="5"/>
  <c r="U286" i="5"/>
  <c r="S286" i="5"/>
  <c r="E286" i="5"/>
  <c r="D286" i="5"/>
  <c r="C286" i="5"/>
  <c r="B286" i="5"/>
  <c r="A286" i="5"/>
  <c r="K285" i="5"/>
  <c r="J285" i="5"/>
  <c r="Z285" i="5"/>
  <c r="Y285" i="5"/>
  <c r="X285" i="5"/>
  <c r="H285" i="5"/>
  <c r="W285" i="5" s="1"/>
  <c r="F285" i="5"/>
  <c r="V285" i="5"/>
  <c r="T285" i="5"/>
  <c r="U285" i="5"/>
  <c r="S285" i="5"/>
  <c r="E285" i="5"/>
  <c r="D285" i="5"/>
  <c r="C285" i="5"/>
  <c r="B285" i="5"/>
  <c r="A285" i="5"/>
  <c r="L284" i="5"/>
  <c r="G284" i="5"/>
  <c r="E284" i="5"/>
  <c r="J283" i="5"/>
  <c r="E283" i="5"/>
  <c r="J282" i="5"/>
  <c r="E282" i="5"/>
  <c r="K281" i="5"/>
  <c r="J281" i="5"/>
  <c r="H281" i="5"/>
  <c r="G281" i="5"/>
  <c r="F281" i="5"/>
  <c r="K280" i="5"/>
  <c r="J280" i="5"/>
  <c r="H280" i="5"/>
  <c r="R280" i="5" s="1"/>
  <c r="G280" i="5"/>
  <c r="F280" i="5"/>
  <c r="K279" i="5"/>
  <c r="J279" i="5"/>
  <c r="H279" i="5"/>
  <c r="G279" i="5"/>
  <c r="F279" i="5"/>
  <c r="K278" i="5"/>
  <c r="J278" i="5"/>
  <c r="H278" i="5"/>
  <c r="G278" i="5"/>
  <c r="F278" i="5"/>
  <c r="V277" i="5"/>
  <c r="T277" i="5"/>
  <c r="U277" i="5"/>
  <c r="S277" i="5"/>
  <c r="F277" i="5"/>
  <c r="E277" i="5"/>
  <c r="D277" i="5"/>
  <c r="I277" i="5"/>
  <c r="C277" i="5"/>
  <c r="B277" i="5"/>
  <c r="A277" i="5"/>
  <c r="L276" i="5"/>
  <c r="Q276" i="5" s="1"/>
  <c r="Z276" i="5"/>
  <c r="Y276" i="5"/>
  <c r="X276" i="5"/>
  <c r="K275" i="5"/>
  <c r="J275" i="5"/>
  <c r="Z275" i="5"/>
  <c r="Y275" i="5"/>
  <c r="X275" i="5"/>
  <c r="H275" i="5"/>
  <c r="W275" i="5" s="1"/>
  <c r="F275" i="5"/>
  <c r="V275" i="5"/>
  <c r="T275" i="5"/>
  <c r="U275" i="5"/>
  <c r="S275" i="5"/>
  <c r="E275" i="5"/>
  <c r="D275" i="5"/>
  <c r="C275" i="5"/>
  <c r="B275" i="5"/>
  <c r="A275" i="5"/>
  <c r="L274" i="5"/>
  <c r="G274" i="5"/>
  <c r="E274" i="5"/>
  <c r="J273" i="5"/>
  <c r="E273" i="5"/>
  <c r="J272" i="5"/>
  <c r="E272" i="5"/>
  <c r="K271" i="5"/>
  <c r="J271" i="5"/>
  <c r="H271" i="5"/>
  <c r="G271" i="5"/>
  <c r="F271" i="5"/>
  <c r="K270" i="5"/>
  <c r="J270" i="5"/>
  <c r="H270" i="5"/>
  <c r="R270" i="5" s="1"/>
  <c r="G270" i="5"/>
  <c r="F270" i="5"/>
  <c r="K269" i="5"/>
  <c r="J269" i="5"/>
  <c r="H269" i="5"/>
  <c r="G269" i="5"/>
  <c r="F269" i="5"/>
  <c r="K268" i="5"/>
  <c r="J268" i="5"/>
  <c r="H268" i="5"/>
  <c r="G268" i="5"/>
  <c r="F268" i="5"/>
  <c r="C267" i="5"/>
  <c r="V266" i="5"/>
  <c r="T266" i="5"/>
  <c r="U266" i="5"/>
  <c r="S266" i="5"/>
  <c r="F266" i="5"/>
  <c r="E266" i="5"/>
  <c r="D266" i="5"/>
  <c r="I266" i="5"/>
  <c r="C266" i="5"/>
  <c r="B266" i="5"/>
  <c r="A266" i="5"/>
  <c r="L265" i="5"/>
  <c r="Q265" i="5" s="1"/>
  <c r="Z265" i="5"/>
  <c r="Y265" i="5"/>
  <c r="X265" i="5"/>
  <c r="L264" i="5"/>
  <c r="G264" i="5"/>
  <c r="E264" i="5"/>
  <c r="J263" i="5"/>
  <c r="F263" i="5"/>
  <c r="E263" i="5"/>
  <c r="J262" i="5"/>
  <c r="F262" i="5"/>
  <c r="E262" i="5"/>
  <c r="K261" i="5"/>
  <c r="J261" i="5"/>
  <c r="H261" i="5"/>
  <c r="G261" i="5"/>
  <c r="F261" i="5"/>
  <c r="K260" i="5"/>
  <c r="J260" i="5"/>
  <c r="H260" i="5"/>
  <c r="G260" i="5"/>
  <c r="F260" i="5"/>
  <c r="C259" i="5"/>
  <c r="V258" i="5"/>
  <c r="K263" i="5" s="1"/>
  <c r="T258" i="5"/>
  <c r="K262" i="5" s="1"/>
  <c r="U258" i="5"/>
  <c r="H263" i="5" s="1"/>
  <c r="S258" i="5"/>
  <c r="H262" i="5" s="1"/>
  <c r="F258" i="5"/>
  <c r="E258" i="5"/>
  <c r="D258" i="5"/>
  <c r="I258" i="5"/>
  <c r="C258" i="5"/>
  <c r="B258" i="5"/>
  <c r="A258" i="5"/>
  <c r="L257" i="5"/>
  <c r="Q257" i="5" s="1"/>
  <c r="Z257" i="5"/>
  <c r="Y257" i="5"/>
  <c r="X257" i="5"/>
  <c r="K256" i="5"/>
  <c r="J256" i="5"/>
  <c r="Z256" i="5"/>
  <c r="Y256" i="5"/>
  <c r="X256" i="5"/>
  <c r="H256" i="5"/>
  <c r="W256" i="5" s="1"/>
  <c r="F256" i="5"/>
  <c r="V256" i="5"/>
  <c r="T256" i="5"/>
  <c r="U256" i="5"/>
  <c r="S256" i="5"/>
  <c r="E256" i="5"/>
  <c r="D256" i="5"/>
  <c r="C256" i="5"/>
  <c r="B256" i="5"/>
  <c r="A256" i="5"/>
  <c r="K255" i="5"/>
  <c r="J255" i="5"/>
  <c r="Z255" i="5"/>
  <c r="Y255" i="5"/>
  <c r="X255" i="5"/>
  <c r="H255" i="5"/>
  <c r="W255" i="5" s="1"/>
  <c r="F255" i="5"/>
  <c r="V255" i="5"/>
  <c r="T255" i="5"/>
  <c r="U255" i="5"/>
  <c r="S255" i="5"/>
  <c r="E255" i="5"/>
  <c r="D255" i="5"/>
  <c r="C255" i="5"/>
  <c r="B255" i="5"/>
  <c r="A255" i="5"/>
  <c r="K254" i="5"/>
  <c r="J254" i="5"/>
  <c r="Z254" i="5"/>
  <c r="Y254" i="5"/>
  <c r="X254" i="5"/>
  <c r="H254" i="5"/>
  <c r="W254" i="5" s="1"/>
  <c r="F254" i="5"/>
  <c r="V254" i="5"/>
  <c r="T254" i="5"/>
  <c r="U254" i="5"/>
  <c r="S254" i="5"/>
  <c r="E254" i="5"/>
  <c r="D254" i="5"/>
  <c r="C254" i="5"/>
  <c r="B254" i="5"/>
  <c r="A254" i="5"/>
  <c r="L253" i="5"/>
  <c r="G253" i="5"/>
  <c r="E253" i="5"/>
  <c r="J252" i="5"/>
  <c r="F252" i="5"/>
  <c r="E252" i="5"/>
  <c r="J251" i="5"/>
  <c r="F251" i="5"/>
  <c r="E251" i="5"/>
  <c r="K250" i="5"/>
  <c r="J250" i="5"/>
  <c r="H250" i="5"/>
  <c r="G250" i="5"/>
  <c r="F250" i="5"/>
  <c r="K249" i="5"/>
  <c r="J249" i="5"/>
  <c r="H249" i="5"/>
  <c r="R249" i="5" s="1"/>
  <c r="G249" i="5"/>
  <c r="F249" i="5"/>
  <c r="K248" i="5"/>
  <c r="J248" i="5"/>
  <c r="H248" i="5"/>
  <c r="G248" i="5"/>
  <c r="F248" i="5"/>
  <c r="K247" i="5"/>
  <c r="J247" i="5"/>
  <c r="H247" i="5"/>
  <c r="R247" i="5" s="1"/>
  <c r="G247" i="5"/>
  <c r="F247" i="5"/>
  <c r="C246" i="5"/>
  <c r="V245" i="5"/>
  <c r="T245" i="5"/>
  <c r="U245" i="5"/>
  <c r="S245" i="5"/>
  <c r="F245" i="5"/>
  <c r="E245" i="5"/>
  <c r="D245" i="5"/>
  <c r="I245" i="5"/>
  <c r="C245" i="5"/>
  <c r="B245" i="5"/>
  <c r="A245" i="5"/>
  <c r="L244" i="5"/>
  <c r="Q244" i="5" s="1"/>
  <c r="Z244" i="5"/>
  <c r="Y244" i="5"/>
  <c r="X244" i="5"/>
  <c r="K243" i="5"/>
  <c r="J243" i="5"/>
  <c r="Z243" i="5"/>
  <c r="Y243" i="5"/>
  <c r="X243" i="5"/>
  <c r="H243" i="5"/>
  <c r="W243" i="5" s="1"/>
  <c r="F243" i="5"/>
  <c r="V243" i="5"/>
  <c r="T243" i="5"/>
  <c r="U243" i="5"/>
  <c r="S243" i="5"/>
  <c r="E243" i="5"/>
  <c r="D243" i="5"/>
  <c r="C243" i="5"/>
  <c r="B243" i="5"/>
  <c r="A243" i="5"/>
  <c r="L242" i="5"/>
  <c r="G242" i="5"/>
  <c r="E242" i="5"/>
  <c r="J241" i="5"/>
  <c r="F241" i="5"/>
  <c r="E241" i="5"/>
  <c r="J240" i="5"/>
  <c r="F240" i="5"/>
  <c r="E240" i="5"/>
  <c r="K239" i="5"/>
  <c r="J239" i="5"/>
  <c r="H239" i="5"/>
  <c r="G239" i="5"/>
  <c r="F239" i="5"/>
  <c r="K238" i="5"/>
  <c r="J238" i="5"/>
  <c r="H238" i="5"/>
  <c r="G238" i="5"/>
  <c r="F238" i="5"/>
  <c r="K237" i="5"/>
  <c r="J237" i="5"/>
  <c r="H237" i="5"/>
  <c r="R237" i="5" s="1"/>
  <c r="G237" i="5"/>
  <c r="F237" i="5"/>
  <c r="V236" i="5"/>
  <c r="T236" i="5"/>
  <c r="U236" i="5"/>
  <c r="S236" i="5"/>
  <c r="F236" i="5"/>
  <c r="E236" i="5"/>
  <c r="D236" i="5"/>
  <c r="I236" i="5"/>
  <c r="C236" i="5"/>
  <c r="B236" i="5"/>
  <c r="A236" i="5"/>
  <c r="L235" i="5"/>
  <c r="Q235" i="5" s="1"/>
  <c r="Z235" i="5"/>
  <c r="Y235" i="5"/>
  <c r="X235" i="5"/>
  <c r="K234" i="5"/>
  <c r="J234" i="5"/>
  <c r="Z234" i="5"/>
  <c r="Y234" i="5"/>
  <c r="X234" i="5"/>
  <c r="H234" i="5"/>
  <c r="W234" i="5" s="1"/>
  <c r="F234" i="5"/>
  <c r="V234" i="5"/>
  <c r="T234" i="5"/>
  <c r="U234" i="5"/>
  <c r="S234" i="5"/>
  <c r="E234" i="5"/>
  <c r="D234" i="5"/>
  <c r="C234" i="5"/>
  <c r="B234" i="5"/>
  <c r="A234" i="5"/>
  <c r="K233" i="5"/>
  <c r="J233" i="5"/>
  <c r="Z233" i="5"/>
  <c r="Y233" i="5"/>
  <c r="X233" i="5"/>
  <c r="H233" i="5"/>
  <c r="W233" i="5" s="1"/>
  <c r="F233" i="5"/>
  <c r="V233" i="5"/>
  <c r="T233" i="5"/>
  <c r="U233" i="5"/>
  <c r="S233" i="5"/>
  <c r="E233" i="5"/>
  <c r="D233" i="5"/>
  <c r="C233" i="5"/>
  <c r="B233" i="5"/>
  <c r="A233" i="5"/>
  <c r="K232" i="5"/>
  <c r="J232" i="5"/>
  <c r="Z232" i="5"/>
  <c r="Y232" i="5"/>
  <c r="X232" i="5"/>
  <c r="H232" i="5"/>
  <c r="W232" i="5" s="1"/>
  <c r="F232" i="5"/>
  <c r="V232" i="5"/>
  <c r="T232" i="5"/>
  <c r="U232" i="5"/>
  <c r="S232" i="5"/>
  <c r="E232" i="5"/>
  <c r="D232" i="5"/>
  <c r="C232" i="5"/>
  <c r="B232" i="5"/>
  <c r="A232" i="5"/>
  <c r="L231" i="5"/>
  <c r="G231" i="5"/>
  <c r="E231" i="5"/>
  <c r="J230" i="5"/>
  <c r="F230" i="5"/>
  <c r="E230" i="5"/>
  <c r="J229" i="5"/>
  <c r="F229" i="5"/>
  <c r="E229" i="5"/>
  <c r="K228" i="5"/>
  <c r="J228" i="5"/>
  <c r="H228" i="5"/>
  <c r="G228" i="5"/>
  <c r="F228" i="5"/>
  <c r="K227" i="5"/>
  <c r="J227" i="5"/>
  <c r="H227" i="5"/>
  <c r="R227" i="5" s="1"/>
  <c r="G227" i="5"/>
  <c r="F227" i="5"/>
  <c r="K226" i="5"/>
  <c r="J226" i="5"/>
  <c r="H226" i="5"/>
  <c r="G226" i="5"/>
  <c r="F226" i="5"/>
  <c r="K225" i="5"/>
  <c r="J225" i="5"/>
  <c r="H225" i="5"/>
  <c r="R225" i="5" s="1"/>
  <c r="G225" i="5"/>
  <c r="F225" i="5"/>
  <c r="V224" i="5"/>
  <c r="T224" i="5"/>
  <c r="U224" i="5"/>
  <c r="S224" i="5"/>
  <c r="F224" i="5"/>
  <c r="E224" i="5"/>
  <c r="D224" i="5"/>
  <c r="I224" i="5"/>
  <c r="C224" i="5"/>
  <c r="B224" i="5"/>
  <c r="A224" i="5"/>
  <c r="L223" i="5"/>
  <c r="Q223" i="5" s="1"/>
  <c r="Z223" i="5"/>
  <c r="Y223" i="5"/>
  <c r="X223" i="5"/>
  <c r="K222" i="5"/>
  <c r="J222" i="5"/>
  <c r="Z222" i="5"/>
  <c r="Y222" i="5"/>
  <c r="X222" i="5"/>
  <c r="H222" i="5"/>
  <c r="W222" i="5" s="1"/>
  <c r="F222" i="5"/>
  <c r="V222" i="5"/>
  <c r="T222" i="5"/>
  <c r="U222" i="5"/>
  <c r="S222" i="5"/>
  <c r="E222" i="5"/>
  <c r="D222" i="5"/>
  <c r="C222" i="5"/>
  <c r="B222" i="5"/>
  <c r="A222" i="5"/>
  <c r="K221" i="5"/>
  <c r="J221" i="5"/>
  <c r="Z221" i="5"/>
  <c r="Y221" i="5"/>
  <c r="X221" i="5"/>
  <c r="H221" i="5"/>
  <c r="W221" i="5" s="1"/>
  <c r="F221" i="5"/>
  <c r="V221" i="5"/>
  <c r="T221" i="5"/>
  <c r="U221" i="5"/>
  <c r="S221" i="5"/>
  <c r="E221" i="5"/>
  <c r="D221" i="5"/>
  <c r="C221" i="5"/>
  <c r="B221" i="5"/>
  <c r="A221" i="5"/>
  <c r="L220" i="5"/>
  <c r="G220" i="5"/>
  <c r="E220" i="5"/>
  <c r="J219" i="5"/>
  <c r="F219" i="5"/>
  <c r="E219" i="5"/>
  <c r="J218" i="5"/>
  <c r="F218" i="5"/>
  <c r="E218" i="5"/>
  <c r="K217" i="5"/>
  <c r="J217" i="5"/>
  <c r="H217" i="5"/>
  <c r="G217" i="5"/>
  <c r="F217" i="5"/>
  <c r="K216" i="5"/>
  <c r="J216" i="5"/>
  <c r="H216" i="5"/>
  <c r="R216" i="5" s="1"/>
  <c r="G216" i="5"/>
  <c r="F216" i="5"/>
  <c r="K215" i="5"/>
  <c r="J215" i="5"/>
  <c r="H215" i="5"/>
  <c r="G215" i="5"/>
  <c r="F215" i="5"/>
  <c r="K214" i="5"/>
  <c r="J214" i="5"/>
  <c r="H214" i="5"/>
  <c r="R214" i="5" s="1"/>
  <c r="G214" i="5"/>
  <c r="F214" i="5"/>
  <c r="C213" i="5"/>
  <c r="V212" i="5"/>
  <c r="T212" i="5"/>
  <c r="U212" i="5"/>
  <c r="S212" i="5"/>
  <c r="F212" i="5"/>
  <c r="E212" i="5"/>
  <c r="D212" i="5"/>
  <c r="I212" i="5"/>
  <c r="C212" i="5"/>
  <c r="B212" i="5"/>
  <c r="A212" i="5"/>
  <c r="L211" i="5"/>
  <c r="Q211" i="5" s="1"/>
  <c r="Z211" i="5"/>
  <c r="Y211" i="5"/>
  <c r="X211" i="5"/>
  <c r="L210" i="5"/>
  <c r="G210" i="5"/>
  <c r="E210" i="5"/>
  <c r="J209" i="5"/>
  <c r="F209" i="5"/>
  <c r="E209" i="5"/>
  <c r="J208" i="5"/>
  <c r="F208" i="5"/>
  <c r="E208" i="5"/>
  <c r="K207" i="5"/>
  <c r="J207" i="5"/>
  <c r="H207" i="5"/>
  <c r="G207" i="5"/>
  <c r="F207" i="5"/>
  <c r="K206" i="5"/>
  <c r="J206" i="5"/>
  <c r="H206" i="5"/>
  <c r="R206" i="5" s="1"/>
  <c r="G206" i="5"/>
  <c r="F206" i="5"/>
  <c r="K205" i="5"/>
  <c r="J205" i="5"/>
  <c r="H205" i="5"/>
  <c r="G205" i="5"/>
  <c r="F205" i="5"/>
  <c r="K204" i="5"/>
  <c r="J204" i="5"/>
  <c r="H204" i="5"/>
  <c r="R204" i="5" s="1"/>
  <c r="G204" i="5"/>
  <c r="F204" i="5"/>
  <c r="C203" i="5"/>
  <c r="V202" i="5"/>
  <c r="K209" i="5" s="1"/>
  <c r="T202" i="5"/>
  <c r="K208" i="5" s="1"/>
  <c r="U202" i="5"/>
  <c r="H209" i="5" s="1"/>
  <c r="S202" i="5"/>
  <c r="H208" i="5" s="1"/>
  <c r="F202" i="5"/>
  <c r="E202" i="5"/>
  <c r="D202" i="5"/>
  <c r="I202" i="5"/>
  <c r="C202" i="5"/>
  <c r="B202" i="5"/>
  <c r="A202" i="5"/>
  <c r="L201" i="5"/>
  <c r="Q201" i="5" s="1"/>
  <c r="Z201" i="5"/>
  <c r="Y201" i="5"/>
  <c r="X201" i="5"/>
  <c r="K200" i="5"/>
  <c r="J200" i="5"/>
  <c r="Z200" i="5"/>
  <c r="Y200" i="5"/>
  <c r="X200" i="5"/>
  <c r="H200" i="5"/>
  <c r="W200" i="5" s="1"/>
  <c r="F200" i="5"/>
  <c r="V200" i="5"/>
  <c r="T200" i="5"/>
  <c r="U200" i="5"/>
  <c r="S200" i="5"/>
  <c r="E200" i="5"/>
  <c r="D200" i="5"/>
  <c r="C200" i="5"/>
  <c r="B200" i="5"/>
  <c r="A200" i="5"/>
  <c r="L199" i="5"/>
  <c r="G199" i="5"/>
  <c r="E199" i="5"/>
  <c r="J198" i="5"/>
  <c r="F198" i="5"/>
  <c r="E198" i="5"/>
  <c r="J197" i="5"/>
  <c r="F197" i="5"/>
  <c r="E197" i="5"/>
  <c r="K196" i="5"/>
  <c r="J196" i="5"/>
  <c r="H196" i="5"/>
  <c r="G196" i="5"/>
  <c r="F196" i="5"/>
  <c r="K195" i="5"/>
  <c r="J195" i="5"/>
  <c r="H195" i="5"/>
  <c r="R195" i="5" s="1"/>
  <c r="G195" i="5"/>
  <c r="F195" i="5"/>
  <c r="K194" i="5"/>
  <c r="J194" i="5"/>
  <c r="H194" i="5"/>
  <c r="G194" i="5"/>
  <c r="F194" i="5"/>
  <c r="K193" i="5"/>
  <c r="J193" i="5"/>
  <c r="H193" i="5"/>
  <c r="G193" i="5"/>
  <c r="F193" i="5"/>
  <c r="C192" i="5"/>
  <c r="V191" i="5"/>
  <c r="T191" i="5"/>
  <c r="U191" i="5"/>
  <c r="S191" i="5"/>
  <c r="F191" i="5"/>
  <c r="E191" i="5"/>
  <c r="D191" i="5"/>
  <c r="I191" i="5"/>
  <c r="C191" i="5"/>
  <c r="B191" i="5"/>
  <c r="A191" i="5"/>
  <c r="L190" i="5"/>
  <c r="Q190" i="5" s="1"/>
  <c r="Z190" i="5"/>
  <c r="Y190" i="5"/>
  <c r="X190" i="5"/>
  <c r="L189" i="5"/>
  <c r="G189" i="5"/>
  <c r="E189" i="5"/>
  <c r="J188" i="5"/>
  <c r="F188" i="5"/>
  <c r="E188" i="5"/>
  <c r="J187" i="5"/>
  <c r="F187" i="5"/>
  <c r="E187" i="5"/>
  <c r="K186" i="5"/>
  <c r="J186" i="5"/>
  <c r="H186" i="5"/>
  <c r="G186" i="5"/>
  <c r="F186" i="5"/>
  <c r="K185" i="5"/>
  <c r="J185" i="5"/>
  <c r="H185" i="5"/>
  <c r="R185" i="5" s="1"/>
  <c r="G185" i="5"/>
  <c r="F185" i="5"/>
  <c r="K184" i="5"/>
  <c r="J184" i="5"/>
  <c r="H184" i="5"/>
  <c r="G184" i="5"/>
  <c r="F184" i="5"/>
  <c r="K183" i="5"/>
  <c r="J183" i="5"/>
  <c r="H183" i="5"/>
  <c r="R183" i="5" s="1"/>
  <c r="G183" i="5"/>
  <c r="F183" i="5"/>
  <c r="C182" i="5"/>
  <c r="V181" i="5"/>
  <c r="K188" i="5" s="1"/>
  <c r="T181" i="5"/>
  <c r="K187" i="5" s="1"/>
  <c r="U181" i="5"/>
  <c r="H188" i="5" s="1"/>
  <c r="S181" i="5"/>
  <c r="H187" i="5" s="1"/>
  <c r="F181" i="5"/>
  <c r="E181" i="5"/>
  <c r="D181" i="5"/>
  <c r="I181" i="5"/>
  <c r="C181" i="5"/>
  <c r="B181" i="5"/>
  <c r="A181" i="5"/>
  <c r="L180" i="5"/>
  <c r="Q180" i="5" s="1"/>
  <c r="Z180" i="5"/>
  <c r="Y180" i="5"/>
  <c r="X180" i="5"/>
  <c r="K179" i="5"/>
  <c r="J179" i="5"/>
  <c r="Z179" i="5"/>
  <c r="Y179" i="5"/>
  <c r="X179" i="5"/>
  <c r="H179" i="5"/>
  <c r="W179" i="5" s="1"/>
  <c r="F179" i="5"/>
  <c r="V179" i="5"/>
  <c r="T179" i="5"/>
  <c r="U179" i="5"/>
  <c r="S179" i="5"/>
  <c r="E179" i="5"/>
  <c r="D179" i="5"/>
  <c r="C179" i="5"/>
  <c r="B179" i="5"/>
  <c r="A179" i="5"/>
  <c r="K178" i="5"/>
  <c r="J178" i="5"/>
  <c r="Z178" i="5"/>
  <c r="Y178" i="5"/>
  <c r="X178" i="5"/>
  <c r="H178" i="5"/>
  <c r="W178" i="5" s="1"/>
  <c r="F178" i="5"/>
  <c r="V178" i="5"/>
  <c r="T178" i="5"/>
  <c r="U178" i="5"/>
  <c r="S178" i="5"/>
  <c r="E178" i="5"/>
  <c r="D178" i="5"/>
  <c r="C178" i="5"/>
  <c r="B178" i="5"/>
  <c r="A178" i="5"/>
  <c r="L177" i="5"/>
  <c r="G177" i="5"/>
  <c r="E177" i="5"/>
  <c r="J176" i="5"/>
  <c r="F176" i="5"/>
  <c r="E176" i="5"/>
  <c r="J175" i="5"/>
  <c r="F175" i="5"/>
  <c r="E175" i="5"/>
  <c r="K174" i="5"/>
  <c r="J174" i="5"/>
  <c r="H174" i="5"/>
  <c r="G174" i="5"/>
  <c r="F174" i="5"/>
  <c r="K173" i="5"/>
  <c r="J173" i="5"/>
  <c r="H173" i="5"/>
  <c r="R173" i="5" s="1"/>
  <c r="G173" i="5"/>
  <c r="F173" i="5"/>
  <c r="K172" i="5"/>
  <c r="J172" i="5"/>
  <c r="H172" i="5"/>
  <c r="G172" i="5"/>
  <c r="F172" i="5"/>
  <c r="K171" i="5"/>
  <c r="J171" i="5"/>
  <c r="H171" i="5"/>
  <c r="G171" i="5"/>
  <c r="F171" i="5"/>
  <c r="C170" i="5"/>
  <c r="V169" i="5"/>
  <c r="T169" i="5"/>
  <c r="U169" i="5"/>
  <c r="S169" i="5"/>
  <c r="F169" i="5"/>
  <c r="E169" i="5"/>
  <c r="D169" i="5"/>
  <c r="I169" i="5"/>
  <c r="C169" i="5"/>
  <c r="B169" i="5"/>
  <c r="A169" i="5"/>
  <c r="L168" i="5"/>
  <c r="Q168" i="5" s="1"/>
  <c r="Z168" i="5"/>
  <c r="Y168" i="5"/>
  <c r="X168" i="5"/>
  <c r="K167" i="5"/>
  <c r="J167" i="5"/>
  <c r="Z167" i="5"/>
  <c r="Y167" i="5"/>
  <c r="X167" i="5"/>
  <c r="H167" i="5"/>
  <c r="W167" i="5" s="1"/>
  <c r="F167" i="5"/>
  <c r="V167" i="5"/>
  <c r="T167" i="5"/>
  <c r="U167" i="5"/>
  <c r="S167" i="5"/>
  <c r="E167" i="5"/>
  <c r="D167" i="5"/>
  <c r="C167" i="5"/>
  <c r="B167" i="5"/>
  <c r="A167" i="5"/>
  <c r="K166" i="5"/>
  <c r="J166" i="5"/>
  <c r="Z166" i="5"/>
  <c r="Y166" i="5"/>
  <c r="X166" i="5"/>
  <c r="H166" i="5"/>
  <c r="W166" i="5" s="1"/>
  <c r="F166" i="5"/>
  <c r="V166" i="5"/>
  <c r="T166" i="5"/>
  <c r="U166" i="5"/>
  <c r="S166" i="5"/>
  <c r="E166" i="5"/>
  <c r="D166" i="5"/>
  <c r="C166" i="5"/>
  <c r="B166" i="5"/>
  <c r="A166" i="5"/>
  <c r="L165" i="5"/>
  <c r="G165" i="5"/>
  <c r="E165" i="5"/>
  <c r="J164" i="5"/>
  <c r="F164" i="5"/>
  <c r="E164" i="5"/>
  <c r="J163" i="5"/>
  <c r="F163" i="5"/>
  <c r="E163" i="5"/>
  <c r="K162" i="5"/>
  <c r="J162" i="5"/>
  <c r="H162" i="5"/>
  <c r="G162" i="5"/>
  <c r="F162" i="5"/>
  <c r="K161" i="5"/>
  <c r="J161" i="5"/>
  <c r="H161" i="5"/>
  <c r="R161" i="5" s="1"/>
  <c r="G161" i="5"/>
  <c r="F161" i="5"/>
  <c r="K160" i="5"/>
  <c r="J160" i="5"/>
  <c r="H160" i="5"/>
  <c r="G160" i="5"/>
  <c r="F160" i="5"/>
  <c r="K159" i="5"/>
  <c r="J159" i="5"/>
  <c r="H159" i="5"/>
  <c r="R159" i="5" s="1"/>
  <c r="G159" i="5"/>
  <c r="F159" i="5"/>
  <c r="C158" i="5"/>
  <c r="V157" i="5"/>
  <c r="T157" i="5"/>
  <c r="U157" i="5"/>
  <c r="S157" i="5"/>
  <c r="F157" i="5"/>
  <c r="E157" i="5"/>
  <c r="D157" i="5"/>
  <c r="I157" i="5"/>
  <c r="C157" i="5"/>
  <c r="B157" i="5"/>
  <c r="A157" i="5"/>
  <c r="A156" i="5"/>
  <c r="A154" i="5"/>
  <c r="L152" i="5"/>
  <c r="Q152" i="5" s="1"/>
  <c r="Z152" i="5"/>
  <c r="Y152" i="5"/>
  <c r="X152" i="5"/>
  <c r="L151" i="5"/>
  <c r="G151" i="5"/>
  <c r="E151" i="5"/>
  <c r="J150" i="5"/>
  <c r="F150" i="5"/>
  <c r="E150" i="5"/>
  <c r="J149" i="5"/>
  <c r="F149" i="5"/>
  <c r="E149" i="5"/>
  <c r="K148" i="5"/>
  <c r="J148" i="5"/>
  <c r="H148" i="5"/>
  <c r="R148" i="5" s="1"/>
  <c r="G148" i="5"/>
  <c r="F148" i="5"/>
  <c r="C147" i="5"/>
  <c r="V146" i="5"/>
  <c r="K150" i="5" s="1"/>
  <c r="T146" i="5"/>
  <c r="K149" i="5" s="1"/>
  <c r="U146" i="5"/>
  <c r="H150" i="5" s="1"/>
  <c r="S146" i="5"/>
  <c r="H149" i="5" s="1"/>
  <c r="F146" i="5"/>
  <c r="E146" i="5"/>
  <c r="D146" i="5"/>
  <c r="I146" i="5"/>
  <c r="C146" i="5"/>
  <c r="B146" i="5"/>
  <c r="A146" i="5"/>
  <c r="L145" i="5"/>
  <c r="Q145" i="5" s="1"/>
  <c r="Z145" i="5"/>
  <c r="Y145" i="5"/>
  <c r="X145" i="5"/>
  <c r="K144" i="5"/>
  <c r="J144" i="5"/>
  <c r="Z144" i="5"/>
  <c r="Y144" i="5"/>
  <c r="X144" i="5"/>
  <c r="H144" i="5"/>
  <c r="W144" i="5" s="1"/>
  <c r="F144" i="5"/>
  <c r="V144" i="5"/>
  <c r="T144" i="5"/>
  <c r="U144" i="5"/>
  <c r="S144" i="5"/>
  <c r="E144" i="5"/>
  <c r="D144" i="5"/>
  <c r="C144" i="5"/>
  <c r="B144" i="5"/>
  <c r="A144" i="5"/>
  <c r="L143" i="5"/>
  <c r="G143" i="5"/>
  <c r="E143" i="5"/>
  <c r="J142" i="5"/>
  <c r="E142" i="5"/>
  <c r="J141" i="5"/>
  <c r="E141" i="5"/>
  <c r="K140" i="5"/>
  <c r="J140" i="5"/>
  <c r="H140" i="5"/>
  <c r="G140" i="5"/>
  <c r="F140" i="5"/>
  <c r="K139" i="5"/>
  <c r="J139" i="5"/>
  <c r="H139" i="5"/>
  <c r="G139" i="5"/>
  <c r="F139" i="5"/>
  <c r="C138" i="5"/>
  <c r="V137" i="5"/>
  <c r="T137" i="5"/>
  <c r="U137" i="5"/>
  <c r="S137" i="5"/>
  <c r="F137" i="5"/>
  <c r="E137" i="5"/>
  <c r="D137" i="5"/>
  <c r="I137" i="5"/>
  <c r="C137" i="5"/>
  <c r="B137" i="5"/>
  <c r="A137" i="5"/>
  <c r="L136" i="5"/>
  <c r="Q136" i="5" s="1"/>
  <c r="Z136" i="5"/>
  <c r="Y136" i="5"/>
  <c r="X136" i="5"/>
  <c r="K135" i="5"/>
  <c r="J135" i="5"/>
  <c r="Z135" i="5"/>
  <c r="Y135" i="5"/>
  <c r="X135" i="5"/>
  <c r="H135" i="5"/>
  <c r="W135" i="5" s="1"/>
  <c r="F135" i="5"/>
  <c r="V135" i="5"/>
  <c r="T135" i="5"/>
  <c r="U135" i="5"/>
  <c r="S135" i="5"/>
  <c r="E135" i="5"/>
  <c r="D135" i="5"/>
  <c r="C135" i="5"/>
  <c r="B135" i="5"/>
  <c r="A135" i="5"/>
  <c r="L134" i="5"/>
  <c r="G134" i="5"/>
  <c r="E134" i="5"/>
  <c r="J133" i="5"/>
  <c r="E133" i="5"/>
  <c r="J132" i="5"/>
  <c r="E132" i="5"/>
  <c r="K131" i="5"/>
  <c r="J131" i="5"/>
  <c r="H131" i="5"/>
  <c r="G131" i="5"/>
  <c r="F131" i="5"/>
  <c r="K130" i="5"/>
  <c r="J130" i="5"/>
  <c r="H130" i="5"/>
  <c r="R130" i="5" s="1"/>
  <c r="G130" i="5"/>
  <c r="F130" i="5"/>
  <c r="K129" i="5"/>
  <c r="J129" i="5"/>
  <c r="H129" i="5"/>
  <c r="G129" i="5"/>
  <c r="F129" i="5"/>
  <c r="K128" i="5"/>
  <c r="J128" i="5"/>
  <c r="H128" i="5"/>
  <c r="G128" i="5"/>
  <c r="F128" i="5"/>
  <c r="C127" i="5"/>
  <c r="V126" i="5"/>
  <c r="T126" i="5"/>
  <c r="U126" i="5"/>
  <c r="S126" i="5"/>
  <c r="F126" i="5"/>
  <c r="E126" i="5"/>
  <c r="D126" i="5"/>
  <c r="I126" i="5"/>
  <c r="C126" i="5"/>
  <c r="B126" i="5"/>
  <c r="A126" i="5"/>
  <c r="L125" i="5"/>
  <c r="Q125" i="5" s="1"/>
  <c r="Z125" i="5"/>
  <c r="Y125" i="5"/>
  <c r="X125" i="5"/>
  <c r="L124" i="5"/>
  <c r="G124" i="5"/>
  <c r="E124" i="5"/>
  <c r="J123" i="5"/>
  <c r="F123" i="5"/>
  <c r="E123" i="5"/>
  <c r="J122" i="5"/>
  <c r="F122" i="5"/>
  <c r="E122" i="5"/>
  <c r="K121" i="5"/>
  <c r="J121" i="5"/>
  <c r="H121" i="5"/>
  <c r="R121" i="5" s="1"/>
  <c r="G121" i="5"/>
  <c r="F121" i="5"/>
  <c r="K120" i="5"/>
  <c r="J120" i="5"/>
  <c r="H120" i="5"/>
  <c r="G120" i="5"/>
  <c r="F120" i="5"/>
  <c r="K119" i="5"/>
  <c r="J119" i="5"/>
  <c r="H119" i="5"/>
  <c r="G119" i="5"/>
  <c r="F119" i="5"/>
  <c r="V118" i="5"/>
  <c r="K123" i="5" s="1"/>
  <c r="T118" i="5"/>
  <c r="K122" i="5" s="1"/>
  <c r="U118" i="5"/>
  <c r="H123" i="5" s="1"/>
  <c r="S118" i="5"/>
  <c r="H122" i="5" s="1"/>
  <c r="F118" i="5"/>
  <c r="E118" i="5"/>
  <c r="D118" i="5"/>
  <c r="I118" i="5"/>
  <c r="C118" i="5"/>
  <c r="B118" i="5"/>
  <c r="A118" i="5"/>
  <c r="L117" i="5"/>
  <c r="Q117" i="5" s="1"/>
  <c r="Z117" i="5"/>
  <c r="Y117" i="5"/>
  <c r="X117" i="5"/>
  <c r="L116" i="5"/>
  <c r="G116" i="5"/>
  <c r="E116" i="5"/>
  <c r="J115" i="5"/>
  <c r="E115" i="5"/>
  <c r="J114" i="5"/>
  <c r="E114" i="5"/>
  <c r="K113" i="5"/>
  <c r="J113" i="5"/>
  <c r="H113" i="5"/>
  <c r="R113" i="5" s="1"/>
  <c r="G113" i="5"/>
  <c r="F113" i="5"/>
  <c r="K112" i="5"/>
  <c r="J112" i="5"/>
  <c r="H112" i="5"/>
  <c r="G112" i="5"/>
  <c r="F112" i="5"/>
  <c r="K111" i="5"/>
  <c r="J111" i="5"/>
  <c r="H111" i="5"/>
  <c r="R111" i="5" s="1"/>
  <c r="G111" i="5"/>
  <c r="F111" i="5"/>
  <c r="C110" i="5"/>
  <c r="V109" i="5"/>
  <c r="K115" i="5" s="1"/>
  <c r="T109" i="5"/>
  <c r="K114" i="5" s="1"/>
  <c r="U109" i="5"/>
  <c r="H115" i="5" s="1"/>
  <c r="S109" i="5"/>
  <c r="H114" i="5" s="1"/>
  <c r="F109" i="5"/>
  <c r="E109" i="5"/>
  <c r="D109" i="5"/>
  <c r="I109" i="5"/>
  <c r="C109" i="5"/>
  <c r="B109" i="5"/>
  <c r="A109" i="5"/>
  <c r="L108" i="5"/>
  <c r="Q108" i="5" s="1"/>
  <c r="Z108" i="5"/>
  <c r="Y108" i="5"/>
  <c r="X108" i="5"/>
  <c r="L107" i="5"/>
  <c r="G107" i="5"/>
  <c r="E107" i="5"/>
  <c r="J106" i="5"/>
  <c r="E106" i="5"/>
  <c r="J105" i="5"/>
  <c r="E105" i="5"/>
  <c r="K104" i="5"/>
  <c r="J104" i="5"/>
  <c r="H104" i="5"/>
  <c r="R104" i="5" s="1"/>
  <c r="G104" i="5"/>
  <c r="F104" i="5"/>
  <c r="K103" i="5"/>
  <c r="J103" i="5"/>
  <c r="H103" i="5"/>
  <c r="G103" i="5"/>
  <c r="F103" i="5"/>
  <c r="K102" i="5"/>
  <c r="J102" i="5"/>
  <c r="H102" i="5"/>
  <c r="R102" i="5" s="1"/>
  <c r="G102" i="5"/>
  <c r="F102" i="5"/>
  <c r="C101" i="5"/>
  <c r="V100" i="5"/>
  <c r="K106" i="5" s="1"/>
  <c r="T100" i="5"/>
  <c r="K105" i="5" s="1"/>
  <c r="U100" i="5"/>
  <c r="H106" i="5" s="1"/>
  <c r="S100" i="5"/>
  <c r="H105" i="5" s="1"/>
  <c r="F100" i="5"/>
  <c r="E100" i="5"/>
  <c r="D100" i="5"/>
  <c r="I100" i="5"/>
  <c r="C100" i="5"/>
  <c r="B100" i="5"/>
  <c r="A100" i="5"/>
  <c r="L99" i="5"/>
  <c r="Q99" i="5" s="1"/>
  <c r="Z99" i="5"/>
  <c r="Y99" i="5"/>
  <c r="X99" i="5"/>
  <c r="L98" i="5"/>
  <c r="G98" i="5"/>
  <c r="E98" i="5"/>
  <c r="J97" i="5"/>
  <c r="E97" i="5"/>
  <c r="J96" i="5"/>
  <c r="E96" i="5"/>
  <c r="K95" i="5"/>
  <c r="J95" i="5"/>
  <c r="H95" i="5"/>
  <c r="R95" i="5" s="1"/>
  <c r="G95" i="5"/>
  <c r="F95" i="5"/>
  <c r="C94" i="5"/>
  <c r="V93" i="5"/>
  <c r="K97" i="5" s="1"/>
  <c r="T93" i="5"/>
  <c r="K96" i="5" s="1"/>
  <c r="U93" i="5"/>
  <c r="H97" i="5" s="1"/>
  <c r="S93" i="5"/>
  <c r="H96" i="5" s="1"/>
  <c r="F93" i="5"/>
  <c r="E93" i="5"/>
  <c r="D93" i="5"/>
  <c r="I93" i="5"/>
  <c r="C93" i="5"/>
  <c r="B93" i="5"/>
  <c r="A93" i="5"/>
  <c r="L92" i="5"/>
  <c r="Q92" i="5" s="1"/>
  <c r="Z92" i="5"/>
  <c r="Y92" i="5"/>
  <c r="X92" i="5"/>
  <c r="K91" i="5"/>
  <c r="J91" i="5"/>
  <c r="Z91" i="5"/>
  <c r="Y91" i="5"/>
  <c r="X91" i="5"/>
  <c r="H91" i="5"/>
  <c r="W91" i="5" s="1"/>
  <c r="F91" i="5"/>
  <c r="V91" i="5"/>
  <c r="T91" i="5"/>
  <c r="U91" i="5"/>
  <c r="S91" i="5"/>
  <c r="E91" i="5"/>
  <c r="D91" i="5"/>
  <c r="C91" i="5"/>
  <c r="B91" i="5"/>
  <c r="A91" i="5"/>
  <c r="L90" i="5"/>
  <c r="G90" i="5"/>
  <c r="E90" i="5"/>
  <c r="J89" i="5"/>
  <c r="E89" i="5"/>
  <c r="J88" i="5"/>
  <c r="E88" i="5"/>
  <c r="K87" i="5"/>
  <c r="J87" i="5"/>
  <c r="H87" i="5"/>
  <c r="R87" i="5" s="1"/>
  <c r="G87" i="5"/>
  <c r="F87" i="5"/>
  <c r="K86" i="5"/>
  <c r="J86" i="5"/>
  <c r="H86" i="5"/>
  <c r="G86" i="5"/>
  <c r="F86" i="5"/>
  <c r="K85" i="5"/>
  <c r="J85" i="5"/>
  <c r="H85" i="5"/>
  <c r="R85" i="5" s="1"/>
  <c r="G85" i="5"/>
  <c r="F85" i="5"/>
  <c r="C84" i="5"/>
  <c r="V83" i="5"/>
  <c r="T83" i="5"/>
  <c r="U83" i="5"/>
  <c r="H89" i="5" s="1"/>
  <c r="S83" i="5"/>
  <c r="F83" i="5"/>
  <c r="E83" i="5"/>
  <c r="D83" i="5"/>
  <c r="I83" i="5"/>
  <c r="C83" i="5"/>
  <c r="B83" i="5"/>
  <c r="A83" i="5"/>
  <c r="L82" i="5"/>
  <c r="Q82" i="5" s="1"/>
  <c r="Z82" i="5"/>
  <c r="Y82" i="5"/>
  <c r="X82" i="5"/>
  <c r="L81" i="5"/>
  <c r="G81" i="5"/>
  <c r="E81" i="5"/>
  <c r="J80" i="5"/>
  <c r="E80" i="5"/>
  <c r="J79" i="5"/>
  <c r="E79" i="5"/>
  <c r="K78" i="5"/>
  <c r="J78" i="5"/>
  <c r="H78" i="5"/>
  <c r="G78" i="5"/>
  <c r="F78" i="5"/>
  <c r="C77" i="5"/>
  <c r="V76" i="5"/>
  <c r="K80" i="5" s="1"/>
  <c r="T76" i="5"/>
  <c r="K79" i="5" s="1"/>
  <c r="U76" i="5"/>
  <c r="H80" i="5" s="1"/>
  <c r="S76" i="5"/>
  <c r="H79" i="5" s="1"/>
  <c r="F76" i="5"/>
  <c r="E76" i="5"/>
  <c r="D76" i="5"/>
  <c r="I76" i="5"/>
  <c r="C76" i="5"/>
  <c r="B76" i="5"/>
  <c r="A76" i="5"/>
  <c r="L75" i="5"/>
  <c r="Q75" i="5" s="1"/>
  <c r="Z75" i="5"/>
  <c r="Y75" i="5"/>
  <c r="X75" i="5"/>
  <c r="K74" i="5"/>
  <c r="J74" i="5"/>
  <c r="Z74" i="5"/>
  <c r="Y74" i="5"/>
  <c r="X74" i="5"/>
  <c r="H74" i="5"/>
  <c r="W74" i="5" s="1"/>
  <c r="F74" i="5"/>
  <c r="V74" i="5"/>
  <c r="T74" i="5"/>
  <c r="U74" i="5"/>
  <c r="S74" i="5"/>
  <c r="E74" i="5"/>
  <c r="D74" i="5"/>
  <c r="C74" i="5"/>
  <c r="B74" i="5"/>
  <c r="A74" i="5"/>
  <c r="K73" i="5"/>
  <c r="J73" i="5"/>
  <c r="Z73" i="5"/>
  <c r="Y73" i="5"/>
  <c r="X73" i="5"/>
  <c r="H73" i="5"/>
  <c r="W73" i="5" s="1"/>
  <c r="F73" i="5"/>
  <c r="V73" i="5"/>
  <c r="T73" i="5"/>
  <c r="U73" i="5"/>
  <c r="S73" i="5"/>
  <c r="E73" i="5"/>
  <c r="D73" i="5"/>
  <c r="C73" i="5"/>
  <c r="B73" i="5"/>
  <c r="A73" i="5"/>
  <c r="L72" i="5"/>
  <c r="G72" i="5"/>
  <c r="E72" i="5"/>
  <c r="J71" i="5"/>
  <c r="E71" i="5"/>
  <c r="J70" i="5"/>
  <c r="E70" i="5"/>
  <c r="K69" i="5"/>
  <c r="J69" i="5"/>
  <c r="H69" i="5"/>
  <c r="G69" i="5"/>
  <c r="F69" i="5"/>
  <c r="K68" i="5"/>
  <c r="J68" i="5"/>
  <c r="H68" i="5"/>
  <c r="R68" i="5" s="1"/>
  <c r="G68" i="5"/>
  <c r="F68" i="5"/>
  <c r="K67" i="5"/>
  <c r="J67" i="5"/>
  <c r="H67" i="5"/>
  <c r="G67" i="5"/>
  <c r="F67" i="5"/>
  <c r="K66" i="5"/>
  <c r="J66" i="5"/>
  <c r="H66" i="5"/>
  <c r="R66" i="5" s="1"/>
  <c r="G66" i="5"/>
  <c r="F66" i="5"/>
  <c r="C65" i="5"/>
  <c r="V64" i="5"/>
  <c r="T64" i="5"/>
  <c r="U64" i="5"/>
  <c r="S64" i="5"/>
  <c r="F64" i="5"/>
  <c r="E64" i="5"/>
  <c r="D64" i="5"/>
  <c r="I64" i="5"/>
  <c r="C64" i="5"/>
  <c r="B64" i="5"/>
  <c r="A64" i="5"/>
  <c r="L63" i="5"/>
  <c r="Q63" i="5" s="1"/>
  <c r="Z63" i="5"/>
  <c r="Y63" i="5"/>
  <c r="X63" i="5"/>
  <c r="L62" i="5"/>
  <c r="G62" i="5"/>
  <c r="E62" i="5"/>
  <c r="J61" i="5"/>
  <c r="F61" i="5"/>
  <c r="E61" i="5"/>
  <c r="J60" i="5"/>
  <c r="F60" i="5"/>
  <c r="E60" i="5"/>
  <c r="K59" i="5"/>
  <c r="J59" i="5"/>
  <c r="H59" i="5"/>
  <c r="R59" i="5" s="1"/>
  <c r="G59" i="5"/>
  <c r="F59" i="5"/>
  <c r="K58" i="5"/>
  <c r="J58" i="5"/>
  <c r="H58" i="5"/>
  <c r="G58" i="5"/>
  <c r="F58" i="5"/>
  <c r="K57" i="5"/>
  <c r="J57" i="5"/>
  <c r="H57" i="5"/>
  <c r="R57" i="5" s="1"/>
  <c r="G57" i="5"/>
  <c r="F57" i="5"/>
  <c r="C56" i="5"/>
  <c r="V55" i="5"/>
  <c r="K61" i="5" s="1"/>
  <c r="T55" i="5"/>
  <c r="K60" i="5" s="1"/>
  <c r="U55" i="5"/>
  <c r="H61" i="5" s="1"/>
  <c r="S55" i="5"/>
  <c r="H60" i="5" s="1"/>
  <c r="F55" i="5"/>
  <c r="E55" i="5"/>
  <c r="D55" i="5"/>
  <c r="I55" i="5"/>
  <c r="C55" i="5"/>
  <c r="B55" i="5"/>
  <c r="A55" i="5"/>
  <c r="L54" i="5"/>
  <c r="Q54" i="5" s="1"/>
  <c r="Z54" i="5"/>
  <c r="Y54" i="5"/>
  <c r="X54" i="5"/>
  <c r="L53" i="5"/>
  <c r="G53" i="5"/>
  <c r="E53" i="5"/>
  <c r="J52" i="5"/>
  <c r="E52" i="5"/>
  <c r="J51" i="5"/>
  <c r="E51" i="5"/>
  <c r="K50" i="5"/>
  <c r="J50" i="5"/>
  <c r="H50" i="5"/>
  <c r="G50" i="5"/>
  <c r="F50" i="5"/>
  <c r="K49" i="5"/>
  <c r="J49" i="5"/>
  <c r="H49" i="5"/>
  <c r="R49" i="5" s="1"/>
  <c r="G49" i="5"/>
  <c r="F49" i="5"/>
  <c r="C48" i="5"/>
  <c r="V47" i="5"/>
  <c r="K52" i="5" s="1"/>
  <c r="T47" i="5"/>
  <c r="K51" i="5" s="1"/>
  <c r="U47" i="5"/>
  <c r="H52" i="5" s="1"/>
  <c r="S47" i="5"/>
  <c r="H51" i="5" s="1"/>
  <c r="F47" i="5"/>
  <c r="E47" i="5"/>
  <c r="D47" i="5"/>
  <c r="I47" i="5"/>
  <c r="C47" i="5"/>
  <c r="B47" i="5"/>
  <c r="A47" i="5"/>
  <c r="L46" i="5"/>
  <c r="Q46" i="5" s="1"/>
  <c r="Z46" i="5"/>
  <c r="Y46" i="5"/>
  <c r="X46" i="5"/>
  <c r="L45" i="5"/>
  <c r="G45" i="5"/>
  <c r="E45" i="5"/>
  <c r="J44" i="5"/>
  <c r="F44" i="5"/>
  <c r="E44" i="5"/>
  <c r="J43" i="5"/>
  <c r="F43" i="5"/>
  <c r="E43" i="5"/>
  <c r="K42" i="5"/>
  <c r="J42" i="5"/>
  <c r="H42" i="5"/>
  <c r="R42" i="5" s="1"/>
  <c r="G42" i="5"/>
  <c r="F42" i="5"/>
  <c r="K41" i="5"/>
  <c r="J41" i="5"/>
  <c r="H41" i="5"/>
  <c r="G41" i="5"/>
  <c r="F41" i="5"/>
  <c r="K40" i="5"/>
  <c r="J40" i="5"/>
  <c r="H40" i="5"/>
  <c r="R40" i="5" s="1"/>
  <c r="G40" i="5"/>
  <c r="F40" i="5"/>
  <c r="C39" i="5"/>
  <c r="V38" i="5"/>
  <c r="K44" i="5" s="1"/>
  <c r="T38" i="5"/>
  <c r="K43" i="5" s="1"/>
  <c r="U38" i="5"/>
  <c r="H44" i="5" s="1"/>
  <c r="S38" i="5"/>
  <c r="H43" i="5" s="1"/>
  <c r="F38" i="5"/>
  <c r="E38" i="5"/>
  <c r="D38" i="5"/>
  <c r="I38" i="5"/>
  <c r="C38" i="5"/>
  <c r="B38" i="5"/>
  <c r="A38" i="5"/>
  <c r="L37" i="5"/>
  <c r="Q37" i="5" s="1"/>
  <c r="Z37" i="5"/>
  <c r="Y37" i="5"/>
  <c r="X37" i="5"/>
  <c r="L36" i="5"/>
  <c r="G36" i="5"/>
  <c r="E36" i="5"/>
  <c r="J35" i="5"/>
  <c r="F35" i="5"/>
  <c r="E35" i="5"/>
  <c r="J34" i="5"/>
  <c r="F34" i="5"/>
  <c r="E34" i="5"/>
  <c r="K33" i="5"/>
  <c r="J33" i="5"/>
  <c r="H33" i="5"/>
  <c r="R33" i="5" s="1"/>
  <c r="G33" i="5"/>
  <c r="F33" i="5"/>
  <c r="K32" i="5"/>
  <c r="J32" i="5"/>
  <c r="H32" i="5"/>
  <c r="G32" i="5"/>
  <c r="F32" i="5"/>
  <c r="K31" i="5"/>
  <c r="J31" i="5"/>
  <c r="H31" i="5"/>
  <c r="G31" i="5"/>
  <c r="F31" i="5"/>
  <c r="C30" i="5"/>
  <c r="V29" i="5"/>
  <c r="K35" i="5" s="1"/>
  <c r="T29" i="5"/>
  <c r="K34" i="5" s="1"/>
  <c r="U29" i="5"/>
  <c r="H35" i="5" s="1"/>
  <c r="S29" i="5"/>
  <c r="H34" i="5" s="1"/>
  <c r="F29" i="5"/>
  <c r="E29" i="5"/>
  <c r="D29" i="5"/>
  <c r="I29" i="5"/>
  <c r="C29" i="5"/>
  <c r="B29" i="5"/>
  <c r="A29" i="5"/>
  <c r="A28" i="5"/>
  <c r="A27" i="5"/>
  <c r="B8" i="5"/>
  <c r="A1" i="5"/>
  <c r="K880" i="5" l="1"/>
  <c r="J887" i="5" s="1"/>
  <c r="P887" i="5" s="1"/>
  <c r="H282" i="5"/>
  <c r="K534" i="5"/>
  <c r="H633" i="5"/>
  <c r="K643" i="5"/>
  <c r="J647" i="5" s="1"/>
  <c r="P647" i="5" s="1"/>
  <c r="K911" i="5"/>
  <c r="H961" i="5"/>
  <c r="X964" i="5" s="1"/>
  <c r="H1012" i="5"/>
  <c r="K513" i="5"/>
  <c r="H720" i="5"/>
  <c r="K1165" i="5"/>
  <c r="H133" i="5"/>
  <c r="K739" i="5"/>
  <c r="K776" i="5"/>
  <c r="H798" i="5"/>
  <c r="H818" i="5"/>
  <c r="K828" i="5"/>
  <c r="K872" i="5"/>
  <c r="H70" i="5"/>
  <c r="K198" i="5"/>
  <c r="H218" i="5"/>
  <c r="K241" i="5"/>
  <c r="H272" i="5"/>
  <c r="H283" i="5"/>
  <c r="H310" i="5"/>
  <c r="W315" i="5" s="1"/>
  <c r="H344" i="5"/>
  <c r="H357" i="5"/>
  <c r="H426" i="5"/>
  <c r="H512" i="5"/>
  <c r="K524" i="5"/>
  <c r="K682" i="5"/>
  <c r="K141" i="5"/>
  <c r="H163" i="5"/>
  <c r="K251" i="5"/>
  <c r="H298" i="5"/>
  <c r="G305" i="5" s="1"/>
  <c r="O305" i="5" s="1"/>
  <c r="K387" i="5"/>
  <c r="K426" i="5"/>
  <c r="H500" i="5"/>
  <c r="K512" i="5"/>
  <c r="J517" i="5" s="1"/>
  <c r="P517" i="5" s="1"/>
  <c r="H970" i="5"/>
  <c r="K1065" i="5"/>
  <c r="K414" i="5"/>
  <c r="H436" i="5"/>
  <c r="W441" i="5" s="1"/>
  <c r="H311" i="5"/>
  <c r="K322" i="5"/>
  <c r="H345" i="5"/>
  <c r="G349" i="5" s="1"/>
  <c r="O349" i="5" s="1"/>
  <c r="K197" i="5"/>
  <c r="J201" i="5" s="1"/>
  <c r="P201" i="5" s="1"/>
  <c r="K219" i="5"/>
  <c r="K252" i="5"/>
  <c r="J257" i="5" s="1"/>
  <c r="P257" i="5" s="1"/>
  <c r="K1088" i="5"/>
  <c r="H1141" i="5"/>
  <c r="W1146" i="5" s="1"/>
  <c r="H632" i="5"/>
  <c r="H663" i="5"/>
  <c r="H728" i="5"/>
  <c r="H969" i="5"/>
  <c r="G973" i="5" s="1"/>
  <c r="O973" i="5" s="1"/>
  <c r="K1177" i="5"/>
  <c r="H557" i="5"/>
  <c r="W562" i="5" s="1"/>
  <c r="H840" i="5"/>
  <c r="K850" i="5"/>
  <c r="J855" i="5" s="1"/>
  <c r="P855" i="5" s="1"/>
  <c r="H872" i="5"/>
  <c r="H920" i="5"/>
  <c r="K961" i="5"/>
  <c r="K1001" i="5"/>
  <c r="K273" i="5"/>
  <c r="H644" i="5"/>
  <c r="K663" i="5"/>
  <c r="H701" i="5"/>
  <c r="K164" i="5"/>
  <c r="K175" i="5"/>
  <c r="H299" i="5"/>
  <c r="H241" i="5"/>
  <c r="K272" i="5"/>
  <c r="K283" i="5"/>
  <c r="J291" i="5" s="1"/>
  <c r="P291" i="5" s="1"/>
  <c r="K299" i="5"/>
  <c r="H322" i="5"/>
  <c r="K345" i="5"/>
  <c r="K633" i="5"/>
  <c r="H654" i="5"/>
  <c r="H674" i="5"/>
  <c r="H740" i="5"/>
  <c r="H919" i="5"/>
  <c r="G923" i="5" s="1"/>
  <c r="O923" i="5" s="1"/>
  <c r="K969" i="5"/>
  <c r="H981" i="5"/>
  <c r="G984" i="5" s="1"/>
  <c r="O984" i="5" s="1"/>
  <c r="H1001" i="5"/>
  <c r="H1064" i="5"/>
  <c r="K1089" i="5"/>
  <c r="H911" i="5"/>
  <c r="K176" i="5"/>
  <c r="H197" i="5"/>
  <c r="H219" i="5"/>
  <c r="H229" i="5"/>
  <c r="W235" i="5" s="1"/>
  <c r="K356" i="5"/>
  <c r="H387" i="5"/>
  <c r="W391" i="5" s="1"/>
  <c r="K399" i="5"/>
  <c r="J407" i="5" s="1"/>
  <c r="P407" i="5" s="1"/>
  <c r="H425" i="5"/>
  <c r="W430" i="5" s="1"/>
  <c r="K436" i="5"/>
  <c r="K478" i="5"/>
  <c r="K501" i="5"/>
  <c r="H513" i="5"/>
  <c r="G517" i="5" s="1"/>
  <c r="O517" i="5" s="1"/>
  <c r="H523" i="5"/>
  <c r="K556" i="5"/>
  <c r="K664" i="5"/>
  <c r="J667" i="5" s="1"/>
  <c r="P667" i="5" s="1"/>
  <c r="K88" i="5"/>
  <c r="K133" i="5"/>
  <c r="K163" i="5"/>
  <c r="J168" i="5" s="1"/>
  <c r="P168" i="5" s="1"/>
  <c r="H175" i="5"/>
  <c r="H198" i="5"/>
  <c r="W201" i="5" s="1"/>
  <c r="H230" i="5"/>
  <c r="H273" i="5"/>
  <c r="K282" i="5"/>
  <c r="K323" i="5"/>
  <c r="K344" i="5"/>
  <c r="J349" i="5" s="1"/>
  <c r="P349" i="5" s="1"/>
  <c r="H398" i="5"/>
  <c r="H414" i="5"/>
  <c r="J493" i="5"/>
  <c r="P493" i="5" s="1"/>
  <c r="H533" i="5"/>
  <c r="K632" i="5"/>
  <c r="J636" i="5" s="1"/>
  <c r="P636" i="5" s="1"/>
  <c r="K644" i="5"/>
  <c r="K655" i="5"/>
  <c r="J658" i="5" s="1"/>
  <c r="P658" i="5" s="1"/>
  <c r="K701" i="5"/>
  <c r="H727" i="5"/>
  <c r="X732" i="5" s="1"/>
  <c r="H776" i="5"/>
  <c r="K798" i="5"/>
  <c r="H806" i="5"/>
  <c r="H828" i="5"/>
  <c r="G832" i="5" s="1"/>
  <c r="O832" i="5" s="1"/>
  <c r="H839" i="5"/>
  <c r="H892" i="5"/>
  <c r="J934" i="5"/>
  <c r="P934" i="5" s="1"/>
  <c r="G1023" i="5"/>
  <c r="O1023" i="5" s="1"/>
  <c r="H1042" i="5"/>
  <c r="H1065" i="5"/>
  <c r="W1070" i="5" s="1"/>
  <c r="H1153" i="5"/>
  <c r="K218" i="5"/>
  <c r="J947" i="5"/>
  <c r="P947" i="5" s="1"/>
  <c r="J99" i="5"/>
  <c r="P99" i="5" s="1"/>
  <c r="H252" i="5"/>
  <c r="K675" i="5"/>
  <c r="J678" i="5" s="1"/>
  <c r="P678" i="5" s="1"/>
  <c r="K700" i="5"/>
  <c r="H750" i="5"/>
  <c r="K765" i="5"/>
  <c r="H787" i="5"/>
  <c r="K881" i="5"/>
  <c r="H912" i="5"/>
  <c r="G915" i="5" s="1"/>
  <c r="O915" i="5" s="1"/>
  <c r="K919" i="5"/>
  <c r="K980" i="5"/>
  <c r="H1002" i="5"/>
  <c r="H1013" i="5"/>
  <c r="X1016" i="5" s="1"/>
  <c r="H1177" i="5"/>
  <c r="K142" i="5"/>
  <c r="J145" i="5" s="1"/>
  <c r="P145" i="5" s="1"/>
  <c r="K892" i="5"/>
  <c r="K1012" i="5"/>
  <c r="K719" i="5"/>
  <c r="K787" i="5"/>
  <c r="H817" i="5"/>
  <c r="G821" i="5" s="1"/>
  <c r="O821" i="5" s="1"/>
  <c r="H829" i="5"/>
  <c r="G865" i="5"/>
  <c r="O865" i="5" s="1"/>
  <c r="H871" i="5"/>
  <c r="G37" i="5"/>
  <c r="O37" i="5" s="1"/>
  <c r="J54" i="5"/>
  <c r="P54" i="5" s="1"/>
  <c r="H88" i="5"/>
  <c r="W92" i="5" s="1"/>
  <c r="K229" i="5"/>
  <c r="G291" i="5"/>
  <c r="O291" i="5" s="1"/>
  <c r="K740" i="5"/>
  <c r="K786" i="5"/>
  <c r="J790" i="5" s="1"/>
  <c r="P790" i="5" s="1"/>
  <c r="K871" i="5"/>
  <c r="J904" i="5"/>
  <c r="P904" i="5" s="1"/>
  <c r="H960" i="5"/>
  <c r="K970" i="5"/>
  <c r="J973" i="5" s="1"/>
  <c r="P973" i="5" s="1"/>
  <c r="H1031" i="5"/>
  <c r="K1041" i="5"/>
  <c r="H1089" i="5"/>
  <c r="H1099" i="5"/>
  <c r="K1099" i="5"/>
  <c r="H1154" i="5"/>
  <c r="G1157" i="5" s="1"/>
  <c r="O1157" i="5" s="1"/>
  <c r="K240" i="5"/>
  <c r="J244" i="5" s="1"/>
  <c r="P244" i="5" s="1"/>
  <c r="K357" i="5"/>
  <c r="L756" i="5"/>
  <c r="H700" i="5"/>
  <c r="G704" i="5" s="1"/>
  <c r="O704" i="5" s="1"/>
  <c r="K775" i="5"/>
  <c r="K1030" i="5"/>
  <c r="K1042" i="5"/>
  <c r="H141" i="5"/>
  <c r="K764" i="5"/>
  <c r="K807" i="5"/>
  <c r="K839" i="5"/>
  <c r="H881" i="5"/>
  <c r="H980" i="5"/>
  <c r="K1031" i="5"/>
  <c r="G1057" i="5"/>
  <c r="O1057" i="5" s="1"/>
  <c r="L1072" i="5"/>
  <c r="H1142" i="5"/>
  <c r="J46" i="5"/>
  <c r="P46" i="5" s="1"/>
  <c r="J63" i="5"/>
  <c r="P63" i="5" s="1"/>
  <c r="H71" i="5"/>
  <c r="W75" i="5" s="1"/>
  <c r="H710" i="5"/>
  <c r="K817" i="5"/>
  <c r="K851" i="5"/>
  <c r="K1154" i="5"/>
  <c r="K70" i="5"/>
  <c r="K71" i="5"/>
  <c r="G693" i="5"/>
  <c r="O693" i="5" s="1"/>
  <c r="W693" i="5"/>
  <c r="R31" i="5"/>
  <c r="J82" i="5"/>
  <c r="P82" i="5" s="1"/>
  <c r="K89" i="5"/>
  <c r="J125" i="5"/>
  <c r="P125" i="5" s="1"/>
  <c r="G211" i="5"/>
  <c r="O211" i="5" s="1"/>
  <c r="K230" i="5"/>
  <c r="J235" i="5" s="1"/>
  <c r="P235" i="5" s="1"/>
  <c r="H251" i="5"/>
  <c r="J265" i="5"/>
  <c r="P265" i="5" s="1"/>
  <c r="R278" i="5"/>
  <c r="H323" i="5"/>
  <c r="J337" i="5"/>
  <c r="P337" i="5" s="1"/>
  <c r="H356" i="5"/>
  <c r="K386" i="5"/>
  <c r="J391" i="5" s="1"/>
  <c r="P391" i="5" s="1"/>
  <c r="H399" i="5"/>
  <c r="K437" i="5"/>
  <c r="J441" i="5" s="1"/>
  <c r="P441" i="5" s="1"/>
  <c r="K523" i="5"/>
  <c r="J528" i="5" s="1"/>
  <c r="P528" i="5" s="1"/>
  <c r="K557" i="5"/>
  <c r="H682" i="5"/>
  <c r="J714" i="5"/>
  <c r="P714" i="5" s="1"/>
  <c r="K728" i="5"/>
  <c r="H751" i="5"/>
  <c r="K751" i="5"/>
  <c r="H765" i="5"/>
  <c r="H807" i="5"/>
  <c r="X810" i="5" s="1"/>
  <c r="R824" i="5"/>
  <c r="H850" i="5"/>
  <c r="H891" i="5"/>
  <c r="K981" i="5"/>
  <c r="K1002" i="5"/>
  <c r="H1030" i="5"/>
  <c r="G1034" i="5" s="1"/>
  <c r="O1034" i="5" s="1"/>
  <c r="H1041" i="5"/>
  <c r="G1045" i="5" s="1"/>
  <c r="O1045" i="5" s="1"/>
  <c r="K1100" i="5"/>
  <c r="L1183" i="5"/>
  <c r="K1142" i="5"/>
  <c r="H1164" i="5"/>
  <c r="H240" i="5"/>
  <c r="K311" i="5"/>
  <c r="K364" i="5"/>
  <c r="J369" i="5" s="1"/>
  <c r="P369" i="5" s="1"/>
  <c r="H479" i="5"/>
  <c r="W483" i="5" s="1"/>
  <c r="G549" i="5"/>
  <c r="O549" i="5" s="1"/>
  <c r="G589" i="5"/>
  <c r="O589" i="5" s="1"/>
  <c r="G605" i="5"/>
  <c r="O605" i="5" s="1"/>
  <c r="X636" i="5"/>
  <c r="H655" i="5"/>
  <c r="G658" i="5" s="1"/>
  <c r="O658" i="5" s="1"/>
  <c r="H683" i="5"/>
  <c r="K683" i="5"/>
  <c r="H719" i="5"/>
  <c r="G723" i="5" s="1"/>
  <c r="O723" i="5" s="1"/>
  <c r="H739" i="5"/>
  <c r="X743" i="5" s="1"/>
  <c r="K750" i="5"/>
  <c r="H764" i="5"/>
  <c r="H775" i="5"/>
  <c r="X779" i="5" s="1"/>
  <c r="H786" i="5"/>
  <c r="X790" i="5" s="1"/>
  <c r="K797" i="5"/>
  <c r="H797" i="5"/>
  <c r="G801" i="5" s="1"/>
  <c r="O801" i="5" s="1"/>
  <c r="K829" i="5"/>
  <c r="H880" i="5"/>
  <c r="K912" i="5"/>
  <c r="J953" i="5"/>
  <c r="P953" i="5" s="1"/>
  <c r="K960" i="5"/>
  <c r="L1047" i="5"/>
  <c r="K1176" i="5"/>
  <c r="G125" i="5"/>
  <c r="O125" i="5" s="1"/>
  <c r="H132" i="5"/>
  <c r="G136" i="5" s="1"/>
  <c r="O136" i="5" s="1"/>
  <c r="R128" i="5"/>
  <c r="G265" i="5"/>
  <c r="O265" i="5" s="1"/>
  <c r="K298" i="5"/>
  <c r="H413" i="5"/>
  <c r="H643" i="5"/>
  <c r="K727" i="5"/>
  <c r="X865" i="5"/>
  <c r="K891" i="5"/>
  <c r="K920" i="5"/>
  <c r="K1013" i="5"/>
  <c r="H1100" i="5"/>
  <c r="H1165" i="5"/>
  <c r="W1169" i="5" s="1"/>
  <c r="K310" i="5"/>
  <c r="K425" i="5"/>
  <c r="G451" i="5"/>
  <c r="O451" i="5" s="1"/>
  <c r="K500" i="5"/>
  <c r="H501" i="5"/>
  <c r="G505" i="5" s="1"/>
  <c r="O505" i="5" s="1"/>
  <c r="L925" i="5"/>
  <c r="K818" i="5"/>
  <c r="K840" i="5"/>
  <c r="J843" i="5" s="1"/>
  <c r="P843" i="5" s="1"/>
  <c r="H851" i="5"/>
  <c r="R857" i="5"/>
  <c r="R889" i="5"/>
  <c r="Z953" i="5"/>
  <c r="K1064" i="5"/>
  <c r="L1115" i="5"/>
  <c r="H1088" i="5"/>
  <c r="G1092" i="5" s="1"/>
  <c r="O1092" i="5" s="1"/>
  <c r="K1141" i="5"/>
  <c r="K1153" i="5"/>
  <c r="K1164" i="5"/>
  <c r="J1169" i="5" s="1"/>
  <c r="P1169" i="5" s="1"/>
  <c r="H1176" i="5"/>
  <c r="W1181" i="5" s="1"/>
  <c r="G108" i="5"/>
  <c r="O108" i="5" s="1"/>
  <c r="G117" i="5"/>
  <c r="O117" i="5" s="1"/>
  <c r="G152" i="5"/>
  <c r="O152" i="5" s="1"/>
  <c r="W152" i="5"/>
  <c r="G54" i="5"/>
  <c r="O54" i="5" s="1"/>
  <c r="J117" i="5"/>
  <c r="P117" i="5" s="1"/>
  <c r="J37" i="5"/>
  <c r="P37" i="5" s="1"/>
  <c r="G46" i="5"/>
  <c r="O46" i="5" s="1"/>
  <c r="G63" i="5"/>
  <c r="O63" i="5" s="1"/>
  <c r="G82" i="5"/>
  <c r="O82" i="5" s="1"/>
  <c r="J108" i="5"/>
  <c r="P108" i="5" s="1"/>
  <c r="G19" i="5"/>
  <c r="R78" i="5"/>
  <c r="W99" i="5"/>
  <c r="G99" i="5"/>
  <c r="O99" i="5" s="1"/>
  <c r="W117" i="5"/>
  <c r="R119" i="5"/>
  <c r="H142" i="5"/>
  <c r="H176" i="5"/>
  <c r="J223" i="5"/>
  <c r="P223" i="5" s="1"/>
  <c r="J418" i="5"/>
  <c r="P418" i="5" s="1"/>
  <c r="L1184" i="5"/>
  <c r="L577" i="5"/>
  <c r="L154" i="5"/>
  <c r="J152" i="5"/>
  <c r="P152" i="5" s="1"/>
  <c r="G190" i="5"/>
  <c r="O190" i="5" s="1"/>
  <c r="J211" i="5"/>
  <c r="P211" i="5" s="1"/>
  <c r="J276" i="5"/>
  <c r="P276" i="5" s="1"/>
  <c r="G337" i="5"/>
  <c r="O337" i="5" s="1"/>
  <c r="J360" i="5"/>
  <c r="P360" i="5" s="1"/>
  <c r="J379" i="5"/>
  <c r="P379" i="5" s="1"/>
  <c r="J471" i="5"/>
  <c r="P471" i="5" s="1"/>
  <c r="G493" i="5"/>
  <c r="O493" i="5" s="1"/>
  <c r="W37" i="5"/>
  <c r="W46" i="5"/>
  <c r="W54" i="5"/>
  <c r="W63" i="5"/>
  <c r="W82" i="5"/>
  <c r="W108" i="5"/>
  <c r="W125" i="5"/>
  <c r="K132" i="5"/>
  <c r="H164" i="5"/>
  <c r="G168" i="5" s="1"/>
  <c r="O168" i="5" s="1"/>
  <c r="R171" i="5"/>
  <c r="G315" i="5"/>
  <c r="O315" i="5" s="1"/>
  <c r="G379" i="5"/>
  <c r="O379" i="5" s="1"/>
  <c r="W418" i="5"/>
  <c r="J451" i="5"/>
  <c r="P451" i="5" s="1"/>
  <c r="G461" i="5"/>
  <c r="O461" i="5" s="1"/>
  <c r="J461" i="5"/>
  <c r="P461" i="5" s="1"/>
  <c r="G471" i="5"/>
  <c r="O471" i="5" s="1"/>
  <c r="J190" i="5"/>
  <c r="P190" i="5" s="1"/>
  <c r="R139" i="5"/>
  <c r="W211" i="5"/>
  <c r="R268" i="5"/>
  <c r="R294" i="5"/>
  <c r="R307" i="5"/>
  <c r="W369" i="5"/>
  <c r="G369" i="5"/>
  <c r="O369" i="5" s="1"/>
  <c r="G391" i="5"/>
  <c r="O391" i="5" s="1"/>
  <c r="R454" i="5"/>
  <c r="W461" i="5"/>
  <c r="J569" i="5"/>
  <c r="P569" i="5" s="1"/>
  <c r="J598" i="5"/>
  <c r="P598" i="5" s="1"/>
  <c r="J605" i="5"/>
  <c r="P605" i="5" s="1"/>
  <c r="X614" i="5"/>
  <c r="X622" i="5"/>
  <c r="W190" i="5"/>
  <c r="W257" i="5"/>
  <c r="W379" i="5"/>
  <c r="L575" i="5"/>
  <c r="R193" i="5"/>
  <c r="R260" i="5"/>
  <c r="R330" i="5"/>
  <c r="W337" i="5"/>
  <c r="K479" i="5"/>
  <c r="W493" i="5"/>
  <c r="R496" i="5"/>
  <c r="H524" i="5"/>
  <c r="G528" i="5" s="1"/>
  <c r="O528" i="5" s="1"/>
  <c r="H534" i="5"/>
  <c r="G539" i="5" s="1"/>
  <c r="O539" i="5" s="1"/>
  <c r="G569" i="5"/>
  <c r="O569" i="5" s="1"/>
  <c r="L927" i="5"/>
  <c r="L624" i="5"/>
  <c r="J622" i="5"/>
  <c r="P622" i="5" s="1"/>
  <c r="W223" i="5"/>
  <c r="W265" i="5"/>
  <c r="W291" i="5"/>
  <c r="W349" i="5"/>
  <c r="W451" i="5"/>
  <c r="W471" i="5"/>
  <c r="K533" i="5"/>
  <c r="J539" i="5" s="1"/>
  <c r="P539" i="5" s="1"/>
  <c r="J549" i="5"/>
  <c r="P549" i="5" s="1"/>
  <c r="J589" i="5"/>
  <c r="P589" i="5" s="1"/>
  <c r="G598" i="5"/>
  <c r="O598" i="5" s="1"/>
  <c r="J614" i="5"/>
  <c r="P614" i="5" s="1"/>
  <c r="R542" i="5"/>
  <c r="W549" i="5"/>
  <c r="R564" i="5"/>
  <c r="W571" i="5"/>
  <c r="R583" i="5"/>
  <c r="R601" i="5"/>
  <c r="G614" i="5"/>
  <c r="O614" i="5" s="1"/>
  <c r="R616" i="5"/>
  <c r="H664" i="5"/>
  <c r="X667" i="5" s="1"/>
  <c r="H675" i="5"/>
  <c r="R680" i="5"/>
  <c r="J865" i="5"/>
  <c r="P865" i="5" s="1"/>
  <c r="W573" i="5"/>
  <c r="W589" i="5"/>
  <c r="G622" i="5"/>
  <c r="O622" i="5" s="1"/>
  <c r="J704" i="5"/>
  <c r="P704" i="5" s="1"/>
  <c r="H711" i="5"/>
  <c r="X714" i="5" s="1"/>
  <c r="J768" i="5"/>
  <c r="P768" i="5" s="1"/>
  <c r="J779" i="5"/>
  <c r="P779" i="5" s="1"/>
  <c r="J810" i="5"/>
  <c r="P810" i="5" s="1"/>
  <c r="G843" i="5"/>
  <c r="O843" i="5" s="1"/>
  <c r="X843" i="5"/>
  <c r="J875" i="5"/>
  <c r="P875" i="5" s="1"/>
  <c r="W605" i="5"/>
  <c r="G636" i="5"/>
  <c r="O636" i="5" s="1"/>
  <c r="R661" i="5"/>
  <c r="J915" i="5"/>
  <c r="P915" i="5" s="1"/>
  <c r="W569" i="5"/>
  <c r="W598" i="5"/>
  <c r="R628" i="5"/>
  <c r="R639" i="5"/>
  <c r="J693" i="5"/>
  <c r="P693" i="5" s="1"/>
  <c r="R696" i="5"/>
  <c r="J723" i="5"/>
  <c r="P723" i="5" s="1"/>
  <c r="J743" i="5"/>
  <c r="P743" i="5" s="1"/>
  <c r="X923" i="5"/>
  <c r="R716" i="5"/>
  <c r="R760" i="5"/>
  <c r="R771" i="5"/>
  <c r="R782" i="5"/>
  <c r="R793" i="5"/>
  <c r="R804" i="5"/>
  <c r="R867" i="5"/>
  <c r="X875" i="5"/>
  <c r="W904" i="5"/>
  <c r="G904" i="5"/>
  <c r="O904" i="5" s="1"/>
  <c r="R917" i="5"/>
  <c r="G934" i="5"/>
  <c r="O934" i="5" s="1"/>
  <c r="Z934" i="5"/>
  <c r="L955" i="5"/>
  <c r="L993" i="5"/>
  <c r="J1023" i="5"/>
  <c r="P1023" i="5" s="1"/>
  <c r="J1082" i="5"/>
  <c r="P1082" i="5" s="1"/>
  <c r="G1169" i="5"/>
  <c r="O1169" i="5" s="1"/>
  <c r="J940" i="5"/>
  <c r="P940" i="5" s="1"/>
  <c r="Z940" i="5"/>
  <c r="G940" i="5"/>
  <c r="O940" i="5" s="1"/>
  <c r="G953" i="5"/>
  <c r="O953" i="5" s="1"/>
  <c r="J984" i="5"/>
  <c r="P984" i="5" s="1"/>
  <c r="J991" i="5"/>
  <c r="P991" i="5" s="1"/>
  <c r="J1005" i="5"/>
  <c r="P1005" i="5" s="1"/>
  <c r="J1057" i="5"/>
  <c r="P1057" i="5" s="1"/>
  <c r="J1113" i="5"/>
  <c r="P1113" i="5" s="1"/>
  <c r="J1125" i="5"/>
  <c r="P1125" i="5" s="1"/>
  <c r="G1134" i="5"/>
  <c r="O1134" i="5" s="1"/>
  <c r="Z947" i="5"/>
  <c r="R943" i="5"/>
  <c r="G947" i="5"/>
  <c r="O947" i="5" s="1"/>
  <c r="X984" i="5"/>
  <c r="G991" i="5"/>
  <c r="O991" i="5" s="1"/>
  <c r="X1005" i="5"/>
  <c r="G1082" i="5"/>
  <c r="O1082" i="5" s="1"/>
  <c r="G1113" i="5"/>
  <c r="O1113" i="5" s="1"/>
  <c r="G1125" i="5"/>
  <c r="O1125" i="5" s="1"/>
  <c r="J1134" i="5"/>
  <c r="P1134" i="5" s="1"/>
  <c r="G1181" i="5"/>
  <c r="O1181" i="5" s="1"/>
  <c r="G964" i="5"/>
  <c r="O964" i="5" s="1"/>
  <c r="J1016" i="5"/>
  <c r="P1016" i="5" s="1"/>
  <c r="R967" i="5"/>
  <c r="R986" i="5"/>
  <c r="X991" i="5"/>
  <c r="G1005" i="5"/>
  <c r="O1005" i="5" s="1"/>
  <c r="R1026" i="5"/>
  <c r="R1037" i="5"/>
  <c r="R1076" i="5"/>
  <c r="W1113" i="5"/>
  <c r="R1137" i="5"/>
  <c r="R1172" i="5"/>
  <c r="R1051" i="5"/>
  <c r="W1082" i="5"/>
  <c r="R1084" i="5"/>
  <c r="W1125" i="5"/>
  <c r="W1057" i="5"/>
  <c r="W1105" i="5"/>
  <c r="W1023" i="5"/>
  <c r="W1134" i="5"/>
  <c r="A1" i="4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269" i="4"/>
  <c r="A270" i="4"/>
  <c r="A271" i="4"/>
  <c r="A272" i="4"/>
  <c r="A273" i="4"/>
  <c r="A274" i="4"/>
  <c r="A275" i="4"/>
  <c r="A276" i="4"/>
  <c r="A277" i="4"/>
  <c r="A278" i="4"/>
  <c r="A279" i="4"/>
  <c r="A280" i="4"/>
  <c r="A281" i="4"/>
  <c r="A282" i="4"/>
  <c r="A283" i="4"/>
  <c r="A284" i="4"/>
  <c r="A285" i="4"/>
  <c r="A286" i="4"/>
  <c r="A287" i="4"/>
  <c r="A288" i="4"/>
  <c r="A289" i="4"/>
  <c r="A290" i="4"/>
  <c r="A291" i="4"/>
  <c r="A292" i="4"/>
  <c r="A293" i="4"/>
  <c r="A294" i="4"/>
  <c r="A295" i="4"/>
  <c r="A296" i="4"/>
  <c r="A297" i="4"/>
  <c r="A298" i="4"/>
  <c r="A299" i="4"/>
  <c r="A300" i="4"/>
  <c r="A301" i="4"/>
  <c r="A302" i="4"/>
  <c r="A303" i="4"/>
  <c r="A304" i="4"/>
  <c r="A305" i="4"/>
  <c r="A306" i="4"/>
  <c r="A307" i="4"/>
  <c r="A308" i="4"/>
  <c r="A309" i="4"/>
  <c r="A310" i="4"/>
  <c r="A311" i="4"/>
  <c r="A312" i="4"/>
  <c r="A313" i="4"/>
  <c r="A314" i="4"/>
  <c r="A315" i="4"/>
  <c r="A316" i="4"/>
  <c r="A317" i="4"/>
  <c r="A318" i="4"/>
  <c r="A319" i="4"/>
  <c r="A320" i="4"/>
  <c r="A321" i="4"/>
  <c r="A322" i="4"/>
  <c r="A323" i="4"/>
  <c r="A324" i="4"/>
  <c r="A325" i="4"/>
  <c r="A326" i="4"/>
  <c r="A327" i="4"/>
  <c r="A328" i="4"/>
  <c r="A329" i="4"/>
  <c r="A330" i="4"/>
  <c r="A331" i="4"/>
  <c r="A332" i="4"/>
  <c r="A333" i="4"/>
  <c r="A334" i="4"/>
  <c r="A335" i="4"/>
  <c r="A336" i="4"/>
  <c r="A337" i="4"/>
  <c r="A338" i="4"/>
  <c r="A339" i="4"/>
  <c r="A340" i="4"/>
  <c r="A341" i="4"/>
  <c r="A342" i="4"/>
  <c r="A343" i="4"/>
  <c r="A344" i="4"/>
  <c r="A345" i="4"/>
  <c r="A346" i="4"/>
  <c r="A347" i="4"/>
  <c r="A348" i="4"/>
  <c r="A349" i="4"/>
  <c r="A350" i="4"/>
  <c r="A351" i="4"/>
  <c r="A352" i="4"/>
  <c r="A353" i="4"/>
  <c r="A354" i="4"/>
  <c r="A355" i="4"/>
  <c r="A356" i="4"/>
  <c r="A357" i="4"/>
  <c r="A358" i="4"/>
  <c r="A359" i="4"/>
  <c r="A360" i="4"/>
  <c r="A361" i="4"/>
  <c r="A362" i="4"/>
  <c r="A363" i="4"/>
  <c r="A364" i="4"/>
  <c r="A365" i="4"/>
  <c r="A366" i="4"/>
  <c r="A367" i="4"/>
  <c r="A368" i="4"/>
  <c r="A369" i="4"/>
  <c r="A370" i="4"/>
  <c r="A371" i="4"/>
  <c r="A372" i="4"/>
  <c r="A373" i="4"/>
  <c r="A374" i="4"/>
  <c r="A375" i="4"/>
  <c r="A376" i="4"/>
  <c r="A377" i="4"/>
  <c r="A378" i="4"/>
  <c r="A379" i="4"/>
  <c r="A380" i="4"/>
  <c r="A381" i="4"/>
  <c r="A382" i="4"/>
  <c r="A383" i="4"/>
  <c r="A384" i="4"/>
  <c r="A385" i="4"/>
  <c r="A386" i="4"/>
  <c r="A387" i="4"/>
  <c r="A388" i="4"/>
  <c r="A389" i="4"/>
  <c r="A390" i="4"/>
  <c r="A391" i="4"/>
  <c r="A392" i="4"/>
  <c r="A393" i="4"/>
  <c r="A394" i="4"/>
  <c r="A395" i="4"/>
  <c r="A396" i="4"/>
  <c r="A397" i="4"/>
  <c r="A398" i="4"/>
  <c r="A399" i="4"/>
  <c r="A400" i="4"/>
  <c r="A401" i="4"/>
  <c r="A402" i="4"/>
  <c r="A403" i="4"/>
  <c r="A404" i="4"/>
  <c r="A405" i="4"/>
  <c r="A406" i="4"/>
  <c r="A407" i="4"/>
  <c r="A408" i="4"/>
  <c r="A409" i="4"/>
  <c r="A410" i="4"/>
  <c r="A411" i="4"/>
  <c r="A412" i="4"/>
  <c r="A413" i="4"/>
  <c r="A414" i="4"/>
  <c r="A415" i="4"/>
  <c r="A416" i="4"/>
  <c r="A417" i="4"/>
  <c r="A418" i="4"/>
  <c r="A419" i="4"/>
  <c r="A420" i="4"/>
  <c r="A421" i="4"/>
  <c r="A422" i="4"/>
  <c r="A423" i="4"/>
  <c r="A424" i="4"/>
  <c r="A425" i="4"/>
  <c r="A426" i="4"/>
  <c r="A427" i="4"/>
  <c r="A428" i="4"/>
  <c r="A429" i="4"/>
  <c r="A430" i="4"/>
  <c r="A431" i="4"/>
  <c r="A432" i="4"/>
  <c r="A433" i="4"/>
  <c r="A434" i="4"/>
  <c r="A435" i="4"/>
  <c r="A436" i="4"/>
  <c r="A437" i="4"/>
  <c r="A438" i="4"/>
  <c r="A439" i="4"/>
  <c r="A440" i="4"/>
  <c r="A441" i="4"/>
  <c r="A442" i="4"/>
  <c r="A443" i="4"/>
  <c r="A444" i="4"/>
  <c r="A445" i="4"/>
  <c r="A446" i="4"/>
  <c r="A447" i="4"/>
  <c r="A448" i="4"/>
  <c r="A449" i="4"/>
  <c r="A450" i="4"/>
  <c r="A451" i="4"/>
  <c r="A452" i="4"/>
  <c r="A453" i="4"/>
  <c r="A454" i="4"/>
  <c r="A455" i="4"/>
  <c r="A456" i="4"/>
  <c r="A457" i="4"/>
  <c r="A458" i="4"/>
  <c r="A459" i="4"/>
  <c r="A460" i="4"/>
  <c r="A461" i="4"/>
  <c r="A462" i="4"/>
  <c r="A463" i="4"/>
  <c r="A464" i="4"/>
  <c r="A465" i="4"/>
  <c r="A466" i="4"/>
  <c r="A467" i="4"/>
  <c r="A468" i="4"/>
  <c r="A469" i="4"/>
  <c r="A470" i="4"/>
  <c r="A471" i="4"/>
  <c r="A472" i="4"/>
  <c r="A473" i="4"/>
  <c r="A474" i="4"/>
  <c r="A475" i="4"/>
  <c r="A476" i="4"/>
  <c r="A477" i="4"/>
  <c r="A478" i="4"/>
  <c r="A479" i="4"/>
  <c r="A480" i="4"/>
  <c r="A481" i="4"/>
  <c r="A482" i="4"/>
  <c r="A483" i="4"/>
  <c r="A484" i="4"/>
  <c r="A485" i="4"/>
  <c r="A486" i="4"/>
  <c r="A487" i="4"/>
  <c r="A488" i="4"/>
  <c r="A489" i="4"/>
  <c r="A490" i="4"/>
  <c r="A491" i="4"/>
  <c r="A492" i="4"/>
  <c r="A493" i="4"/>
  <c r="A494" i="4"/>
  <c r="A495" i="4"/>
  <c r="A496" i="4"/>
  <c r="A497" i="4"/>
  <c r="A498" i="4"/>
  <c r="A499" i="4"/>
  <c r="A500" i="4"/>
  <c r="A501" i="4"/>
  <c r="A502" i="4"/>
  <c r="A503" i="4"/>
  <c r="A504" i="4"/>
  <c r="A505" i="4"/>
  <c r="A506" i="4"/>
  <c r="A507" i="4"/>
  <c r="A508" i="4"/>
  <c r="A509" i="4"/>
  <c r="A510" i="4"/>
  <c r="A511" i="4"/>
  <c r="A512" i="4"/>
  <c r="A513" i="4"/>
  <c r="A514" i="4"/>
  <c r="A515" i="4"/>
  <c r="A516" i="4"/>
  <c r="A517" i="4"/>
  <c r="A518" i="4"/>
  <c r="A519" i="4"/>
  <c r="A520" i="4"/>
  <c r="A521" i="4"/>
  <c r="A522" i="4"/>
  <c r="A523" i="4"/>
  <c r="A524" i="4"/>
  <c r="A525" i="4"/>
  <c r="A526" i="4"/>
  <c r="A527" i="4"/>
  <c r="A528" i="4"/>
  <c r="A529" i="4"/>
  <c r="A530" i="4"/>
  <c r="A531" i="4"/>
  <c r="A532" i="4"/>
  <c r="A533" i="4"/>
  <c r="A534" i="4"/>
  <c r="A535" i="4"/>
  <c r="A536" i="4"/>
  <c r="A537" i="4"/>
  <c r="A538" i="4"/>
  <c r="A539" i="4"/>
  <c r="A540" i="4"/>
  <c r="A541" i="4"/>
  <c r="A542" i="4"/>
  <c r="A543" i="4"/>
  <c r="A544" i="4"/>
  <c r="A545" i="4"/>
  <c r="A546" i="4"/>
  <c r="A547" i="4"/>
  <c r="A548" i="4"/>
  <c r="A549" i="4"/>
  <c r="A550" i="4"/>
  <c r="A551" i="4"/>
  <c r="A552" i="4"/>
  <c r="A553" i="4"/>
  <c r="A554" i="4"/>
  <c r="A555" i="4"/>
  <c r="A556" i="4"/>
  <c r="A557" i="4"/>
  <c r="A558" i="4"/>
  <c r="A559" i="4"/>
  <c r="A560" i="4"/>
  <c r="A561" i="4"/>
  <c r="A562" i="4"/>
  <c r="A563" i="4"/>
  <c r="A564" i="4"/>
  <c r="A565" i="4"/>
  <c r="A566" i="4"/>
  <c r="A567" i="4"/>
  <c r="A568" i="4"/>
  <c r="A569" i="4"/>
  <c r="A570" i="4"/>
  <c r="A571" i="4"/>
  <c r="A572" i="4"/>
  <c r="A573" i="4"/>
  <c r="A574" i="4"/>
  <c r="A575" i="4"/>
  <c r="A576" i="4"/>
  <c r="A577" i="4"/>
  <c r="A578" i="4"/>
  <c r="A579" i="4"/>
  <c r="A580" i="4"/>
  <c r="A581" i="4"/>
  <c r="A582" i="4"/>
  <c r="A583" i="4"/>
  <c r="A584" i="4"/>
  <c r="A585" i="4"/>
  <c r="A586" i="4"/>
  <c r="A587" i="4"/>
  <c r="A588" i="4"/>
  <c r="A589" i="4"/>
  <c r="A590" i="4"/>
  <c r="A591" i="4"/>
  <c r="A592" i="4"/>
  <c r="A593" i="4"/>
  <c r="A594" i="4"/>
  <c r="A595" i="4"/>
  <c r="A596" i="4"/>
  <c r="A597" i="4"/>
  <c r="A598" i="4"/>
  <c r="A599" i="4"/>
  <c r="A600" i="4"/>
  <c r="A601" i="4"/>
  <c r="A602" i="4"/>
  <c r="A603" i="4"/>
  <c r="A604" i="4"/>
  <c r="A605" i="4"/>
  <c r="A606" i="4"/>
  <c r="A607" i="4"/>
  <c r="A608" i="4"/>
  <c r="A609" i="4"/>
  <c r="A610" i="4"/>
  <c r="A611" i="4"/>
  <c r="A612" i="4"/>
  <c r="A613" i="4"/>
  <c r="A614" i="4"/>
  <c r="A615" i="4"/>
  <c r="A616" i="4"/>
  <c r="A617" i="4"/>
  <c r="A618" i="4"/>
  <c r="A619" i="4"/>
  <c r="A620" i="4"/>
  <c r="A621" i="4"/>
  <c r="A622" i="4"/>
  <c r="A623" i="4"/>
  <c r="A624" i="4"/>
  <c r="A625" i="4"/>
  <c r="A626" i="4"/>
  <c r="A627" i="4"/>
  <c r="A628" i="4"/>
  <c r="A629" i="4"/>
  <c r="A630" i="4"/>
  <c r="A631" i="4"/>
  <c r="A632" i="4"/>
  <c r="A633" i="4"/>
  <c r="A634" i="4"/>
  <c r="A635" i="4"/>
  <c r="A636" i="4"/>
  <c r="A637" i="4"/>
  <c r="A638" i="4"/>
  <c r="A639" i="4"/>
  <c r="A640" i="4"/>
  <c r="A641" i="4"/>
  <c r="A642" i="4"/>
  <c r="A643" i="4"/>
  <c r="A644" i="4"/>
  <c r="A645" i="4"/>
  <c r="A646" i="4"/>
  <c r="A647" i="4"/>
  <c r="A648" i="4"/>
  <c r="A649" i="4"/>
  <c r="A650" i="4"/>
  <c r="A651" i="4"/>
  <c r="A652" i="4"/>
  <c r="A653" i="4"/>
  <c r="A654" i="4"/>
  <c r="A655" i="4"/>
  <c r="A656" i="4"/>
  <c r="A657" i="4"/>
  <c r="A658" i="4"/>
  <c r="A659" i="4"/>
  <c r="A660" i="4"/>
  <c r="A661" i="4"/>
  <c r="A662" i="4"/>
  <c r="A663" i="4"/>
  <c r="A664" i="4"/>
  <c r="A665" i="4"/>
  <c r="A666" i="4"/>
  <c r="A667" i="4"/>
  <c r="A668" i="4"/>
  <c r="A669" i="4"/>
  <c r="A670" i="4"/>
  <c r="A671" i="4"/>
  <c r="A672" i="4"/>
  <c r="A673" i="4"/>
  <c r="A674" i="4"/>
  <c r="A675" i="4"/>
  <c r="A676" i="4"/>
  <c r="A677" i="4"/>
  <c r="A678" i="4"/>
  <c r="A679" i="4"/>
  <c r="A680" i="4"/>
  <c r="A681" i="4"/>
  <c r="A682" i="4"/>
  <c r="A683" i="4"/>
  <c r="A684" i="4"/>
  <c r="A685" i="4"/>
  <c r="A686" i="4"/>
  <c r="A687" i="4"/>
  <c r="A688" i="4"/>
  <c r="A689" i="4"/>
  <c r="A690" i="4"/>
  <c r="A691" i="4"/>
  <c r="A692" i="4"/>
  <c r="A693" i="4"/>
  <c r="A694" i="4"/>
  <c r="A695" i="4"/>
  <c r="A696" i="4"/>
  <c r="A697" i="4"/>
  <c r="A698" i="4"/>
  <c r="A699" i="4"/>
  <c r="A700" i="4"/>
  <c r="A701" i="4"/>
  <c r="A702" i="4"/>
  <c r="A703" i="4"/>
  <c r="A704" i="4"/>
  <c r="A705" i="4"/>
  <c r="A706" i="4"/>
  <c r="A707" i="4"/>
  <c r="A708" i="4"/>
  <c r="A709" i="4"/>
  <c r="A710" i="4"/>
  <c r="A711" i="4"/>
  <c r="A712" i="4"/>
  <c r="A713" i="4"/>
  <c r="A714" i="4"/>
  <c r="A715" i="4"/>
  <c r="A716" i="4"/>
  <c r="A717" i="4"/>
  <c r="A718" i="4"/>
  <c r="A719" i="4"/>
  <c r="A720" i="4"/>
  <c r="A721" i="4"/>
  <c r="A722" i="4"/>
  <c r="A723" i="4"/>
  <c r="A724" i="4"/>
  <c r="A725" i="4"/>
  <c r="A726" i="4"/>
  <c r="A727" i="4"/>
  <c r="A728" i="4"/>
  <c r="A729" i="4"/>
  <c r="A730" i="4"/>
  <c r="A731" i="4"/>
  <c r="A732" i="4"/>
  <c r="A733" i="4"/>
  <c r="A734" i="4"/>
  <c r="A735" i="4"/>
  <c r="A1" i="3"/>
  <c r="CY1" i="3"/>
  <c r="CZ1" i="3"/>
  <c r="DA1" i="3"/>
  <c r="DB1" i="3"/>
  <c r="DC1" i="3"/>
  <c r="A2" i="3"/>
  <c r="CY2" i="3"/>
  <c r="CZ2" i="3"/>
  <c r="DA2" i="3"/>
  <c r="DB2" i="3"/>
  <c r="DC2" i="3"/>
  <c r="A3" i="3"/>
  <c r="CY3" i="3"/>
  <c r="CZ3" i="3"/>
  <c r="DB3" i="3" s="1"/>
  <c r="DA3" i="3"/>
  <c r="DC3" i="3"/>
  <c r="A4" i="3"/>
  <c r="CY4" i="3"/>
  <c r="CZ4" i="3"/>
  <c r="DB4" i="3" s="1"/>
  <c r="DA4" i="3"/>
  <c r="DC4" i="3"/>
  <c r="A5" i="3"/>
  <c r="CY5" i="3"/>
  <c r="CZ5" i="3"/>
  <c r="DA5" i="3"/>
  <c r="DB5" i="3"/>
  <c r="DC5" i="3"/>
  <c r="A6" i="3"/>
  <c r="CY6" i="3"/>
  <c r="CZ6" i="3"/>
  <c r="DA6" i="3"/>
  <c r="DB6" i="3"/>
  <c r="DC6" i="3"/>
  <c r="A7" i="3"/>
  <c r="CY7" i="3"/>
  <c r="CZ7" i="3"/>
  <c r="DB7" i="3" s="1"/>
  <c r="DA7" i="3"/>
  <c r="DC7" i="3"/>
  <c r="A8" i="3"/>
  <c r="CY8" i="3"/>
  <c r="CZ8" i="3"/>
  <c r="DB8" i="3" s="1"/>
  <c r="DA8" i="3"/>
  <c r="DC8" i="3"/>
  <c r="A9" i="3"/>
  <c r="CY9" i="3"/>
  <c r="CZ9" i="3"/>
  <c r="DA9" i="3"/>
  <c r="DB9" i="3"/>
  <c r="DC9" i="3"/>
  <c r="A10" i="3"/>
  <c r="CY10" i="3"/>
  <c r="CZ10" i="3"/>
  <c r="DA10" i="3"/>
  <c r="DB10" i="3"/>
  <c r="DC10" i="3"/>
  <c r="A11" i="3"/>
  <c r="CY11" i="3"/>
  <c r="CZ11" i="3"/>
  <c r="DB11" i="3" s="1"/>
  <c r="DA11" i="3"/>
  <c r="DC11" i="3"/>
  <c r="A12" i="3"/>
  <c r="CY12" i="3"/>
  <c r="CZ12" i="3"/>
  <c r="DB12" i="3" s="1"/>
  <c r="DA12" i="3"/>
  <c r="DC12" i="3"/>
  <c r="A13" i="3"/>
  <c r="CY13" i="3"/>
  <c r="CZ13" i="3"/>
  <c r="DA13" i="3"/>
  <c r="DB13" i="3"/>
  <c r="DC13" i="3"/>
  <c r="A14" i="3"/>
  <c r="CY14" i="3"/>
  <c r="CZ14" i="3"/>
  <c r="DA14" i="3"/>
  <c r="DB14" i="3"/>
  <c r="DC14" i="3"/>
  <c r="A15" i="3"/>
  <c r="CY15" i="3"/>
  <c r="CZ15" i="3"/>
  <c r="DB15" i="3" s="1"/>
  <c r="DA15" i="3"/>
  <c r="DC15" i="3"/>
  <c r="A16" i="3"/>
  <c r="CY16" i="3"/>
  <c r="CZ16" i="3"/>
  <c r="DB16" i="3" s="1"/>
  <c r="DA16" i="3"/>
  <c r="DC16" i="3"/>
  <c r="A17" i="3"/>
  <c r="CY17" i="3"/>
  <c r="CZ17" i="3"/>
  <c r="DA17" i="3"/>
  <c r="DB17" i="3"/>
  <c r="DC17" i="3"/>
  <c r="A18" i="3"/>
  <c r="CY18" i="3"/>
  <c r="CZ18" i="3"/>
  <c r="DA18" i="3"/>
  <c r="DB18" i="3"/>
  <c r="DC18" i="3"/>
  <c r="A19" i="3"/>
  <c r="CY19" i="3"/>
  <c r="CZ19" i="3"/>
  <c r="DB19" i="3" s="1"/>
  <c r="DA19" i="3"/>
  <c r="DC19" i="3"/>
  <c r="A20" i="3"/>
  <c r="CY20" i="3"/>
  <c r="CZ20" i="3"/>
  <c r="DB20" i="3" s="1"/>
  <c r="DA20" i="3"/>
  <c r="DC20" i="3"/>
  <c r="A21" i="3"/>
  <c r="CY21" i="3"/>
  <c r="CZ21" i="3"/>
  <c r="DA21" i="3"/>
  <c r="DB21" i="3"/>
  <c r="DC21" i="3"/>
  <c r="A22" i="3"/>
  <c r="CX22" i="3"/>
  <c r="CY22" i="3"/>
  <c r="CZ22" i="3"/>
  <c r="DA22" i="3"/>
  <c r="DB22" i="3"/>
  <c r="DC22" i="3"/>
  <c r="A23" i="3"/>
  <c r="CX23" i="3"/>
  <c r="CY23" i="3"/>
  <c r="CZ23" i="3"/>
  <c r="DB23" i="3" s="1"/>
  <c r="DA23" i="3"/>
  <c r="DC23" i="3"/>
  <c r="A24" i="3"/>
  <c r="CX24" i="3"/>
  <c r="CY24" i="3"/>
  <c r="CZ24" i="3"/>
  <c r="DB24" i="3" s="1"/>
  <c r="DA24" i="3"/>
  <c r="DC24" i="3"/>
  <c r="A25" i="3"/>
  <c r="CX25" i="3"/>
  <c r="CY25" i="3"/>
  <c r="CZ25" i="3"/>
  <c r="DA25" i="3"/>
  <c r="DB25" i="3"/>
  <c r="DC25" i="3"/>
  <c r="A26" i="3"/>
  <c r="CX26" i="3"/>
  <c r="CY26" i="3"/>
  <c r="CZ26" i="3"/>
  <c r="DA26" i="3"/>
  <c r="DB26" i="3"/>
  <c r="DC26" i="3"/>
  <c r="A27" i="3"/>
  <c r="CX27" i="3"/>
  <c r="CY27" i="3"/>
  <c r="CZ27" i="3"/>
  <c r="DB27" i="3" s="1"/>
  <c r="DA27" i="3"/>
  <c r="DC27" i="3"/>
  <c r="A28" i="3"/>
  <c r="CX28" i="3"/>
  <c r="CY28" i="3"/>
  <c r="CZ28" i="3"/>
  <c r="DB28" i="3" s="1"/>
  <c r="DA28" i="3"/>
  <c r="DC28" i="3"/>
  <c r="A29" i="3"/>
  <c r="CY29" i="3"/>
  <c r="CZ29" i="3"/>
  <c r="DA29" i="3"/>
  <c r="DB29" i="3"/>
  <c r="DC29" i="3"/>
  <c r="A30" i="3"/>
  <c r="CY30" i="3"/>
  <c r="CZ30" i="3"/>
  <c r="DA30" i="3"/>
  <c r="DB30" i="3"/>
  <c r="DC30" i="3"/>
  <c r="A31" i="3"/>
  <c r="CY31" i="3"/>
  <c r="CZ31" i="3"/>
  <c r="DB31" i="3" s="1"/>
  <c r="DA31" i="3"/>
  <c r="DC31" i="3"/>
  <c r="A32" i="3"/>
  <c r="CY32" i="3"/>
  <c r="CZ32" i="3"/>
  <c r="DB32" i="3" s="1"/>
  <c r="DA32" i="3"/>
  <c r="DC32" i="3"/>
  <c r="A33" i="3"/>
  <c r="CY33" i="3"/>
  <c r="CZ33" i="3"/>
  <c r="DA33" i="3"/>
  <c r="DB33" i="3"/>
  <c r="DC33" i="3"/>
  <c r="A34" i="3"/>
  <c r="CY34" i="3"/>
  <c r="CZ34" i="3"/>
  <c r="DA34" i="3"/>
  <c r="DB34" i="3"/>
  <c r="DC34" i="3"/>
  <c r="A35" i="3"/>
  <c r="CY35" i="3"/>
  <c r="CZ35" i="3"/>
  <c r="DB35" i="3" s="1"/>
  <c r="DA35" i="3"/>
  <c r="DC35" i="3"/>
  <c r="A36" i="3"/>
  <c r="CY36" i="3"/>
  <c r="CZ36" i="3"/>
  <c r="DB36" i="3" s="1"/>
  <c r="DA36" i="3"/>
  <c r="DC36" i="3"/>
  <c r="A37" i="3"/>
  <c r="CY37" i="3"/>
  <c r="CZ37" i="3"/>
  <c r="DA37" i="3"/>
  <c r="DB37" i="3"/>
  <c r="DC37" i="3"/>
  <c r="A38" i="3"/>
  <c r="CY38" i="3"/>
  <c r="CZ38" i="3"/>
  <c r="DA38" i="3"/>
  <c r="DB38" i="3"/>
  <c r="DC38" i="3"/>
  <c r="A39" i="3"/>
  <c r="CY39" i="3"/>
  <c r="CZ39" i="3"/>
  <c r="DB39" i="3" s="1"/>
  <c r="DA39" i="3"/>
  <c r="DC39" i="3"/>
  <c r="A40" i="3"/>
  <c r="CY40" i="3"/>
  <c r="CZ40" i="3"/>
  <c r="DB40" i="3" s="1"/>
  <c r="DA40" i="3"/>
  <c r="DC40" i="3"/>
  <c r="A41" i="3"/>
  <c r="CY41" i="3"/>
  <c r="CZ41" i="3"/>
  <c r="DA41" i="3"/>
  <c r="DB41" i="3"/>
  <c r="DC41" i="3"/>
  <c r="A42" i="3"/>
  <c r="CY42" i="3"/>
  <c r="CZ42" i="3"/>
  <c r="DA42" i="3"/>
  <c r="DB42" i="3"/>
  <c r="DC42" i="3"/>
  <c r="A43" i="3"/>
  <c r="CY43" i="3"/>
  <c r="CZ43" i="3"/>
  <c r="DB43" i="3" s="1"/>
  <c r="DA43" i="3"/>
  <c r="DC43" i="3"/>
  <c r="A44" i="3"/>
  <c r="CY44" i="3"/>
  <c r="CZ44" i="3"/>
  <c r="DB44" i="3" s="1"/>
  <c r="DA44" i="3"/>
  <c r="DC44" i="3"/>
  <c r="A45" i="3"/>
  <c r="CY45" i="3"/>
  <c r="CZ45" i="3"/>
  <c r="DA45" i="3"/>
  <c r="DB45" i="3"/>
  <c r="DC45" i="3"/>
  <c r="A46" i="3"/>
  <c r="CY46" i="3"/>
  <c r="CZ46" i="3"/>
  <c r="DA46" i="3"/>
  <c r="DB46" i="3"/>
  <c r="DC46" i="3"/>
  <c r="A47" i="3"/>
  <c r="CY47" i="3"/>
  <c r="CZ47" i="3"/>
  <c r="DB47" i="3" s="1"/>
  <c r="DA47" i="3"/>
  <c r="DC47" i="3"/>
  <c r="A48" i="3"/>
  <c r="CY48" i="3"/>
  <c r="CZ48" i="3"/>
  <c r="DB48" i="3" s="1"/>
  <c r="DA48" i="3"/>
  <c r="DC48" i="3"/>
  <c r="A49" i="3"/>
  <c r="CY49" i="3"/>
  <c r="CZ49" i="3"/>
  <c r="DA49" i="3"/>
  <c r="DB49" i="3"/>
  <c r="DC49" i="3"/>
  <c r="A50" i="3"/>
  <c r="CY50" i="3"/>
  <c r="CZ50" i="3"/>
  <c r="DA50" i="3"/>
  <c r="DB50" i="3"/>
  <c r="DC50" i="3"/>
  <c r="A51" i="3"/>
  <c r="CY51" i="3"/>
  <c r="CZ51" i="3"/>
  <c r="DB51" i="3" s="1"/>
  <c r="DA51" i="3"/>
  <c r="DC51" i="3"/>
  <c r="A52" i="3"/>
  <c r="CY52" i="3"/>
  <c r="CZ52" i="3"/>
  <c r="DB52" i="3" s="1"/>
  <c r="DA52" i="3"/>
  <c r="DC52" i="3"/>
  <c r="A53" i="3"/>
  <c r="CY53" i="3"/>
  <c r="CZ53" i="3"/>
  <c r="DA53" i="3"/>
  <c r="DB53" i="3"/>
  <c r="DC53" i="3"/>
  <c r="A54" i="3"/>
  <c r="CY54" i="3"/>
  <c r="CZ54" i="3"/>
  <c r="DA54" i="3"/>
  <c r="DB54" i="3"/>
  <c r="DC54" i="3"/>
  <c r="A55" i="3"/>
  <c r="CY55" i="3"/>
  <c r="CZ55" i="3"/>
  <c r="DB55" i="3" s="1"/>
  <c r="DA55" i="3"/>
  <c r="DC55" i="3"/>
  <c r="A56" i="3"/>
  <c r="CY56" i="3"/>
  <c r="CZ56" i="3"/>
  <c r="DB56" i="3" s="1"/>
  <c r="DA56" i="3"/>
  <c r="DC56" i="3"/>
  <c r="A57" i="3"/>
  <c r="CY57" i="3"/>
  <c r="CZ57" i="3"/>
  <c r="DA57" i="3"/>
  <c r="DB57" i="3"/>
  <c r="DC57" i="3"/>
  <c r="A58" i="3"/>
  <c r="CY58" i="3"/>
  <c r="CZ58" i="3"/>
  <c r="DA58" i="3"/>
  <c r="DB58" i="3"/>
  <c r="DC58" i="3"/>
  <c r="A59" i="3"/>
  <c r="CY59" i="3"/>
  <c r="CZ59" i="3"/>
  <c r="DB59" i="3" s="1"/>
  <c r="DA59" i="3"/>
  <c r="DC59" i="3"/>
  <c r="A60" i="3"/>
  <c r="CY60" i="3"/>
  <c r="CZ60" i="3"/>
  <c r="DB60" i="3" s="1"/>
  <c r="DA60" i="3"/>
  <c r="DC60" i="3"/>
  <c r="A61" i="3"/>
  <c r="CY61" i="3"/>
  <c r="CZ61" i="3"/>
  <c r="DA61" i="3"/>
  <c r="DB61" i="3"/>
  <c r="DC61" i="3"/>
  <c r="A62" i="3"/>
  <c r="CY62" i="3"/>
  <c r="CZ62" i="3"/>
  <c r="DA62" i="3"/>
  <c r="DB62" i="3"/>
  <c r="DC62" i="3"/>
  <c r="A63" i="3"/>
  <c r="CY63" i="3"/>
  <c r="CZ63" i="3"/>
  <c r="DB63" i="3" s="1"/>
  <c r="DA63" i="3"/>
  <c r="DC63" i="3"/>
  <c r="A64" i="3"/>
  <c r="CY64" i="3"/>
  <c r="CZ64" i="3"/>
  <c r="DB64" i="3" s="1"/>
  <c r="DA64" i="3"/>
  <c r="DC64" i="3"/>
  <c r="A65" i="3"/>
  <c r="CY65" i="3"/>
  <c r="CZ65" i="3"/>
  <c r="DA65" i="3"/>
  <c r="DB65" i="3"/>
  <c r="DC65" i="3"/>
  <c r="A66" i="3"/>
  <c r="CY66" i="3"/>
  <c r="CZ66" i="3"/>
  <c r="DA66" i="3"/>
  <c r="DB66" i="3"/>
  <c r="DC66" i="3"/>
  <c r="A67" i="3"/>
  <c r="CY67" i="3"/>
  <c r="CZ67" i="3"/>
  <c r="DB67" i="3" s="1"/>
  <c r="DA67" i="3"/>
  <c r="DC67" i="3"/>
  <c r="A68" i="3"/>
  <c r="CY68" i="3"/>
  <c r="CZ68" i="3"/>
  <c r="DB68" i="3" s="1"/>
  <c r="DA68" i="3"/>
  <c r="DC68" i="3"/>
  <c r="A69" i="3"/>
  <c r="CY69" i="3"/>
  <c r="CZ69" i="3"/>
  <c r="DA69" i="3"/>
  <c r="DB69" i="3"/>
  <c r="DC69" i="3"/>
  <c r="A70" i="3"/>
  <c r="CY70" i="3"/>
  <c r="CZ70" i="3"/>
  <c r="DA70" i="3"/>
  <c r="DB70" i="3"/>
  <c r="DC70" i="3"/>
  <c r="A71" i="3"/>
  <c r="CY71" i="3"/>
  <c r="CZ71" i="3"/>
  <c r="DB71" i="3" s="1"/>
  <c r="DA71" i="3"/>
  <c r="DC71" i="3"/>
  <c r="A72" i="3"/>
  <c r="CY72" i="3"/>
  <c r="CZ72" i="3"/>
  <c r="DB72" i="3" s="1"/>
  <c r="DA72" i="3"/>
  <c r="DC72" i="3"/>
  <c r="A73" i="3"/>
  <c r="CY73" i="3"/>
  <c r="CZ73" i="3"/>
  <c r="DA73" i="3"/>
  <c r="DB73" i="3"/>
  <c r="DC73" i="3"/>
  <c r="A74" i="3"/>
  <c r="CY74" i="3"/>
  <c r="CZ74" i="3"/>
  <c r="DA74" i="3"/>
  <c r="DB74" i="3"/>
  <c r="DC74" i="3"/>
  <c r="A75" i="3"/>
  <c r="CY75" i="3"/>
  <c r="CZ75" i="3"/>
  <c r="DB75" i="3" s="1"/>
  <c r="DA75" i="3"/>
  <c r="DC75" i="3"/>
  <c r="A76" i="3"/>
  <c r="CY76" i="3"/>
  <c r="CZ76" i="3"/>
  <c r="DB76" i="3" s="1"/>
  <c r="DA76" i="3"/>
  <c r="DC76" i="3"/>
  <c r="A77" i="3"/>
  <c r="CY77" i="3"/>
  <c r="CZ77" i="3"/>
  <c r="DA77" i="3"/>
  <c r="DB77" i="3"/>
  <c r="DC77" i="3"/>
  <c r="A78" i="3"/>
  <c r="CY78" i="3"/>
  <c r="CZ78" i="3"/>
  <c r="DA78" i="3"/>
  <c r="DB78" i="3"/>
  <c r="DC78" i="3"/>
  <c r="A79" i="3"/>
  <c r="CY79" i="3"/>
  <c r="CZ79" i="3"/>
  <c r="DB79" i="3" s="1"/>
  <c r="DA79" i="3"/>
  <c r="DC79" i="3"/>
  <c r="A80" i="3"/>
  <c r="CY80" i="3"/>
  <c r="CZ80" i="3"/>
  <c r="DB80" i="3" s="1"/>
  <c r="DA80" i="3"/>
  <c r="DC80" i="3"/>
  <c r="A81" i="3"/>
  <c r="CY81" i="3"/>
  <c r="CZ81" i="3"/>
  <c r="DA81" i="3"/>
  <c r="DB81" i="3"/>
  <c r="DC81" i="3"/>
  <c r="A82" i="3"/>
  <c r="CY82" i="3"/>
  <c r="CZ82" i="3"/>
  <c r="DA82" i="3"/>
  <c r="DB82" i="3"/>
  <c r="DC82" i="3"/>
  <c r="A83" i="3"/>
  <c r="CY83" i="3"/>
  <c r="CZ83" i="3"/>
  <c r="DB83" i="3" s="1"/>
  <c r="DA83" i="3"/>
  <c r="DC83" i="3"/>
  <c r="A84" i="3"/>
  <c r="CY84" i="3"/>
  <c r="CZ84" i="3"/>
  <c r="DB84" i="3" s="1"/>
  <c r="DA84" i="3"/>
  <c r="DC84" i="3"/>
  <c r="A85" i="3"/>
  <c r="CY85" i="3"/>
  <c r="CZ85" i="3"/>
  <c r="DA85" i="3"/>
  <c r="DB85" i="3"/>
  <c r="DC85" i="3"/>
  <c r="A86" i="3"/>
  <c r="CY86" i="3"/>
  <c r="CZ86" i="3"/>
  <c r="DA86" i="3"/>
  <c r="DB86" i="3"/>
  <c r="DC86" i="3"/>
  <c r="A87" i="3"/>
  <c r="CY87" i="3"/>
  <c r="CZ87" i="3"/>
  <c r="DB87" i="3" s="1"/>
  <c r="DA87" i="3"/>
  <c r="DC87" i="3"/>
  <c r="A88" i="3"/>
  <c r="CY88" i="3"/>
  <c r="CZ88" i="3"/>
  <c r="DB88" i="3" s="1"/>
  <c r="DA88" i="3"/>
  <c r="DC88" i="3"/>
  <c r="A89" i="3"/>
  <c r="CY89" i="3"/>
  <c r="CZ89" i="3"/>
  <c r="DA89" i="3"/>
  <c r="DB89" i="3"/>
  <c r="DC89" i="3"/>
  <c r="A90" i="3"/>
  <c r="CY90" i="3"/>
  <c r="CZ90" i="3"/>
  <c r="DA90" i="3"/>
  <c r="DB90" i="3"/>
  <c r="DC90" i="3"/>
  <c r="A91" i="3"/>
  <c r="CY91" i="3"/>
  <c r="CZ91" i="3"/>
  <c r="DB91" i="3" s="1"/>
  <c r="DA91" i="3"/>
  <c r="DC91" i="3"/>
  <c r="A92" i="3"/>
  <c r="CY92" i="3"/>
  <c r="CZ92" i="3"/>
  <c r="DB92" i="3" s="1"/>
  <c r="DA92" i="3"/>
  <c r="DC92" i="3"/>
  <c r="A93" i="3"/>
  <c r="CX93" i="3"/>
  <c r="CY93" i="3"/>
  <c r="CZ93" i="3"/>
  <c r="DA93" i="3"/>
  <c r="DB93" i="3"/>
  <c r="DC93" i="3"/>
  <c r="A94" i="3"/>
  <c r="CX94" i="3"/>
  <c r="CY94" i="3"/>
  <c r="CZ94" i="3"/>
  <c r="DA94" i="3"/>
  <c r="DB94" i="3"/>
  <c r="DC94" i="3"/>
  <c r="A95" i="3"/>
  <c r="CX95" i="3"/>
  <c r="CY95" i="3"/>
  <c r="CZ95" i="3"/>
  <c r="DB95" i="3" s="1"/>
  <c r="DA95" i="3"/>
  <c r="DC95" i="3"/>
  <c r="A96" i="3"/>
  <c r="CX96" i="3"/>
  <c r="CY96" i="3"/>
  <c r="CZ96" i="3"/>
  <c r="DB96" i="3" s="1"/>
  <c r="DA96" i="3"/>
  <c r="DC96" i="3"/>
  <c r="A97" i="3"/>
  <c r="CX97" i="3"/>
  <c r="CY97" i="3"/>
  <c r="CZ97" i="3"/>
  <c r="DA97" i="3"/>
  <c r="DB97" i="3"/>
  <c r="DC97" i="3"/>
  <c r="A98" i="3"/>
  <c r="CX98" i="3"/>
  <c r="CY98" i="3"/>
  <c r="CZ98" i="3"/>
  <c r="DA98" i="3"/>
  <c r="DB98" i="3"/>
  <c r="DC98" i="3"/>
  <c r="A99" i="3"/>
  <c r="CX99" i="3"/>
  <c r="CY99" i="3"/>
  <c r="CZ99" i="3"/>
  <c r="DB99" i="3" s="1"/>
  <c r="DA99" i="3"/>
  <c r="DC99" i="3"/>
  <c r="A100" i="3"/>
  <c r="CX100" i="3"/>
  <c r="CY100" i="3"/>
  <c r="CZ100" i="3"/>
  <c r="DB100" i="3" s="1"/>
  <c r="DA100" i="3"/>
  <c r="DC100" i="3"/>
  <c r="A101" i="3"/>
  <c r="CX101" i="3"/>
  <c r="CY101" i="3"/>
  <c r="CZ101" i="3"/>
  <c r="DA101" i="3"/>
  <c r="DB101" i="3"/>
  <c r="DC101" i="3"/>
  <c r="A102" i="3"/>
  <c r="CX102" i="3"/>
  <c r="CY102" i="3"/>
  <c r="CZ102" i="3"/>
  <c r="DA102" i="3"/>
  <c r="DB102" i="3"/>
  <c r="DC102" i="3"/>
  <c r="A103" i="3"/>
  <c r="CX103" i="3"/>
  <c r="CY103" i="3"/>
  <c r="CZ103" i="3"/>
  <c r="DB103" i="3" s="1"/>
  <c r="DA103" i="3"/>
  <c r="DC103" i="3"/>
  <c r="A104" i="3"/>
  <c r="CX104" i="3"/>
  <c r="CY104" i="3"/>
  <c r="CZ104" i="3"/>
  <c r="DB104" i="3" s="1"/>
  <c r="DA104" i="3"/>
  <c r="DC104" i="3"/>
  <c r="A105" i="3"/>
  <c r="CX105" i="3"/>
  <c r="CY105" i="3"/>
  <c r="CZ105" i="3"/>
  <c r="DA105" i="3"/>
  <c r="DB105" i="3"/>
  <c r="DC105" i="3"/>
  <c r="A106" i="3"/>
  <c r="CX106" i="3"/>
  <c r="CY106" i="3"/>
  <c r="CZ106" i="3"/>
  <c r="DA106" i="3"/>
  <c r="DB106" i="3"/>
  <c r="DC106" i="3"/>
  <c r="A107" i="3"/>
  <c r="CX107" i="3"/>
  <c r="CY107" i="3"/>
  <c r="CZ107" i="3"/>
  <c r="DB107" i="3" s="1"/>
  <c r="DA107" i="3"/>
  <c r="DC107" i="3"/>
  <c r="A108" i="3"/>
  <c r="CY108" i="3"/>
  <c r="CZ108" i="3"/>
  <c r="DB108" i="3" s="1"/>
  <c r="DA108" i="3"/>
  <c r="DC108" i="3"/>
  <c r="A109" i="3"/>
  <c r="CY109" i="3"/>
  <c r="CZ109" i="3"/>
  <c r="DA109" i="3"/>
  <c r="DB109" i="3"/>
  <c r="DC109" i="3"/>
  <c r="A110" i="3"/>
  <c r="CY110" i="3"/>
  <c r="CZ110" i="3"/>
  <c r="DA110" i="3"/>
  <c r="DB110" i="3"/>
  <c r="DC110" i="3"/>
  <c r="A111" i="3"/>
  <c r="CY111" i="3"/>
  <c r="CZ111" i="3"/>
  <c r="DB111" i="3" s="1"/>
  <c r="DA111" i="3"/>
  <c r="DC111" i="3"/>
  <c r="A112" i="3"/>
  <c r="CY112" i="3"/>
  <c r="CZ112" i="3"/>
  <c r="DB112" i="3" s="1"/>
  <c r="DA112" i="3"/>
  <c r="DC112" i="3"/>
  <c r="A113" i="3"/>
  <c r="CY113" i="3"/>
  <c r="CZ113" i="3"/>
  <c r="DA113" i="3"/>
  <c r="DB113" i="3"/>
  <c r="DC113" i="3"/>
  <c r="A114" i="3"/>
  <c r="CY114" i="3"/>
  <c r="CZ114" i="3"/>
  <c r="DA114" i="3"/>
  <c r="DB114" i="3"/>
  <c r="DC114" i="3"/>
  <c r="A115" i="3"/>
  <c r="CY115" i="3"/>
  <c r="CZ115" i="3"/>
  <c r="DB115" i="3" s="1"/>
  <c r="DA115" i="3"/>
  <c r="DC115" i="3"/>
  <c r="A116" i="3"/>
  <c r="CY116" i="3"/>
  <c r="CZ116" i="3"/>
  <c r="DB116" i="3" s="1"/>
  <c r="DA116" i="3"/>
  <c r="DC116" i="3"/>
  <c r="A117" i="3"/>
  <c r="CY117" i="3"/>
  <c r="CZ117" i="3"/>
  <c r="DA117" i="3"/>
  <c r="DB117" i="3"/>
  <c r="DC117" i="3"/>
  <c r="A118" i="3"/>
  <c r="CY118" i="3"/>
  <c r="CZ118" i="3"/>
  <c r="DA118" i="3"/>
  <c r="DB118" i="3"/>
  <c r="DC118" i="3"/>
  <c r="A119" i="3"/>
  <c r="CY119" i="3"/>
  <c r="CZ119" i="3"/>
  <c r="DB119" i="3" s="1"/>
  <c r="DA119" i="3"/>
  <c r="DC119" i="3"/>
  <c r="A120" i="3"/>
  <c r="CY120" i="3"/>
  <c r="CZ120" i="3"/>
  <c r="DB120" i="3" s="1"/>
  <c r="DA120" i="3"/>
  <c r="DC120" i="3"/>
  <c r="A121" i="3"/>
  <c r="CY121" i="3"/>
  <c r="CZ121" i="3"/>
  <c r="DA121" i="3"/>
  <c r="DB121" i="3"/>
  <c r="DC121" i="3"/>
  <c r="A122" i="3"/>
  <c r="CY122" i="3"/>
  <c r="CZ122" i="3"/>
  <c r="DA122" i="3"/>
  <c r="DB122" i="3"/>
  <c r="DC122" i="3"/>
  <c r="A123" i="3"/>
  <c r="CY123" i="3"/>
  <c r="CZ123" i="3"/>
  <c r="DB123" i="3" s="1"/>
  <c r="DA123" i="3"/>
  <c r="DC123" i="3"/>
  <c r="A124" i="3"/>
  <c r="CY124" i="3"/>
  <c r="CZ124" i="3"/>
  <c r="DB124" i="3" s="1"/>
  <c r="DA124" i="3"/>
  <c r="DC124" i="3"/>
  <c r="A125" i="3"/>
  <c r="CY125" i="3"/>
  <c r="CZ125" i="3"/>
  <c r="DA125" i="3"/>
  <c r="DB125" i="3"/>
  <c r="DC125" i="3"/>
  <c r="A126" i="3"/>
  <c r="CY126" i="3"/>
  <c r="CZ126" i="3"/>
  <c r="DA126" i="3"/>
  <c r="DB126" i="3"/>
  <c r="DC126" i="3"/>
  <c r="A127" i="3"/>
  <c r="CX127" i="3"/>
  <c r="CY127" i="3"/>
  <c r="CZ127" i="3"/>
  <c r="DB127" i="3" s="1"/>
  <c r="DA127" i="3"/>
  <c r="DC127" i="3"/>
  <c r="A128" i="3"/>
  <c r="CX128" i="3"/>
  <c r="CY128" i="3"/>
  <c r="CZ128" i="3"/>
  <c r="DB128" i="3" s="1"/>
  <c r="DA128" i="3"/>
  <c r="DC128" i="3"/>
  <c r="A129" i="3"/>
  <c r="CX129" i="3"/>
  <c r="CY129" i="3"/>
  <c r="CZ129" i="3"/>
  <c r="DA129" i="3"/>
  <c r="DB129" i="3"/>
  <c r="DC129" i="3"/>
  <c r="A130" i="3"/>
  <c r="CX130" i="3"/>
  <c r="CY130" i="3"/>
  <c r="CZ130" i="3"/>
  <c r="DA130" i="3"/>
  <c r="DB130" i="3"/>
  <c r="DC130" i="3"/>
  <c r="A131" i="3"/>
  <c r="CX131" i="3"/>
  <c r="CY131" i="3"/>
  <c r="CZ131" i="3"/>
  <c r="DB131" i="3" s="1"/>
  <c r="DA131" i="3"/>
  <c r="DC131" i="3"/>
  <c r="A132" i="3"/>
  <c r="CX132" i="3"/>
  <c r="CY132" i="3"/>
  <c r="CZ132" i="3"/>
  <c r="DB132" i="3" s="1"/>
  <c r="DA132" i="3"/>
  <c r="DC132" i="3"/>
  <c r="A133" i="3"/>
  <c r="CX133" i="3"/>
  <c r="CY133" i="3"/>
  <c r="CZ133" i="3"/>
  <c r="DA133" i="3"/>
  <c r="DB133" i="3"/>
  <c r="DC133" i="3"/>
  <c r="A134" i="3"/>
  <c r="CX134" i="3"/>
  <c r="CY134" i="3"/>
  <c r="CZ134" i="3"/>
  <c r="DA134" i="3"/>
  <c r="DB134" i="3"/>
  <c r="DC134" i="3"/>
  <c r="A135" i="3"/>
  <c r="CX135" i="3"/>
  <c r="CY135" i="3"/>
  <c r="CZ135" i="3"/>
  <c r="DB135" i="3" s="1"/>
  <c r="DA135" i="3"/>
  <c r="DC135" i="3"/>
  <c r="A136" i="3"/>
  <c r="CX136" i="3"/>
  <c r="CY136" i="3"/>
  <c r="CZ136" i="3"/>
  <c r="DB136" i="3" s="1"/>
  <c r="DA136" i="3"/>
  <c r="DC136" i="3"/>
  <c r="A137" i="3"/>
  <c r="CX137" i="3"/>
  <c r="CY137" i="3"/>
  <c r="CZ137" i="3"/>
  <c r="DA137" i="3"/>
  <c r="DB137" i="3"/>
  <c r="DC137" i="3"/>
  <c r="A138" i="3"/>
  <c r="CX138" i="3"/>
  <c r="CY138" i="3"/>
  <c r="CZ138" i="3"/>
  <c r="DA138" i="3"/>
  <c r="DB138" i="3"/>
  <c r="DC138" i="3"/>
  <c r="A139" i="3"/>
  <c r="CX139" i="3"/>
  <c r="CY139" i="3"/>
  <c r="CZ139" i="3"/>
  <c r="DB139" i="3" s="1"/>
  <c r="DA139" i="3"/>
  <c r="DC139" i="3"/>
  <c r="A140" i="3"/>
  <c r="CX140" i="3"/>
  <c r="CY140" i="3"/>
  <c r="CZ140" i="3"/>
  <c r="DB140" i="3" s="1"/>
  <c r="DA140" i="3"/>
  <c r="DC140" i="3"/>
  <c r="A141" i="3"/>
  <c r="CY141" i="3"/>
  <c r="CZ141" i="3"/>
  <c r="DA141" i="3"/>
  <c r="DB141" i="3"/>
  <c r="DC141" i="3"/>
  <c r="A142" i="3"/>
  <c r="CY142" i="3"/>
  <c r="CZ142" i="3"/>
  <c r="DA142" i="3"/>
  <c r="DB142" i="3"/>
  <c r="DC142" i="3"/>
  <c r="A143" i="3"/>
  <c r="CY143" i="3"/>
  <c r="CZ143" i="3"/>
  <c r="DB143" i="3" s="1"/>
  <c r="DA143" i="3"/>
  <c r="DC143" i="3"/>
  <c r="A144" i="3"/>
  <c r="CY144" i="3"/>
  <c r="CZ144" i="3"/>
  <c r="DB144" i="3" s="1"/>
  <c r="DA144" i="3"/>
  <c r="DC144" i="3"/>
  <c r="A145" i="3"/>
  <c r="CY145" i="3"/>
  <c r="CZ145" i="3"/>
  <c r="DA145" i="3"/>
  <c r="DB145" i="3"/>
  <c r="DC145" i="3"/>
  <c r="A146" i="3"/>
  <c r="CY146" i="3"/>
  <c r="CZ146" i="3"/>
  <c r="DA146" i="3"/>
  <c r="DB146" i="3"/>
  <c r="DC146" i="3"/>
  <c r="A147" i="3"/>
  <c r="CY147" i="3"/>
  <c r="CZ147" i="3"/>
  <c r="DB147" i="3" s="1"/>
  <c r="DA147" i="3"/>
  <c r="DC147" i="3"/>
  <c r="A148" i="3"/>
  <c r="CY148" i="3"/>
  <c r="CZ148" i="3"/>
  <c r="DB148" i="3" s="1"/>
  <c r="DA148" i="3"/>
  <c r="DC148" i="3"/>
  <c r="A149" i="3"/>
  <c r="CY149" i="3"/>
  <c r="CZ149" i="3"/>
  <c r="DA149" i="3"/>
  <c r="DB149" i="3"/>
  <c r="DC149" i="3"/>
  <c r="A150" i="3"/>
  <c r="CY150" i="3"/>
  <c r="CZ150" i="3"/>
  <c r="DA150" i="3"/>
  <c r="DB150" i="3"/>
  <c r="DC150" i="3"/>
  <c r="A151" i="3"/>
  <c r="CY151" i="3"/>
  <c r="CZ151" i="3"/>
  <c r="DB151" i="3" s="1"/>
  <c r="DA151" i="3"/>
  <c r="DC151" i="3"/>
  <c r="A152" i="3"/>
  <c r="CY152" i="3"/>
  <c r="CZ152" i="3"/>
  <c r="DB152" i="3" s="1"/>
  <c r="DA152" i="3"/>
  <c r="DC152" i="3"/>
  <c r="A153" i="3"/>
  <c r="CX153" i="3"/>
  <c r="CY153" i="3"/>
  <c r="CZ153" i="3"/>
  <c r="DA153" i="3"/>
  <c r="DB153" i="3"/>
  <c r="DC153" i="3"/>
  <c r="A154" i="3"/>
  <c r="CX154" i="3"/>
  <c r="CY154" i="3"/>
  <c r="CZ154" i="3"/>
  <c r="DA154" i="3"/>
  <c r="DB154" i="3"/>
  <c r="DC154" i="3"/>
  <c r="A155" i="3"/>
  <c r="CX155" i="3"/>
  <c r="CY155" i="3"/>
  <c r="CZ155" i="3"/>
  <c r="DB155" i="3" s="1"/>
  <c r="DA155" i="3"/>
  <c r="DC155" i="3"/>
  <c r="A156" i="3"/>
  <c r="CX156" i="3"/>
  <c r="CY156" i="3"/>
  <c r="CZ156" i="3"/>
  <c r="DB156" i="3" s="1"/>
  <c r="DA156" i="3"/>
  <c r="DC156" i="3"/>
  <c r="A157" i="3"/>
  <c r="CX157" i="3"/>
  <c r="CY157" i="3"/>
  <c r="CZ157" i="3"/>
  <c r="DA157" i="3"/>
  <c r="DB157" i="3"/>
  <c r="DC157" i="3"/>
  <c r="A158" i="3"/>
  <c r="CY158" i="3"/>
  <c r="CZ158" i="3"/>
  <c r="DA158" i="3"/>
  <c r="DB158" i="3"/>
  <c r="DC158" i="3"/>
  <c r="A159" i="3"/>
  <c r="CY159" i="3"/>
  <c r="CZ159" i="3"/>
  <c r="DB159" i="3" s="1"/>
  <c r="DA159" i="3"/>
  <c r="DC159" i="3"/>
  <c r="A160" i="3"/>
  <c r="CY160" i="3"/>
  <c r="CZ160" i="3"/>
  <c r="DB160" i="3" s="1"/>
  <c r="DA160" i="3"/>
  <c r="DC160" i="3"/>
  <c r="A161" i="3"/>
  <c r="CY161" i="3"/>
  <c r="CZ161" i="3"/>
  <c r="DA161" i="3"/>
  <c r="DB161" i="3"/>
  <c r="DC161" i="3"/>
  <c r="A162" i="3"/>
  <c r="CY162" i="3"/>
  <c r="CZ162" i="3"/>
  <c r="DA162" i="3"/>
  <c r="DB162" i="3"/>
  <c r="DC162" i="3"/>
  <c r="A163" i="3"/>
  <c r="CY163" i="3"/>
  <c r="CZ163" i="3"/>
  <c r="DB163" i="3" s="1"/>
  <c r="DA163" i="3"/>
  <c r="DC163" i="3"/>
  <c r="A164" i="3"/>
  <c r="CY164" i="3"/>
  <c r="CZ164" i="3"/>
  <c r="DB164" i="3" s="1"/>
  <c r="DA164" i="3"/>
  <c r="DC164" i="3"/>
  <c r="A165" i="3"/>
  <c r="CY165" i="3"/>
  <c r="CZ165" i="3"/>
  <c r="DA165" i="3"/>
  <c r="DB165" i="3"/>
  <c r="DC165" i="3"/>
  <c r="A166" i="3"/>
  <c r="CY166" i="3"/>
  <c r="CZ166" i="3"/>
  <c r="DA166" i="3"/>
  <c r="DB166" i="3"/>
  <c r="DC166" i="3"/>
  <c r="A167" i="3"/>
  <c r="CY167" i="3"/>
  <c r="CZ167" i="3"/>
  <c r="DB167" i="3" s="1"/>
  <c r="DA167" i="3"/>
  <c r="DC167" i="3"/>
  <c r="A168" i="3"/>
  <c r="CY168" i="3"/>
  <c r="CZ168" i="3"/>
  <c r="DB168" i="3" s="1"/>
  <c r="DA168" i="3"/>
  <c r="DC168" i="3"/>
  <c r="A169" i="3"/>
  <c r="CY169" i="3"/>
  <c r="CZ169" i="3"/>
  <c r="DA169" i="3"/>
  <c r="DB169" i="3"/>
  <c r="DC169" i="3"/>
  <c r="A170" i="3"/>
  <c r="CY170" i="3"/>
  <c r="CZ170" i="3"/>
  <c r="DA170" i="3"/>
  <c r="DB170" i="3"/>
  <c r="DC170" i="3"/>
  <c r="A171" i="3"/>
  <c r="CY171" i="3"/>
  <c r="CZ171" i="3"/>
  <c r="DB171" i="3" s="1"/>
  <c r="DA171" i="3"/>
  <c r="DC171" i="3"/>
  <c r="A172" i="3"/>
  <c r="CY172" i="3"/>
  <c r="CZ172" i="3"/>
  <c r="DB172" i="3" s="1"/>
  <c r="DA172" i="3"/>
  <c r="DC172" i="3"/>
  <c r="A173" i="3"/>
  <c r="CY173" i="3"/>
  <c r="CZ173" i="3"/>
  <c r="DA173" i="3"/>
  <c r="DB173" i="3"/>
  <c r="DC173" i="3"/>
  <c r="A174" i="3"/>
  <c r="CY174" i="3"/>
  <c r="CZ174" i="3"/>
  <c r="DA174" i="3"/>
  <c r="DB174" i="3"/>
  <c r="DC174" i="3"/>
  <c r="A175" i="3"/>
  <c r="CY175" i="3"/>
  <c r="CZ175" i="3"/>
  <c r="DB175" i="3" s="1"/>
  <c r="DA175" i="3"/>
  <c r="DC175" i="3"/>
  <c r="A176" i="3"/>
  <c r="CY176" i="3"/>
  <c r="CZ176" i="3"/>
  <c r="DB176" i="3" s="1"/>
  <c r="DA176" i="3"/>
  <c r="DC176" i="3"/>
  <c r="A177" i="3"/>
  <c r="CY177" i="3"/>
  <c r="CZ177" i="3"/>
  <c r="DA177" i="3"/>
  <c r="DB177" i="3"/>
  <c r="DC177" i="3"/>
  <c r="A178" i="3"/>
  <c r="CY178" i="3"/>
  <c r="CZ178" i="3"/>
  <c r="DA178" i="3"/>
  <c r="DB178" i="3"/>
  <c r="DC178" i="3"/>
  <c r="A179" i="3"/>
  <c r="CY179" i="3"/>
  <c r="CZ179" i="3"/>
  <c r="DB179" i="3" s="1"/>
  <c r="DA179" i="3"/>
  <c r="DC179" i="3"/>
  <c r="A180" i="3"/>
  <c r="CY180" i="3"/>
  <c r="CZ180" i="3"/>
  <c r="DB180" i="3" s="1"/>
  <c r="DA180" i="3"/>
  <c r="DC180" i="3"/>
  <c r="A181" i="3"/>
  <c r="CY181" i="3"/>
  <c r="CZ181" i="3"/>
  <c r="DA181" i="3"/>
  <c r="DB181" i="3"/>
  <c r="DC181" i="3"/>
  <c r="A182" i="3"/>
  <c r="CY182" i="3"/>
  <c r="CZ182" i="3"/>
  <c r="DA182" i="3"/>
  <c r="DB182" i="3"/>
  <c r="DC182" i="3"/>
  <c r="A183" i="3"/>
  <c r="CY183" i="3"/>
  <c r="CZ183" i="3"/>
  <c r="DB183" i="3" s="1"/>
  <c r="DA183" i="3"/>
  <c r="DC183" i="3"/>
  <c r="A184" i="3"/>
  <c r="CY184" i="3"/>
  <c r="CZ184" i="3"/>
  <c r="DB184" i="3" s="1"/>
  <c r="DA184" i="3"/>
  <c r="DC184" i="3"/>
  <c r="A185" i="3"/>
  <c r="CY185" i="3"/>
  <c r="CZ185" i="3"/>
  <c r="DA185" i="3"/>
  <c r="DB185" i="3"/>
  <c r="DC185" i="3"/>
  <c r="A186" i="3"/>
  <c r="CY186" i="3"/>
  <c r="CZ186" i="3"/>
  <c r="DA186" i="3"/>
  <c r="DB186" i="3"/>
  <c r="DC186" i="3"/>
  <c r="A187" i="3"/>
  <c r="CY187" i="3"/>
  <c r="CZ187" i="3"/>
  <c r="DB187" i="3" s="1"/>
  <c r="DA187" i="3"/>
  <c r="DC187" i="3"/>
  <c r="A188" i="3"/>
  <c r="CY188" i="3"/>
  <c r="CZ188" i="3"/>
  <c r="DB188" i="3" s="1"/>
  <c r="DA188" i="3"/>
  <c r="DC188" i="3"/>
  <c r="A189" i="3"/>
  <c r="CY189" i="3"/>
  <c r="CZ189" i="3"/>
  <c r="DA189" i="3"/>
  <c r="DB189" i="3"/>
  <c r="DC189" i="3"/>
  <c r="A190" i="3"/>
  <c r="CY190" i="3"/>
  <c r="CZ190" i="3"/>
  <c r="DA190" i="3"/>
  <c r="DB190" i="3"/>
  <c r="DC190" i="3"/>
  <c r="A191" i="3"/>
  <c r="CY191" i="3"/>
  <c r="CZ191" i="3"/>
  <c r="DB191" i="3" s="1"/>
  <c r="DA191" i="3"/>
  <c r="DC191" i="3"/>
  <c r="A192" i="3"/>
  <c r="CY192" i="3"/>
  <c r="CZ192" i="3"/>
  <c r="DA192" i="3"/>
  <c r="DB192" i="3"/>
  <c r="DC192" i="3"/>
  <c r="A193" i="3"/>
  <c r="CY193" i="3"/>
  <c r="CZ193" i="3"/>
  <c r="DB193" i="3" s="1"/>
  <c r="DA193" i="3"/>
  <c r="DC193" i="3"/>
  <c r="A194" i="3"/>
  <c r="CY194" i="3"/>
  <c r="CZ194" i="3"/>
  <c r="DB194" i="3" s="1"/>
  <c r="DA194" i="3"/>
  <c r="DC194" i="3"/>
  <c r="A195" i="3"/>
  <c r="CY195" i="3"/>
  <c r="CZ195" i="3"/>
  <c r="DA195" i="3"/>
  <c r="DB195" i="3"/>
  <c r="DC195" i="3"/>
  <c r="A196" i="3"/>
  <c r="CY196" i="3"/>
  <c r="CZ196" i="3"/>
  <c r="DA196" i="3"/>
  <c r="DB196" i="3"/>
  <c r="DC196" i="3"/>
  <c r="A197" i="3"/>
  <c r="CY197" i="3"/>
  <c r="CZ197" i="3"/>
  <c r="DB197" i="3" s="1"/>
  <c r="DA197" i="3"/>
  <c r="DC197" i="3"/>
  <c r="A198" i="3"/>
  <c r="CY198" i="3"/>
  <c r="CZ198" i="3"/>
  <c r="DB198" i="3" s="1"/>
  <c r="DA198" i="3"/>
  <c r="DC198" i="3"/>
  <c r="A199" i="3"/>
  <c r="CY199" i="3"/>
  <c r="CZ199" i="3"/>
  <c r="DA199" i="3"/>
  <c r="DB199" i="3"/>
  <c r="DC199" i="3"/>
  <c r="A200" i="3"/>
  <c r="CY200" i="3"/>
  <c r="CZ200" i="3"/>
  <c r="DA200" i="3"/>
  <c r="DB200" i="3"/>
  <c r="DC200" i="3"/>
  <c r="A201" i="3"/>
  <c r="CY201" i="3"/>
  <c r="CZ201" i="3"/>
  <c r="DB201" i="3" s="1"/>
  <c r="DA201" i="3"/>
  <c r="DC201" i="3"/>
  <c r="A202" i="3"/>
  <c r="CY202" i="3"/>
  <c r="CZ202" i="3"/>
  <c r="DB202" i="3" s="1"/>
  <c r="DA202" i="3"/>
  <c r="DC202" i="3"/>
  <c r="A203" i="3"/>
  <c r="CY203" i="3"/>
  <c r="CZ203" i="3"/>
  <c r="DA203" i="3"/>
  <c r="DB203" i="3"/>
  <c r="DC203" i="3"/>
  <c r="A204" i="3"/>
  <c r="CY204" i="3"/>
  <c r="CZ204" i="3"/>
  <c r="DA204" i="3"/>
  <c r="DB204" i="3"/>
  <c r="DC204" i="3"/>
  <c r="A205" i="3"/>
  <c r="CY205" i="3"/>
  <c r="CZ205" i="3"/>
  <c r="DB205" i="3" s="1"/>
  <c r="DA205" i="3"/>
  <c r="DC205" i="3"/>
  <c r="A206" i="3"/>
  <c r="CY206" i="3"/>
  <c r="CZ206" i="3"/>
  <c r="DB206" i="3" s="1"/>
  <c r="DA206" i="3"/>
  <c r="DC206" i="3"/>
  <c r="A207" i="3"/>
  <c r="CY207" i="3"/>
  <c r="CZ207" i="3"/>
  <c r="DA207" i="3"/>
  <c r="DB207" i="3"/>
  <c r="DC207" i="3"/>
  <c r="A208" i="3"/>
  <c r="CY208" i="3"/>
  <c r="CZ208" i="3"/>
  <c r="DA208" i="3"/>
  <c r="DB208" i="3"/>
  <c r="DC208" i="3"/>
  <c r="A209" i="3"/>
  <c r="CY209" i="3"/>
  <c r="CZ209" i="3"/>
  <c r="DB209" i="3" s="1"/>
  <c r="DA209" i="3"/>
  <c r="DC209" i="3"/>
  <c r="A210" i="3"/>
  <c r="CY210" i="3"/>
  <c r="CZ210" i="3"/>
  <c r="DB210" i="3" s="1"/>
  <c r="DA210" i="3"/>
  <c r="DC210" i="3"/>
  <c r="A211" i="3"/>
  <c r="CY211" i="3"/>
  <c r="CZ211" i="3"/>
  <c r="DA211" i="3"/>
  <c r="DB211" i="3"/>
  <c r="DC211" i="3"/>
  <c r="A212" i="3"/>
  <c r="CY212" i="3"/>
  <c r="CZ212" i="3"/>
  <c r="DA212" i="3"/>
  <c r="DB212" i="3"/>
  <c r="DC212" i="3"/>
  <c r="A213" i="3"/>
  <c r="CY213" i="3"/>
  <c r="CZ213" i="3"/>
  <c r="DB213" i="3" s="1"/>
  <c r="DA213" i="3"/>
  <c r="DC213" i="3"/>
  <c r="A214" i="3"/>
  <c r="CY214" i="3"/>
  <c r="CZ214" i="3"/>
  <c r="DB214" i="3" s="1"/>
  <c r="DA214" i="3"/>
  <c r="DC214" i="3"/>
  <c r="A215" i="3"/>
  <c r="CY215" i="3"/>
  <c r="CZ215" i="3"/>
  <c r="DA215" i="3"/>
  <c r="DB215" i="3"/>
  <c r="DC215" i="3"/>
  <c r="A216" i="3"/>
  <c r="CY216" i="3"/>
  <c r="CZ216" i="3"/>
  <c r="DA216" i="3"/>
  <c r="DB216" i="3"/>
  <c r="DC216" i="3"/>
  <c r="A217" i="3"/>
  <c r="CY217" i="3"/>
  <c r="CZ217" i="3"/>
  <c r="DB217" i="3" s="1"/>
  <c r="DA217" i="3"/>
  <c r="DC217" i="3"/>
  <c r="A218" i="3"/>
  <c r="CY218" i="3"/>
  <c r="CZ218" i="3"/>
  <c r="DB218" i="3" s="1"/>
  <c r="DA218" i="3"/>
  <c r="DC218" i="3"/>
  <c r="A219" i="3"/>
  <c r="CY219" i="3"/>
  <c r="CZ219" i="3"/>
  <c r="DA219" i="3"/>
  <c r="DB219" i="3"/>
  <c r="DC219" i="3"/>
  <c r="A220" i="3"/>
  <c r="CY220" i="3"/>
  <c r="CZ220" i="3"/>
  <c r="DA220" i="3"/>
  <c r="DB220" i="3"/>
  <c r="DC220" i="3"/>
  <c r="A221" i="3"/>
  <c r="CY221" i="3"/>
  <c r="CZ221" i="3"/>
  <c r="DB221" i="3" s="1"/>
  <c r="DA221" i="3"/>
  <c r="DC221" i="3"/>
  <c r="A222" i="3"/>
  <c r="CY222" i="3"/>
  <c r="CZ222" i="3"/>
  <c r="DB222" i="3" s="1"/>
  <c r="DA222" i="3"/>
  <c r="DC222" i="3"/>
  <c r="A223" i="3"/>
  <c r="CY223" i="3"/>
  <c r="CZ223" i="3"/>
  <c r="DA223" i="3"/>
  <c r="DB223" i="3"/>
  <c r="DC223" i="3"/>
  <c r="A224" i="3"/>
  <c r="CY224" i="3"/>
  <c r="CZ224" i="3"/>
  <c r="DA224" i="3"/>
  <c r="DB224" i="3"/>
  <c r="DC224" i="3"/>
  <c r="A225" i="3"/>
  <c r="CY225" i="3"/>
  <c r="CZ225" i="3"/>
  <c r="DB225" i="3" s="1"/>
  <c r="DA225" i="3"/>
  <c r="DC225" i="3"/>
  <c r="A226" i="3"/>
  <c r="CY226" i="3"/>
  <c r="CZ226" i="3"/>
  <c r="DB226" i="3" s="1"/>
  <c r="DA226" i="3"/>
  <c r="DC226" i="3"/>
  <c r="A227" i="3"/>
  <c r="CY227" i="3"/>
  <c r="CZ227" i="3"/>
  <c r="DA227" i="3"/>
  <c r="DB227" i="3"/>
  <c r="DC227" i="3"/>
  <c r="A228" i="3"/>
  <c r="CX228" i="3"/>
  <c r="CY228" i="3"/>
  <c r="CZ228" i="3"/>
  <c r="DA228" i="3"/>
  <c r="DB228" i="3"/>
  <c r="DC228" i="3"/>
  <c r="A229" i="3"/>
  <c r="CX229" i="3"/>
  <c r="CY229" i="3"/>
  <c r="CZ229" i="3"/>
  <c r="DB229" i="3" s="1"/>
  <c r="DA229" i="3"/>
  <c r="DC229" i="3"/>
  <c r="A230" i="3"/>
  <c r="CX230" i="3"/>
  <c r="CY230" i="3"/>
  <c r="CZ230" i="3"/>
  <c r="DB230" i="3" s="1"/>
  <c r="DA230" i="3"/>
  <c r="DC230" i="3"/>
  <c r="A231" i="3"/>
  <c r="CX231" i="3"/>
  <c r="CY231" i="3"/>
  <c r="CZ231" i="3"/>
  <c r="DA231" i="3"/>
  <c r="DB231" i="3"/>
  <c r="DC231" i="3"/>
  <c r="A232" i="3"/>
  <c r="CX232" i="3"/>
  <c r="CY232" i="3"/>
  <c r="CZ232" i="3"/>
  <c r="DA232" i="3"/>
  <c r="DB232" i="3"/>
  <c r="DC232" i="3"/>
  <c r="A233" i="3"/>
  <c r="CX233" i="3"/>
  <c r="CY233" i="3"/>
  <c r="CZ233" i="3"/>
  <c r="DB233" i="3" s="1"/>
  <c r="DA233" i="3"/>
  <c r="DC233" i="3"/>
  <c r="A234" i="3"/>
  <c r="CX234" i="3"/>
  <c r="CY234" i="3"/>
  <c r="CZ234" i="3"/>
  <c r="DB234" i="3" s="1"/>
  <c r="DA234" i="3"/>
  <c r="DC234" i="3"/>
  <c r="A235" i="3"/>
  <c r="CX235" i="3"/>
  <c r="CY235" i="3"/>
  <c r="CZ235" i="3"/>
  <c r="DA235" i="3"/>
  <c r="DB235" i="3"/>
  <c r="DC235" i="3"/>
  <c r="A236" i="3"/>
  <c r="CY236" i="3"/>
  <c r="CZ236" i="3"/>
  <c r="DA236" i="3"/>
  <c r="DB236" i="3"/>
  <c r="DC236" i="3"/>
  <c r="A237" i="3"/>
  <c r="CY237" i="3"/>
  <c r="CZ237" i="3"/>
  <c r="DB237" i="3" s="1"/>
  <c r="DA237" i="3"/>
  <c r="DC237" i="3"/>
  <c r="A238" i="3"/>
  <c r="CY238" i="3"/>
  <c r="CZ238" i="3"/>
  <c r="DB238" i="3" s="1"/>
  <c r="DA238" i="3"/>
  <c r="DC238" i="3"/>
  <c r="A239" i="3"/>
  <c r="CY239" i="3"/>
  <c r="CZ239" i="3"/>
  <c r="DA239" i="3"/>
  <c r="DB239" i="3"/>
  <c r="DC239" i="3"/>
  <c r="A240" i="3"/>
  <c r="CY240" i="3"/>
  <c r="CZ240" i="3"/>
  <c r="DA240" i="3"/>
  <c r="DB240" i="3"/>
  <c r="DC240" i="3"/>
  <c r="A241" i="3"/>
  <c r="CY241" i="3"/>
  <c r="CZ241" i="3"/>
  <c r="DB241" i="3" s="1"/>
  <c r="DA241" i="3"/>
  <c r="DC241" i="3"/>
  <c r="A242" i="3"/>
  <c r="CY242" i="3"/>
  <c r="CZ242" i="3"/>
  <c r="DB242" i="3" s="1"/>
  <c r="DA242" i="3"/>
  <c r="DC242" i="3"/>
  <c r="A243" i="3"/>
  <c r="CY243" i="3"/>
  <c r="CZ243" i="3"/>
  <c r="DA243" i="3"/>
  <c r="DB243" i="3"/>
  <c r="DC243" i="3"/>
  <c r="A244" i="3"/>
  <c r="CY244" i="3"/>
  <c r="CZ244" i="3"/>
  <c r="DA244" i="3"/>
  <c r="DB244" i="3"/>
  <c r="DC244" i="3"/>
  <c r="A245" i="3"/>
  <c r="CY245" i="3"/>
  <c r="CZ245" i="3"/>
  <c r="DB245" i="3" s="1"/>
  <c r="DA245" i="3"/>
  <c r="DC245" i="3"/>
  <c r="A246" i="3"/>
  <c r="CY246" i="3"/>
  <c r="CZ246" i="3"/>
  <c r="DB246" i="3" s="1"/>
  <c r="DA246" i="3"/>
  <c r="DC246" i="3"/>
  <c r="A247" i="3"/>
  <c r="CY247" i="3"/>
  <c r="CZ247" i="3"/>
  <c r="DA247" i="3"/>
  <c r="DB247" i="3"/>
  <c r="DC247" i="3"/>
  <c r="A248" i="3"/>
  <c r="CY248" i="3"/>
  <c r="CZ248" i="3"/>
  <c r="DA248" i="3"/>
  <c r="DB248" i="3"/>
  <c r="DC248" i="3"/>
  <c r="A249" i="3"/>
  <c r="CY249" i="3"/>
  <c r="CZ249" i="3"/>
  <c r="DB249" i="3" s="1"/>
  <c r="DA249" i="3"/>
  <c r="DC249" i="3"/>
  <c r="A250" i="3"/>
  <c r="CY250" i="3"/>
  <c r="CZ250" i="3"/>
  <c r="DB250" i="3" s="1"/>
  <c r="DA250" i="3"/>
  <c r="DC250" i="3"/>
  <c r="A251" i="3"/>
  <c r="CY251" i="3"/>
  <c r="CZ251" i="3"/>
  <c r="DA251" i="3"/>
  <c r="DB251" i="3"/>
  <c r="DC251" i="3"/>
  <c r="A252" i="3"/>
  <c r="CY252" i="3"/>
  <c r="CZ252" i="3"/>
  <c r="DA252" i="3"/>
  <c r="DB252" i="3"/>
  <c r="DC252" i="3"/>
  <c r="A253" i="3"/>
  <c r="CY253" i="3"/>
  <c r="CZ253" i="3"/>
  <c r="DB253" i="3" s="1"/>
  <c r="DA253" i="3"/>
  <c r="DC253" i="3"/>
  <c r="A254" i="3"/>
  <c r="CY254" i="3"/>
  <c r="CZ254" i="3"/>
  <c r="DB254" i="3" s="1"/>
  <c r="DA254" i="3"/>
  <c r="DC254" i="3"/>
  <c r="A255" i="3"/>
  <c r="CY255" i="3"/>
  <c r="CZ255" i="3"/>
  <c r="DA255" i="3"/>
  <c r="DB255" i="3"/>
  <c r="DC255" i="3"/>
  <c r="A256" i="3"/>
  <c r="CY256" i="3"/>
  <c r="CZ256" i="3"/>
  <c r="DA256" i="3"/>
  <c r="DB256" i="3"/>
  <c r="DC256" i="3"/>
  <c r="A257" i="3"/>
  <c r="CY257" i="3"/>
  <c r="CZ257" i="3"/>
  <c r="DB257" i="3" s="1"/>
  <c r="DA257" i="3"/>
  <c r="DC257" i="3"/>
  <c r="A258" i="3"/>
  <c r="CY258" i="3"/>
  <c r="CZ258" i="3"/>
  <c r="DB258" i="3" s="1"/>
  <c r="DA258" i="3"/>
  <c r="DC258" i="3"/>
  <c r="A259" i="3"/>
  <c r="CY259" i="3"/>
  <c r="CZ259" i="3"/>
  <c r="DA259" i="3"/>
  <c r="DB259" i="3"/>
  <c r="DC259" i="3"/>
  <c r="A260" i="3"/>
  <c r="CY260" i="3"/>
  <c r="CZ260" i="3"/>
  <c r="DA260" i="3"/>
  <c r="DB260" i="3"/>
  <c r="DC260" i="3"/>
  <c r="A261" i="3"/>
  <c r="CY261" i="3"/>
  <c r="CZ261" i="3"/>
  <c r="DB261" i="3" s="1"/>
  <c r="DA261" i="3"/>
  <c r="DC261" i="3"/>
  <c r="A262" i="3"/>
  <c r="CY262" i="3"/>
  <c r="CZ262" i="3"/>
  <c r="DB262" i="3" s="1"/>
  <c r="DA262" i="3"/>
  <c r="DC262" i="3"/>
  <c r="A263" i="3"/>
  <c r="CY263" i="3"/>
  <c r="CZ263" i="3"/>
  <c r="DA263" i="3"/>
  <c r="DB263" i="3"/>
  <c r="DC263" i="3"/>
  <c r="A264" i="3"/>
  <c r="CY264" i="3"/>
  <c r="CZ264" i="3"/>
  <c r="DA264" i="3"/>
  <c r="DB264" i="3"/>
  <c r="DC264" i="3"/>
  <c r="A265" i="3"/>
  <c r="CY265" i="3"/>
  <c r="CZ265" i="3"/>
  <c r="DB265" i="3" s="1"/>
  <c r="DA265" i="3"/>
  <c r="DC265" i="3"/>
  <c r="A266" i="3"/>
  <c r="CY266" i="3"/>
  <c r="CZ266" i="3"/>
  <c r="DB266" i="3" s="1"/>
  <c r="DA266" i="3"/>
  <c r="DC266" i="3"/>
  <c r="A267" i="3"/>
  <c r="CY267" i="3"/>
  <c r="CZ267" i="3"/>
  <c r="DA267" i="3"/>
  <c r="DB267" i="3"/>
  <c r="DC267" i="3"/>
  <c r="A268" i="3"/>
  <c r="CY268" i="3"/>
  <c r="CZ268" i="3"/>
  <c r="DA268" i="3"/>
  <c r="DB268" i="3"/>
  <c r="DC268" i="3"/>
  <c r="A269" i="3"/>
  <c r="CY269" i="3"/>
  <c r="CZ269" i="3"/>
  <c r="DB269" i="3" s="1"/>
  <c r="DA269" i="3"/>
  <c r="DC269" i="3"/>
  <c r="A270" i="3"/>
  <c r="CY270" i="3"/>
  <c r="CZ270" i="3"/>
  <c r="DB270" i="3" s="1"/>
  <c r="DA270" i="3"/>
  <c r="DC270" i="3"/>
  <c r="A271" i="3"/>
  <c r="CY271" i="3"/>
  <c r="CZ271" i="3"/>
  <c r="DA271" i="3"/>
  <c r="DB271" i="3"/>
  <c r="DC271" i="3"/>
  <c r="A272" i="3"/>
  <c r="CY272" i="3"/>
  <c r="CZ272" i="3"/>
  <c r="DA272" i="3"/>
  <c r="DB272" i="3"/>
  <c r="DC272" i="3"/>
  <c r="A273" i="3"/>
  <c r="CY273" i="3"/>
  <c r="CZ273" i="3"/>
  <c r="DB273" i="3" s="1"/>
  <c r="DA273" i="3"/>
  <c r="DC273" i="3"/>
  <c r="A274" i="3"/>
  <c r="CY274" i="3"/>
  <c r="CZ274" i="3"/>
  <c r="DB274" i="3" s="1"/>
  <c r="DA274" i="3"/>
  <c r="DC274" i="3"/>
  <c r="A275" i="3"/>
  <c r="CY275" i="3"/>
  <c r="CZ275" i="3"/>
  <c r="DA275" i="3"/>
  <c r="DB275" i="3"/>
  <c r="DC275" i="3"/>
  <c r="A276" i="3"/>
  <c r="CY276" i="3"/>
  <c r="CZ276" i="3"/>
  <c r="DA276" i="3"/>
  <c r="DB276" i="3"/>
  <c r="DC276" i="3"/>
  <c r="A277" i="3"/>
  <c r="CY277" i="3"/>
  <c r="CZ277" i="3"/>
  <c r="DB277" i="3" s="1"/>
  <c r="DA277" i="3"/>
  <c r="DC277" i="3"/>
  <c r="A278" i="3"/>
  <c r="CY278" i="3"/>
  <c r="CZ278" i="3"/>
  <c r="DB278" i="3" s="1"/>
  <c r="DA278" i="3"/>
  <c r="DC278" i="3"/>
  <c r="A279" i="3"/>
  <c r="CY279" i="3"/>
  <c r="CZ279" i="3"/>
  <c r="DA279" i="3"/>
  <c r="DB279" i="3"/>
  <c r="DC279" i="3"/>
  <c r="A280" i="3"/>
  <c r="CY280" i="3"/>
  <c r="CZ280" i="3"/>
  <c r="DA280" i="3"/>
  <c r="DB280" i="3"/>
  <c r="DC280" i="3"/>
  <c r="A281" i="3"/>
  <c r="CY281" i="3"/>
  <c r="CZ281" i="3"/>
  <c r="DB281" i="3" s="1"/>
  <c r="DA281" i="3"/>
  <c r="DC281" i="3"/>
  <c r="A282" i="3"/>
  <c r="CY282" i="3"/>
  <c r="CZ282" i="3"/>
  <c r="DB282" i="3" s="1"/>
  <c r="DA282" i="3"/>
  <c r="DC282" i="3"/>
  <c r="A283" i="3"/>
  <c r="CY283" i="3"/>
  <c r="CZ283" i="3"/>
  <c r="DA283" i="3"/>
  <c r="DB283" i="3"/>
  <c r="DC283" i="3"/>
  <c r="A284" i="3"/>
  <c r="CY284" i="3"/>
  <c r="CZ284" i="3"/>
  <c r="DA284" i="3"/>
  <c r="DB284" i="3"/>
  <c r="DC284" i="3"/>
  <c r="A285" i="3"/>
  <c r="CY285" i="3"/>
  <c r="CZ285" i="3"/>
  <c r="DB285" i="3" s="1"/>
  <c r="DA285" i="3"/>
  <c r="DC285" i="3"/>
  <c r="A286" i="3"/>
  <c r="CY286" i="3"/>
  <c r="CZ286" i="3"/>
  <c r="DB286" i="3" s="1"/>
  <c r="DA286" i="3"/>
  <c r="DC286" i="3"/>
  <c r="A287" i="3"/>
  <c r="CY287" i="3"/>
  <c r="CZ287" i="3"/>
  <c r="DA287" i="3"/>
  <c r="DB287" i="3"/>
  <c r="DC287" i="3"/>
  <c r="A288" i="3"/>
  <c r="CY288" i="3"/>
  <c r="CZ288" i="3"/>
  <c r="DA288" i="3"/>
  <c r="DB288" i="3"/>
  <c r="DC288" i="3"/>
  <c r="A289" i="3"/>
  <c r="CY289" i="3"/>
  <c r="CZ289" i="3"/>
  <c r="DB289" i="3" s="1"/>
  <c r="DA289" i="3"/>
  <c r="DC289" i="3"/>
  <c r="A290" i="3"/>
  <c r="CY290" i="3"/>
  <c r="CZ290" i="3"/>
  <c r="DB290" i="3" s="1"/>
  <c r="DA290" i="3"/>
  <c r="DC290" i="3"/>
  <c r="A291" i="3"/>
  <c r="CY291" i="3"/>
  <c r="CZ291" i="3"/>
  <c r="DA291" i="3"/>
  <c r="DB291" i="3"/>
  <c r="DC291" i="3"/>
  <c r="A292" i="3"/>
  <c r="CY292" i="3"/>
  <c r="CZ292" i="3"/>
  <c r="DA292" i="3"/>
  <c r="DB292" i="3"/>
  <c r="DC292" i="3"/>
  <c r="A293" i="3"/>
  <c r="CY293" i="3"/>
  <c r="CZ293" i="3"/>
  <c r="DB293" i="3" s="1"/>
  <c r="DA293" i="3"/>
  <c r="DC293" i="3"/>
  <c r="A294" i="3"/>
  <c r="CY294" i="3"/>
  <c r="CZ294" i="3"/>
  <c r="DB294" i="3" s="1"/>
  <c r="DA294" i="3"/>
  <c r="DC294" i="3"/>
  <c r="A295" i="3"/>
  <c r="CY295" i="3"/>
  <c r="CZ295" i="3"/>
  <c r="DA295" i="3"/>
  <c r="DB295" i="3"/>
  <c r="DC295" i="3"/>
  <c r="A296" i="3"/>
  <c r="CY296" i="3"/>
  <c r="CZ296" i="3"/>
  <c r="DA296" i="3"/>
  <c r="DB296" i="3"/>
  <c r="DC296" i="3"/>
  <c r="A297" i="3"/>
  <c r="CY297" i="3"/>
  <c r="CZ297" i="3"/>
  <c r="DB297" i="3" s="1"/>
  <c r="DA297" i="3"/>
  <c r="DC297" i="3"/>
  <c r="A298" i="3"/>
  <c r="CY298" i="3"/>
  <c r="CZ298" i="3"/>
  <c r="DB298" i="3" s="1"/>
  <c r="DA298" i="3"/>
  <c r="DC298" i="3"/>
  <c r="A299" i="3"/>
  <c r="CY299" i="3"/>
  <c r="CZ299" i="3"/>
  <c r="DA299" i="3"/>
  <c r="DB299" i="3"/>
  <c r="DC299" i="3"/>
  <c r="A300" i="3"/>
  <c r="CY300" i="3"/>
  <c r="CZ300" i="3"/>
  <c r="DA300" i="3"/>
  <c r="DB300" i="3"/>
  <c r="DC300" i="3"/>
  <c r="A301" i="3"/>
  <c r="CY301" i="3"/>
  <c r="CZ301" i="3"/>
  <c r="DB301" i="3" s="1"/>
  <c r="DA301" i="3"/>
  <c r="DC301" i="3"/>
  <c r="A302" i="3"/>
  <c r="CY302" i="3"/>
  <c r="CZ302" i="3"/>
  <c r="DB302" i="3" s="1"/>
  <c r="DA302" i="3"/>
  <c r="DC302" i="3"/>
  <c r="A303" i="3"/>
  <c r="CY303" i="3"/>
  <c r="CZ303" i="3"/>
  <c r="DA303" i="3"/>
  <c r="DB303" i="3"/>
  <c r="DC303" i="3"/>
  <c r="A304" i="3"/>
  <c r="CY304" i="3"/>
  <c r="CZ304" i="3"/>
  <c r="DA304" i="3"/>
  <c r="DB304" i="3"/>
  <c r="DC304" i="3"/>
  <c r="A305" i="3"/>
  <c r="CY305" i="3"/>
  <c r="CZ305" i="3"/>
  <c r="DB305" i="3" s="1"/>
  <c r="DA305" i="3"/>
  <c r="DC305" i="3"/>
  <c r="A306" i="3"/>
  <c r="CY306" i="3"/>
  <c r="CZ306" i="3"/>
  <c r="DB306" i="3" s="1"/>
  <c r="DA306" i="3"/>
  <c r="DC306" i="3"/>
  <c r="A307" i="3"/>
  <c r="CY307" i="3"/>
  <c r="CZ307" i="3"/>
  <c r="DA307" i="3"/>
  <c r="DB307" i="3"/>
  <c r="DC307" i="3"/>
  <c r="A308" i="3"/>
  <c r="CY308" i="3"/>
  <c r="CZ308" i="3"/>
  <c r="DA308" i="3"/>
  <c r="DB308" i="3"/>
  <c r="DC308" i="3"/>
  <c r="A309" i="3"/>
  <c r="CY309" i="3"/>
  <c r="CZ309" i="3"/>
  <c r="DB309" i="3" s="1"/>
  <c r="DA309" i="3"/>
  <c r="DC309" i="3"/>
  <c r="A310" i="3"/>
  <c r="CY310" i="3"/>
  <c r="CZ310" i="3"/>
  <c r="DB310" i="3" s="1"/>
  <c r="DA310" i="3"/>
  <c r="DC310" i="3"/>
  <c r="A311" i="3"/>
  <c r="CY311" i="3"/>
  <c r="CZ311" i="3"/>
  <c r="DA311" i="3"/>
  <c r="DB311" i="3"/>
  <c r="DC311" i="3"/>
  <c r="A312" i="3"/>
  <c r="CY312" i="3"/>
  <c r="CZ312" i="3"/>
  <c r="DA312" i="3"/>
  <c r="DB312" i="3"/>
  <c r="DC312" i="3"/>
  <c r="A313" i="3"/>
  <c r="CY313" i="3"/>
  <c r="CZ313" i="3"/>
  <c r="DB313" i="3" s="1"/>
  <c r="DA313" i="3"/>
  <c r="DC313" i="3"/>
  <c r="A314" i="3"/>
  <c r="CY314" i="3"/>
  <c r="CZ314" i="3"/>
  <c r="DB314" i="3" s="1"/>
  <c r="DA314" i="3"/>
  <c r="DC314" i="3"/>
  <c r="A315" i="3"/>
  <c r="CY315" i="3"/>
  <c r="CZ315" i="3"/>
  <c r="DA315" i="3"/>
  <c r="DB315" i="3"/>
  <c r="DC315" i="3"/>
  <c r="A316" i="3"/>
  <c r="CY316" i="3"/>
  <c r="CZ316" i="3"/>
  <c r="DA316" i="3"/>
  <c r="DB316" i="3"/>
  <c r="DC316" i="3"/>
  <c r="A317" i="3"/>
  <c r="CY317" i="3"/>
  <c r="CZ317" i="3"/>
  <c r="DB317" i="3" s="1"/>
  <c r="DA317" i="3"/>
  <c r="DC317" i="3"/>
  <c r="A318" i="3"/>
  <c r="CY318" i="3"/>
  <c r="CZ318" i="3"/>
  <c r="DB318" i="3" s="1"/>
  <c r="DA318" i="3"/>
  <c r="DC318" i="3"/>
  <c r="A319" i="3"/>
  <c r="CY319" i="3"/>
  <c r="CZ319" i="3"/>
  <c r="DA319" i="3"/>
  <c r="DB319" i="3"/>
  <c r="DC319" i="3"/>
  <c r="A320" i="3"/>
  <c r="CY320" i="3"/>
  <c r="CZ320" i="3"/>
  <c r="DA320" i="3"/>
  <c r="DB320" i="3"/>
  <c r="DC320" i="3"/>
  <c r="A321" i="3"/>
  <c r="CY321" i="3"/>
  <c r="CZ321" i="3"/>
  <c r="DB321" i="3" s="1"/>
  <c r="DA321" i="3"/>
  <c r="DC321" i="3"/>
  <c r="A322" i="3"/>
  <c r="CY322" i="3"/>
  <c r="CZ322" i="3"/>
  <c r="DB322" i="3" s="1"/>
  <c r="DA322" i="3"/>
  <c r="DC322" i="3"/>
  <c r="A323" i="3"/>
  <c r="CY323" i="3"/>
  <c r="CZ323" i="3"/>
  <c r="DA323" i="3"/>
  <c r="DB323" i="3"/>
  <c r="DC323" i="3"/>
  <c r="A324" i="3"/>
  <c r="CY324" i="3"/>
  <c r="CZ324" i="3"/>
  <c r="DA324" i="3"/>
  <c r="DB324" i="3"/>
  <c r="DC324" i="3"/>
  <c r="A325" i="3"/>
  <c r="CY325" i="3"/>
  <c r="CZ325" i="3"/>
  <c r="DB325" i="3" s="1"/>
  <c r="DA325" i="3"/>
  <c r="DC325" i="3"/>
  <c r="A326" i="3"/>
  <c r="CY326" i="3"/>
  <c r="CZ326" i="3"/>
  <c r="DB326" i="3" s="1"/>
  <c r="DA326" i="3"/>
  <c r="DC326" i="3"/>
  <c r="A327" i="3"/>
  <c r="CY327" i="3"/>
  <c r="CZ327" i="3"/>
  <c r="DA327" i="3"/>
  <c r="DB327" i="3"/>
  <c r="DC327" i="3"/>
  <c r="A328" i="3"/>
  <c r="CY328" i="3"/>
  <c r="CZ328" i="3"/>
  <c r="DA328" i="3"/>
  <c r="DB328" i="3"/>
  <c r="DC328" i="3"/>
  <c r="A329" i="3"/>
  <c r="CY329" i="3"/>
  <c r="CZ329" i="3"/>
  <c r="DB329" i="3" s="1"/>
  <c r="DA329" i="3"/>
  <c r="DC329" i="3"/>
  <c r="A330" i="3"/>
  <c r="CX330" i="3"/>
  <c r="CY330" i="3"/>
  <c r="CZ330" i="3"/>
  <c r="DB330" i="3" s="1"/>
  <c r="DA330" i="3"/>
  <c r="DC330" i="3"/>
  <c r="A331" i="3"/>
  <c r="CX331" i="3"/>
  <c r="CY331" i="3"/>
  <c r="CZ331" i="3"/>
  <c r="DA331" i="3"/>
  <c r="DB331" i="3"/>
  <c r="DC331" i="3"/>
  <c r="A332" i="3"/>
  <c r="CY332" i="3"/>
  <c r="CZ332" i="3"/>
  <c r="DA332" i="3"/>
  <c r="DB332" i="3"/>
  <c r="DC332" i="3"/>
  <c r="A333" i="3"/>
  <c r="CY333" i="3"/>
  <c r="CZ333" i="3"/>
  <c r="DB333" i="3" s="1"/>
  <c r="DA333" i="3"/>
  <c r="DC333" i="3"/>
  <c r="A334" i="3"/>
  <c r="CY334" i="3"/>
  <c r="CZ334" i="3"/>
  <c r="DB334" i="3" s="1"/>
  <c r="DA334" i="3"/>
  <c r="DC334" i="3"/>
  <c r="A335" i="3"/>
  <c r="CY335" i="3"/>
  <c r="CZ335" i="3"/>
  <c r="DA335" i="3"/>
  <c r="DB335" i="3"/>
  <c r="DC335" i="3"/>
  <c r="A336" i="3"/>
  <c r="CY336" i="3"/>
  <c r="CZ336" i="3"/>
  <c r="DA336" i="3"/>
  <c r="DB336" i="3"/>
  <c r="DC336" i="3"/>
  <c r="A337" i="3"/>
  <c r="CY337" i="3"/>
  <c r="CZ337" i="3"/>
  <c r="DB337" i="3" s="1"/>
  <c r="DA337" i="3"/>
  <c r="DC337" i="3"/>
  <c r="A338" i="3"/>
  <c r="CY338" i="3"/>
  <c r="CZ338" i="3"/>
  <c r="DB338" i="3" s="1"/>
  <c r="DA338" i="3"/>
  <c r="DC338" i="3"/>
  <c r="A339" i="3"/>
  <c r="CY339" i="3"/>
  <c r="CZ339" i="3"/>
  <c r="DA339" i="3"/>
  <c r="DB339" i="3"/>
  <c r="DC339" i="3"/>
  <c r="A340" i="3"/>
  <c r="CY340" i="3"/>
  <c r="CZ340" i="3"/>
  <c r="DA340" i="3"/>
  <c r="DB340" i="3"/>
  <c r="DC340" i="3"/>
  <c r="A341" i="3"/>
  <c r="CY341" i="3"/>
  <c r="CZ341" i="3"/>
  <c r="DB341" i="3" s="1"/>
  <c r="DA341" i="3"/>
  <c r="DC341" i="3"/>
  <c r="A342" i="3"/>
  <c r="CY342" i="3"/>
  <c r="CZ342" i="3"/>
  <c r="DB342" i="3" s="1"/>
  <c r="DA342" i="3"/>
  <c r="DC342" i="3"/>
  <c r="A343" i="3"/>
  <c r="CY343" i="3"/>
  <c r="CZ343" i="3"/>
  <c r="DA343" i="3"/>
  <c r="DB343" i="3"/>
  <c r="DC343" i="3"/>
  <c r="A344" i="3"/>
  <c r="CY344" i="3"/>
  <c r="CZ344" i="3"/>
  <c r="DA344" i="3"/>
  <c r="DB344" i="3"/>
  <c r="DC344" i="3"/>
  <c r="A345" i="3"/>
  <c r="CX345" i="3"/>
  <c r="CY345" i="3"/>
  <c r="CZ345" i="3"/>
  <c r="DB345" i="3" s="1"/>
  <c r="DA345" i="3"/>
  <c r="DC345" i="3"/>
  <c r="A346" i="3"/>
  <c r="CX346" i="3"/>
  <c r="CY346" i="3"/>
  <c r="CZ346" i="3"/>
  <c r="DB346" i="3" s="1"/>
  <c r="DA346" i="3"/>
  <c r="DC346" i="3"/>
  <c r="A347" i="3"/>
  <c r="CX347" i="3"/>
  <c r="CY347" i="3"/>
  <c r="CZ347" i="3"/>
  <c r="DA347" i="3"/>
  <c r="DB347" i="3"/>
  <c r="DC347" i="3"/>
  <c r="A348" i="3"/>
  <c r="CX348" i="3"/>
  <c r="CY348" i="3"/>
  <c r="CZ348" i="3"/>
  <c r="DA348" i="3"/>
  <c r="DB348" i="3"/>
  <c r="DC348" i="3"/>
  <c r="A349" i="3"/>
  <c r="CX349" i="3"/>
  <c r="CY349" i="3"/>
  <c r="CZ349" i="3"/>
  <c r="DB349" i="3" s="1"/>
  <c r="DA349" i="3"/>
  <c r="DC349" i="3"/>
  <c r="A350" i="3"/>
  <c r="CX350" i="3"/>
  <c r="CY350" i="3"/>
  <c r="CZ350" i="3"/>
  <c r="DB350" i="3" s="1"/>
  <c r="DA350" i="3"/>
  <c r="DC350" i="3"/>
  <c r="A351" i="3"/>
  <c r="CX351" i="3"/>
  <c r="CY351" i="3"/>
  <c r="CZ351" i="3"/>
  <c r="DA351" i="3"/>
  <c r="DB351" i="3"/>
  <c r="DC351" i="3"/>
  <c r="A352" i="3"/>
  <c r="CX352" i="3"/>
  <c r="CY352" i="3"/>
  <c r="CZ352" i="3"/>
  <c r="DA352" i="3"/>
  <c r="DB352" i="3"/>
  <c r="DC352" i="3"/>
  <c r="A353" i="3"/>
  <c r="CY353" i="3"/>
  <c r="CZ353" i="3"/>
  <c r="DB353" i="3" s="1"/>
  <c r="DA353" i="3"/>
  <c r="DC353" i="3"/>
  <c r="A354" i="3"/>
  <c r="CY354" i="3"/>
  <c r="CZ354" i="3"/>
  <c r="DA354" i="3"/>
  <c r="DB354" i="3"/>
  <c r="DC354" i="3"/>
  <c r="A355" i="3"/>
  <c r="CY355" i="3"/>
  <c r="CZ355" i="3"/>
  <c r="DA355" i="3"/>
  <c r="DB355" i="3"/>
  <c r="DC355" i="3"/>
  <c r="A356" i="3"/>
  <c r="CY356" i="3"/>
  <c r="CZ356" i="3"/>
  <c r="DB356" i="3" s="1"/>
  <c r="DA356" i="3"/>
  <c r="DC356" i="3"/>
  <c r="A357" i="3"/>
  <c r="CY357" i="3"/>
  <c r="CZ357" i="3"/>
  <c r="DB357" i="3" s="1"/>
  <c r="DA357" i="3"/>
  <c r="DC357" i="3"/>
  <c r="A358" i="3"/>
  <c r="CY358" i="3"/>
  <c r="CZ358" i="3"/>
  <c r="DA358" i="3"/>
  <c r="DB358" i="3"/>
  <c r="DC358" i="3"/>
  <c r="A359" i="3"/>
  <c r="CY359" i="3"/>
  <c r="CZ359" i="3"/>
  <c r="DA359" i="3"/>
  <c r="DB359" i="3"/>
  <c r="DC359" i="3"/>
  <c r="A360" i="3"/>
  <c r="CY360" i="3"/>
  <c r="CZ360" i="3"/>
  <c r="DB360" i="3" s="1"/>
  <c r="DA360" i="3"/>
  <c r="DC360" i="3"/>
  <c r="A361" i="3"/>
  <c r="CY361" i="3"/>
  <c r="CZ361" i="3"/>
  <c r="DB361" i="3" s="1"/>
  <c r="DA361" i="3"/>
  <c r="DC361" i="3"/>
  <c r="A362" i="3"/>
  <c r="CY362" i="3"/>
  <c r="CZ362" i="3"/>
  <c r="DA362" i="3"/>
  <c r="DB362" i="3"/>
  <c r="DC362" i="3"/>
  <c r="A363" i="3"/>
  <c r="CY363" i="3"/>
  <c r="CZ363" i="3"/>
  <c r="DA363" i="3"/>
  <c r="DB363" i="3"/>
  <c r="DC363" i="3"/>
  <c r="A364" i="3"/>
  <c r="CY364" i="3"/>
  <c r="CZ364" i="3"/>
  <c r="DB364" i="3" s="1"/>
  <c r="DA364" i="3"/>
  <c r="DC364" i="3"/>
  <c r="A365" i="3"/>
  <c r="CY365" i="3"/>
  <c r="CZ365" i="3"/>
  <c r="DB365" i="3" s="1"/>
  <c r="DA365" i="3"/>
  <c r="DC365" i="3"/>
  <c r="A366" i="3"/>
  <c r="CY366" i="3"/>
  <c r="CZ366" i="3"/>
  <c r="DA366" i="3"/>
  <c r="DB366" i="3"/>
  <c r="DC366" i="3"/>
  <c r="A367" i="3"/>
  <c r="CY367" i="3"/>
  <c r="CZ367" i="3"/>
  <c r="DA367" i="3"/>
  <c r="DB367" i="3"/>
  <c r="DC367" i="3"/>
  <c r="A368" i="3"/>
  <c r="CY368" i="3"/>
  <c r="CZ368" i="3"/>
  <c r="DB368" i="3" s="1"/>
  <c r="DA368" i="3"/>
  <c r="DC368" i="3"/>
  <c r="A369" i="3"/>
  <c r="CY369" i="3"/>
  <c r="CZ369" i="3"/>
  <c r="DB369" i="3" s="1"/>
  <c r="DA369" i="3"/>
  <c r="DC369" i="3"/>
  <c r="A370" i="3"/>
  <c r="CY370" i="3"/>
  <c r="CZ370" i="3"/>
  <c r="DA370" i="3"/>
  <c r="DB370" i="3"/>
  <c r="DC370" i="3"/>
  <c r="A371" i="3"/>
  <c r="CY371" i="3"/>
  <c r="CZ371" i="3"/>
  <c r="DA371" i="3"/>
  <c r="DB371" i="3"/>
  <c r="DC371" i="3"/>
  <c r="A372" i="3"/>
  <c r="CY372" i="3"/>
  <c r="CZ372" i="3"/>
  <c r="DB372" i="3" s="1"/>
  <c r="DA372" i="3"/>
  <c r="DC372" i="3"/>
  <c r="A373" i="3"/>
  <c r="CY373" i="3"/>
  <c r="CZ373" i="3"/>
  <c r="DB373" i="3" s="1"/>
  <c r="DA373" i="3"/>
  <c r="DC373" i="3"/>
  <c r="A374" i="3"/>
  <c r="CY374" i="3"/>
  <c r="CZ374" i="3"/>
  <c r="DA374" i="3"/>
  <c r="DB374" i="3"/>
  <c r="DC374" i="3"/>
  <c r="A375" i="3"/>
  <c r="CY375" i="3"/>
  <c r="CZ375" i="3"/>
  <c r="DA375" i="3"/>
  <c r="DB375" i="3"/>
  <c r="DC375" i="3"/>
  <c r="A376" i="3"/>
  <c r="CY376" i="3"/>
  <c r="CZ376" i="3"/>
  <c r="DB376" i="3" s="1"/>
  <c r="DA376" i="3"/>
  <c r="DC376" i="3"/>
  <c r="A377" i="3"/>
  <c r="CY377" i="3"/>
  <c r="CZ377" i="3"/>
  <c r="DB377" i="3" s="1"/>
  <c r="DA377" i="3"/>
  <c r="DC377" i="3"/>
  <c r="A378" i="3"/>
  <c r="CY378" i="3"/>
  <c r="CZ378" i="3"/>
  <c r="DA378" i="3"/>
  <c r="DB378" i="3"/>
  <c r="DC378" i="3"/>
  <c r="A379" i="3"/>
  <c r="CY379" i="3"/>
  <c r="CZ379" i="3"/>
  <c r="DA379" i="3"/>
  <c r="DB379" i="3"/>
  <c r="DC379" i="3"/>
  <c r="A380" i="3"/>
  <c r="CY380" i="3"/>
  <c r="CZ380" i="3"/>
  <c r="DB380" i="3" s="1"/>
  <c r="DA380" i="3"/>
  <c r="DC380" i="3"/>
  <c r="A381" i="3"/>
  <c r="CY381" i="3"/>
  <c r="CZ381" i="3"/>
  <c r="DB381" i="3" s="1"/>
  <c r="DA381" i="3"/>
  <c r="DC381" i="3"/>
  <c r="A382" i="3"/>
  <c r="CY382" i="3"/>
  <c r="CZ382" i="3"/>
  <c r="DA382" i="3"/>
  <c r="DB382" i="3"/>
  <c r="DC382" i="3"/>
  <c r="A383" i="3"/>
  <c r="CY383" i="3"/>
  <c r="CZ383" i="3"/>
  <c r="DA383" i="3"/>
  <c r="DB383" i="3"/>
  <c r="DC383" i="3"/>
  <c r="A384" i="3"/>
  <c r="CY384" i="3"/>
  <c r="CZ384" i="3"/>
  <c r="DB384" i="3" s="1"/>
  <c r="DA384" i="3"/>
  <c r="DC384" i="3"/>
  <c r="A385" i="3"/>
  <c r="CY385" i="3"/>
  <c r="CZ385" i="3"/>
  <c r="DB385" i="3" s="1"/>
  <c r="DA385" i="3"/>
  <c r="DC385" i="3"/>
  <c r="A386" i="3"/>
  <c r="CY386" i="3"/>
  <c r="CZ386" i="3"/>
  <c r="DA386" i="3"/>
  <c r="DB386" i="3"/>
  <c r="DC386" i="3"/>
  <c r="A387" i="3"/>
  <c r="CY387" i="3"/>
  <c r="CZ387" i="3"/>
  <c r="DA387" i="3"/>
  <c r="DB387" i="3"/>
  <c r="DC387" i="3"/>
  <c r="A388" i="3"/>
  <c r="CY388" i="3"/>
  <c r="CZ388" i="3"/>
  <c r="DB388" i="3" s="1"/>
  <c r="DA388" i="3"/>
  <c r="DC388" i="3"/>
  <c r="A389" i="3"/>
  <c r="CY389" i="3"/>
  <c r="CZ389" i="3"/>
  <c r="DB389" i="3" s="1"/>
  <c r="DA389" i="3"/>
  <c r="DC389" i="3"/>
  <c r="A390" i="3"/>
  <c r="CY390" i="3"/>
  <c r="CZ390" i="3"/>
  <c r="DA390" i="3"/>
  <c r="DB390" i="3"/>
  <c r="DC390" i="3"/>
  <c r="A391" i="3"/>
  <c r="CY391" i="3"/>
  <c r="CZ391" i="3"/>
  <c r="DA391" i="3"/>
  <c r="DB391" i="3"/>
  <c r="DC391" i="3"/>
  <c r="A392" i="3"/>
  <c r="CY392" i="3"/>
  <c r="CZ392" i="3"/>
  <c r="DB392" i="3" s="1"/>
  <c r="DA392" i="3"/>
  <c r="DC392" i="3"/>
  <c r="A393" i="3"/>
  <c r="CY393" i="3"/>
  <c r="CZ393" i="3"/>
  <c r="DB393" i="3" s="1"/>
  <c r="DA393" i="3"/>
  <c r="DC393" i="3"/>
  <c r="A394" i="3"/>
  <c r="CX394" i="3"/>
  <c r="CY394" i="3"/>
  <c r="CZ394" i="3"/>
  <c r="DA394" i="3"/>
  <c r="DB394" i="3"/>
  <c r="DC394" i="3"/>
  <c r="A395" i="3"/>
  <c r="CX395" i="3"/>
  <c r="CY395" i="3"/>
  <c r="CZ395" i="3"/>
  <c r="DA395" i="3"/>
  <c r="DB395" i="3"/>
  <c r="DC395" i="3"/>
  <c r="A396" i="3"/>
  <c r="CX396" i="3"/>
  <c r="CY396" i="3"/>
  <c r="CZ396" i="3"/>
  <c r="DB396" i="3" s="1"/>
  <c r="DA396" i="3"/>
  <c r="DC396" i="3"/>
  <c r="A397" i="3"/>
  <c r="CX397" i="3"/>
  <c r="CY397" i="3"/>
  <c r="CZ397" i="3"/>
  <c r="DB397" i="3" s="1"/>
  <c r="DA397" i="3"/>
  <c r="DC397" i="3"/>
  <c r="A398" i="3"/>
  <c r="CX398" i="3"/>
  <c r="CY398" i="3"/>
  <c r="CZ398" i="3"/>
  <c r="DA398" i="3"/>
  <c r="DB398" i="3"/>
  <c r="DC398" i="3"/>
  <c r="A399" i="3"/>
  <c r="CX399" i="3"/>
  <c r="CY399" i="3"/>
  <c r="CZ399" i="3"/>
  <c r="DA399" i="3"/>
  <c r="DB399" i="3"/>
  <c r="DC399" i="3"/>
  <c r="A400" i="3"/>
  <c r="CY400" i="3"/>
  <c r="CZ400" i="3"/>
  <c r="DB400" i="3" s="1"/>
  <c r="DA400" i="3"/>
  <c r="DC400" i="3"/>
  <c r="A401" i="3"/>
  <c r="CY401" i="3"/>
  <c r="CZ401" i="3"/>
  <c r="DB401" i="3" s="1"/>
  <c r="DA401" i="3"/>
  <c r="DC401" i="3"/>
  <c r="A402" i="3"/>
  <c r="CY402" i="3"/>
  <c r="CZ402" i="3"/>
  <c r="DA402" i="3"/>
  <c r="DB402" i="3"/>
  <c r="DC402" i="3"/>
  <c r="A403" i="3"/>
  <c r="CY403" i="3"/>
  <c r="CZ403" i="3"/>
  <c r="DA403" i="3"/>
  <c r="DB403" i="3"/>
  <c r="DC403" i="3"/>
  <c r="A404" i="3"/>
  <c r="CY404" i="3"/>
  <c r="CZ404" i="3"/>
  <c r="DB404" i="3" s="1"/>
  <c r="DA404" i="3"/>
  <c r="DC404" i="3"/>
  <c r="A405" i="3"/>
  <c r="CY405" i="3"/>
  <c r="CZ405" i="3"/>
  <c r="DB405" i="3" s="1"/>
  <c r="DA405" i="3"/>
  <c r="DC405" i="3"/>
  <c r="A406" i="3"/>
  <c r="CY406" i="3"/>
  <c r="CZ406" i="3"/>
  <c r="DA406" i="3"/>
  <c r="DB406" i="3"/>
  <c r="DC406" i="3"/>
  <c r="A407" i="3"/>
  <c r="CY407" i="3"/>
  <c r="CZ407" i="3"/>
  <c r="DA407" i="3"/>
  <c r="DB407" i="3"/>
  <c r="DC407" i="3"/>
  <c r="A408" i="3"/>
  <c r="CY408" i="3"/>
  <c r="CZ408" i="3"/>
  <c r="DB408" i="3" s="1"/>
  <c r="DA408" i="3"/>
  <c r="DC408" i="3"/>
  <c r="A409" i="3"/>
  <c r="CY409" i="3"/>
  <c r="CZ409" i="3"/>
  <c r="DB409" i="3" s="1"/>
  <c r="DA409" i="3"/>
  <c r="DC409" i="3"/>
  <c r="A410" i="3"/>
  <c r="CY410" i="3"/>
  <c r="CZ410" i="3"/>
  <c r="DA410" i="3"/>
  <c r="DB410" i="3"/>
  <c r="DC410" i="3"/>
  <c r="A411" i="3"/>
  <c r="CY411" i="3"/>
  <c r="CZ411" i="3"/>
  <c r="DA411" i="3"/>
  <c r="DB411" i="3"/>
  <c r="DC411" i="3"/>
  <c r="A412" i="3"/>
  <c r="CX412" i="3"/>
  <c r="CY412" i="3"/>
  <c r="CZ412" i="3"/>
  <c r="DB412" i="3" s="1"/>
  <c r="DA412" i="3"/>
  <c r="DC412" i="3"/>
  <c r="A413" i="3"/>
  <c r="CX413" i="3"/>
  <c r="CY413" i="3"/>
  <c r="CZ413" i="3"/>
  <c r="DB413" i="3" s="1"/>
  <c r="DA413" i="3"/>
  <c r="DC413" i="3"/>
  <c r="A414" i="3"/>
  <c r="CX414" i="3"/>
  <c r="CY414" i="3"/>
  <c r="CZ414" i="3"/>
  <c r="DA414" i="3"/>
  <c r="DB414" i="3"/>
  <c r="DC414" i="3"/>
  <c r="A415" i="3"/>
  <c r="CX415" i="3"/>
  <c r="CY415" i="3"/>
  <c r="CZ415" i="3"/>
  <c r="DA415" i="3"/>
  <c r="DB415" i="3"/>
  <c r="DC415" i="3"/>
  <c r="A416" i="3"/>
  <c r="CX416" i="3"/>
  <c r="CY416" i="3"/>
  <c r="CZ416" i="3"/>
  <c r="DB416" i="3" s="1"/>
  <c r="DA416" i="3"/>
  <c r="DC416" i="3"/>
  <c r="A417" i="3"/>
  <c r="CX417" i="3"/>
  <c r="CY417" i="3"/>
  <c r="CZ417" i="3"/>
  <c r="DB417" i="3" s="1"/>
  <c r="DA417" i="3"/>
  <c r="DC417" i="3"/>
  <c r="A418" i="3"/>
  <c r="CX418" i="3"/>
  <c r="CY418" i="3"/>
  <c r="CZ418" i="3"/>
  <c r="DA418" i="3"/>
  <c r="DB418" i="3"/>
  <c r="DC418" i="3"/>
  <c r="A419" i="3"/>
  <c r="CX419" i="3"/>
  <c r="CY419" i="3"/>
  <c r="CZ419" i="3"/>
  <c r="DA419" i="3"/>
  <c r="DB419" i="3"/>
  <c r="DC419" i="3"/>
  <c r="A420" i="3"/>
  <c r="CX420" i="3"/>
  <c r="CY420" i="3"/>
  <c r="CZ420" i="3"/>
  <c r="DB420" i="3" s="1"/>
  <c r="DA420" i="3"/>
  <c r="DC420" i="3"/>
  <c r="A421" i="3"/>
  <c r="CX421" i="3"/>
  <c r="CY421" i="3"/>
  <c r="CZ421" i="3"/>
  <c r="DB421" i="3" s="1"/>
  <c r="DA421" i="3"/>
  <c r="DC421" i="3"/>
  <c r="A422" i="3"/>
  <c r="CX422" i="3"/>
  <c r="CY422" i="3"/>
  <c r="CZ422" i="3"/>
  <c r="DA422" i="3"/>
  <c r="DB422" i="3"/>
  <c r="DC422" i="3"/>
  <c r="A423" i="3"/>
  <c r="CX423" i="3"/>
  <c r="CY423" i="3"/>
  <c r="CZ423" i="3"/>
  <c r="DA423" i="3"/>
  <c r="DB423" i="3"/>
  <c r="DC423" i="3"/>
  <c r="A424" i="3"/>
  <c r="CX424" i="3"/>
  <c r="CY424" i="3"/>
  <c r="CZ424" i="3"/>
  <c r="DB424" i="3" s="1"/>
  <c r="DA424" i="3"/>
  <c r="DC424" i="3"/>
  <c r="A425" i="3"/>
  <c r="CX425" i="3"/>
  <c r="CY425" i="3"/>
  <c r="CZ425" i="3"/>
  <c r="DB425" i="3" s="1"/>
  <c r="DA425" i="3"/>
  <c r="DC425" i="3"/>
  <c r="A426" i="3"/>
  <c r="CX426" i="3"/>
  <c r="CY426" i="3"/>
  <c r="CZ426" i="3"/>
  <c r="DA426" i="3"/>
  <c r="DB426" i="3"/>
  <c r="DC426" i="3"/>
  <c r="A427" i="3"/>
  <c r="CX427" i="3"/>
  <c r="CY427" i="3"/>
  <c r="CZ427" i="3"/>
  <c r="DA427" i="3"/>
  <c r="DB427" i="3"/>
  <c r="DC427" i="3"/>
  <c r="A428" i="3"/>
  <c r="CX428" i="3"/>
  <c r="CY428" i="3"/>
  <c r="CZ428" i="3"/>
  <c r="DB428" i="3" s="1"/>
  <c r="DA428" i="3"/>
  <c r="DC428" i="3"/>
  <c r="A429" i="3"/>
  <c r="CX429" i="3"/>
  <c r="CY429" i="3"/>
  <c r="CZ429" i="3"/>
  <c r="DB429" i="3" s="1"/>
  <c r="DA429" i="3"/>
  <c r="DC429" i="3"/>
  <c r="A430" i="3"/>
  <c r="CX430" i="3"/>
  <c r="CY430" i="3"/>
  <c r="CZ430" i="3"/>
  <c r="DA430" i="3"/>
  <c r="DB430" i="3"/>
  <c r="DC430" i="3"/>
  <c r="A431" i="3"/>
  <c r="CX431" i="3"/>
  <c r="CY431" i="3"/>
  <c r="CZ431" i="3"/>
  <c r="DA431" i="3"/>
  <c r="DB431" i="3"/>
  <c r="DC431" i="3"/>
  <c r="A432" i="3"/>
  <c r="CX432" i="3"/>
  <c r="CY432" i="3"/>
  <c r="CZ432" i="3"/>
  <c r="DB432" i="3" s="1"/>
  <c r="DA432" i="3"/>
  <c r="DC432" i="3"/>
  <c r="A433" i="3"/>
  <c r="CX433" i="3"/>
  <c r="CY433" i="3"/>
  <c r="CZ433" i="3"/>
  <c r="DB433" i="3" s="1"/>
  <c r="DA433" i="3"/>
  <c r="DC433" i="3"/>
  <c r="A434" i="3"/>
  <c r="CX434" i="3"/>
  <c r="CY434" i="3"/>
  <c r="CZ434" i="3"/>
  <c r="DA434" i="3"/>
  <c r="DB434" i="3"/>
  <c r="DC434" i="3"/>
  <c r="A435" i="3"/>
  <c r="CX435" i="3"/>
  <c r="CY435" i="3"/>
  <c r="CZ435" i="3"/>
  <c r="DA435" i="3"/>
  <c r="DB435" i="3"/>
  <c r="DC435" i="3"/>
  <c r="A436" i="3"/>
  <c r="CX436" i="3"/>
  <c r="CY436" i="3"/>
  <c r="CZ436" i="3"/>
  <c r="DB436" i="3" s="1"/>
  <c r="DA436" i="3"/>
  <c r="DC436" i="3"/>
  <c r="A437" i="3"/>
  <c r="CX437" i="3"/>
  <c r="CY437" i="3"/>
  <c r="CZ437" i="3"/>
  <c r="DB437" i="3" s="1"/>
  <c r="DA437" i="3"/>
  <c r="DC437" i="3"/>
  <c r="A438" i="3"/>
  <c r="CX438" i="3"/>
  <c r="CY438" i="3"/>
  <c r="CZ438" i="3"/>
  <c r="DA438" i="3"/>
  <c r="DB438" i="3"/>
  <c r="DC438" i="3"/>
  <c r="A439" i="3"/>
  <c r="CX439" i="3"/>
  <c r="CY439" i="3"/>
  <c r="CZ439" i="3"/>
  <c r="DA439" i="3"/>
  <c r="DB439" i="3"/>
  <c r="DC439" i="3"/>
  <c r="A440" i="3"/>
  <c r="CX440" i="3"/>
  <c r="CY440" i="3"/>
  <c r="CZ440" i="3"/>
  <c r="DB440" i="3" s="1"/>
  <c r="DA440" i="3"/>
  <c r="DC440" i="3"/>
  <c r="A441" i="3"/>
  <c r="CY441" i="3"/>
  <c r="CZ441" i="3"/>
  <c r="DB441" i="3" s="1"/>
  <c r="DA441" i="3"/>
  <c r="DC441" i="3"/>
  <c r="A442" i="3"/>
  <c r="CY442" i="3"/>
  <c r="CZ442" i="3"/>
  <c r="DA442" i="3"/>
  <c r="DB442" i="3"/>
  <c r="DC442" i="3"/>
  <c r="A443" i="3"/>
  <c r="CY443" i="3"/>
  <c r="CZ443" i="3"/>
  <c r="DA443" i="3"/>
  <c r="DB443" i="3"/>
  <c r="DC443" i="3"/>
  <c r="A444" i="3"/>
  <c r="CY444" i="3"/>
  <c r="CZ444" i="3"/>
  <c r="DB444" i="3" s="1"/>
  <c r="DA444" i="3"/>
  <c r="DC444" i="3"/>
  <c r="A445" i="3"/>
  <c r="CY445" i="3"/>
  <c r="CZ445" i="3"/>
  <c r="DB445" i="3" s="1"/>
  <c r="DA445" i="3"/>
  <c r="DC445" i="3"/>
  <c r="A446" i="3"/>
  <c r="CY446" i="3"/>
  <c r="CZ446" i="3"/>
  <c r="DA446" i="3"/>
  <c r="DB446" i="3"/>
  <c r="DC446" i="3"/>
  <c r="A447" i="3"/>
  <c r="CY447" i="3"/>
  <c r="CZ447" i="3"/>
  <c r="DA447" i="3"/>
  <c r="DB447" i="3"/>
  <c r="DC447" i="3"/>
  <c r="A448" i="3"/>
  <c r="CY448" i="3"/>
  <c r="CZ448" i="3"/>
  <c r="DB448" i="3" s="1"/>
  <c r="DA448" i="3"/>
  <c r="DC448" i="3"/>
  <c r="A449" i="3"/>
  <c r="CY449" i="3"/>
  <c r="CZ449" i="3"/>
  <c r="DB449" i="3" s="1"/>
  <c r="DA449" i="3"/>
  <c r="DC449" i="3"/>
  <c r="A450" i="3"/>
  <c r="CY450" i="3"/>
  <c r="CZ450" i="3"/>
  <c r="DA450" i="3"/>
  <c r="DB450" i="3"/>
  <c r="DC450" i="3"/>
  <c r="A451" i="3"/>
  <c r="CY451" i="3"/>
  <c r="CZ451" i="3"/>
  <c r="DA451" i="3"/>
  <c r="DB451" i="3"/>
  <c r="DC451" i="3"/>
  <c r="A452" i="3"/>
  <c r="CY452" i="3"/>
  <c r="CZ452" i="3"/>
  <c r="DB452" i="3" s="1"/>
  <c r="DA452" i="3"/>
  <c r="DC452" i="3"/>
  <c r="A453" i="3"/>
  <c r="CY453" i="3"/>
  <c r="CZ453" i="3"/>
  <c r="DB453" i="3" s="1"/>
  <c r="DA453" i="3"/>
  <c r="DC453" i="3"/>
  <c r="A454" i="3"/>
  <c r="CY454" i="3"/>
  <c r="CZ454" i="3"/>
  <c r="DA454" i="3"/>
  <c r="DB454" i="3"/>
  <c r="DC454" i="3"/>
  <c r="A455" i="3"/>
  <c r="CY455" i="3"/>
  <c r="CZ455" i="3"/>
  <c r="DA455" i="3"/>
  <c r="DB455" i="3"/>
  <c r="DC455" i="3"/>
  <c r="A456" i="3"/>
  <c r="CY456" i="3"/>
  <c r="CZ456" i="3"/>
  <c r="DB456" i="3" s="1"/>
  <c r="DA456" i="3"/>
  <c r="DC456" i="3"/>
  <c r="A457" i="3"/>
  <c r="CY457" i="3"/>
  <c r="CZ457" i="3"/>
  <c r="DB457" i="3" s="1"/>
  <c r="DA457" i="3"/>
  <c r="DC457" i="3"/>
  <c r="A458" i="3"/>
  <c r="CY458" i="3"/>
  <c r="CZ458" i="3"/>
  <c r="DA458" i="3"/>
  <c r="DB458" i="3"/>
  <c r="DC458" i="3"/>
  <c r="A459" i="3"/>
  <c r="CY459" i="3"/>
  <c r="CZ459" i="3"/>
  <c r="DA459" i="3"/>
  <c r="DB459" i="3"/>
  <c r="DC459" i="3"/>
  <c r="A460" i="3"/>
  <c r="CY460" i="3"/>
  <c r="CZ460" i="3"/>
  <c r="DB460" i="3" s="1"/>
  <c r="DA460" i="3"/>
  <c r="DC460" i="3"/>
  <c r="A461" i="3"/>
  <c r="CY461" i="3"/>
  <c r="CZ461" i="3"/>
  <c r="DB461" i="3" s="1"/>
  <c r="DA461" i="3"/>
  <c r="DC461" i="3"/>
  <c r="A462" i="3"/>
  <c r="CY462" i="3"/>
  <c r="CZ462" i="3"/>
  <c r="DA462" i="3"/>
  <c r="DB462" i="3"/>
  <c r="DC462" i="3"/>
  <c r="A463" i="3"/>
  <c r="CY463" i="3"/>
  <c r="CZ463" i="3"/>
  <c r="DA463" i="3"/>
  <c r="DB463" i="3"/>
  <c r="DC463" i="3"/>
  <c r="A464" i="3"/>
  <c r="CY464" i="3"/>
  <c r="CZ464" i="3"/>
  <c r="DB464" i="3" s="1"/>
  <c r="DA464" i="3"/>
  <c r="DC464" i="3"/>
  <c r="A465" i="3"/>
  <c r="CY465" i="3"/>
  <c r="CZ465" i="3"/>
  <c r="DB465" i="3" s="1"/>
  <c r="DA465" i="3"/>
  <c r="DC465" i="3"/>
  <c r="A466" i="3"/>
  <c r="CY466" i="3"/>
  <c r="CZ466" i="3"/>
  <c r="DA466" i="3"/>
  <c r="DB466" i="3"/>
  <c r="DC466" i="3"/>
  <c r="A467" i="3"/>
  <c r="CY467" i="3"/>
  <c r="CZ467" i="3"/>
  <c r="DA467" i="3"/>
  <c r="DB467" i="3"/>
  <c r="DC467" i="3"/>
  <c r="A468" i="3"/>
  <c r="CY468" i="3"/>
  <c r="CZ468" i="3"/>
  <c r="DB468" i="3" s="1"/>
  <c r="DA468" i="3"/>
  <c r="DC468" i="3"/>
  <c r="A469" i="3"/>
  <c r="CY469" i="3"/>
  <c r="CZ469" i="3"/>
  <c r="DB469" i="3" s="1"/>
  <c r="DA469" i="3"/>
  <c r="DC469" i="3"/>
  <c r="A470" i="3"/>
  <c r="CY470" i="3"/>
  <c r="CZ470" i="3"/>
  <c r="DA470" i="3"/>
  <c r="DB470" i="3"/>
  <c r="DC470" i="3"/>
  <c r="A471" i="3"/>
  <c r="CY471" i="3"/>
  <c r="CZ471" i="3"/>
  <c r="DA471" i="3"/>
  <c r="DB471" i="3"/>
  <c r="DC471" i="3"/>
  <c r="A472" i="3"/>
  <c r="CY472" i="3"/>
  <c r="CZ472" i="3"/>
  <c r="DB472" i="3" s="1"/>
  <c r="DA472" i="3"/>
  <c r="DC472" i="3"/>
  <c r="A473" i="3"/>
  <c r="CY473" i="3"/>
  <c r="CZ473" i="3"/>
  <c r="DB473" i="3" s="1"/>
  <c r="DA473" i="3"/>
  <c r="DC473" i="3"/>
  <c r="A474" i="3"/>
  <c r="CY474" i="3"/>
  <c r="CZ474" i="3"/>
  <c r="DA474" i="3"/>
  <c r="DB474" i="3"/>
  <c r="DC474" i="3"/>
  <c r="A475" i="3"/>
  <c r="CY475" i="3"/>
  <c r="CZ475" i="3"/>
  <c r="DA475" i="3"/>
  <c r="DB475" i="3"/>
  <c r="DC475" i="3"/>
  <c r="A476" i="3"/>
  <c r="CY476" i="3"/>
  <c r="CZ476" i="3"/>
  <c r="DB476" i="3" s="1"/>
  <c r="DA476" i="3"/>
  <c r="DC476" i="3"/>
  <c r="A477" i="3"/>
  <c r="CY477" i="3"/>
  <c r="CZ477" i="3"/>
  <c r="DB477" i="3" s="1"/>
  <c r="DA477" i="3"/>
  <c r="DC477" i="3"/>
  <c r="A478" i="3"/>
  <c r="CY478" i="3"/>
  <c r="CZ478" i="3"/>
  <c r="DA478" i="3"/>
  <c r="DB478" i="3"/>
  <c r="DC478" i="3"/>
  <c r="A479" i="3"/>
  <c r="CY479" i="3"/>
  <c r="CZ479" i="3"/>
  <c r="DA479" i="3"/>
  <c r="DB479" i="3"/>
  <c r="DC479" i="3"/>
  <c r="A480" i="3"/>
  <c r="CY480" i="3"/>
  <c r="CZ480" i="3"/>
  <c r="DB480" i="3" s="1"/>
  <c r="DA480" i="3"/>
  <c r="DC480" i="3"/>
  <c r="A481" i="3"/>
  <c r="CY481" i="3"/>
  <c r="CZ481" i="3"/>
  <c r="DB481" i="3" s="1"/>
  <c r="DA481" i="3"/>
  <c r="DC481" i="3"/>
  <c r="A482" i="3"/>
  <c r="CY482" i="3"/>
  <c r="CZ482" i="3"/>
  <c r="DA482" i="3"/>
  <c r="DB482" i="3"/>
  <c r="DC482" i="3"/>
  <c r="A483" i="3"/>
  <c r="CY483" i="3"/>
  <c r="CZ483" i="3"/>
  <c r="DA483" i="3"/>
  <c r="DB483" i="3"/>
  <c r="DC483" i="3"/>
  <c r="A484" i="3"/>
  <c r="CY484" i="3"/>
  <c r="CZ484" i="3"/>
  <c r="DB484" i="3" s="1"/>
  <c r="DA484" i="3"/>
  <c r="DC484" i="3"/>
  <c r="A485" i="3"/>
  <c r="CY485" i="3"/>
  <c r="CZ485" i="3"/>
  <c r="DB485" i="3" s="1"/>
  <c r="DA485" i="3"/>
  <c r="DC485" i="3"/>
  <c r="A486" i="3"/>
  <c r="CY486" i="3"/>
  <c r="CZ486" i="3"/>
  <c r="DA486" i="3"/>
  <c r="DB486" i="3"/>
  <c r="DC486" i="3"/>
  <c r="A487" i="3"/>
  <c r="CY487" i="3"/>
  <c r="CZ487" i="3"/>
  <c r="DA487" i="3"/>
  <c r="DB487" i="3"/>
  <c r="DC487" i="3"/>
  <c r="A488" i="3"/>
  <c r="CY488" i="3"/>
  <c r="CZ488" i="3"/>
  <c r="DB488" i="3" s="1"/>
  <c r="DA488" i="3"/>
  <c r="DC488" i="3"/>
  <c r="A489" i="3"/>
  <c r="CY489" i="3"/>
  <c r="CZ489" i="3"/>
  <c r="DB489" i="3" s="1"/>
  <c r="DA489" i="3"/>
  <c r="DC489" i="3"/>
  <c r="A490" i="3"/>
  <c r="CY490" i="3"/>
  <c r="CZ490" i="3"/>
  <c r="DA490" i="3"/>
  <c r="DB490" i="3"/>
  <c r="DC490" i="3"/>
  <c r="A491" i="3"/>
  <c r="CY491" i="3"/>
  <c r="CZ491" i="3"/>
  <c r="DA491" i="3"/>
  <c r="DB491" i="3"/>
  <c r="DC491" i="3"/>
  <c r="A492" i="3"/>
  <c r="CY492" i="3"/>
  <c r="CZ492" i="3"/>
  <c r="DB492" i="3" s="1"/>
  <c r="DA492" i="3"/>
  <c r="DC492" i="3"/>
  <c r="A493" i="3"/>
  <c r="CY493" i="3"/>
  <c r="CZ493" i="3"/>
  <c r="DB493" i="3" s="1"/>
  <c r="DA493" i="3"/>
  <c r="DC493" i="3"/>
  <c r="A494" i="3"/>
  <c r="CY494" i="3"/>
  <c r="CZ494" i="3"/>
  <c r="DA494" i="3"/>
  <c r="DB494" i="3"/>
  <c r="DC494" i="3"/>
  <c r="A495" i="3"/>
  <c r="CY495" i="3"/>
  <c r="CZ495" i="3"/>
  <c r="DA495" i="3"/>
  <c r="DB495" i="3"/>
  <c r="DC495" i="3"/>
  <c r="A496" i="3"/>
  <c r="CY496" i="3"/>
  <c r="CZ496" i="3"/>
  <c r="DB496" i="3" s="1"/>
  <c r="DA496" i="3"/>
  <c r="DC496" i="3"/>
  <c r="A497" i="3"/>
  <c r="CY497" i="3"/>
  <c r="CZ497" i="3"/>
  <c r="DB497" i="3" s="1"/>
  <c r="DA497" i="3"/>
  <c r="DC497" i="3"/>
  <c r="A498" i="3"/>
  <c r="CY498" i="3"/>
  <c r="CZ498" i="3"/>
  <c r="DA498" i="3"/>
  <c r="DB498" i="3"/>
  <c r="DC498" i="3"/>
  <c r="A499" i="3"/>
  <c r="CY499" i="3"/>
  <c r="CZ499" i="3"/>
  <c r="DA499" i="3"/>
  <c r="DB499" i="3"/>
  <c r="DC499" i="3"/>
  <c r="A500" i="3"/>
  <c r="CY500" i="3"/>
  <c r="CZ500" i="3"/>
  <c r="DB500" i="3" s="1"/>
  <c r="DA500" i="3"/>
  <c r="DC500" i="3"/>
  <c r="A501" i="3"/>
  <c r="CY501" i="3"/>
  <c r="CZ501" i="3"/>
  <c r="DB501" i="3" s="1"/>
  <c r="DA501" i="3"/>
  <c r="DC501" i="3"/>
  <c r="A502" i="3"/>
  <c r="CY502" i="3"/>
  <c r="CZ502" i="3"/>
  <c r="DA502" i="3"/>
  <c r="DB502" i="3"/>
  <c r="DC502" i="3"/>
  <c r="A503" i="3"/>
  <c r="CY503" i="3"/>
  <c r="CZ503" i="3"/>
  <c r="DA503" i="3"/>
  <c r="DB503" i="3"/>
  <c r="DC503" i="3"/>
  <c r="A504" i="3"/>
  <c r="CY504" i="3"/>
  <c r="CZ504" i="3"/>
  <c r="DB504" i="3" s="1"/>
  <c r="DA504" i="3"/>
  <c r="DC504" i="3"/>
  <c r="A505" i="3"/>
  <c r="CY505" i="3"/>
  <c r="CZ505" i="3"/>
  <c r="DB505" i="3" s="1"/>
  <c r="DA505" i="3"/>
  <c r="DC505" i="3"/>
  <c r="A506" i="3"/>
  <c r="CY506" i="3"/>
  <c r="CZ506" i="3"/>
  <c r="DA506" i="3"/>
  <c r="DB506" i="3"/>
  <c r="DC506" i="3"/>
  <c r="A507" i="3"/>
  <c r="CY507" i="3"/>
  <c r="CZ507" i="3"/>
  <c r="DA507" i="3"/>
  <c r="DB507" i="3"/>
  <c r="DC507" i="3"/>
  <c r="A508" i="3"/>
  <c r="CY508" i="3"/>
  <c r="CZ508" i="3"/>
  <c r="DB508" i="3" s="1"/>
  <c r="DA508" i="3"/>
  <c r="DC508" i="3"/>
  <c r="A509" i="3"/>
  <c r="CY509" i="3"/>
  <c r="CZ509" i="3"/>
  <c r="DB509" i="3" s="1"/>
  <c r="DA509" i="3"/>
  <c r="DC509" i="3"/>
  <c r="A510" i="3"/>
  <c r="CY510" i="3"/>
  <c r="CZ510" i="3"/>
  <c r="DA510" i="3"/>
  <c r="DB510" i="3"/>
  <c r="DC510" i="3"/>
  <c r="A511" i="3"/>
  <c r="CY511" i="3"/>
  <c r="CZ511" i="3"/>
  <c r="DA511" i="3"/>
  <c r="DB511" i="3"/>
  <c r="DC511" i="3"/>
  <c r="A512" i="3"/>
  <c r="CY512" i="3"/>
  <c r="CZ512" i="3"/>
  <c r="DB512" i="3" s="1"/>
  <c r="DA512" i="3"/>
  <c r="DC512" i="3"/>
  <c r="A513" i="3"/>
  <c r="CY513" i="3"/>
  <c r="CZ513" i="3"/>
  <c r="DB513" i="3" s="1"/>
  <c r="DA513" i="3"/>
  <c r="DC513" i="3"/>
  <c r="A514" i="3"/>
  <c r="CY514" i="3"/>
  <c r="CZ514" i="3"/>
  <c r="DA514" i="3"/>
  <c r="DB514" i="3"/>
  <c r="DC514" i="3"/>
  <c r="A515" i="3"/>
  <c r="CY515" i="3"/>
  <c r="CZ515" i="3"/>
  <c r="DA515" i="3"/>
  <c r="DB515" i="3"/>
  <c r="DC515" i="3"/>
  <c r="A516" i="3"/>
  <c r="CY516" i="3"/>
  <c r="CZ516" i="3"/>
  <c r="DB516" i="3" s="1"/>
  <c r="DA516" i="3"/>
  <c r="DC516" i="3"/>
  <c r="A517" i="3"/>
  <c r="CY517" i="3"/>
  <c r="CZ517" i="3"/>
  <c r="DB517" i="3" s="1"/>
  <c r="DA517" i="3"/>
  <c r="DC517" i="3"/>
  <c r="A518" i="3"/>
  <c r="CY518" i="3"/>
  <c r="CZ518" i="3"/>
  <c r="DA518" i="3"/>
  <c r="DB518" i="3"/>
  <c r="DC518" i="3"/>
  <c r="A519" i="3"/>
  <c r="CY519" i="3"/>
  <c r="CZ519" i="3"/>
  <c r="DA519" i="3"/>
  <c r="DB519" i="3"/>
  <c r="DC519" i="3"/>
  <c r="A520" i="3"/>
  <c r="CY520" i="3"/>
  <c r="CZ520" i="3"/>
  <c r="DB520" i="3" s="1"/>
  <c r="DA520" i="3"/>
  <c r="DC520" i="3"/>
  <c r="A521" i="3"/>
  <c r="CY521" i="3"/>
  <c r="CZ521" i="3"/>
  <c r="DB521" i="3" s="1"/>
  <c r="DA521" i="3"/>
  <c r="DC521" i="3"/>
  <c r="A522" i="3"/>
  <c r="CY522" i="3"/>
  <c r="CZ522" i="3"/>
  <c r="DA522" i="3"/>
  <c r="DB522" i="3"/>
  <c r="DC522" i="3"/>
  <c r="A523" i="3"/>
  <c r="CY523" i="3"/>
  <c r="CZ523" i="3"/>
  <c r="DB523" i="3" s="1"/>
  <c r="DA523" i="3"/>
  <c r="DC523" i="3"/>
  <c r="A524" i="3"/>
  <c r="CY524" i="3"/>
  <c r="CZ524" i="3"/>
  <c r="DB524" i="3" s="1"/>
  <c r="DA524" i="3"/>
  <c r="DC524" i="3"/>
  <c r="A525" i="3"/>
  <c r="CY525" i="3"/>
  <c r="CZ525" i="3"/>
  <c r="DB525" i="3" s="1"/>
  <c r="DA525" i="3"/>
  <c r="DC525" i="3"/>
  <c r="A526" i="3"/>
  <c r="CY526" i="3"/>
  <c r="CZ526" i="3"/>
  <c r="DA526" i="3"/>
  <c r="DB526" i="3"/>
  <c r="DC526" i="3"/>
  <c r="A527" i="3"/>
  <c r="CY527" i="3"/>
  <c r="CZ527" i="3"/>
  <c r="DA527" i="3"/>
  <c r="DB527" i="3"/>
  <c r="DC527" i="3"/>
  <c r="A528" i="3"/>
  <c r="CY528" i="3"/>
  <c r="CZ528" i="3"/>
  <c r="DB528" i="3" s="1"/>
  <c r="DA528" i="3"/>
  <c r="DC528" i="3"/>
  <c r="A529" i="3"/>
  <c r="CY529" i="3"/>
  <c r="CZ529" i="3"/>
  <c r="DA529" i="3"/>
  <c r="DB529" i="3"/>
  <c r="DC529" i="3"/>
  <c r="A530" i="3"/>
  <c r="CY530" i="3"/>
  <c r="CZ530" i="3"/>
  <c r="DA530" i="3"/>
  <c r="DB530" i="3"/>
  <c r="DC530" i="3"/>
  <c r="A531" i="3"/>
  <c r="CY531" i="3"/>
  <c r="CZ531" i="3"/>
  <c r="DB531" i="3" s="1"/>
  <c r="DA531" i="3"/>
  <c r="DC531" i="3"/>
  <c r="A532" i="3"/>
  <c r="CY532" i="3"/>
  <c r="CZ532" i="3"/>
  <c r="DB532" i="3" s="1"/>
  <c r="DA532" i="3"/>
  <c r="DC532" i="3"/>
  <c r="A533" i="3"/>
  <c r="CY533" i="3"/>
  <c r="CZ533" i="3"/>
  <c r="DB533" i="3" s="1"/>
  <c r="DA533" i="3"/>
  <c r="DC533" i="3"/>
  <c r="A534" i="3"/>
  <c r="CY534" i="3"/>
  <c r="CZ534" i="3"/>
  <c r="DB534" i="3" s="1"/>
  <c r="DA534" i="3"/>
  <c r="DC534" i="3"/>
  <c r="A535" i="3"/>
  <c r="CY535" i="3"/>
  <c r="CZ535" i="3"/>
  <c r="DA535" i="3"/>
  <c r="DB535" i="3"/>
  <c r="DC535" i="3"/>
  <c r="A536" i="3"/>
  <c r="CY536" i="3"/>
  <c r="CZ536" i="3"/>
  <c r="DA536" i="3"/>
  <c r="DB536" i="3"/>
  <c r="DC536" i="3"/>
  <c r="A537" i="3"/>
  <c r="CY537" i="3"/>
  <c r="CZ537" i="3"/>
  <c r="DB537" i="3" s="1"/>
  <c r="DA537" i="3"/>
  <c r="DC537" i="3"/>
  <c r="A538" i="3"/>
  <c r="CY538" i="3"/>
  <c r="CZ538" i="3"/>
  <c r="DB538" i="3" s="1"/>
  <c r="DA538" i="3"/>
  <c r="DC538" i="3"/>
  <c r="A539" i="3"/>
  <c r="CY539" i="3"/>
  <c r="CZ539" i="3"/>
  <c r="DA539" i="3"/>
  <c r="DB539" i="3"/>
  <c r="DC539" i="3"/>
  <c r="A540" i="3"/>
  <c r="CY540" i="3"/>
  <c r="CZ540" i="3"/>
  <c r="DA540" i="3"/>
  <c r="DB540" i="3"/>
  <c r="DC540" i="3"/>
  <c r="A541" i="3"/>
  <c r="CY541" i="3"/>
  <c r="CZ541" i="3"/>
  <c r="DB541" i="3" s="1"/>
  <c r="DA541" i="3"/>
  <c r="DC541" i="3"/>
  <c r="A542" i="3"/>
  <c r="CY542" i="3"/>
  <c r="CZ542" i="3"/>
  <c r="DB542" i="3" s="1"/>
  <c r="DA542" i="3"/>
  <c r="DC542" i="3"/>
  <c r="A543" i="3"/>
  <c r="CY543" i="3"/>
  <c r="CZ543" i="3"/>
  <c r="DA543" i="3"/>
  <c r="DB543" i="3"/>
  <c r="DC543" i="3"/>
  <c r="A544" i="3"/>
  <c r="CY544" i="3"/>
  <c r="CZ544" i="3"/>
  <c r="DA544" i="3"/>
  <c r="DB544" i="3"/>
  <c r="DC544" i="3"/>
  <c r="A545" i="3"/>
  <c r="CY545" i="3"/>
  <c r="CZ545" i="3"/>
  <c r="DB545" i="3" s="1"/>
  <c r="DA545" i="3"/>
  <c r="DC545" i="3"/>
  <c r="A546" i="3"/>
  <c r="CY546" i="3"/>
  <c r="CZ546" i="3"/>
  <c r="DB546" i="3" s="1"/>
  <c r="DA546" i="3"/>
  <c r="DC546" i="3"/>
  <c r="A547" i="3"/>
  <c r="CY547" i="3"/>
  <c r="CZ547" i="3"/>
  <c r="DA547" i="3"/>
  <c r="DB547" i="3"/>
  <c r="DC547" i="3"/>
  <c r="A548" i="3"/>
  <c r="CY548" i="3"/>
  <c r="CZ548" i="3"/>
  <c r="DA548" i="3"/>
  <c r="DB548" i="3"/>
  <c r="DC548" i="3"/>
  <c r="A549" i="3"/>
  <c r="CY549" i="3"/>
  <c r="CZ549" i="3"/>
  <c r="DB549" i="3" s="1"/>
  <c r="DA549" i="3"/>
  <c r="DC549" i="3"/>
  <c r="A550" i="3"/>
  <c r="CX550" i="3"/>
  <c r="CY550" i="3"/>
  <c r="CZ550" i="3"/>
  <c r="DB550" i="3" s="1"/>
  <c r="DA550" i="3"/>
  <c r="DC550" i="3"/>
  <c r="A551" i="3"/>
  <c r="CX551" i="3"/>
  <c r="CY551" i="3"/>
  <c r="CZ551" i="3"/>
  <c r="DA551" i="3"/>
  <c r="DB551" i="3"/>
  <c r="DC551" i="3"/>
  <c r="A552" i="3"/>
  <c r="CX552" i="3"/>
  <c r="CY552" i="3"/>
  <c r="CZ552" i="3"/>
  <c r="DA552" i="3"/>
  <c r="DB552" i="3"/>
  <c r="DC552" i="3"/>
  <c r="A553" i="3"/>
  <c r="CX553" i="3"/>
  <c r="CY553" i="3"/>
  <c r="CZ553" i="3"/>
  <c r="DB553" i="3" s="1"/>
  <c r="DA553" i="3"/>
  <c r="DC553" i="3"/>
  <c r="A554" i="3"/>
  <c r="CX554" i="3"/>
  <c r="CY554" i="3"/>
  <c r="CZ554" i="3"/>
  <c r="DB554" i="3" s="1"/>
  <c r="DA554" i="3"/>
  <c r="DC554" i="3"/>
  <c r="A555" i="3"/>
  <c r="CX555" i="3"/>
  <c r="CY555" i="3"/>
  <c r="CZ555" i="3"/>
  <c r="DA555" i="3"/>
  <c r="DB555" i="3"/>
  <c r="DC555" i="3"/>
  <c r="A556" i="3"/>
  <c r="CX556" i="3"/>
  <c r="CY556" i="3"/>
  <c r="CZ556" i="3"/>
  <c r="DA556" i="3"/>
  <c r="DB556" i="3"/>
  <c r="DC556" i="3"/>
  <c r="A557" i="3"/>
  <c r="CX557" i="3"/>
  <c r="CY557" i="3"/>
  <c r="CZ557" i="3"/>
  <c r="DB557" i="3" s="1"/>
  <c r="DA557" i="3"/>
  <c r="DC557" i="3"/>
  <c r="A558" i="3"/>
  <c r="CX558" i="3"/>
  <c r="CY558" i="3"/>
  <c r="CZ558" i="3"/>
  <c r="DB558" i="3" s="1"/>
  <c r="DA558" i="3"/>
  <c r="DC558" i="3"/>
  <c r="A559" i="3"/>
  <c r="CX559" i="3"/>
  <c r="CY559" i="3"/>
  <c r="CZ559" i="3"/>
  <c r="DA559" i="3"/>
  <c r="DB559" i="3"/>
  <c r="DC559" i="3"/>
  <c r="A560" i="3"/>
  <c r="CX560" i="3"/>
  <c r="CY560" i="3"/>
  <c r="CZ560" i="3"/>
  <c r="DA560" i="3"/>
  <c r="DB560" i="3"/>
  <c r="DC560" i="3"/>
  <c r="A561" i="3"/>
  <c r="CX561" i="3"/>
  <c r="CY561" i="3"/>
  <c r="CZ561" i="3"/>
  <c r="DB561" i="3" s="1"/>
  <c r="DA561" i="3"/>
  <c r="DC561" i="3"/>
  <c r="A562" i="3"/>
  <c r="CX562" i="3"/>
  <c r="CY562" i="3"/>
  <c r="CZ562" i="3"/>
  <c r="DB562" i="3" s="1"/>
  <c r="DA562" i="3"/>
  <c r="DC562" i="3"/>
  <c r="A563" i="3"/>
  <c r="CX563" i="3"/>
  <c r="CY563" i="3"/>
  <c r="CZ563" i="3"/>
  <c r="DA563" i="3"/>
  <c r="DB563" i="3"/>
  <c r="DC563" i="3"/>
  <c r="A564" i="3"/>
  <c r="CX564" i="3"/>
  <c r="CY564" i="3"/>
  <c r="CZ564" i="3"/>
  <c r="DA564" i="3"/>
  <c r="DB564" i="3"/>
  <c r="DC564" i="3"/>
  <c r="A565" i="3"/>
  <c r="CX565" i="3"/>
  <c r="CY565" i="3"/>
  <c r="CZ565" i="3"/>
  <c r="DB565" i="3" s="1"/>
  <c r="DA565" i="3"/>
  <c r="DC565" i="3"/>
  <c r="A566" i="3"/>
  <c r="CX566" i="3"/>
  <c r="CY566" i="3"/>
  <c r="CZ566" i="3"/>
  <c r="DB566" i="3" s="1"/>
  <c r="DA566" i="3"/>
  <c r="DC566" i="3"/>
  <c r="A567" i="3"/>
  <c r="CX567" i="3"/>
  <c r="CY567" i="3"/>
  <c r="CZ567" i="3"/>
  <c r="DA567" i="3"/>
  <c r="DB567" i="3"/>
  <c r="DC567" i="3"/>
  <c r="A568" i="3"/>
  <c r="CX568" i="3"/>
  <c r="CY568" i="3"/>
  <c r="CZ568" i="3"/>
  <c r="DA568" i="3"/>
  <c r="DB568" i="3"/>
  <c r="DC568" i="3"/>
  <c r="A569" i="3"/>
  <c r="CX569" i="3"/>
  <c r="CY569" i="3"/>
  <c r="CZ569" i="3"/>
  <c r="DB569" i="3" s="1"/>
  <c r="DA569" i="3"/>
  <c r="DC569" i="3"/>
  <c r="A570" i="3"/>
  <c r="CX570" i="3"/>
  <c r="CY570" i="3"/>
  <c r="CZ570" i="3"/>
  <c r="DB570" i="3" s="1"/>
  <c r="DA570" i="3"/>
  <c r="DC570" i="3"/>
  <c r="A571" i="3"/>
  <c r="CX571" i="3"/>
  <c r="CY571" i="3"/>
  <c r="CZ571" i="3"/>
  <c r="DA571" i="3"/>
  <c r="DB571" i="3"/>
  <c r="DC571" i="3"/>
  <c r="A572" i="3"/>
  <c r="CX572" i="3"/>
  <c r="CY572" i="3"/>
  <c r="CZ572" i="3"/>
  <c r="DA572" i="3"/>
  <c r="DB572" i="3"/>
  <c r="DC572" i="3"/>
  <c r="A573" i="3"/>
  <c r="CX573" i="3"/>
  <c r="CY573" i="3"/>
  <c r="CZ573" i="3"/>
  <c r="DB573" i="3" s="1"/>
  <c r="DA573" i="3"/>
  <c r="DC573" i="3"/>
  <c r="A574" i="3"/>
  <c r="CX574" i="3"/>
  <c r="CY574" i="3"/>
  <c r="CZ574" i="3"/>
  <c r="DB574" i="3" s="1"/>
  <c r="DA574" i="3"/>
  <c r="DC574" i="3"/>
  <c r="A575" i="3"/>
  <c r="CX575" i="3"/>
  <c r="CY575" i="3"/>
  <c r="CZ575" i="3"/>
  <c r="DA575" i="3"/>
  <c r="DB575" i="3"/>
  <c r="DC575" i="3"/>
  <c r="A576" i="3"/>
  <c r="CX576" i="3"/>
  <c r="CY576" i="3"/>
  <c r="CZ576" i="3"/>
  <c r="DA576" i="3"/>
  <c r="DB576" i="3"/>
  <c r="DC576" i="3"/>
  <c r="A577" i="3"/>
  <c r="CX577" i="3"/>
  <c r="CY577" i="3"/>
  <c r="CZ577" i="3"/>
  <c r="DB577" i="3" s="1"/>
  <c r="DA577" i="3"/>
  <c r="DC577" i="3"/>
  <c r="A578" i="3"/>
  <c r="CX578" i="3"/>
  <c r="CY578" i="3"/>
  <c r="CZ578" i="3"/>
  <c r="DB578" i="3" s="1"/>
  <c r="DA578" i="3"/>
  <c r="DC578" i="3"/>
  <c r="A579" i="3"/>
  <c r="CX579" i="3"/>
  <c r="CY579" i="3"/>
  <c r="CZ579" i="3"/>
  <c r="DA579" i="3"/>
  <c r="DB579" i="3"/>
  <c r="DC579" i="3"/>
  <c r="A580" i="3"/>
  <c r="CX580" i="3"/>
  <c r="CY580" i="3"/>
  <c r="CZ580" i="3"/>
  <c r="DA580" i="3"/>
  <c r="DB580" i="3"/>
  <c r="DC580" i="3"/>
  <c r="A581" i="3"/>
  <c r="CX581" i="3"/>
  <c r="CY581" i="3"/>
  <c r="CZ581" i="3"/>
  <c r="DB581" i="3" s="1"/>
  <c r="DA581" i="3"/>
  <c r="DC581" i="3"/>
  <c r="A582" i="3"/>
  <c r="CX582" i="3"/>
  <c r="CY582" i="3"/>
  <c r="CZ582" i="3"/>
  <c r="DB582" i="3" s="1"/>
  <c r="DA582" i="3"/>
  <c r="DC582" i="3"/>
  <c r="A583" i="3"/>
  <c r="CX583" i="3"/>
  <c r="CY583" i="3"/>
  <c r="CZ583" i="3"/>
  <c r="DA583" i="3"/>
  <c r="DB583" i="3"/>
  <c r="DC583" i="3"/>
  <c r="A584" i="3"/>
  <c r="CX584" i="3"/>
  <c r="CY584" i="3"/>
  <c r="CZ584" i="3"/>
  <c r="DA584" i="3"/>
  <c r="DB584" i="3"/>
  <c r="DC584" i="3"/>
  <c r="A585" i="3"/>
  <c r="CX585" i="3"/>
  <c r="CY585" i="3"/>
  <c r="CZ585" i="3"/>
  <c r="DB585" i="3" s="1"/>
  <c r="DA585" i="3"/>
  <c r="DC585" i="3"/>
  <c r="A586" i="3"/>
  <c r="CX586" i="3"/>
  <c r="CY586" i="3"/>
  <c r="CZ586" i="3"/>
  <c r="DB586" i="3" s="1"/>
  <c r="DA586" i="3"/>
  <c r="DC586" i="3"/>
  <c r="A587" i="3"/>
  <c r="CX587" i="3"/>
  <c r="CY587" i="3"/>
  <c r="CZ587" i="3"/>
  <c r="DA587" i="3"/>
  <c r="DB587" i="3"/>
  <c r="DC587" i="3"/>
  <c r="A588" i="3"/>
  <c r="CX588" i="3"/>
  <c r="CY588" i="3"/>
  <c r="CZ588" i="3"/>
  <c r="DA588" i="3"/>
  <c r="DB588" i="3"/>
  <c r="DC588" i="3"/>
  <c r="A589" i="3"/>
  <c r="CX589" i="3"/>
  <c r="CY589" i="3"/>
  <c r="CZ589" i="3"/>
  <c r="DB589" i="3" s="1"/>
  <c r="DA589" i="3"/>
  <c r="DC589" i="3"/>
  <c r="A590" i="3"/>
  <c r="CX590" i="3"/>
  <c r="CY590" i="3"/>
  <c r="CZ590" i="3"/>
  <c r="DB590" i="3" s="1"/>
  <c r="DA590" i="3"/>
  <c r="DC590" i="3"/>
  <c r="A591" i="3"/>
  <c r="CX591" i="3"/>
  <c r="CY591" i="3"/>
  <c r="CZ591" i="3"/>
  <c r="DA591" i="3"/>
  <c r="DB591" i="3"/>
  <c r="DC591" i="3"/>
  <c r="A592" i="3"/>
  <c r="CX592" i="3"/>
  <c r="CY592" i="3"/>
  <c r="CZ592" i="3"/>
  <c r="DA592" i="3"/>
  <c r="DB592" i="3"/>
  <c r="DC592" i="3"/>
  <c r="A593" i="3"/>
  <c r="CX593" i="3"/>
  <c r="CY593" i="3"/>
  <c r="CZ593" i="3"/>
  <c r="DB593" i="3" s="1"/>
  <c r="DA593" i="3"/>
  <c r="DC593" i="3"/>
  <c r="A594" i="3"/>
  <c r="CX594" i="3"/>
  <c r="CY594" i="3"/>
  <c r="CZ594" i="3"/>
  <c r="DB594" i="3" s="1"/>
  <c r="DA594" i="3"/>
  <c r="DC594" i="3"/>
  <c r="A595" i="3"/>
  <c r="CX595" i="3"/>
  <c r="CY595" i="3"/>
  <c r="CZ595" i="3"/>
  <c r="DA595" i="3"/>
  <c r="DB595" i="3"/>
  <c r="DC595" i="3"/>
  <c r="A596" i="3"/>
  <c r="CY596" i="3"/>
  <c r="CZ596" i="3"/>
  <c r="DA596" i="3"/>
  <c r="DB596" i="3"/>
  <c r="DC596" i="3"/>
  <c r="A597" i="3"/>
  <c r="CY597" i="3"/>
  <c r="CZ597" i="3"/>
  <c r="DB597" i="3" s="1"/>
  <c r="DA597" i="3"/>
  <c r="DC597" i="3"/>
  <c r="A598" i="3"/>
  <c r="CY598" i="3"/>
  <c r="CZ598" i="3"/>
  <c r="DB598" i="3" s="1"/>
  <c r="DA598" i="3"/>
  <c r="DC598" i="3"/>
  <c r="A599" i="3"/>
  <c r="CY599" i="3"/>
  <c r="CZ599" i="3"/>
  <c r="DA599" i="3"/>
  <c r="DB599" i="3"/>
  <c r="DC599" i="3"/>
  <c r="A600" i="3"/>
  <c r="CY600" i="3"/>
  <c r="CZ600" i="3"/>
  <c r="DA600" i="3"/>
  <c r="DB600" i="3"/>
  <c r="DC600" i="3"/>
  <c r="A601" i="3"/>
  <c r="CY601" i="3"/>
  <c r="CZ601" i="3"/>
  <c r="DB601" i="3" s="1"/>
  <c r="DA601" i="3"/>
  <c r="DC601" i="3"/>
  <c r="A602" i="3"/>
  <c r="CY602" i="3"/>
  <c r="CZ602" i="3"/>
  <c r="DB602" i="3" s="1"/>
  <c r="DA602" i="3"/>
  <c r="DC602" i="3"/>
  <c r="A603" i="3"/>
  <c r="CY603" i="3"/>
  <c r="CZ603" i="3"/>
  <c r="DA603" i="3"/>
  <c r="DB603" i="3"/>
  <c r="DC603" i="3"/>
  <c r="A604" i="3"/>
  <c r="CY604" i="3"/>
  <c r="CZ604" i="3"/>
  <c r="DA604" i="3"/>
  <c r="DB604" i="3"/>
  <c r="DC604" i="3"/>
  <c r="A605" i="3"/>
  <c r="CY605" i="3"/>
  <c r="CZ605" i="3"/>
  <c r="DB605" i="3" s="1"/>
  <c r="DA605" i="3"/>
  <c r="DC605" i="3"/>
  <c r="A606" i="3"/>
  <c r="CY606" i="3"/>
  <c r="CZ606" i="3"/>
  <c r="DB606" i="3" s="1"/>
  <c r="DA606" i="3"/>
  <c r="DC606" i="3"/>
  <c r="A607" i="3"/>
  <c r="CY607" i="3"/>
  <c r="CZ607" i="3"/>
  <c r="DA607" i="3"/>
  <c r="DB607" i="3"/>
  <c r="DC607" i="3"/>
  <c r="A608" i="3"/>
  <c r="CX608" i="3"/>
  <c r="CY608" i="3"/>
  <c r="CZ608" i="3"/>
  <c r="DA608" i="3"/>
  <c r="DB608" i="3"/>
  <c r="DC608" i="3"/>
  <c r="A609" i="3"/>
  <c r="CX609" i="3"/>
  <c r="CY609" i="3"/>
  <c r="CZ609" i="3"/>
  <c r="DB609" i="3" s="1"/>
  <c r="DA609" i="3"/>
  <c r="DC609" i="3"/>
  <c r="A610" i="3"/>
  <c r="CX610" i="3"/>
  <c r="CY610" i="3"/>
  <c r="CZ610" i="3"/>
  <c r="DB610" i="3" s="1"/>
  <c r="DA610" i="3"/>
  <c r="DC610" i="3"/>
  <c r="A611" i="3"/>
  <c r="CX611" i="3"/>
  <c r="CY611" i="3"/>
  <c r="CZ611" i="3"/>
  <c r="DA611" i="3"/>
  <c r="DB611" i="3"/>
  <c r="DC611" i="3"/>
  <c r="A612" i="3"/>
  <c r="CX612" i="3"/>
  <c r="CY612" i="3"/>
  <c r="CZ612" i="3"/>
  <c r="DA612" i="3"/>
  <c r="DB612" i="3"/>
  <c r="DC612" i="3"/>
  <c r="A613" i="3"/>
  <c r="CX613" i="3"/>
  <c r="CY613" i="3"/>
  <c r="CZ613" i="3"/>
  <c r="DB613" i="3" s="1"/>
  <c r="DA613" i="3"/>
  <c r="DC613" i="3"/>
  <c r="A614" i="3"/>
  <c r="CX614" i="3"/>
  <c r="CY614" i="3"/>
  <c r="CZ614" i="3"/>
  <c r="DB614" i="3" s="1"/>
  <c r="DA614" i="3"/>
  <c r="DC614" i="3"/>
  <c r="A615" i="3"/>
  <c r="CX615" i="3"/>
  <c r="CY615" i="3"/>
  <c r="CZ615" i="3"/>
  <c r="DA615" i="3"/>
  <c r="DB615" i="3"/>
  <c r="DC615" i="3"/>
  <c r="A616" i="3"/>
  <c r="CX616" i="3"/>
  <c r="CY616" i="3"/>
  <c r="CZ616" i="3"/>
  <c r="DA616" i="3"/>
  <c r="DB616" i="3"/>
  <c r="DC616" i="3"/>
  <c r="A617" i="3"/>
  <c r="CX617" i="3"/>
  <c r="CY617" i="3"/>
  <c r="CZ617" i="3"/>
  <c r="DB617" i="3" s="1"/>
  <c r="DA617" i="3"/>
  <c r="DC617" i="3"/>
  <c r="A618" i="3"/>
  <c r="CX618" i="3"/>
  <c r="CY618" i="3"/>
  <c r="CZ618" i="3"/>
  <c r="DB618" i="3" s="1"/>
  <c r="DA618" i="3"/>
  <c r="DC618" i="3"/>
  <c r="A619" i="3"/>
  <c r="CY619" i="3"/>
  <c r="CZ619" i="3"/>
  <c r="DA619" i="3"/>
  <c r="DB619" i="3"/>
  <c r="DC619" i="3"/>
  <c r="A620" i="3"/>
  <c r="CY620" i="3"/>
  <c r="CZ620" i="3"/>
  <c r="DA620" i="3"/>
  <c r="DB620" i="3"/>
  <c r="DC620" i="3"/>
  <c r="A621" i="3"/>
  <c r="CX621" i="3"/>
  <c r="CY621" i="3"/>
  <c r="CZ621" i="3"/>
  <c r="DB621" i="3" s="1"/>
  <c r="DA621" i="3"/>
  <c r="DC621" i="3"/>
  <c r="A622" i="3"/>
  <c r="CX622" i="3"/>
  <c r="CY622" i="3"/>
  <c r="CZ622" i="3"/>
  <c r="DB622" i="3" s="1"/>
  <c r="DA622" i="3"/>
  <c r="DC622" i="3"/>
  <c r="A623" i="3"/>
  <c r="CX623" i="3"/>
  <c r="CY623" i="3"/>
  <c r="CZ623" i="3"/>
  <c r="DA623" i="3"/>
  <c r="DB623" i="3"/>
  <c r="DC623" i="3"/>
  <c r="A624" i="3"/>
  <c r="CX624" i="3"/>
  <c r="CY624" i="3"/>
  <c r="CZ624" i="3"/>
  <c r="DA624" i="3"/>
  <c r="DB624" i="3"/>
  <c r="DC624" i="3"/>
  <c r="A625" i="3"/>
  <c r="CX625" i="3"/>
  <c r="CY625" i="3"/>
  <c r="CZ625" i="3"/>
  <c r="DB625" i="3" s="1"/>
  <c r="DA625" i="3"/>
  <c r="DC625" i="3"/>
  <c r="A626" i="3"/>
  <c r="CX626" i="3"/>
  <c r="CY626" i="3"/>
  <c r="CZ626" i="3"/>
  <c r="DB626" i="3" s="1"/>
  <c r="DA626" i="3"/>
  <c r="DC626" i="3"/>
  <c r="A627" i="3"/>
  <c r="CX627" i="3"/>
  <c r="CY627" i="3"/>
  <c r="CZ627" i="3"/>
  <c r="DA627" i="3"/>
  <c r="DB627" i="3"/>
  <c r="DC627" i="3"/>
  <c r="A628" i="3"/>
  <c r="CX628" i="3"/>
  <c r="CY628" i="3"/>
  <c r="CZ628" i="3"/>
  <c r="DA628" i="3"/>
  <c r="DB628" i="3"/>
  <c r="DC628" i="3"/>
  <c r="A629" i="3"/>
  <c r="CX629" i="3"/>
  <c r="CY629" i="3"/>
  <c r="CZ629" i="3"/>
  <c r="DB629" i="3" s="1"/>
  <c r="DA629" i="3"/>
  <c r="DC629" i="3"/>
  <c r="A630" i="3"/>
  <c r="CY630" i="3"/>
  <c r="CZ630" i="3"/>
  <c r="DB630" i="3" s="1"/>
  <c r="DA630" i="3"/>
  <c r="DC630" i="3"/>
  <c r="A631" i="3"/>
  <c r="CY631" i="3"/>
  <c r="CZ631" i="3"/>
  <c r="DB631" i="3" s="1"/>
  <c r="DA631" i="3"/>
  <c r="DC631" i="3"/>
  <c r="A632" i="3"/>
  <c r="CY632" i="3"/>
  <c r="CZ632" i="3"/>
  <c r="DA632" i="3"/>
  <c r="DB632" i="3"/>
  <c r="DC632" i="3"/>
  <c r="A633" i="3"/>
  <c r="CY633" i="3"/>
  <c r="CZ633" i="3"/>
  <c r="DA633" i="3"/>
  <c r="DB633" i="3"/>
  <c r="DC633" i="3"/>
  <c r="A634" i="3"/>
  <c r="CY634" i="3"/>
  <c r="CZ634" i="3"/>
  <c r="DB634" i="3" s="1"/>
  <c r="DA634" i="3"/>
  <c r="DC634" i="3"/>
  <c r="A635" i="3"/>
  <c r="CY635" i="3"/>
  <c r="CZ635" i="3"/>
  <c r="DA635" i="3"/>
  <c r="DB635" i="3"/>
  <c r="DC635" i="3"/>
  <c r="A636" i="3"/>
  <c r="CY636" i="3"/>
  <c r="CZ636" i="3"/>
  <c r="DA636" i="3"/>
  <c r="DB636" i="3"/>
  <c r="DC636" i="3"/>
  <c r="A637" i="3"/>
  <c r="CY637" i="3"/>
  <c r="CZ637" i="3"/>
  <c r="DB637" i="3" s="1"/>
  <c r="DA637" i="3"/>
  <c r="DC637" i="3"/>
  <c r="A638" i="3"/>
  <c r="CY638" i="3"/>
  <c r="CZ638" i="3"/>
  <c r="DB638" i="3" s="1"/>
  <c r="DA638" i="3"/>
  <c r="DC638" i="3"/>
  <c r="A639" i="3"/>
  <c r="CY639" i="3"/>
  <c r="CZ639" i="3"/>
  <c r="DB639" i="3" s="1"/>
  <c r="DA639" i="3"/>
  <c r="DC639" i="3"/>
  <c r="A640" i="3"/>
  <c r="CY640" i="3"/>
  <c r="CZ640" i="3"/>
  <c r="DA640" i="3"/>
  <c r="DB640" i="3"/>
  <c r="DC640" i="3"/>
  <c r="A641" i="3"/>
  <c r="CY641" i="3"/>
  <c r="CZ641" i="3"/>
  <c r="DA641" i="3"/>
  <c r="DB641" i="3"/>
  <c r="DC641" i="3"/>
  <c r="A642" i="3"/>
  <c r="CY642" i="3"/>
  <c r="CZ642" i="3"/>
  <c r="DB642" i="3" s="1"/>
  <c r="DA642" i="3"/>
  <c r="DC642" i="3"/>
  <c r="A643" i="3"/>
  <c r="CY643" i="3"/>
  <c r="CZ643" i="3"/>
  <c r="DA643" i="3"/>
  <c r="DB643" i="3"/>
  <c r="DC643" i="3"/>
  <c r="A644" i="3"/>
  <c r="CY644" i="3"/>
  <c r="CZ644" i="3"/>
  <c r="DA644" i="3"/>
  <c r="DB644" i="3"/>
  <c r="DC644" i="3"/>
  <c r="A645" i="3"/>
  <c r="CX645" i="3"/>
  <c r="CY645" i="3"/>
  <c r="CZ645" i="3"/>
  <c r="DB645" i="3" s="1"/>
  <c r="DA645" i="3"/>
  <c r="DC645" i="3"/>
  <c r="A646" i="3"/>
  <c r="CX646" i="3"/>
  <c r="CY646" i="3"/>
  <c r="CZ646" i="3"/>
  <c r="DB646" i="3" s="1"/>
  <c r="DA646" i="3"/>
  <c r="DC646" i="3"/>
  <c r="A647" i="3"/>
  <c r="CY647" i="3"/>
  <c r="CZ647" i="3"/>
  <c r="DA647" i="3"/>
  <c r="DB647" i="3"/>
  <c r="DC647" i="3"/>
  <c r="A648" i="3"/>
  <c r="CY648" i="3"/>
  <c r="CZ648" i="3"/>
  <c r="DA648" i="3"/>
  <c r="DB648" i="3"/>
  <c r="DC648" i="3"/>
  <c r="A649" i="3"/>
  <c r="CY649" i="3"/>
  <c r="CZ649" i="3"/>
  <c r="DB649" i="3" s="1"/>
  <c r="DA649" i="3"/>
  <c r="DC649" i="3"/>
  <c r="A650" i="3"/>
  <c r="CY650" i="3"/>
  <c r="CZ650" i="3"/>
  <c r="DB650" i="3" s="1"/>
  <c r="DA650" i="3"/>
  <c r="DC650" i="3"/>
  <c r="A651" i="3"/>
  <c r="CY651" i="3"/>
  <c r="CZ651" i="3"/>
  <c r="DB651" i="3" s="1"/>
  <c r="DA651" i="3"/>
  <c r="DC651" i="3"/>
  <c r="A652" i="3"/>
  <c r="CY652" i="3"/>
  <c r="CZ652" i="3"/>
  <c r="DA652" i="3"/>
  <c r="DB652" i="3"/>
  <c r="DC652" i="3"/>
  <c r="A653" i="3"/>
  <c r="CY653" i="3"/>
  <c r="CZ653" i="3"/>
  <c r="DA653" i="3"/>
  <c r="DB653" i="3"/>
  <c r="DC653" i="3"/>
  <c r="A654" i="3"/>
  <c r="CY654" i="3"/>
  <c r="CZ654" i="3"/>
  <c r="DB654" i="3" s="1"/>
  <c r="DA654" i="3"/>
  <c r="DC654" i="3"/>
  <c r="A655" i="3"/>
  <c r="CY655" i="3"/>
  <c r="CZ655" i="3"/>
  <c r="DA655" i="3"/>
  <c r="DB655" i="3"/>
  <c r="DC655" i="3"/>
  <c r="A656" i="3"/>
  <c r="CY656" i="3"/>
  <c r="CZ656" i="3"/>
  <c r="DA656" i="3"/>
  <c r="DB656" i="3"/>
  <c r="DC656" i="3"/>
  <c r="A657" i="3"/>
  <c r="CY657" i="3"/>
  <c r="CZ657" i="3"/>
  <c r="DB657" i="3" s="1"/>
  <c r="DA657" i="3"/>
  <c r="DC657" i="3"/>
  <c r="A658" i="3"/>
  <c r="CY658" i="3"/>
  <c r="CZ658" i="3"/>
  <c r="DB658" i="3" s="1"/>
  <c r="DA658" i="3"/>
  <c r="DC658" i="3"/>
  <c r="A659" i="3"/>
  <c r="CY659" i="3"/>
  <c r="CZ659" i="3"/>
  <c r="DB659" i="3" s="1"/>
  <c r="DA659" i="3"/>
  <c r="DC659" i="3"/>
  <c r="A660" i="3"/>
  <c r="CY660" i="3"/>
  <c r="CZ660" i="3"/>
  <c r="DA660" i="3"/>
  <c r="DB660" i="3"/>
  <c r="DC660" i="3"/>
  <c r="A661" i="3"/>
  <c r="CY661" i="3"/>
  <c r="CZ661" i="3"/>
  <c r="DA661" i="3"/>
  <c r="DB661" i="3"/>
  <c r="DC661" i="3"/>
  <c r="A662" i="3"/>
  <c r="CY662" i="3"/>
  <c r="CZ662" i="3"/>
  <c r="DB662" i="3" s="1"/>
  <c r="DA662" i="3"/>
  <c r="DC662" i="3"/>
  <c r="A663" i="3"/>
  <c r="CY663" i="3"/>
  <c r="CZ663" i="3"/>
  <c r="DA663" i="3"/>
  <c r="DB663" i="3"/>
  <c r="DC663" i="3"/>
  <c r="A664" i="3"/>
  <c r="CY664" i="3"/>
  <c r="CZ664" i="3"/>
  <c r="DA664" i="3"/>
  <c r="DB664" i="3"/>
  <c r="DC664" i="3"/>
  <c r="A665" i="3"/>
  <c r="CY665" i="3"/>
  <c r="CZ665" i="3"/>
  <c r="DB665" i="3" s="1"/>
  <c r="DA665" i="3"/>
  <c r="DC665" i="3"/>
  <c r="A666" i="3"/>
  <c r="CY666" i="3"/>
  <c r="CZ666" i="3"/>
  <c r="DB666" i="3" s="1"/>
  <c r="DA666" i="3"/>
  <c r="DC666" i="3"/>
  <c r="A667" i="3"/>
  <c r="CY667" i="3"/>
  <c r="CZ667" i="3"/>
  <c r="DB667" i="3" s="1"/>
  <c r="DA667" i="3"/>
  <c r="DC667" i="3"/>
  <c r="A668" i="3"/>
  <c r="CY668" i="3"/>
  <c r="CZ668" i="3"/>
  <c r="DA668" i="3"/>
  <c r="DB668" i="3"/>
  <c r="DC668" i="3"/>
  <c r="A669" i="3"/>
  <c r="CY669" i="3"/>
  <c r="CZ669" i="3"/>
  <c r="DA669" i="3"/>
  <c r="DB669" i="3"/>
  <c r="DC669" i="3"/>
  <c r="A670" i="3"/>
  <c r="CY670" i="3"/>
  <c r="CZ670" i="3"/>
  <c r="DB670" i="3" s="1"/>
  <c r="DA670" i="3"/>
  <c r="DC670" i="3"/>
  <c r="A671" i="3"/>
  <c r="CY671" i="3"/>
  <c r="CZ671" i="3"/>
  <c r="DA671" i="3"/>
  <c r="DB671" i="3"/>
  <c r="DC671" i="3"/>
  <c r="A672" i="3"/>
  <c r="CY672" i="3"/>
  <c r="CZ672" i="3"/>
  <c r="DA672" i="3"/>
  <c r="DB672" i="3"/>
  <c r="DC672" i="3"/>
  <c r="A673" i="3"/>
  <c r="CY673" i="3"/>
  <c r="CZ673" i="3"/>
  <c r="DB673" i="3" s="1"/>
  <c r="DA673" i="3"/>
  <c r="DC673" i="3"/>
  <c r="A674" i="3"/>
  <c r="CY674" i="3"/>
  <c r="CZ674" i="3"/>
  <c r="DB674" i="3" s="1"/>
  <c r="DA674" i="3"/>
  <c r="DC674" i="3"/>
  <c r="A675" i="3"/>
  <c r="CY675" i="3"/>
  <c r="CZ675" i="3"/>
  <c r="DB675" i="3" s="1"/>
  <c r="DA675" i="3"/>
  <c r="DC675" i="3"/>
  <c r="A676" i="3"/>
  <c r="CY676" i="3"/>
  <c r="CZ676" i="3"/>
  <c r="DA676" i="3"/>
  <c r="DB676" i="3"/>
  <c r="DC676" i="3"/>
  <c r="A677" i="3"/>
  <c r="CY677" i="3"/>
  <c r="CZ677" i="3"/>
  <c r="DA677" i="3"/>
  <c r="DB677" i="3"/>
  <c r="DC677" i="3"/>
  <c r="A678" i="3"/>
  <c r="CY678" i="3"/>
  <c r="CZ678" i="3"/>
  <c r="DB678" i="3" s="1"/>
  <c r="DA678" i="3"/>
  <c r="DC678" i="3"/>
  <c r="A679" i="3"/>
  <c r="CY679" i="3"/>
  <c r="CZ679" i="3"/>
  <c r="DA679" i="3"/>
  <c r="DB679" i="3"/>
  <c r="DC679" i="3"/>
  <c r="A680" i="3"/>
  <c r="CY680" i="3"/>
  <c r="CZ680" i="3"/>
  <c r="DA680" i="3"/>
  <c r="DB680" i="3"/>
  <c r="DC680" i="3"/>
  <c r="A681" i="3"/>
  <c r="CY681" i="3"/>
  <c r="CZ681" i="3"/>
  <c r="DB681" i="3" s="1"/>
  <c r="DA681" i="3"/>
  <c r="DC681" i="3"/>
  <c r="A682" i="3"/>
  <c r="CY682" i="3"/>
  <c r="CZ682" i="3"/>
  <c r="DB682" i="3" s="1"/>
  <c r="DA682" i="3"/>
  <c r="DC682" i="3"/>
  <c r="A683" i="3"/>
  <c r="CY683" i="3"/>
  <c r="CZ683" i="3"/>
  <c r="DB683" i="3" s="1"/>
  <c r="DA683" i="3"/>
  <c r="DC683" i="3"/>
  <c r="A684" i="3"/>
  <c r="CY684" i="3"/>
  <c r="CZ684" i="3"/>
  <c r="DA684" i="3"/>
  <c r="DB684" i="3"/>
  <c r="DC684" i="3"/>
  <c r="A685" i="3"/>
  <c r="CY685" i="3"/>
  <c r="CZ685" i="3"/>
  <c r="DA685" i="3"/>
  <c r="DB685" i="3"/>
  <c r="DC685" i="3"/>
  <c r="A686" i="3"/>
  <c r="CY686" i="3"/>
  <c r="CZ686" i="3"/>
  <c r="DB686" i="3" s="1"/>
  <c r="DA686" i="3"/>
  <c r="DC686" i="3"/>
  <c r="A687" i="3"/>
  <c r="CY687" i="3"/>
  <c r="CZ687" i="3"/>
  <c r="DA687" i="3"/>
  <c r="DB687" i="3"/>
  <c r="DC687" i="3"/>
  <c r="A688" i="3"/>
  <c r="CY688" i="3"/>
  <c r="CZ688" i="3"/>
  <c r="DA688" i="3"/>
  <c r="DB688" i="3"/>
  <c r="DC688" i="3"/>
  <c r="A689" i="3"/>
  <c r="CY689" i="3"/>
  <c r="CZ689" i="3"/>
  <c r="DB689" i="3" s="1"/>
  <c r="DA689" i="3"/>
  <c r="DC689" i="3"/>
  <c r="A690" i="3"/>
  <c r="CY690" i="3"/>
  <c r="CZ690" i="3"/>
  <c r="DB690" i="3" s="1"/>
  <c r="DA690" i="3"/>
  <c r="DC690" i="3"/>
  <c r="A691" i="3"/>
  <c r="CY691" i="3"/>
  <c r="CZ691" i="3"/>
  <c r="DB691" i="3" s="1"/>
  <c r="DA691" i="3"/>
  <c r="DC691" i="3"/>
  <c r="A692" i="3"/>
  <c r="CY692" i="3"/>
  <c r="CZ692" i="3"/>
  <c r="DA692" i="3"/>
  <c r="DB692" i="3"/>
  <c r="DC692" i="3"/>
  <c r="A693" i="3"/>
  <c r="CY693" i="3"/>
  <c r="CZ693" i="3"/>
  <c r="DA693" i="3"/>
  <c r="DB693" i="3"/>
  <c r="DC693" i="3"/>
  <c r="A694" i="3"/>
  <c r="CY694" i="3"/>
  <c r="CZ694" i="3"/>
  <c r="DB694" i="3" s="1"/>
  <c r="DA694" i="3"/>
  <c r="DC694" i="3"/>
  <c r="A695" i="3"/>
  <c r="CY695" i="3"/>
  <c r="CZ695" i="3"/>
  <c r="DA695" i="3"/>
  <c r="DB695" i="3"/>
  <c r="DC695" i="3"/>
  <c r="A696" i="3"/>
  <c r="CY696" i="3"/>
  <c r="CZ696" i="3"/>
  <c r="DA696" i="3"/>
  <c r="DB696" i="3"/>
  <c r="DC696" i="3"/>
  <c r="A697" i="3"/>
  <c r="CY697" i="3"/>
  <c r="CZ697" i="3"/>
  <c r="DB697" i="3" s="1"/>
  <c r="DA697" i="3"/>
  <c r="DC697" i="3"/>
  <c r="A698" i="3"/>
  <c r="CY698" i="3"/>
  <c r="CZ698" i="3"/>
  <c r="DB698" i="3" s="1"/>
  <c r="DA698" i="3"/>
  <c r="DC698" i="3"/>
  <c r="A699" i="3"/>
  <c r="CY699" i="3"/>
  <c r="CZ699" i="3"/>
  <c r="DB699" i="3" s="1"/>
  <c r="DA699" i="3"/>
  <c r="DC699" i="3"/>
  <c r="A700" i="3"/>
  <c r="CY700" i="3"/>
  <c r="CZ700" i="3"/>
  <c r="DA700" i="3"/>
  <c r="DB700" i="3"/>
  <c r="DC700" i="3"/>
  <c r="A701" i="3"/>
  <c r="CY701" i="3"/>
  <c r="CZ701" i="3"/>
  <c r="DA701" i="3"/>
  <c r="DB701" i="3"/>
  <c r="DC701" i="3"/>
  <c r="A702" i="3"/>
  <c r="CY702" i="3"/>
  <c r="CZ702" i="3"/>
  <c r="DB702" i="3" s="1"/>
  <c r="DA702" i="3"/>
  <c r="DC702" i="3"/>
  <c r="A703" i="3"/>
  <c r="CY703" i="3"/>
  <c r="CZ703" i="3"/>
  <c r="DA703" i="3"/>
  <c r="DB703" i="3"/>
  <c r="DC703" i="3"/>
  <c r="A704" i="3"/>
  <c r="CY704" i="3"/>
  <c r="CZ704" i="3"/>
  <c r="DA704" i="3"/>
  <c r="DB704" i="3"/>
  <c r="DC704" i="3"/>
  <c r="A705" i="3"/>
  <c r="CY705" i="3"/>
  <c r="CZ705" i="3"/>
  <c r="DB705" i="3" s="1"/>
  <c r="DA705" i="3"/>
  <c r="DC705" i="3"/>
  <c r="A706" i="3"/>
  <c r="CY706" i="3"/>
  <c r="CZ706" i="3"/>
  <c r="DB706" i="3" s="1"/>
  <c r="DA706" i="3"/>
  <c r="DC706" i="3"/>
  <c r="A707" i="3"/>
  <c r="CX707" i="3"/>
  <c r="CY707" i="3"/>
  <c r="CZ707" i="3"/>
  <c r="DB707" i="3" s="1"/>
  <c r="DA707" i="3"/>
  <c r="DC707" i="3"/>
  <c r="A708" i="3"/>
  <c r="CX708" i="3"/>
  <c r="CY708" i="3"/>
  <c r="CZ708" i="3"/>
  <c r="DA708" i="3"/>
  <c r="DB708" i="3"/>
  <c r="DC708" i="3"/>
  <c r="A709" i="3"/>
  <c r="CX709" i="3"/>
  <c r="CY709" i="3"/>
  <c r="CZ709" i="3"/>
  <c r="DA709" i="3"/>
  <c r="DB709" i="3"/>
  <c r="DC709" i="3"/>
  <c r="A710" i="3"/>
  <c r="CX710" i="3"/>
  <c r="CY710" i="3"/>
  <c r="CZ710" i="3"/>
  <c r="DB710" i="3" s="1"/>
  <c r="DA710" i="3"/>
  <c r="DC710" i="3"/>
  <c r="A711" i="3"/>
  <c r="CX711" i="3"/>
  <c r="CY711" i="3"/>
  <c r="CZ711" i="3"/>
  <c r="DA711" i="3"/>
  <c r="DB711" i="3"/>
  <c r="DC711" i="3"/>
  <c r="A712" i="3"/>
  <c r="CX712" i="3"/>
  <c r="CY712" i="3"/>
  <c r="CZ712" i="3"/>
  <c r="DA712" i="3"/>
  <c r="DB712" i="3"/>
  <c r="DC712" i="3"/>
  <c r="A713" i="3"/>
  <c r="CX713" i="3"/>
  <c r="CY713" i="3"/>
  <c r="CZ713" i="3"/>
  <c r="DB713" i="3" s="1"/>
  <c r="DA713" i="3"/>
  <c r="DC713" i="3"/>
  <c r="A714" i="3"/>
  <c r="CX714" i="3"/>
  <c r="CY714" i="3"/>
  <c r="CZ714" i="3"/>
  <c r="DB714" i="3" s="1"/>
  <c r="DA714" i="3"/>
  <c r="DC714" i="3"/>
  <c r="A715" i="3"/>
  <c r="CY715" i="3"/>
  <c r="CZ715" i="3"/>
  <c r="DA715" i="3"/>
  <c r="DB715" i="3"/>
  <c r="DC715" i="3"/>
  <c r="A716" i="3"/>
  <c r="CY716" i="3"/>
  <c r="CZ716" i="3"/>
  <c r="DA716" i="3"/>
  <c r="DB716" i="3"/>
  <c r="DC716" i="3"/>
  <c r="A717" i="3"/>
  <c r="CY717" i="3"/>
  <c r="CZ717" i="3"/>
  <c r="DB717" i="3" s="1"/>
  <c r="DA717" i="3"/>
  <c r="DC717" i="3"/>
  <c r="A718" i="3"/>
  <c r="CY718" i="3"/>
  <c r="CZ718" i="3"/>
  <c r="DB718" i="3" s="1"/>
  <c r="DA718" i="3"/>
  <c r="DC718" i="3"/>
  <c r="A719" i="3"/>
  <c r="CY719" i="3"/>
  <c r="CZ719" i="3"/>
  <c r="DB719" i="3" s="1"/>
  <c r="DA719" i="3"/>
  <c r="DC719" i="3"/>
  <c r="A720" i="3"/>
  <c r="CY720" i="3"/>
  <c r="CZ720" i="3"/>
  <c r="DA720" i="3"/>
  <c r="DB720" i="3"/>
  <c r="DC720" i="3"/>
  <c r="A721" i="3"/>
  <c r="CY721" i="3"/>
  <c r="CZ721" i="3"/>
  <c r="DA721" i="3"/>
  <c r="DB721" i="3"/>
  <c r="DC721" i="3"/>
  <c r="A722" i="3"/>
  <c r="CY722" i="3"/>
  <c r="CZ722" i="3"/>
  <c r="DB722" i="3" s="1"/>
  <c r="DA722" i="3"/>
  <c r="DC722" i="3"/>
  <c r="A723" i="3"/>
  <c r="CY723" i="3"/>
  <c r="CZ723" i="3"/>
  <c r="DB723" i="3" s="1"/>
  <c r="DA723" i="3"/>
  <c r="DC723" i="3"/>
  <c r="A724" i="3"/>
  <c r="CY724" i="3"/>
  <c r="CZ724" i="3"/>
  <c r="DA724" i="3"/>
  <c r="DB724" i="3"/>
  <c r="DC724" i="3"/>
  <c r="A725" i="3"/>
  <c r="CY725" i="3"/>
  <c r="CZ725" i="3"/>
  <c r="DA725" i="3"/>
  <c r="DB725" i="3"/>
  <c r="DC725" i="3"/>
  <c r="A726" i="3"/>
  <c r="CY726" i="3"/>
  <c r="CZ726" i="3"/>
  <c r="DB726" i="3" s="1"/>
  <c r="DA726" i="3"/>
  <c r="DC726" i="3"/>
  <c r="A727" i="3"/>
  <c r="CY727" i="3"/>
  <c r="CZ727" i="3"/>
  <c r="DB727" i="3" s="1"/>
  <c r="DA727" i="3"/>
  <c r="DC727" i="3"/>
  <c r="A728" i="3"/>
  <c r="CY728" i="3"/>
  <c r="CZ728" i="3"/>
  <c r="DA728" i="3"/>
  <c r="DB728" i="3"/>
  <c r="DC728" i="3"/>
  <c r="A729" i="3"/>
  <c r="CY729" i="3"/>
  <c r="CZ729" i="3"/>
  <c r="DA729" i="3"/>
  <c r="DB729" i="3"/>
  <c r="DC729" i="3"/>
  <c r="A730" i="3"/>
  <c r="CY730" i="3"/>
  <c r="CZ730" i="3"/>
  <c r="DB730" i="3" s="1"/>
  <c r="DA730" i="3"/>
  <c r="DC730" i="3"/>
  <c r="A731" i="3"/>
  <c r="CY731" i="3"/>
  <c r="CZ731" i="3"/>
  <c r="DB731" i="3" s="1"/>
  <c r="DA731" i="3"/>
  <c r="DC731" i="3"/>
  <c r="A732" i="3"/>
  <c r="CY732" i="3"/>
  <c r="CZ732" i="3"/>
  <c r="DA732" i="3"/>
  <c r="DB732" i="3"/>
  <c r="DC732" i="3"/>
  <c r="A733" i="3"/>
  <c r="CY733" i="3"/>
  <c r="CZ733" i="3"/>
  <c r="DA733" i="3"/>
  <c r="DB733" i="3"/>
  <c r="DC733" i="3"/>
  <c r="A734" i="3"/>
  <c r="CY734" i="3"/>
  <c r="CZ734" i="3"/>
  <c r="DB734" i="3" s="1"/>
  <c r="DA734" i="3"/>
  <c r="DC734" i="3"/>
  <c r="A735" i="3"/>
  <c r="CY735" i="3"/>
  <c r="CZ735" i="3"/>
  <c r="DB735" i="3" s="1"/>
  <c r="DA735" i="3"/>
  <c r="DC735" i="3"/>
  <c r="A736" i="3"/>
  <c r="CY736" i="3"/>
  <c r="CZ736" i="3"/>
  <c r="DA736" i="3"/>
  <c r="DB736" i="3"/>
  <c r="DC736" i="3"/>
  <c r="A737" i="3"/>
  <c r="CY737" i="3"/>
  <c r="CZ737" i="3"/>
  <c r="DA737" i="3"/>
  <c r="DB737" i="3"/>
  <c r="DC737" i="3"/>
  <c r="A738" i="3"/>
  <c r="CY738" i="3"/>
  <c r="CZ738" i="3"/>
  <c r="DB738" i="3" s="1"/>
  <c r="DA738" i="3"/>
  <c r="DC738" i="3"/>
  <c r="A739" i="3"/>
  <c r="CY739" i="3"/>
  <c r="CZ739" i="3"/>
  <c r="DB739" i="3" s="1"/>
  <c r="DA739" i="3"/>
  <c r="DC739" i="3"/>
  <c r="A740" i="3"/>
  <c r="CY740" i="3"/>
  <c r="CZ740" i="3"/>
  <c r="DA740" i="3"/>
  <c r="DB740" i="3"/>
  <c r="DC740" i="3"/>
  <c r="A741" i="3"/>
  <c r="CY741" i="3"/>
  <c r="CZ741" i="3"/>
  <c r="DA741" i="3"/>
  <c r="DB741" i="3"/>
  <c r="DC741" i="3"/>
  <c r="A742" i="3"/>
  <c r="CY742" i="3"/>
  <c r="CZ742" i="3"/>
  <c r="DB742" i="3" s="1"/>
  <c r="DA742" i="3"/>
  <c r="DC742" i="3"/>
  <c r="A743" i="3"/>
  <c r="CY743" i="3"/>
  <c r="CZ743" i="3"/>
  <c r="DB743" i="3" s="1"/>
  <c r="DA743" i="3"/>
  <c r="DC743" i="3"/>
  <c r="A744" i="3"/>
  <c r="CY744" i="3"/>
  <c r="CZ744" i="3"/>
  <c r="DA744" i="3"/>
  <c r="DB744" i="3"/>
  <c r="DC744" i="3"/>
  <c r="A745" i="3"/>
  <c r="CY745" i="3"/>
  <c r="CZ745" i="3"/>
  <c r="DA745" i="3"/>
  <c r="DB745" i="3"/>
  <c r="DC745" i="3"/>
  <c r="A746" i="3"/>
  <c r="CY746" i="3"/>
  <c r="CZ746" i="3"/>
  <c r="DB746" i="3" s="1"/>
  <c r="DA746" i="3"/>
  <c r="DC746" i="3"/>
  <c r="A747" i="3"/>
  <c r="CY747" i="3"/>
  <c r="CZ747" i="3"/>
  <c r="DB747" i="3" s="1"/>
  <c r="DA747" i="3"/>
  <c r="DC747" i="3"/>
  <c r="A748" i="3"/>
  <c r="CY748" i="3"/>
  <c r="CZ748" i="3"/>
  <c r="DA748" i="3"/>
  <c r="DB748" i="3"/>
  <c r="DC748" i="3"/>
  <c r="A749" i="3"/>
  <c r="CY749" i="3"/>
  <c r="CZ749" i="3"/>
  <c r="DA749" i="3"/>
  <c r="DB749" i="3"/>
  <c r="DC749" i="3"/>
  <c r="A750" i="3"/>
  <c r="CY750" i="3"/>
  <c r="CZ750" i="3"/>
  <c r="DB750" i="3" s="1"/>
  <c r="DA750" i="3"/>
  <c r="DC750" i="3"/>
  <c r="A751" i="3"/>
  <c r="CY751" i="3"/>
  <c r="CZ751" i="3"/>
  <c r="DB751" i="3" s="1"/>
  <c r="DA751" i="3"/>
  <c r="DC751" i="3"/>
  <c r="A752" i="3"/>
  <c r="CY752" i="3"/>
  <c r="CZ752" i="3"/>
  <c r="DA752" i="3"/>
  <c r="DB752" i="3"/>
  <c r="DC752" i="3"/>
  <c r="A753" i="3"/>
  <c r="CY753" i="3"/>
  <c r="CZ753" i="3"/>
  <c r="DA753" i="3"/>
  <c r="DB753" i="3"/>
  <c r="DC753" i="3"/>
  <c r="A754" i="3"/>
  <c r="CY754" i="3"/>
  <c r="CZ754" i="3"/>
  <c r="DB754" i="3" s="1"/>
  <c r="DA754" i="3"/>
  <c r="DC754" i="3"/>
  <c r="A755" i="3"/>
  <c r="CY755" i="3"/>
  <c r="CZ755" i="3"/>
  <c r="DB755" i="3" s="1"/>
  <c r="DA755" i="3"/>
  <c r="DC755" i="3"/>
  <c r="A756" i="3"/>
  <c r="CY756" i="3"/>
  <c r="CZ756" i="3"/>
  <c r="DA756" i="3"/>
  <c r="DB756" i="3"/>
  <c r="DC756" i="3"/>
  <c r="A757" i="3"/>
  <c r="CY757" i="3"/>
  <c r="CZ757" i="3"/>
  <c r="DA757" i="3"/>
  <c r="DB757" i="3"/>
  <c r="DC757" i="3"/>
  <c r="A758" i="3"/>
  <c r="CY758" i="3"/>
  <c r="CZ758" i="3"/>
  <c r="DB758" i="3" s="1"/>
  <c r="DA758" i="3"/>
  <c r="DC758" i="3"/>
  <c r="A759" i="3"/>
  <c r="CY759" i="3"/>
  <c r="CZ759" i="3"/>
  <c r="DB759" i="3" s="1"/>
  <c r="DA759" i="3"/>
  <c r="DC759" i="3"/>
  <c r="A760" i="3"/>
  <c r="CY760" i="3"/>
  <c r="CZ760" i="3"/>
  <c r="DA760" i="3"/>
  <c r="DB760" i="3"/>
  <c r="DC760" i="3"/>
  <c r="A761" i="3"/>
  <c r="CY761" i="3"/>
  <c r="CZ761" i="3"/>
  <c r="DA761" i="3"/>
  <c r="DB761" i="3"/>
  <c r="DC761" i="3"/>
  <c r="A762" i="3"/>
  <c r="CY762" i="3"/>
  <c r="CZ762" i="3"/>
  <c r="DB762" i="3" s="1"/>
  <c r="DA762" i="3"/>
  <c r="DC762" i="3"/>
  <c r="A763" i="3"/>
  <c r="CY763" i="3"/>
  <c r="CZ763" i="3"/>
  <c r="DB763" i="3" s="1"/>
  <c r="DA763" i="3"/>
  <c r="DC763" i="3"/>
  <c r="A764" i="3"/>
  <c r="CY764" i="3"/>
  <c r="CZ764" i="3"/>
  <c r="DA764" i="3"/>
  <c r="DB764" i="3"/>
  <c r="DC764" i="3"/>
  <c r="A765" i="3"/>
  <c r="CY765" i="3"/>
  <c r="CZ765" i="3"/>
  <c r="DA765" i="3"/>
  <c r="DB765" i="3"/>
  <c r="DC765" i="3"/>
  <c r="A766" i="3"/>
  <c r="CY766" i="3"/>
  <c r="CZ766" i="3"/>
  <c r="DB766" i="3" s="1"/>
  <c r="DA766" i="3"/>
  <c r="DC766" i="3"/>
  <c r="A767" i="3"/>
  <c r="CY767" i="3"/>
  <c r="CZ767" i="3"/>
  <c r="DB767" i="3" s="1"/>
  <c r="DA767" i="3"/>
  <c r="DC767" i="3"/>
  <c r="A768" i="3"/>
  <c r="CY768" i="3"/>
  <c r="CZ768" i="3"/>
  <c r="DA768" i="3"/>
  <c r="DB768" i="3"/>
  <c r="DC768" i="3"/>
  <c r="A769" i="3"/>
  <c r="CY769" i="3"/>
  <c r="CZ769" i="3"/>
  <c r="DA769" i="3"/>
  <c r="DB769" i="3"/>
  <c r="DC769" i="3"/>
  <c r="A770" i="3"/>
  <c r="CY770" i="3"/>
  <c r="CZ770" i="3"/>
  <c r="DB770" i="3" s="1"/>
  <c r="DA770" i="3"/>
  <c r="DC770" i="3"/>
  <c r="A771" i="3"/>
  <c r="CY771" i="3"/>
  <c r="CZ771" i="3"/>
  <c r="DB771" i="3" s="1"/>
  <c r="DA771" i="3"/>
  <c r="DC771" i="3"/>
  <c r="A772" i="3"/>
  <c r="CY772" i="3"/>
  <c r="CZ772" i="3"/>
  <c r="DA772" i="3"/>
  <c r="DB772" i="3"/>
  <c r="DC772" i="3"/>
  <c r="A773" i="3"/>
  <c r="CY773" i="3"/>
  <c r="CZ773" i="3"/>
  <c r="DA773" i="3"/>
  <c r="DB773" i="3"/>
  <c r="DC773" i="3"/>
  <c r="A774" i="3"/>
  <c r="CY774" i="3"/>
  <c r="CZ774" i="3"/>
  <c r="DB774" i="3" s="1"/>
  <c r="DA774" i="3"/>
  <c r="DC774" i="3"/>
  <c r="A775" i="3"/>
  <c r="CY775" i="3"/>
  <c r="CZ775" i="3"/>
  <c r="DB775" i="3" s="1"/>
  <c r="DA775" i="3"/>
  <c r="DC775" i="3"/>
  <c r="A776" i="3"/>
  <c r="CY776" i="3"/>
  <c r="CZ776" i="3"/>
  <c r="DA776" i="3"/>
  <c r="DB776" i="3"/>
  <c r="DC776" i="3"/>
  <c r="A777" i="3"/>
  <c r="CY777" i="3"/>
  <c r="CZ777" i="3"/>
  <c r="DA777" i="3"/>
  <c r="DB777" i="3"/>
  <c r="DC777" i="3"/>
  <c r="A778" i="3"/>
  <c r="CY778" i="3"/>
  <c r="CZ778" i="3"/>
  <c r="DB778" i="3" s="1"/>
  <c r="DA778" i="3"/>
  <c r="DC778" i="3"/>
  <c r="A779" i="3"/>
  <c r="CY779" i="3"/>
  <c r="CZ779" i="3"/>
  <c r="DB779" i="3" s="1"/>
  <c r="DA779" i="3"/>
  <c r="DC779" i="3"/>
  <c r="D12" i="1"/>
  <c r="E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G18" i="1"/>
  <c r="DH18" i="1"/>
  <c r="DI18" i="1"/>
  <c r="DJ18" i="1"/>
  <c r="DK18" i="1"/>
  <c r="DL18" i="1"/>
  <c r="DM18" i="1"/>
  <c r="DN18" i="1"/>
  <c r="DO18" i="1"/>
  <c r="DP18" i="1"/>
  <c r="DQ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G18" i="1"/>
  <c r="EH18" i="1"/>
  <c r="EI18" i="1"/>
  <c r="EJ18" i="1"/>
  <c r="EK18" i="1"/>
  <c r="EL18" i="1"/>
  <c r="EM18" i="1"/>
  <c r="EN18" i="1"/>
  <c r="EO18" i="1"/>
  <c r="EP18" i="1"/>
  <c r="EQ18" i="1"/>
  <c r="ER18" i="1"/>
  <c r="ES18" i="1"/>
  <c r="ET18" i="1"/>
  <c r="EU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D20" i="1"/>
  <c r="E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BX22" i="1"/>
  <c r="BY22" i="1"/>
  <c r="BZ22" i="1"/>
  <c r="CA22" i="1"/>
  <c r="CB22" i="1"/>
  <c r="CC22" i="1"/>
  <c r="CD22" i="1"/>
  <c r="CE22" i="1"/>
  <c r="CF22" i="1"/>
  <c r="CG22" i="1"/>
  <c r="CH22" i="1"/>
  <c r="CI22" i="1"/>
  <c r="CJ22" i="1"/>
  <c r="CK22" i="1"/>
  <c r="CL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G22" i="1"/>
  <c r="DH22" i="1"/>
  <c r="DI22" i="1"/>
  <c r="DJ22" i="1"/>
  <c r="DK22" i="1"/>
  <c r="DL22" i="1"/>
  <c r="DM22" i="1"/>
  <c r="DN22" i="1"/>
  <c r="DO22" i="1"/>
  <c r="DP22" i="1"/>
  <c r="DQ22" i="1"/>
  <c r="DR22" i="1"/>
  <c r="DS22" i="1"/>
  <c r="DT22" i="1"/>
  <c r="DU22" i="1"/>
  <c r="DV22" i="1"/>
  <c r="DW22" i="1"/>
  <c r="DX22" i="1"/>
  <c r="DY22" i="1"/>
  <c r="DZ22" i="1"/>
  <c r="EA22" i="1"/>
  <c r="EB22" i="1"/>
  <c r="EC22" i="1"/>
  <c r="ED22" i="1"/>
  <c r="EE22" i="1"/>
  <c r="EF22" i="1"/>
  <c r="EG22" i="1"/>
  <c r="EH22" i="1"/>
  <c r="EI22" i="1"/>
  <c r="EJ22" i="1"/>
  <c r="EK22" i="1"/>
  <c r="EL22" i="1"/>
  <c r="EM22" i="1"/>
  <c r="EN22" i="1"/>
  <c r="EO22" i="1"/>
  <c r="EP22" i="1"/>
  <c r="EQ22" i="1"/>
  <c r="ER22" i="1"/>
  <c r="ES22" i="1"/>
  <c r="ET22" i="1"/>
  <c r="EU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FP22" i="1"/>
  <c r="FQ22" i="1"/>
  <c r="FR22" i="1"/>
  <c r="FS22" i="1"/>
  <c r="FT22" i="1"/>
  <c r="FU22" i="1"/>
  <c r="FV22" i="1"/>
  <c r="FW22" i="1"/>
  <c r="FX22" i="1"/>
  <c r="FY22" i="1"/>
  <c r="FZ22" i="1"/>
  <c r="GA22" i="1"/>
  <c r="GB22" i="1"/>
  <c r="GC22" i="1"/>
  <c r="GD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D24" i="1"/>
  <c r="E26" i="1"/>
  <c r="Z26" i="1"/>
  <c r="AA26" i="1"/>
  <c r="AB26" i="1"/>
  <c r="AC26" i="1"/>
  <c r="AD26" i="1"/>
  <c r="AE26" i="1"/>
  <c r="AF26" i="1"/>
  <c r="AG26" i="1"/>
  <c r="AH26" i="1"/>
  <c r="AI26" i="1"/>
  <c r="AJ26" i="1"/>
  <c r="AK26" i="1"/>
  <c r="AL26" i="1"/>
  <c r="AM26" i="1"/>
  <c r="AN26" i="1"/>
  <c r="BD26" i="1"/>
  <c r="BE26" i="1"/>
  <c r="BF26" i="1"/>
  <c r="BG26" i="1"/>
  <c r="BH26" i="1"/>
  <c r="BI26" i="1"/>
  <c r="BJ26" i="1"/>
  <c r="BK26" i="1"/>
  <c r="BL26" i="1"/>
  <c r="BM26" i="1"/>
  <c r="BN26" i="1"/>
  <c r="BO26" i="1"/>
  <c r="BP26" i="1"/>
  <c r="BQ26" i="1"/>
  <c r="BR26" i="1"/>
  <c r="BS26" i="1"/>
  <c r="BT26" i="1"/>
  <c r="BU26" i="1"/>
  <c r="BV26" i="1"/>
  <c r="BW26" i="1"/>
  <c r="BX26" i="1"/>
  <c r="BY26" i="1"/>
  <c r="BZ26" i="1"/>
  <c r="CA26" i="1"/>
  <c r="CB26" i="1"/>
  <c r="CC26" i="1"/>
  <c r="CD26" i="1"/>
  <c r="CE26" i="1"/>
  <c r="CF26" i="1"/>
  <c r="CG26" i="1"/>
  <c r="CH26" i="1"/>
  <c r="CI26" i="1"/>
  <c r="CJ26" i="1"/>
  <c r="CK26" i="1"/>
  <c r="CL26" i="1"/>
  <c r="CM26" i="1"/>
  <c r="CN26" i="1"/>
  <c r="CO26" i="1"/>
  <c r="CP26" i="1"/>
  <c r="CQ26" i="1"/>
  <c r="CR26" i="1"/>
  <c r="CS26" i="1"/>
  <c r="CT26" i="1"/>
  <c r="CU26" i="1"/>
  <c r="CV26" i="1"/>
  <c r="CW26" i="1"/>
  <c r="CX26" i="1"/>
  <c r="CY26" i="1"/>
  <c r="CZ26" i="1"/>
  <c r="DA26" i="1"/>
  <c r="DB26" i="1"/>
  <c r="DC26" i="1"/>
  <c r="DD26" i="1"/>
  <c r="DE26" i="1"/>
  <c r="DF26" i="1"/>
  <c r="DG26" i="1"/>
  <c r="DH26" i="1"/>
  <c r="DI26" i="1"/>
  <c r="DJ26" i="1"/>
  <c r="DK26" i="1"/>
  <c r="DL26" i="1"/>
  <c r="DM26" i="1"/>
  <c r="DN26" i="1"/>
  <c r="DO26" i="1"/>
  <c r="DP26" i="1"/>
  <c r="DQ26" i="1"/>
  <c r="DR26" i="1"/>
  <c r="DS26" i="1"/>
  <c r="DT26" i="1"/>
  <c r="DU26" i="1"/>
  <c r="DV26" i="1"/>
  <c r="DW26" i="1"/>
  <c r="DX26" i="1"/>
  <c r="DY26" i="1"/>
  <c r="DZ26" i="1"/>
  <c r="EA26" i="1"/>
  <c r="EB26" i="1"/>
  <c r="EC26" i="1"/>
  <c r="ED26" i="1"/>
  <c r="EE26" i="1"/>
  <c r="EF26" i="1"/>
  <c r="EG26" i="1"/>
  <c r="EH26" i="1"/>
  <c r="EI26" i="1"/>
  <c r="EJ26" i="1"/>
  <c r="EK26" i="1"/>
  <c r="EL26" i="1"/>
  <c r="EM26" i="1"/>
  <c r="EN26" i="1"/>
  <c r="EO26" i="1"/>
  <c r="EP26" i="1"/>
  <c r="EQ26" i="1"/>
  <c r="ER26" i="1"/>
  <c r="ES26" i="1"/>
  <c r="ET26" i="1"/>
  <c r="EU26" i="1"/>
  <c r="EV26" i="1"/>
  <c r="EW26" i="1"/>
  <c r="EX26" i="1"/>
  <c r="EY26" i="1"/>
  <c r="EZ26" i="1"/>
  <c r="FA26" i="1"/>
  <c r="FB26" i="1"/>
  <c r="FC26" i="1"/>
  <c r="FD26" i="1"/>
  <c r="FE26" i="1"/>
  <c r="FF26" i="1"/>
  <c r="FG26" i="1"/>
  <c r="FH26" i="1"/>
  <c r="FI26" i="1"/>
  <c r="FJ26" i="1"/>
  <c r="FK26" i="1"/>
  <c r="FL26" i="1"/>
  <c r="FM26" i="1"/>
  <c r="FN26" i="1"/>
  <c r="FO26" i="1"/>
  <c r="FP26" i="1"/>
  <c r="FQ26" i="1"/>
  <c r="FR26" i="1"/>
  <c r="FS26" i="1"/>
  <c r="FT26" i="1"/>
  <c r="FU26" i="1"/>
  <c r="FV26" i="1"/>
  <c r="FW26" i="1"/>
  <c r="FX26" i="1"/>
  <c r="FY26" i="1"/>
  <c r="FZ26" i="1"/>
  <c r="GA26" i="1"/>
  <c r="GB26" i="1"/>
  <c r="GC26" i="1"/>
  <c r="GD26" i="1"/>
  <c r="GE26" i="1"/>
  <c r="GF26" i="1"/>
  <c r="GG26" i="1"/>
  <c r="GH26" i="1"/>
  <c r="GI26" i="1"/>
  <c r="GJ26" i="1"/>
  <c r="GK26" i="1"/>
  <c r="GL26" i="1"/>
  <c r="GM26" i="1"/>
  <c r="GN26" i="1"/>
  <c r="GO26" i="1"/>
  <c r="GP26" i="1"/>
  <c r="GQ26" i="1"/>
  <c r="GR26" i="1"/>
  <c r="GS26" i="1"/>
  <c r="GT26" i="1"/>
  <c r="GU26" i="1"/>
  <c r="GV26" i="1"/>
  <c r="GW26" i="1"/>
  <c r="GX26" i="1"/>
  <c r="D28" i="1"/>
  <c r="E30" i="1"/>
  <c r="Z30" i="1"/>
  <c r="AA30" i="1"/>
  <c r="AM30" i="1"/>
  <c r="AN30" i="1"/>
  <c r="BD30" i="1"/>
  <c r="BE30" i="1"/>
  <c r="BF30" i="1"/>
  <c r="BG30" i="1"/>
  <c r="BH30" i="1"/>
  <c r="BI30" i="1"/>
  <c r="BJ30" i="1"/>
  <c r="BK30" i="1"/>
  <c r="BL30" i="1"/>
  <c r="BM30" i="1"/>
  <c r="BN30" i="1"/>
  <c r="BO30" i="1"/>
  <c r="BP30" i="1"/>
  <c r="BQ30" i="1"/>
  <c r="BR30" i="1"/>
  <c r="BS30" i="1"/>
  <c r="BT30" i="1"/>
  <c r="BU30" i="1"/>
  <c r="BV30" i="1"/>
  <c r="BW30" i="1"/>
  <c r="CM30" i="1"/>
  <c r="CN30" i="1"/>
  <c r="CO30" i="1"/>
  <c r="CP30" i="1"/>
  <c r="CQ30" i="1"/>
  <c r="CR30" i="1"/>
  <c r="CS30" i="1"/>
  <c r="CT30" i="1"/>
  <c r="CU30" i="1"/>
  <c r="CV30" i="1"/>
  <c r="CW30" i="1"/>
  <c r="CX30" i="1"/>
  <c r="CY30" i="1"/>
  <c r="CZ30" i="1"/>
  <c r="DA30" i="1"/>
  <c r="DB30" i="1"/>
  <c r="DC30" i="1"/>
  <c r="DD30" i="1"/>
  <c r="DE30" i="1"/>
  <c r="DF30" i="1"/>
  <c r="DG30" i="1"/>
  <c r="DH30" i="1"/>
  <c r="DI30" i="1"/>
  <c r="DJ30" i="1"/>
  <c r="DK30" i="1"/>
  <c r="DL30" i="1"/>
  <c r="DM30" i="1"/>
  <c r="DN30" i="1"/>
  <c r="DO30" i="1"/>
  <c r="DP30" i="1"/>
  <c r="DQ30" i="1"/>
  <c r="DR30" i="1"/>
  <c r="DS30" i="1"/>
  <c r="DT30" i="1"/>
  <c r="DU30" i="1"/>
  <c r="DV30" i="1"/>
  <c r="DW30" i="1"/>
  <c r="DX30" i="1"/>
  <c r="DY30" i="1"/>
  <c r="DZ30" i="1"/>
  <c r="EA30" i="1"/>
  <c r="EB30" i="1"/>
  <c r="EC30" i="1"/>
  <c r="ED30" i="1"/>
  <c r="EE30" i="1"/>
  <c r="EF30" i="1"/>
  <c r="EG30" i="1"/>
  <c r="EH30" i="1"/>
  <c r="EI30" i="1"/>
  <c r="EJ30" i="1"/>
  <c r="EK30" i="1"/>
  <c r="EL30" i="1"/>
  <c r="EM30" i="1"/>
  <c r="EN30" i="1"/>
  <c r="EO30" i="1"/>
  <c r="EP30" i="1"/>
  <c r="EQ30" i="1"/>
  <c r="ER30" i="1"/>
  <c r="ES30" i="1"/>
  <c r="ET30" i="1"/>
  <c r="EU30" i="1"/>
  <c r="EV30" i="1"/>
  <c r="EW30" i="1"/>
  <c r="EX30" i="1"/>
  <c r="EY30" i="1"/>
  <c r="EZ30" i="1"/>
  <c r="FA30" i="1"/>
  <c r="FB30" i="1"/>
  <c r="FC30" i="1"/>
  <c r="FD30" i="1"/>
  <c r="FE30" i="1"/>
  <c r="FF30" i="1"/>
  <c r="FG30" i="1"/>
  <c r="FH30" i="1"/>
  <c r="FI30" i="1"/>
  <c r="FJ30" i="1"/>
  <c r="FK30" i="1"/>
  <c r="FL30" i="1"/>
  <c r="FM30" i="1"/>
  <c r="FN30" i="1"/>
  <c r="FO30" i="1"/>
  <c r="FP30" i="1"/>
  <c r="FQ30" i="1"/>
  <c r="FR30" i="1"/>
  <c r="FS30" i="1"/>
  <c r="FT30" i="1"/>
  <c r="FU30" i="1"/>
  <c r="FV30" i="1"/>
  <c r="FW30" i="1"/>
  <c r="FX30" i="1"/>
  <c r="FY30" i="1"/>
  <c r="FZ30" i="1"/>
  <c r="GA30" i="1"/>
  <c r="GB30" i="1"/>
  <c r="GC30" i="1"/>
  <c r="GD30" i="1"/>
  <c r="GE30" i="1"/>
  <c r="GF30" i="1"/>
  <c r="GG30" i="1"/>
  <c r="GH30" i="1"/>
  <c r="GI30" i="1"/>
  <c r="GJ30" i="1"/>
  <c r="GK30" i="1"/>
  <c r="GL30" i="1"/>
  <c r="GM30" i="1"/>
  <c r="GN30" i="1"/>
  <c r="GO30" i="1"/>
  <c r="GP30" i="1"/>
  <c r="GQ30" i="1"/>
  <c r="GR30" i="1"/>
  <c r="GS30" i="1"/>
  <c r="GT30" i="1"/>
  <c r="GU30" i="1"/>
  <c r="GV30" i="1"/>
  <c r="GW30" i="1"/>
  <c r="GX30" i="1"/>
  <c r="I32" i="1"/>
  <c r="GX32" i="1" s="1"/>
  <c r="AC32" i="1"/>
  <c r="CQ32" i="1" s="1"/>
  <c r="AD32" i="1"/>
  <c r="CR32" i="1" s="1"/>
  <c r="Q32" i="1" s="1"/>
  <c r="AE32" i="1"/>
  <c r="AF32" i="1"/>
  <c r="CT32" i="1" s="1"/>
  <c r="AG32" i="1"/>
  <c r="CU32" i="1" s="1"/>
  <c r="AH32" i="1"/>
  <c r="CV32" i="1" s="1"/>
  <c r="U32" i="1" s="1"/>
  <c r="AI32" i="1"/>
  <c r="AJ32" i="1"/>
  <c r="CS32" i="1"/>
  <c r="CW32" i="1"/>
  <c r="CX32" i="1"/>
  <c r="W32" i="1" s="1"/>
  <c r="FR32" i="1"/>
  <c r="GL32" i="1"/>
  <c r="GO32" i="1"/>
  <c r="GP32" i="1"/>
  <c r="GV32" i="1"/>
  <c r="I33" i="1"/>
  <c r="GX33" i="1" s="1"/>
  <c r="V33" i="1"/>
  <c r="AC33" i="1"/>
  <c r="CQ33" i="1" s="1"/>
  <c r="AE33" i="1"/>
  <c r="AF33" i="1"/>
  <c r="CT33" i="1" s="1"/>
  <c r="AG33" i="1"/>
  <c r="CU33" i="1" s="1"/>
  <c r="AH33" i="1"/>
  <c r="AI33" i="1"/>
  <c r="CW33" i="1" s="1"/>
  <c r="AJ33" i="1"/>
  <c r="CX33" i="1" s="1"/>
  <c r="CV33" i="1"/>
  <c r="U33" i="1" s="1"/>
  <c r="FR33" i="1"/>
  <c r="GL33" i="1"/>
  <c r="GO33" i="1"/>
  <c r="GP33" i="1"/>
  <c r="GV33" i="1"/>
  <c r="I34" i="1"/>
  <c r="P34" i="1"/>
  <c r="AC34" i="1"/>
  <c r="AE34" i="1"/>
  <c r="AF34" i="1"/>
  <c r="CT34" i="1" s="1"/>
  <c r="S34" i="1" s="1"/>
  <c r="AG34" i="1"/>
  <c r="AH34" i="1"/>
  <c r="CV34" i="1" s="1"/>
  <c r="U34" i="1" s="1"/>
  <c r="AI34" i="1"/>
  <c r="CW34" i="1" s="1"/>
  <c r="V34" i="1" s="1"/>
  <c r="AJ34" i="1"/>
  <c r="CX34" i="1" s="1"/>
  <c r="W34" i="1" s="1"/>
  <c r="CQ34" i="1"/>
  <c r="CU34" i="1"/>
  <c r="T34" i="1" s="1"/>
  <c r="FR34" i="1"/>
  <c r="GL34" i="1"/>
  <c r="GO34" i="1"/>
  <c r="GP34" i="1"/>
  <c r="GV34" i="1"/>
  <c r="GX34" i="1" s="1"/>
  <c r="I35" i="1"/>
  <c r="P35" i="1"/>
  <c r="CP35" i="1" s="1"/>
  <c r="O35" i="1" s="1"/>
  <c r="W35" i="1"/>
  <c r="AC35" i="1"/>
  <c r="AB35" i="1" s="1"/>
  <c r="AD35" i="1"/>
  <c r="CR35" i="1" s="1"/>
  <c r="Q35" i="1" s="1"/>
  <c r="AE35" i="1"/>
  <c r="CS35" i="1" s="1"/>
  <c r="R35" i="1" s="1"/>
  <c r="AF35" i="1"/>
  <c r="AG35" i="1"/>
  <c r="AH35" i="1"/>
  <c r="CV35" i="1" s="1"/>
  <c r="U35" i="1" s="1"/>
  <c r="AI35" i="1"/>
  <c r="CW35" i="1" s="1"/>
  <c r="V35" i="1" s="1"/>
  <c r="AJ35" i="1"/>
  <c r="CQ35" i="1"/>
  <c r="CT35" i="1"/>
  <c r="S35" i="1" s="1"/>
  <c r="CU35" i="1"/>
  <c r="T35" i="1" s="1"/>
  <c r="CX35" i="1"/>
  <c r="FR35" i="1"/>
  <c r="GK35" i="1"/>
  <c r="GL35" i="1"/>
  <c r="GO35" i="1"/>
  <c r="GP35" i="1"/>
  <c r="GV35" i="1"/>
  <c r="GX35" i="1" s="1"/>
  <c r="C36" i="1"/>
  <c r="D36" i="1"/>
  <c r="I36" i="1"/>
  <c r="I37" i="1" s="1"/>
  <c r="P36" i="1"/>
  <c r="AC36" i="1"/>
  <c r="AE36" i="1"/>
  <c r="AF36" i="1"/>
  <c r="CT36" i="1" s="1"/>
  <c r="S36" i="1" s="1"/>
  <c r="AG36" i="1"/>
  <c r="AH36" i="1"/>
  <c r="CV36" i="1" s="1"/>
  <c r="U36" i="1" s="1"/>
  <c r="AI36" i="1"/>
  <c r="CW36" i="1" s="1"/>
  <c r="V36" i="1" s="1"/>
  <c r="AJ36" i="1"/>
  <c r="CX36" i="1" s="1"/>
  <c r="W36" i="1" s="1"/>
  <c r="CQ36" i="1"/>
  <c r="CU36" i="1"/>
  <c r="T36" i="1" s="1"/>
  <c r="FR36" i="1"/>
  <c r="GL36" i="1"/>
  <c r="GO36" i="1"/>
  <c r="GP36" i="1"/>
  <c r="GV36" i="1"/>
  <c r="GX36" i="1" s="1"/>
  <c r="S37" i="1"/>
  <c r="AC37" i="1"/>
  <c r="AD37" i="1"/>
  <c r="CR37" i="1" s="1"/>
  <c r="AE37" i="1"/>
  <c r="CS37" i="1" s="1"/>
  <c r="AF37" i="1"/>
  <c r="AG37" i="1"/>
  <c r="CU37" i="1" s="1"/>
  <c r="T37" i="1" s="1"/>
  <c r="AH37" i="1"/>
  <c r="CV37" i="1" s="1"/>
  <c r="U37" i="1" s="1"/>
  <c r="AI37" i="1"/>
  <c r="CW37" i="1" s="1"/>
  <c r="AJ37" i="1"/>
  <c r="CT37" i="1"/>
  <c r="CX37" i="1"/>
  <c r="W37" i="1" s="1"/>
  <c r="FR37" i="1"/>
  <c r="GL37" i="1"/>
  <c r="GO37" i="1"/>
  <c r="GP37" i="1"/>
  <c r="GV37" i="1"/>
  <c r="GX37" i="1" s="1"/>
  <c r="I38" i="1"/>
  <c r="V38" i="1" s="1"/>
  <c r="AC38" i="1"/>
  <c r="CQ38" i="1" s="1"/>
  <c r="AD38" i="1"/>
  <c r="CR38" i="1" s="1"/>
  <c r="Q38" i="1" s="1"/>
  <c r="AE38" i="1"/>
  <c r="AF38" i="1"/>
  <c r="AG38" i="1"/>
  <c r="CU38" i="1" s="1"/>
  <c r="AH38" i="1"/>
  <c r="CV38" i="1" s="1"/>
  <c r="U38" i="1" s="1"/>
  <c r="AI38" i="1"/>
  <c r="AJ38" i="1"/>
  <c r="CS38" i="1"/>
  <c r="CT38" i="1"/>
  <c r="CW38" i="1"/>
  <c r="CX38" i="1"/>
  <c r="FR38" i="1"/>
  <c r="GL38" i="1"/>
  <c r="GO38" i="1"/>
  <c r="GP38" i="1"/>
  <c r="GV38" i="1"/>
  <c r="C39" i="1"/>
  <c r="D39" i="1"/>
  <c r="I39" i="1"/>
  <c r="CX8" i="3" s="1"/>
  <c r="U39" i="1"/>
  <c r="W39" i="1"/>
  <c r="AC39" i="1"/>
  <c r="AD39" i="1"/>
  <c r="CR39" i="1" s="1"/>
  <c r="Q39" i="1" s="1"/>
  <c r="AE39" i="1"/>
  <c r="CS39" i="1" s="1"/>
  <c r="R39" i="1" s="1"/>
  <c r="AF39" i="1"/>
  <c r="AG39" i="1"/>
  <c r="AH39" i="1"/>
  <c r="AI39" i="1"/>
  <c r="CW39" i="1" s="1"/>
  <c r="V39" i="1" s="1"/>
  <c r="AJ39" i="1"/>
  <c r="CT39" i="1"/>
  <c r="S39" i="1" s="1"/>
  <c r="CY39" i="1" s="1"/>
  <c r="X39" i="1" s="1"/>
  <c r="CU39" i="1"/>
  <c r="T39" i="1" s="1"/>
  <c r="CV39" i="1"/>
  <c r="CX39" i="1"/>
  <c r="CZ39" i="1"/>
  <c r="Y39" i="1" s="1"/>
  <c r="FR39" i="1"/>
  <c r="GK39" i="1"/>
  <c r="GL39" i="1"/>
  <c r="GO39" i="1"/>
  <c r="GP39" i="1"/>
  <c r="GV39" i="1"/>
  <c r="GX39" i="1" s="1"/>
  <c r="C40" i="1"/>
  <c r="D40" i="1"/>
  <c r="I40" i="1"/>
  <c r="Q40" i="1"/>
  <c r="R40" i="1"/>
  <c r="GK40" i="1" s="1"/>
  <c r="V40" i="1"/>
  <c r="AC40" i="1"/>
  <c r="AD40" i="1"/>
  <c r="AE40" i="1"/>
  <c r="AF40" i="1"/>
  <c r="CT40" i="1" s="1"/>
  <c r="S40" i="1" s="1"/>
  <c r="CY40" i="1" s="1"/>
  <c r="X40" i="1" s="1"/>
  <c r="AG40" i="1"/>
  <c r="AH40" i="1"/>
  <c r="AI40" i="1"/>
  <c r="AJ40" i="1"/>
  <c r="CX40" i="1" s="1"/>
  <c r="W40" i="1" s="1"/>
  <c r="CQ40" i="1"/>
  <c r="P40" i="1" s="1"/>
  <c r="CP40" i="1" s="1"/>
  <c r="O40" i="1" s="1"/>
  <c r="CR40" i="1"/>
  <c r="CS40" i="1"/>
  <c r="CU40" i="1"/>
  <c r="T40" i="1" s="1"/>
  <c r="CV40" i="1"/>
  <c r="U40" i="1" s="1"/>
  <c r="CW40" i="1"/>
  <c r="CZ40" i="1"/>
  <c r="Y40" i="1" s="1"/>
  <c r="FR40" i="1"/>
  <c r="GL40" i="1"/>
  <c r="GO40" i="1"/>
  <c r="GP40" i="1"/>
  <c r="GV40" i="1"/>
  <c r="GX40" i="1"/>
  <c r="AC41" i="1"/>
  <c r="AE41" i="1"/>
  <c r="CS41" i="1" s="1"/>
  <c r="AF41" i="1"/>
  <c r="AG41" i="1"/>
  <c r="AH41" i="1"/>
  <c r="AI41" i="1"/>
  <c r="CW41" i="1" s="1"/>
  <c r="AJ41" i="1"/>
  <c r="CT41" i="1"/>
  <c r="CU41" i="1"/>
  <c r="CV41" i="1"/>
  <c r="CX41" i="1"/>
  <c r="FR41" i="1"/>
  <c r="GL41" i="1"/>
  <c r="GO41" i="1"/>
  <c r="GP41" i="1"/>
  <c r="GV41" i="1"/>
  <c r="C42" i="1"/>
  <c r="D42" i="1"/>
  <c r="I42" i="1"/>
  <c r="CX13" i="3" s="1"/>
  <c r="P42" i="1"/>
  <c r="U42" i="1"/>
  <c r="AC42" i="1"/>
  <c r="AE42" i="1"/>
  <c r="AD42" i="1" s="1"/>
  <c r="CR42" i="1" s="1"/>
  <c r="Q42" i="1" s="1"/>
  <c r="AF42" i="1"/>
  <c r="CT42" i="1" s="1"/>
  <c r="S42" i="1" s="1"/>
  <c r="AG42" i="1"/>
  <c r="AH42" i="1"/>
  <c r="AI42" i="1"/>
  <c r="CW42" i="1" s="1"/>
  <c r="V42" i="1" s="1"/>
  <c r="AJ42" i="1"/>
  <c r="CX42" i="1" s="1"/>
  <c r="W42" i="1" s="1"/>
  <c r="CQ42" i="1"/>
  <c r="CS42" i="1"/>
  <c r="R42" i="1" s="1"/>
  <c r="GK42" i="1" s="1"/>
  <c r="CU42" i="1"/>
  <c r="T42" i="1" s="1"/>
  <c r="CV42" i="1"/>
  <c r="FR42" i="1"/>
  <c r="GL42" i="1"/>
  <c r="GO42" i="1"/>
  <c r="GP42" i="1"/>
  <c r="GV42" i="1"/>
  <c r="GX42" i="1"/>
  <c r="C43" i="1"/>
  <c r="D43" i="1"/>
  <c r="I43" i="1"/>
  <c r="W43" i="1"/>
  <c r="AC43" i="1"/>
  <c r="AD43" i="1"/>
  <c r="CR43" i="1" s="1"/>
  <c r="Q43" i="1" s="1"/>
  <c r="AE43" i="1"/>
  <c r="AF43" i="1"/>
  <c r="AG43" i="1"/>
  <c r="CU43" i="1" s="1"/>
  <c r="T43" i="1" s="1"/>
  <c r="AH43" i="1"/>
  <c r="CV43" i="1" s="1"/>
  <c r="U43" i="1" s="1"/>
  <c r="AI43" i="1"/>
  <c r="AJ43" i="1"/>
  <c r="CS43" i="1"/>
  <c r="R43" i="1" s="1"/>
  <c r="GK43" i="1" s="1"/>
  <c r="CT43" i="1"/>
  <c r="S43" i="1" s="1"/>
  <c r="CW43" i="1"/>
  <c r="V43" i="1" s="1"/>
  <c r="CX43" i="1"/>
  <c r="FR43" i="1"/>
  <c r="GL43" i="1"/>
  <c r="GO43" i="1"/>
  <c r="GP43" i="1"/>
  <c r="GV43" i="1"/>
  <c r="GX43" i="1"/>
  <c r="C44" i="1"/>
  <c r="D44" i="1"/>
  <c r="I44" i="1"/>
  <c r="P44" i="1"/>
  <c r="AC44" i="1"/>
  <c r="AD44" i="1"/>
  <c r="CR44" i="1" s="1"/>
  <c r="Q44" i="1" s="1"/>
  <c r="AE44" i="1"/>
  <c r="CS44" i="1" s="1"/>
  <c r="R44" i="1" s="1"/>
  <c r="GK44" i="1" s="1"/>
  <c r="AF44" i="1"/>
  <c r="AG44" i="1"/>
  <c r="AH44" i="1"/>
  <c r="CV44" i="1" s="1"/>
  <c r="U44" i="1" s="1"/>
  <c r="AI44" i="1"/>
  <c r="CW44" i="1" s="1"/>
  <c r="V44" i="1" s="1"/>
  <c r="AJ44" i="1"/>
  <c r="CQ44" i="1"/>
  <c r="CT44" i="1"/>
  <c r="S44" i="1" s="1"/>
  <c r="CU44" i="1"/>
  <c r="T44" i="1" s="1"/>
  <c r="CX44" i="1"/>
  <c r="W44" i="1" s="1"/>
  <c r="FR44" i="1"/>
  <c r="GL44" i="1"/>
  <c r="GO44" i="1"/>
  <c r="GP44" i="1"/>
  <c r="GV44" i="1"/>
  <c r="GX44" i="1" s="1"/>
  <c r="C45" i="1"/>
  <c r="D45" i="1"/>
  <c r="V45" i="1"/>
  <c r="AC45" i="1"/>
  <c r="CQ45" i="1" s="1"/>
  <c r="P45" i="1" s="1"/>
  <c r="AE45" i="1"/>
  <c r="AD45" i="1" s="1"/>
  <c r="CR45" i="1" s="1"/>
  <c r="Q45" i="1" s="1"/>
  <c r="AF45" i="1"/>
  <c r="AG45" i="1"/>
  <c r="CU45" i="1" s="1"/>
  <c r="T45" i="1" s="1"/>
  <c r="AH45" i="1"/>
  <c r="AI45" i="1"/>
  <c r="AJ45" i="1"/>
  <c r="CX45" i="1" s="1"/>
  <c r="W45" i="1" s="1"/>
  <c r="CS45" i="1"/>
  <c r="R45" i="1" s="1"/>
  <c r="GK45" i="1" s="1"/>
  <c r="CV45" i="1"/>
  <c r="U45" i="1" s="1"/>
  <c r="CW45" i="1"/>
  <c r="FR45" i="1"/>
  <c r="GL45" i="1"/>
  <c r="GO45" i="1"/>
  <c r="GP45" i="1"/>
  <c r="GV45" i="1"/>
  <c r="GX45" i="1"/>
  <c r="C46" i="1"/>
  <c r="D46" i="1"/>
  <c r="I46" i="1"/>
  <c r="W46" i="1"/>
  <c r="AC46" i="1"/>
  <c r="AD46" i="1"/>
  <c r="CR46" i="1" s="1"/>
  <c r="Q46" i="1" s="1"/>
  <c r="AE46" i="1"/>
  <c r="AF46" i="1"/>
  <c r="AG46" i="1"/>
  <c r="CU46" i="1" s="1"/>
  <c r="T46" i="1" s="1"/>
  <c r="AH46" i="1"/>
  <c r="CV46" i="1" s="1"/>
  <c r="U46" i="1" s="1"/>
  <c r="AI46" i="1"/>
  <c r="AJ46" i="1"/>
  <c r="CS46" i="1"/>
  <c r="R46" i="1" s="1"/>
  <c r="GK46" i="1" s="1"/>
  <c r="CT46" i="1"/>
  <c r="S46" i="1" s="1"/>
  <c r="CW46" i="1"/>
  <c r="V46" i="1" s="1"/>
  <c r="CX46" i="1"/>
  <c r="FR46" i="1"/>
  <c r="GL46" i="1"/>
  <c r="GO46" i="1"/>
  <c r="GP46" i="1"/>
  <c r="GV46" i="1"/>
  <c r="GX46" i="1"/>
  <c r="I47" i="1"/>
  <c r="AB47" i="1"/>
  <c r="AC47" i="1"/>
  <c r="CQ47" i="1" s="1"/>
  <c r="P47" i="1" s="1"/>
  <c r="AE47" i="1"/>
  <c r="AD47" i="1" s="1"/>
  <c r="CR47" i="1" s="1"/>
  <c r="AF47" i="1"/>
  <c r="CT47" i="1" s="1"/>
  <c r="AG47" i="1"/>
  <c r="CU47" i="1" s="1"/>
  <c r="T47" i="1" s="1"/>
  <c r="AH47" i="1"/>
  <c r="AI47" i="1"/>
  <c r="AJ47" i="1"/>
  <c r="CX47" i="1" s="1"/>
  <c r="CS47" i="1"/>
  <c r="R47" i="1" s="1"/>
  <c r="GK47" i="1" s="1"/>
  <c r="CV47" i="1"/>
  <c r="U47" i="1" s="1"/>
  <c r="CW47" i="1"/>
  <c r="V47" i="1" s="1"/>
  <c r="FR47" i="1"/>
  <c r="GL47" i="1"/>
  <c r="GO47" i="1"/>
  <c r="GP47" i="1"/>
  <c r="GV47" i="1"/>
  <c r="GX47" i="1"/>
  <c r="C48" i="1"/>
  <c r="D48" i="1"/>
  <c r="I48" i="1"/>
  <c r="AC48" i="1"/>
  <c r="AD48" i="1"/>
  <c r="CR48" i="1" s="1"/>
  <c r="Q48" i="1" s="1"/>
  <c r="AE48" i="1"/>
  <c r="AF48" i="1"/>
  <c r="AG48" i="1"/>
  <c r="CU48" i="1" s="1"/>
  <c r="T48" i="1" s="1"/>
  <c r="AH48" i="1"/>
  <c r="CV48" i="1" s="1"/>
  <c r="U48" i="1" s="1"/>
  <c r="AI48" i="1"/>
  <c r="AJ48" i="1"/>
  <c r="CS48" i="1"/>
  <c r="R48" i="1" s="1"/>
  <c r="GK48" i="1" s="1"/>
  <c r="CT48" i="1"/>
  <c r="S48" i="1" s="1"/>
  <c r="CW48" i="1"/>
  <c r="V48" i="1" s="1"/>
  <c r="CX48" i="1"/>
  <c r="W48" i="1" s="1"/>
  <c r="FR48" i="1"/>
  <c r="GL48" i="1"/>
  <c r="GO48" i="1"/>
  <c r="GP48" i="1"/>
  <c r="GV48" i="1"/>
  <c r="GX48" i="1"/>
  <c r="I49" i="1"/>
  <c r="R49" i="1" s="1"/>
  <c r="GK49" i="1" s="1"/>
  <c r="AC49" i="1"/>
  <c r="CQ49" i="1" s="1"/>
  <c r="P49" i="1" s="1"/>
  <c r="AE49" i="1"/>
  <c r="AD49" i="1" s="1"/>
  <c r="CR49" i="1" s="1"/>
  <c r="AF49" i="1"/>
  <c r="CT49" i="1" s="1"/>
  <c r="AG49" i="1"/>
  <c r="CU49" i="1" s="1"/>
  <c r="AH49" i="1"/>
  <c r="AI49" i="1"/>
  <c r="AJ49" i="1"/>
  <c r="CX49" i="1" s="1"/>
  <c r="CS49" i="1"/>
  <c r="CV49" i="1"/>
  <c r="U49" i="1" s="1"/>
  <c r="CW49" i="1"/>
  <c r="V49" i="1" s="1"/>
  <c r="FR49" i="1"/>
  <c r="GL49" i="1"/>
  <c r="GO49" i="1"/>
  <c r="GP49" i="1"/>
  <c r="GV49" i="1"/>
  <c r="GX49" i="1"/>
  <c r="C50" i="1"/>
  <c r="D50" i="1"/>
  <c r="I50" i="1"/>
  <c r="CX40" i="3" s="1"/>
  <c r="W50" i="1"/>
  <c r="AC50" i="1"/>
  <c r="AD50" i="1"/>
  <c r="CR50" i="1" s="1"/>
  <c r="Q50" i="1" s="1"/>
  <c r="AE50" i="1"/>
  <c r="AF50" i="1"/>
  <c r="AG50" i="1"/>
  <c r="CU50" i="1" s="1"/>
  <c r="T50" i="1" s="1"/>
  <c r="AH50" i="1"/>
  <c r="CV50" i="1" s="1"/>
  <c r="U50" i="1" s="1"/>
  <c r="AI50" i="1"/>
  <c r="AJ50" i="1"/>
  <c r="CS50" i="1"/>
  <c r="R50" i="1" s="1"/>
  <c r="GK50" i="1" s="1"/>
  <c r="CT50" i="1"/>
  <c r="S50" i="1" s="1"/>
  <c r="CW50" i="1"/>
  <c r="V50" i="1" s="1"/>
  <c r="CX50" i="1"/>
  <c r="FR50" i="1"/>
  <c r="GL50" i="1"/>
  <c r="GO50" i="1"/>
  <c r="GP50" i="1"/>
  <c r="GV50" i="1"/>
  <c r="GX50" i="1"/>
  <c r="B52" i="1"/>
  <c r="B30" i="1" s="1"/>
  <c r="C52" i="1"/>
  <c r="C30" i="1" s="1"/>
  <c r="D52" i="1"/>
  <c r="D30" i="1" s="1"/>
  <c r="F52" i="1"/>
  <c r="F30" i="1" s="1"/>
  <c r="G52" i="1"/>
  <c r="G30" i="1" s="1"/>
  <c r="BB52" i="1"/>
  <c r="BX52" i="1"/>
  <c r="AO52" i="1" s="1"/>
  <c r="BZ52" i="1"/>
  <c r="CD52" i="1"/>
  <c r="CK52" i="1"/>
  <c r="CK30" i="1" s="1"/>
  <c r="CL52" i="1"/>
  <c r="D81" i="1"/>
  <c r="E83" i="1"/>
  <c r="Z83" i="1"/>
  <c r="AA83" i="1"/>
  <c r="AM83" i="1"/>
  <c r="AN83" i="1"/>
  <c r="BD83" i="1"/>
  <c r="BE83" i="1"/>
  <c r="BF83" i="1"/>
  <c r="BG83" i="1"/>
  <c r="BH83" i="1"/>
  <c r="BI83" i="1"/>
  <c r="BJ83" i="1"/>
  <c r="BK83" i="1"/>
  <c r="BL83" i="1"/>
  <c r="BM83" i="1"/>
  <c r="BN83" i="1"/>
  <c r="BO83" i="1"/>
  <c r="BP83" i="1"/>
  <c r="BQ83" i="1"/>
  <c r="BR83" i="1"/>
  <c r="BS83" i="1"/>
  <c r="BT83" i="1"/>
  <c r="BU83" i="1"/>
  <c r="BV83" i="1"/>
  <c r="BW83" i="1"/>
  <c r="CM83" i="1"/>
  <c r="CN83" i="1"/>
  <c r="CO83" i="1"/>
  <c r="CP83" i="1"/>
  <c r="CQ83" i="1"/>
  <c r="CR83" i="1"/>
  <c r="CS83" i="1"/>
  <c r="CT83" i="1"/>
  <c r="CU83" i="1"/>
  <c r="CV83" i="1"/>
  <c r="CW83" i="1"/>
  <c r="CX83" i="1"/>
  <c r="CY83" i="1"/>
  <c r="CZ83" i="1"/>
  <c r="DA83" i="1"/>
  <c r="DB83" i="1"/>
  <c r="DC83" i="1"/>
  <c r="DD83" i="1"/>
  <c r="DE83" i="1"/>
  <c r="DF83" i="1"/>
  <c r="DG83" i="1"/>
  <c r="DH83" i="1"/>
  <c r="DI83" i="1"/>
  <c r="DJ83" i="1"/>
  <c r="DK83" i="1"/>
  <c r="DL83" i="1"/>
  <c r="DM83" i="1"/>
  <c r="DN83" i="1"/>
  <c r="DO83" i="1"/>
  <c r="DP83" i="1"/>
  <c r="DQ83" i="1"/>
  <c r="DR83" i="1"/>
  <c r="DS83" i="1"/>
  <c r="DT83" i="1"/>
  <c r="DU83" i="1"/>
  <c r="DV83" i="1"/>
  <c r="DW83" i="1"/>
  <c r="DX83" i="1"/>
  <c r="DY83" i="1"/>
  <c r="DZ83" i="1"/>
  <c r="EA83" i="1"/>
  <c r="EB83" i="1"/>
  <c r="EC83" i="1"/>
  <c r="ED83" i="1"/>
  <c r="EE83" i="1"/>
  <c r="EF83" i="1"/>
  <c r="EG83" i="1"/>
  <c r="EH83" i="1"/>
  <c r="EI83" i="1"/>
  <c r="EJ83" i="1"/>
  <c r="EK83" i="1"/>
  <c r="EL83" i="1"/>
  <c r="EM83" i="1"/>
  <c r="EN83" i="1"/>
  <c r="EO83" i="1"/>
  <c r="EP83" i="1"/>
  <c r="EQ83" i="1"/>
  <c r="ER83" i="1"/>
  <c r="ES83" i="1"/>
  <c r="ET83" i="1"/>
  <c r="EU83" i="1"/>
  <c r="EV83" i="1"/>
  <c r="EW83" i="1"/>
  <c r="EX83" i="1"/>
  <c r="EY83" i="1"/>
  <c r="EZ83" i="1"/>
  <c r="FA83" i="1"/>
  <c r="FB83" i="1"/>
  <c r="FC83" i="1"/>
  <c r="FD83" i="1"/>
  <c r="FE83" i="1"/>
  <c r="FF83" i="1"/>
  <c r="FG83" i="1"/>
  <c r="FH83" i="1"/>
  <c r="FI83" i="1"/>
  <c r="FJ83" i="1"/>
  <c r="FK83" i="1"/>
  <c r="FL83" i="1"/>
  <c r="FM83" i="1"/>
  <c r="FN83" i="1"/>
  <c r="FO83" i="1"/>
  <c r="FP83" i="1"/>
  <c r="FQ83" i="1"/>
  <c r="FR83" i="1"/>
  <c r="FS83" i="1"/>
  <c r="FT83" i="1"/>
  <c r="FU83" i="1"/>
  <c r="FV83" i="1"/>
  <c r="FW83" i="1"/>
  <c r="FX83" i="1"/>
  <c r="FY83" i="1"/>
  <c r="FZ83" i="1"/>
  <c r="GA83" i="1"/>
  <c r="GB83" i="1"/>
  <c r="GC83" i="1"/>
  <c r="GD83" i="1"/>
  <c r="GE83" i="1"/>
  <c r="GF83" i="1"/>
  <c r="GG83" i="1"/>
  <c r="GH83" i="1"/>
  <c r="GI83" i="1"/>
  <c r="GJ83" i="1"/>
  <c r="GK83" i="1"/>
  <c r="GL83" i="1"/>
  <c r="GM83" i="1"/>
  <c r="GN83" i="1"/>
  <c r="GO83" i="1"/>
  <c r="GP83" i="1"/>
  <c r="GQ83" i="1"/>
  <c r="GR83" i="1"/>
  <c r="GS83" i="1"/>
  <c r="GT83" i="1"/>
  <c r="GU83" i="1"/>
  <c r="GV83" i="1"/>
  <c r="GW83" i="1"/>
  <c r="GX83" i="1"/>
  <c r="C85" i="1"/>
  <c r="D85" i="1"/>
  <c r="I85" i="1"/>
  <c r="AC85" i="1"/>
  <c r="AD85" i="1"/>
  <c r="CR85" i="1" s="1"/>
  <c r="Q85" i="1" s="1"/>
  <c r="AE85" i="1"/>
  <c r="AF85" i="1"/>
  <c r="CT85" i="1" s="1"/>
  <c r="S85" i="1" s="1"/>
  <c r="AG85" i="1"/>
  <c r="AH85" i="1"/>
  <c r="CV85" i="1" s="1"/>
  <c r="U85" i="1" s="1"/>
  <c r="AI85" i="1"/>
  <c r="AJ85" i="1"/>
  <c r="CX85" i="1" s="1"/>
  <c r="W85" i="1" s="1"/>
  <c r="CQ85" i="1"/>
  <c r="P85" i="1" s="1"/>
  <c r="CS85" i="1"/>
  <c r="R85" i="1" s="1"/>
  <c r="GK85" i="1" s="1"/>
  <c r="CU85" i="1"/>
  <c r="CW85" i="1"/>
  <c r="V85" i="1" s="1"/>
  <c r="FR85" i="1"/>
  <c r="GL85" i="1"/>
  <c r="GO85" i="1"/>
  <c r="GP85" i="1"/>
  <c r="GV85" i="1"/>
  <c r="GX85" i="1"/>
  <c r="AC86" i="1"/>
  <c r="CQ86" i="1" s="1"/>
  <c r="AE86" i="1"/>
  <c r="AF86" i="1"/>
  <c r="AG86" i="1"/>
  <c r="CU86" i="1" s="1"/>
  <c r="AH86" i="1"/>
  <c r="AI86" i="1"/>
  <c r="CW86" i="1" s="1"/>
  <c r="AJ86" i="1"/>
  <c r="CT86" i="1"/>
  <c r="CV86" i="1"/>
  <c r="CX86" i="1"/>
  <c r="FR86" i="1"/>
  <c r="GL86" i="1"/>
  <c r="GO86" i="1"/>
  <c r="GP86" i="1"/>
  <c r="GV86" i="1"/>
  <c r="AC87" i="1"/>
  <c r="AD87" i="1"/>
  <c r="AE87" i="1"/>
  <c r="AF87" i="1"/>
  <c r="CT87" i="1" s="1"/>
  <c r="AG87" i="1"/>
  <c r="AH87" i="1"/>
  <c r="CV87" i="1" s="1"/>
  <c r="AI87" i="1"/>
  <c r="AJ87" i="1"/>
  <c r="CX87" i="1" s="1"/>
  <c r="CQ87" i="1"/>
  <c r="CS87" i="1"/>
  <c r="CU87" i="1"/>
  <c r="CW87" i="1"/>
  <c r="FR87" i="1"/>
  <c r="GL87" i="1"/>
  <c r="GO87" i="1"/>
  <c r="GP87" i="1"/>
  <c r="GV87" i="1"/>
  <c r="C88" i="1"/>
  <c r="D88" i="1"/>
  <c r="I88" i="1"/>
  <c r="AC88" i="1"/>
  <c r="AE88" i="1"/>
  <c r="AF88" i="1"/>
  <c r="AG88" i="1"/>
  <c r="CU88" i="1" s="1"/>
  <c r="T88" i="1" s="1"/>
  <c r="AH88" i="1"/>
  <c r="AI88" i="1"/>
  <c r="CW88" i="1" s="1"/>
  <c r="V88" i="1" s="1"/>
  <c r="AJ88" i="1"/>
  <c r="CT88" i="1"/>
  <c r="S88" i="1" s="1"/>
  <c r="CV88" i="1"/>
  <c r="U88" i="1" s="1"/>
  <c r="CX88" i="1"/>
  <c r="W88" i="1" s="1"/>
  <c r="FR88" i="1"/>
  <c r="GL88" i="1"/>
  <c r="GO88" i="1"/>
  <c r="GP88" i="1"/>
  <c r="GV88" i="1"/>
  <c r="GX88" i="1"/>
  <c r="I89" i="1"/>
  <c r="R89" i="1"/>
  <c r="GK89" i="1" s="1"/>
  <c r="W89" i="1"/>
  <c r="AC89" i="1"/>
  <c r="AD89" i="1"/>
  <c r="CR89" i="1" s="1"/>
  <c r="Q89" i="1" s="1"/>
  <c r="AE89" i="1"/>
  <c r="AF89" i="1"/>
  <c r="AG89" i="1"/>
  <c r="CU89" i="1" s="1"/>
  <c r="T89" i="1" s="1"/>
  <c r="AH89" i="1"/>
  <c r="CV89" i="1" s="1"/>
  <c r="U89" i="1" s="1"/>
  <c r="AI89" i="1"/>
  <c r="AJ89" i="1"/>
  <c r="CS89" i="1"/>
  <c r="CT89" i="1"/>
  <c r="S89" i="1" s="1"/>
  <c r="CW89" i="1"/>
  <c r="V89" i="1" s="1"/>
  <c r="CX89" i="1"/>
  <c r="FR89" i="1"/>
  <c r="GL89" i="1"/>
  <c r="GO89" i="1"/>
  <c r="GP89" i="1"/>
  <c r="GV89" i="1"/>
  <c r="GX89" i="1"/>
  <c r="I90" i="1"/>
  <c r="V90" i="1"/>
  <c r="AC90" i="1"/>
  <c r="CQ90" i="1" s="1"/>
  <c r="P90" i="1" s="1"/>
  <c r="AE90" i="1"/>
  <c r="AD90" i="1" s="1"/>
  <c r="CR90" i="1" s="1"/>
  <c r="Q90" i="1" s="1"/>
  <c r="AF90" i="1"/>
  <c r="AG90" i="1"/>
  <c r="CU90" i="1" s="1"/>
  <c r="T90" i="1" s="1"/>
  <c r="AH90" i="1"/>
  <c r="AI90" i="1"/>
  <c r="AJ90" i="1"/>
  <c r="CX90" i="1" s="1"/>
  <c r="W90" i="1" s="1"/>
  <c r="CS90" i="1"/>
  <c r="R90" i="1" s="1"/>
  <c r="GK90" i="1" s="1"/>
  <c r="CV90" i="1"/>
  <c r="U90" i="1" s="1"/>
  <c r="CW90" i="1"/>
  <c r="FR90" i="1"/>
  <c r="BY187" i="1" s="1"/>
  <c r="GL90" i="1"/>
  <c r="GO90" i="1"/>
  <c r="GP90" i="1"/>
  <c r="GV90" i="1"/>
  <c r="GX90" i="1"/>
  <c r="C91" i="1"/>
  <c r="D91" i="1"/>
  <c r="I91" i="1"/>
  <c r="W91" i="1"/>
  <c r="AC91" i="1"/>
  <c r="AD91" i="1"/>
  <c r="CR91" i="1" s="1"/>
  <c r="Q91" i="1" s="1"/>
  <c r="AE91" i="1"/>
  <c r="AF91" i="1"/>
  <c r="AG91" i="1"/>
  <c r="CU91" i="1" s="1"/>
  <c r="T91" i="1" s="1"/>
  <c r="AH91" i="1"/>
  <c r="CV91" i="1" s="1"/>
  <c r="U91" i="1" s="1"/>
  <c r="AI91" i="1"/>
  <c r="AJ91" i="1"/>
  <c r="CS91" i="1"/>
  <c r="R91" i="1" s="1"/>
  <c r="CT91" i="1"/>
  <c r="S91" i="1" s="1"/>
  <c r="CW91" i="1"/>
  <c r="V91" i="1" s="1"/>
  <c r="CX91" i="1"/>
  <c r="FR91" i="1"/>
  <c r="GK91" i="1"/>
  <c r="GL91" i="1"/>
  <c r="GO91" i="1"/>
  <c r="GP91" i="1"/>
  <c r="GV91" i="1"/>
  <c r="GX91" i="1"/>
  <c r="C92" i="1"/>
  <c r="D92" i="1"/>
  <c r="I92" i="1"/>
  <c r="P92" i="1"/>
  <c r="CP92" i="1" s="1"/>
  <c r="O92" i="1" s="1"/>
  <c r="AC92" i="1"/>
  <c r="AD92" i="1"/>
  <c r="CR92" i="1" s="1"/>
  <c r="Q92" i="1" s="1"/>
  <c r="AE92" i="1"/>
  <c r="CS92" i="1" s="1"/>
  <c r="R92" i="1" s="1"/>
  <c r="GK92" i="1" s="1"/>
  <c r="AF92" i="1"/>
  <c r="AG92" i="1"/>
  <c r="AH92" i="1"/>
  <c r="CV92" i="1" s="1"/>
  <c r="U92" i="1" s="1"/>
  <c r="AI92" i="1"/>
  <c r="CW92" i="1" s="1"/>
  <c r="V92" i="1" s="1"/>
  <c r="AJ92" i="1"/>
  <c r="CQ92" i="1"/>
  <c r="CT92" i="1"/>
  <c r="S92" i="1" s="1"/>
  <c r="CU92" i="1"/>
  <c r="T92" i="1" s="1"/>
  <c r="CX92" i="1"/>
  <c r="W92" i="1" s="1"/>
  <c r="FR92" i="1"/>
  <c r="GL92" i="1"/>
  <c r="GO92" i="1"/>
  <c r="GP92" i="1"/>
  <c r="GV92" i="1"/>
  <c r="GX92" i="1" s="1"/>
  <c r="I93" i="1"/>
  <c r="S93" i="1"/>
  <c r="W93" i="1"/>
  <c r="AC93" i="1"/>
  <c r="AE93" i="1"/>
  <c r="AD93" i="1" s="1"/>
  <c r="CR93" i="1" s="1"/>
  <c r="Q93" i="1" s="1"/>
  <c r="AF93" i="1"/>
  <c r="AG93" i="1"/>
  <c r="CU93" i="1" s="1"/>
  <c r="T93" i="1" s="1"/>
  <c r="AH93" i="1"/>
  <c r="AI93" i="1"/>
  <c r="AJ93" i="1"/>
  <c r="CS93" i="1"/>
  <c r="R93" i="1" s="1"/>
  <c r="GK93" i="1" s="1"/>
  <c r="CT93" i="1"/>
  <c r="CV93" i="1"/>
  <c r="U93" i="1" s="1"/>
  <c r="CW93" i="1"/>
  <c r="V93" i="1" s="1"/>
  <c r="CX93" i="1"/>
  <c r="FR93" i="1"/>
  <c r="GL93" i="1"/>
  <c r="GO93" i="1"/>
  <c r="GP93" i="1"/>
  <c r="GV93" i="1"/>
  <c r="GX93" i="1"/>
  <c r="C94" i="1"/>
  <c r="D94" i="1"/>
  <c r="I94" i="1"/>
  <c r="P94" i="1"/>
  <c r="T94" i="1"/>
  <c r="AC94" i="1"/>
  <c r="AD94" i="1"/>
  <c r="CR94" i="1" s="1"/>
  <c r="Q94" i="1" s="1"/>
  <c r="AE94" i="1"/>
  <c r="AF94" i="1"/>
  <c r="AG94" i="1"/>
  <c r="AH94" i="1"/>
  <c r="CV94" i="1" s="1"/>
  <c r="U94" i="1" s="1"/>
  <c r="AI94" i="1"/>
  <c r="AJ94" i="1"/>
  <c r="CQ94" i="1"/>
  <c r="CS94" i="1"/>
  <c r="R94" i="1" s="1"/>
  <c r="CT94" i="1"/>
  <c r="S94" i="1" s="1"/>
  <c r="CU94" i="1"/>
  <c r="CW94" i="1"/>
  <c r="V94" i="1" s="1"/>
  <c r="CX94" i="1"/>
  <c r="W94" i="1" s="1"/>
  <c r="FR94" i="1"/>
  <c r="GL94" i="1"/>
  <c r="GO94" i="1"/>
  <c r="GP94" i="1"/>
  <c r="GV94" i="1"/>
  <c r="GX94" i="1"/>
  <c r="C95" i="1"/>
  <c r="D95" i="1"/>
  <c r="I95" i="1"/>
  <c r="U95" i="1"/>
  <c r="AC95" i="1"/>
  <c r="AE95" i="1"/>
  <c r="AF95" i="1"/>
  <c r="AG95" i="1"/>
  <c r="CU95" i="1" s="1"/>
  <c r="T95" i="1" s="1"/>
  <c r="AH95" i="1"/>
  <c r="AI95" i="1"/>
  <c r="CW95" i="1" s="1"/>
  <c r="V95" i="1" s="1"/>
  <c r="AJ95" i="1"/>
  <c r="CT95" i="1"/>
  <c r="S95" i="1" s="1"/>
  <c r="CV95" i="1"/>
  <c r="CX95" i="1"/>
  <c r="W95" i="1" s="1"/>
  <c r="FR95" i="1"/>
  <c r="GL95" i="1"/>
  <c r="GO95" i="1"/>
  <c r="GP95" i="1"/>
  <c r="GV95" i="1"/>
  <c r="GX95" i="1" s="1"/>
  <c r="I96" i="1"/>
  <c r="AC96" i="1"/>
  <c r="AB96" i="1" s="1"/>
  <c r="AD96" i="1"/>
  <c r="CR96" i="1" s="1"/>
  <c r="Q96" i="1" s="1"/>
  <c r="AE96" i="1"/>
  <c r="AF96" i="1"/>
  <c r="AG96" i="1"/>
  <c r="AH96" i="1"/>
  <c r="CV96" i="1" s="1"/>
  <c r="U96" i="1" s="1"/>
  <c r="AI96" i="1"/>
  <c r="AJ96" i="1"/>
  <c r="CQ96" i="1"/>
  <c r="P96" i="1" s="1"/>
  <c r="CP96" i="1" s="1"/>
  <c r="O96" i="1" s="1"/>
  <c r="CS96" i="1"/>
  <c r="R96" i="1" s="1"/>
  <c r="GK96" i="1" s="1"/>
  <c r="CT96" i="1"/>
  <c r="S96" i="1" s="1"/>
  <c r="CU96" i="1"/>
  <c r="T96" i="1" s="1"/>
  <c r="CW96" i="1"/>
  <c r="V96" i="1" s="1"/>
  <c r="CX96" i="1"/>
  <c r="W96" i="1" s="1"/>
  <c r="FR96" i="1"/>
  <c r="GL96" i="1"/>
  <c r="GO96" i="1"/>
  <c r="GP96" i="1"/>
  <c r="GV96" i="1"/>
  <c r="GX96" i="1"/>
  <c r="I97" i="1"/>
  <c r="S97" i="1"/>
  <c r="W97" i="1"/>
  <c r="AC97" i="1"/>
  <c r="AE97" i="1"/>
  <c r="AD97" i="1" s="1"/>
  <c r="CR97" i="1" s="1"/>
  <c r="Q97" i="1" s="1"/>
  <c r="AF97" i="1"/>
  <c r="AG97" i="1"/>
  <c r="CU97" i="1" s="1"/>
  <c r="T97" i="1" s="1"/>
  <c r="AH97" i="1"/>
  <c r="AI97" i="1"/>
  <c r="AJ97" i="1"/>
  <c r="CS97" i="1"/>
  <c r="R97" i="1" s="1"/>
  <c r="GK97" i="1" s="1"/>
  <c r="CT97" i="1"/>
  <c r="CV97" i="1"/>
  <c r="U97" i="1" s="1"/>
  <c r="CW97" i="1"/>
  <c r="V97" i="1" s="1"/>
  <c r="CX97" i="1"/>
  <c r="FR97" i="1"/>
  <c r="GL97" i="1"/>
  <c r="GO97" i="1"/>
  <c r="GP97" i="1"/>
  <c r="GV97" i="1"/>
  <c r="GX97" i="1"/>
  <c r="C98" i="1"/>
  <c r="D98" i="1"/>
  <c r="U98" i="1"/>
  <c r="AC98" i="1"/>
  <c r="AE98" i="1"/>
  <c r="AF98" i="1"/>
  <c r="AG98" i="1"/>
  <c r="AH98" i="1"/>
  <c r="AI98" i="1"/>
  <c r="CW98" i="1" s="1"/>
  <c r="V98" i="1" s="1"/>
  <c r="AJ98" i="1"/>
  <c r="CQ98" i="1"/>
  <c r="P98" i="1" s="1"/>
  <c r="CT98" i="1"/>
  <c r="S98" i="1" s="1"/>
  <c r="CU98" i="1"/>
  <c r="T98" i="1" s="1"/>
  <c r="CV98" i="1"/>
  <c r="CX98" i="1"/>
  <c r="W98" i="1" s="1"/>
  <c r="FR98" i="1"/>
  <c r="GL98" i="1"/>
  <c r="GO98" i="1"/>
  <c r="GP98" i="1"/>
  <c r="GV98" i="1"/>
  <c r="GX98" i="1" s="1"/>
  <c r="I99" i="1"/>
  <c r="P99" i="1"/>
  <c r="T99" i="1"/>
  <c r="AC99" i="1"/>
  <c r="AD99" i="1"/>
  <c r="CR99" i="1" s="1"/>
  <c r="Q99" i="1" s="1"/>
  <c r="AE99" i="1"/>
  <c r="AF99" i="1"/>
  <c r="AG99" i="1"/>
  <c r="AH99" i="1"/>
  <c r="CV99" i="1" s="1"/>
  <c r="U99" i="1" s="1"/>
  <c r="AI99" i="1"/>
  <c r="AJ99" i="1"/>
  <c r="CQ99" i="1"/>
  <c r="CS99" i="1"/>
  <c r="R99" i="1" s="1"/>
  <c r="GK99" i="1" s="1"/>
  <c r="CT99" i="1"/>
  <c r="S99" i="1" s="1"/>
  <c r="CZ99" i="1" s="1"/>
  <c r="Y99" i="1" s="1"/>
  <c r="CU99" i="1"/>
  <c r="CW99" i="1"/>
  <c r="V99" i="1" s="1"/>
  <c r="CX99" i="1"/>
  <c r="W99" i="1" s="1"/>
  <c r="CY99" i="1"/>
  <c r="X99" i="1" s="1"/>
  <c r="FR99" i="1"/>
  <c r="GL99" i="1"/>
  <c r="GO99" i="1"/>
  <c r="GP99" i="1"/>
  <c r="GV99" i="1"/>
  <c r="GX99" i="1"/>
  <c r="I100" i="1"/>
  <c r="AC100" i="1"/>
  <c r="AE100" i="1"/>
  <c r="AD100" i="1" s="1"/>
  <c r="CR100" i="1" s="1"/>
  <c r="Q100" i="1" s="1"/>
  <c r="AF100" i="1"/>
  <c r="AG100" i="1"/>
  <c r="CU100" i="1" s="1"/>
  <c r="T100" i="1" s="1"/>
  <c r="AH100" i="1"/>
  <c r="AI100" i="1"/>
  <c r="AJ100" i="1"/>
  <c r="CS100" i="1"/>
  <c r="R100" i="1" s="1"/>
  <c r="CT100" i="1"/>
  <c r="S100" i="1" s="1"/>
  <c r="CV100" i="1"/>
  <c r="U100" i="1" s="1"/>
  <c r="CW100" i="1"/>
  <c r="V100" i="1" s="1"/>
  <c r="CX100" i="1"/>
  <c r="W100" i="1" s="1"/>
  <c r="FR100" i="1"/>
  <c r="GK100" i="1"/>
  <c r="GL100" i="1"/>
  <c r="GO100" i="1"/>
  <c r="GP100" i="1"/>
  <c r="GV100" i="1"/>
  <c r="GX100" i="1"/>
  <c r="I101" i="1"/>
  <c r="R101" i="1"/>
  <c r="GK101" i="1" s="1"/>
  <c r="V101" i="1"/>
  <c r="AC101" i="1"/>
  <c r="AE101" i="1"/>
  <c r="AD101" i="1" s="1"/>
  <c r="AF101" i="1"/>
  <c r="CT101" i="1" s="1"/>
  <c r="S101" i="1" s="1"/>
  <c r="AG101" i="1"/>
  <c r="AH101" i="1"/>
  <c r="AI101" i="1"/>
  <c r="AJ101" i="1"/>
  <c r="CX101" i="1" s="1"/>
  <c r="W101" i="1" s="1"/>
  <c r="CQ101" i="1"/>
  <c r="CS101" i="1"/>
  <c r="CU101" i="1"/>
  <c r="T101" i="1" s="1"/>
  <c r="CV101" i="1"/>
  <c r="U101" i="1" s="1"/>
  <c r="CW101" i="1"/>
  <c r="FR101" i="1"/>
  <c r="GL101" i="1"/>
  <c r="GO101" i="1"/>
  <c r="GP101" i="1"/>
  <c r="GV101" i="1"/>
  <c r="GX101" i="1"/>
  <c r="C102" i="1"/>
  <c r="D102" i="1"/>
  <c r="P102" i="1"/>
  <c r="CP102" i="1" s="1"/>
  <c r="O102" i="1" s="1"/>
  <c r="AC102" i="1"/>
  <c r="AD102" i="1"/>
  <c r="CR102" i="1" s="1"/>
  <c r="Q102" i="1" s="1"/>
  <c r="AE102" i="1"/>
  <c r="AF102" i="1"/>
  <c r="CT102" i="1" s="1"/>
  <c r="S102" i="1" s="1"/>
  <c r="AG102" i="1"/>
  <c r="AH102" i="1"/>
  <c r="CV102" i="1" s="1"/>
  <c r="U102" i="1" s="1"/>
  <c r="AI102" i="1"/>
  <c r="AJ102" i="1"/>
  <c r="CX102" i="1" s="1"/>
  <c r="W102" i="1" s="1"/>
  <c r="CQ102" i="1"/>
  <c r="CS102" i="1"/>
  <c r="R102" i="1" s="1"/>
  <c r="CU102" i="1"/>
  <c r="T102" i="1" s="1"/>
  <c r="CW102" i="1"/>
  <c r="V102" i="1" s="1"/>
  <c r="FR102" i="1"/>
  <c r="GL102" i="1"/>
  <c r="GO102" i="1"/>
  <c r="GP102" i="1"/>
  <c r="GV102" i="1"/>
  <c r="GX102" i="1"/>
  <c r="I103" i="1"/>
  <c r="S103" i="1"/>
  <c r="AC103" i="1"/>
  <c r="AE103" i="1"/>
  <c r="AD103" i="1" s="1"/>
  <c r="CR103" i="1" s="1"/>
  <c r="Q103" i="1" s="1"/>
  <c r="AF103" i="1"/>
  <c r="AG103" i="1"/>
  <c r="CU103" i="1" s="1"/>
  <c r="T103" i="1" s="1"/>
  <c r="AH103" i="1"/>
  <c r="AI103" i="1"/>
  <c r="CW103" i="1" s="1"/>
  <c r="V103" i="1" s="1"/>
  <c r="AJ103" i="1"/>
  <c r="CT103" i="1"/>
  <c r="CV103" i="1"/>
  <c r="U103" i="1" s="1"/>
  <c r="CX103" i="1"/>
  <c r="W103" i="1" s="1"/>
  <c r="FR103" i="1"/>
  <c r="GL103" i="1"/>
  <c r="GO103" i="1"/>
  <c r="GP103" i="1"/>
  <c r="GV103" i="1"/>
  <c r="GX103" i="1" s="1"/>
  <c r="C104" i="1"/>
  <c r="D104" i="1"/>
  <c r="I104" i="1"/>
  <c r="AC104" i="1"/>
  <c r="AD104" i="1"/>
  <c r="AE104" i="1"/>
  <c r="AF104" i="1"/>
  <c r="CT104" i="1" s="1"/>
  <c r="S104" i="1" s="1"/>
  <c r="AG104" i="1"/>
  <c r="AH104" i="1"/>
  <c r="CV104" i="1" s="1"/>
  <c r="U104" i="1" s="1"/>
  <c r="AI104" i="1"/>
  <c r="AJ104" i="1"/>
  <c r="CX104" i="1" s="1"/>
  <c r="W104" i="1" s="1"/>
  <c r="CQ104" i="1"/>
  <c r="P104" i="1" s="1"/>
  <c r="CS104" i="1"/>
  <c r="R104" i="1" s="1"/>
  <c r="GK104" i="1" s="1"/>
  <c r="CU104" i="1"/>
  <c r="T104" i="1" s="1"/>
  <c r="CW104" i="1"/>
  <c r="V104" i="1" s="1"/>
  <c r="FR104" i="1"/>
  <c r="GL104" i="1"/>
  <c r="GO104" i="1"/>
  <c r="GP104" i="1"/>
  <c r="GV104" i="1"/>
  <c r="GX104" i="1"/>
  <c r="I105" i="1"/>
  <c r="W105" i="1"/>
  <c r="AC105" i="1"/>
  <c r="AE105" i="1"/>
  <c r="AD105" i="1" s="1"/>
  <c r="CR105" i="1" s="1"/>
  <c r="Q105" i="1" s="1"/>
  <c r="AF105" i="1"/>
  <c r="AG105" i="1"/>
  <c r="CU105" i="1" s="1"/>
  <c r="T105" i="1" s="1"/>
  <c r="AH105" i="1"/>
  <c r="AI105" i="1"/>
  <c r="CW105" i="1" s="1"/>
  <c r="V105" i="1" s="1"/>
  <c r="AJ105" i="1"/>
  <c r="CT105" i="1"/>
  <c r="S105" i="1" s="1"/>
  <c r="CV105" i="1"/>
  <c r="U105" i="1" s="1"/>
  <c r="CX105" i="1"/>
  <c r="FR105" i="1"/>
  <c r="GL105" i="1"/>
  <c r="GO105" i="1"/>
  <c r="GP105" i="1"/>
  <c r="GV105" i="1"/>
  <c r="GX105" i="1" s="1"/>
  <c r="I106" i="1"/>
  <c r="GX106" i="1" s="1"/>
  <c r="AC106" i="1"/>
  <c r="AD106" i="1"/>
  <c r="CR106" i="1" s="1"/>
  <c r="AE106" i="1"/>
  <c r="AF106" i="1"/>
  <c r="CT106" i="1" s="1"/>
  <c r="S106" i="1" s="1"/>
  <c r="AG106" i="1"/>
  <c r="AH106" i="1"/>
  <c r="CV106" i="1" s="1"/>
  <c r="AI106" i="1"/>
  <c r="AJ106" i="1"/>
  <c r="CX106" i="1" s="1"/>
  <c r="W106" i="1" s="1"/>
  <c r="CQ106" i="1"/>
  <c r="P106" i="1" s="1"/>
  <c r="CS106" i="1"/>
  <c r="R106" i="1" s="1"/>
  <c r="GK106" i="1" s="1"/>
  <c r="CU106" i="1"/>
  <c r="CW106" i="1"/>
  <c r="V106" i="1" s="1"/>
  <c r="FR106" i="1"/>
  <c r="GL106" i="1"/>
  <c r="GO106" i="1"/>
  <c r="GP106" i="1"/>
  <c r="GV106" i="1"/>
  <c r="I107" i="1"/>
  <c r="AC107" i="1"/>
  <c r="AE107" i="1"/>
  <c r="AF107" i="1"/>
  <c r="AG107" i="1"/>
  <c r="CU107" i="1" s="1"/>
  <c r="T107" i="1" s="1"/>
  <c r="AH107" i="1"/>
  <c r="AI107" i="1"/>
  <c r="CW107" i="1" s="1"/>
  <c r="V107" i="1" s="1"/>
  <c r="AJ107" i="1"/>
  <c r="CT107" i="1"/>
  <c r="S107" i="1" s="1"/>
  <c r="CV107" i="1"/>
  <c r="U107" i="1" s="1"/>
  <c r="CX107" i="1"/>
  <c r="W107" i="1" s="1"/>
  <c r="FR107" i="1"/>
  <c r="GL107" i="1"/>
  <c r="GO107" i="1"/>
  <c r="GP107" i="1"/>
  <c r="GV107" i="1"/>
  <c r="GX107" i="1" s="1"/>
  <c r="C108" i="1"/>
  <c r="D108" i="1"/>
  <c r="I108" i="1"/>
  <c r="AC108" i="1"/>
  <c r="AB108" i="1" s="1"/>
  <c r="AD108" i="1"/>
  <c r="CR108" i="1" s="1"/>
  <c r="Q108" i="1" s="1"/>
  <c r="AE108" i="1"/>
  <c r="CS108" i="1" s="1"/>
  <c r="AF108" i="1"/>
  <c r="AG108" i="1"/>
  <c r="AH108" i="1"/>
  <c r="CV108" i="1" s="1"/>
  <c r="U108" i="1" s="1"/>
  <c r="AI108" i="1"/>
  <c r="CW108" i="1" s="1"/>
  <c r="AJ108" i="1"/>
  <c r="CQ108" i="1"/>
  <c r="P108" i="1" s="1"/>
  <c r="CP108" i="1" s="1"/>
  <c r="O108" i="1" s="1"/>
  <c r="CT108" i="1"/>
  <c r="S108" i="1" s="1"/>
  <c r="CU108" i="1"/>
  <c r="T108" i="1" s="1"/>
  <c r="CX108" i="1"/>
  <c r="FR108" i="1"/>
  <c r="GL108" i="1"/>
  <c r="GO108" i="1"/>
  <c r="GP108" i="1"/>
  <c r="GV108" i="1"/>
  <c r="GX108" i="1" s="1"/>
  <c r="C109" i="1"/>
  <c r="D109" i="1"/>
  <c r="I109" i="1"/>
  <c r="AC109" i="1"/>
  <c r="AE109" i="1"/>
  <c r="AF109" i="1"/>
  <c r="CT109" i="1" s="1"/>
  <c r="S109" i="1" s="1"/>
  <c r="AG109" i="1"/>
  <c r="AH109" i="1"/>
  <c r="AI109" i="1"/>
  <c r="CW109" i="1" s="1"/>
  <c r="V109" i="1" s="1"/>
  <c r="AJ109" i="1"/>
  <c r="CX109" i="1" s="1"/>
  <c r="W109" i="1" s="1"/>
  <c r="CQ109" i="1"/>
  <c r="P109" i="1" s="1"/>
  <c r="CU109" i="1"/>
  <c r="T109" i="1" s="1"/>
  <c r="CV109" i="1"/>
  <c r="U109" i="1" s="1"/>
  <c r="FR109" i="1"/>
  <c r="GL109" i="1"/>
  <c r="GO109" i="1"/>
  <c r="GP109" i="1"/>
  <c r="GV109" i="1"/>
  <c r="GX109" i="1" s="1"/>
  <c r="AC110" i="1"/>
  <c r="AB110" i="1" s="1"/>
  <c r="AD110" i="1"/>
  <c r="CR110" i="1" s="1"/>
  <c r="AE110" i="1"/>
  <c r="CS110" i="1" s="1"/>
  <c r="AF110" i="1"/>
  <c r="AG110" i="1"/>
  <c r="AH110" i="1"/>
  <c r="CV110" i="1" s="1"/>
  <c r="AI110" i="1"/>
  <c r="CW110" i="1" s="1"/>
  <c r="AJ110" i="1"/>
  <c r="CQ110" i="1"/>
  <c r="CT110" i="1"/>
  <c r="CU110" i="1"/>
  <c r="CX110" i="1"/>
  <c r="FR110" i="1"/>
  <c r="GL110" i="1"/>
  <c r="GO110" i="1"/>
  <c r="GP110" i="1"/>
  <c r="GV110" i="1"/>
  <c r="C111" i="1"/>
  <c r="D111" i="1"/>
  <c r="R111" i="1"/>
  <c r="GK111" i="1" s="1"/>
  <c r="AC111" i="1"/>
  <c r="CQ111" i="1" s="1"/>
  <c r="P111" i="1" s="1"/>
  <c r="CP111" i="1" s="1"/>
  <c r="O111" i="1" s="1"/>
  <c r="AE111" i="1"/>
  <c r="AD111" i="1" s="1"/>
  <c r="CR111" i="1" s="1"/>
  <c r="Q111" i="1" s="1"/>
  <c r="AF111" i="1"/>
  <c r="CT111" i="1" s="1"/>
  <c r="S111" i="1" s="1"/>
  <c r="AG111" i="1"/>
  <c r="CU111" i="1" s="1"/>
  <c r="T111" i="1" s="1"/>
  <c r="AH111" i="1"/>
  <c r="AI111" i="1"/>
  <c r="AJ111" i="1"/>
  <c r="CX111" i="1" s="1"/>
  <c r="W111" i="1" s="1"/>
  <c r="CS111" i="1"/>
  <c r="CV111" i="1"/>
  <c r="U111" i="1" s="1"/>
  <c r="CW111" i="1"/>
  <c r="V111" i="1" s="1"/>
  <c r="FR111" i="1"/>
  <c r="GL111" i="1"/>
  <c r="GO111" i="1"/>
  <c r="GP111" i="1"/>
  <c r="GV111" i="1"/>
  <c r="GX111" i="1"/>
  <c r="I112" i="1"/>
  <c r="AC112" i="1"/>
  <c r="AE112" i="1"/>
  <c r="AF112" i="1"/>
  <c r="CT112" i="1" s="1"/>
  <c r="S112" i="1" s="1"/>
  <c r="AG112" i="1"/>
  <c r="AH112" i="1"/>
  <c r="AI112" i="1"/>
  <c r="CW112" i="1" s="1"/>
  <c r="V112" i="1" s="1"/>
  <c r="AJ112" i="1"/>
  <c r="CX112" i="1" s="1"/>
  <c r="W112" i="1" s="1"/>
  <c r="CQ112" i="1"/>
  <c r="P112" i="1" s="1"/>
  <c r="CU112" i="1"/>
  <c r="T112" i="1" s="1"/>
  <c r="CV112" i="1"/>
  <c r="U112" i="1" s="1"/>
  <c r="FR112" i="1"/>
  <c r="GL112" i="1"/>
  <c r="GO112" i="1"/>
  <c r="GP112" i="1"/>
  <c r="GV112" i="1"/>
  <c r="GX112" i="1" s="1"/>
  <c r="I113" i="1"/>
  <c r="P113" i="1"/>
  <c r="AC113" i="1"/>
  <c r="AD113" i="1"/>
  <c r="CR113" i="1" s="1"/>
  <c r="Q113" i="1" s="1"/>
  <c r="AE113" i="1"/>
  <c r="CS113" i="1" s="1"/>
  <c r="R113" i="1" s="1"/>
  <c r="GK113" i="1" s="1"/>
  <c r="AF113" i="1"/>
  <c r="AG113" i="1"/>
  <c r="AH113" i="1"/>
  <c r="CV113" i="1" s="1"/>
  <c r="U113" i="1" s="1"/>
  <c r="AI113" i="1"/>
  <c r="CW113" i="1" s="1"/>
  <c r="V113" i="1" s="1"/>
  <c r="AJ113" i="1"/>
  <c r="CQ113" i="1"/>
  <c r="CT113" i="1"/>
  <c r="S113" i="1" s="1"/>
  <c r="CU113" i="1"/>
  <c r="T113" i="1" s="1"/>
  <c r="CX113" i="1"/>
  <c r="W113" i="1" s="1"/>
  <c r="FR113" i="1"/>
  <c r="GL113" i="1"/>
  <c r="GO113" i="1"/>
  <c r="GP113" i="1"/>
  <c r="GV113" i="1"/>
  <c r="GX113" i="1" s="1"/>
  <c r="I114" i="1"/>
  <c r="W114" i="1"/>
  <c r="AC114" i="1"/>
  <c r="AD114" i="1"/>
  <c r="CR114" i="1" s="1"/>
  <c r="Q114" i="1" s="1"/>
  <c r="AE114" i="1"/>
  <c r="AF114" i="1"/>
  <c r="AG114" i="1"/>
  <c r="CU114" i="1" s="1"/>
  <c r="T114" i="1" s="1"/>
  <c r="AH114" i="1"/>
  <c r="CV114" i="1" s="1"/>
  <c r="U114" i="1" s="1"/>
  <c r="AI114" i="1"/>
  <c r="AJ114" i="1"/>
  <c r="CS114" i="1"/>
  <c r="R114" i="1" s="1"/>
  <c r="GK114" i="1" s="1"/>
  <c r="CT114" i="1"/>
  <c r="S114" i="1" s="1"/>
  <c r="CW114" i="1"/>
  <c r="V114" i="1" s="1"/>
  <c r="CX114" i="1"/>
  <c r="FR114" i="1"/>
  <c r="GL114" i="1"/>
  <c r="GO114" i="1"/>
  <c r="GP114" i="1"/>
  <c r="GV114" i="1"/>
  <c r="GX114" i="1"/>
  <c r="I115" i="1"/>
  <c r="AB115" i="1"/>
  <c r="AC115" i="1"/>
  <c r="CQ115" i="1" s="1"/>
  <c r="P115" i="1" s="1"/>
  <c r="AE115" i="1"/>
  <c r="AD115" i="1" s="1"/>
  <c r="CR115" i="1" s="1"/>
  <c r="AF115" i="1"/>
  <c r="CT115" i="1" s="1"/>
  <c r="AG115" i="1"/>
  <c r="CU115" i="1" s="1"/>
  <c r="T115" i="1" s="1"/>
  <c r="AH115" i="1"/>
  <c r="AI115" i="1"/>
  <c r="AJ115" i="1"/>
  <c r="CX115" i="1" s="1"/>
  <c r="CS115" i="1"/>
  <c r="R115" i="1" s="1"/>
  <c r="GK115" i="1" s="1"/>
  <c r="CV115" i="1"/>
  <c r="U115" i="1" s="1"/>
  <c r="CW115" i="1"/>
  <c r="V115" i="1" s="1"/>
  <c r="FR115" i="1"/>
  <c r="GL115" i="1"/>
  <c r="GO115" i="1"/>
  <c r="GP115" i="1"/>
  <c r="GV115" i="1"/>
  <c r="GX115" i="1"/>
  <c r="I116" i="1"/>
  <c r="U116" i="1"/>
  <c r="AC116" i="1"/>
  <c r="AE116" i="1"/>
  <c r="AF116" i="1"/>
  <c r="CT116" i="1" s="1"/>
  <c r="S116" i="1" s="1"/>
  <c r="AG116" i="1"/>
  <c r="AH116" i="1"/>
  <c r="AI116" i="1"/>
  <c r="CW116" i="1" s="1"/>
  <c r="V116" i="1" s="1"/>
  <c r="AJ116" i="1"/>
  <c r="CX116" i="1" s="1"/>
  <c r="W116" i="1" s="1"/>
  <c r="CQ116" i="1"/>
  <c r="P116" i="1" s="1"/>
  <c r="CU116" i="1"/>
  <c r="T116" i="1" s="1"/>
  <c r="CV116" i="1"/>
  <c r="FR116" i="1"/>
  <c r="GL116" i="1"/>
  <c r="GO116" i="1"/>
  <c r="GP116" i="1"/>
  <c r="GV116" i="1"/>
  <c r="GX116" i="1" s="1"/>
  <c r="I117" i="1"/>
  <c r="AC117" i="1"/>
  <c r="AB117" i="1" s="1"/>
  <c r="AD117" i="1"/>
  <c r="CR117" i="1" s="1"/>
  <c r="Q117" i="1" s="1"/>
  <c r="AE117" i="1"/>
  <c r="CS117" i="1" s="1"/>
  <c r="R117" i="1" s="1"/>
  <c r="GK117" i="1" s="1"/>
  <c r="AF117" i="1"/>
  <c r="AG117" i="1"/>
  <c r="AH117" i="1"/>
  <c r="CV117" i="1" s="1"/>
  <c r="U117" i="1" s="1"/>
  <c r="AI117" i="1"/>
  <c r="CW117" i="1" s="1"/>
  <c r="V117" i="1" s="1"/>
  <c r="AJ117" i="1"/>
  <c r="CQ117" i="1"/>
  <c r="P117" i="1" s="1"/>
  <c r="CP117" i="1" s="1"/>
  <c r="O117" i="1" s="1"/>
  <c r="CT117" i="1"/>
  <c r="S117" i="1" s="1"/>
  <c r="CZ117" i="1" s="1"/>
  <c r="Y117" i="1" s="1"/>
  <c r="CU117" i="1"/>
  <c r="T117" i="1" s="1"/>
  <c r="CX117" i="1"/>
  <c r="W117" i="1" s="1"/>
  <c r="CY117" i="1"/>
  <c r="X117" i="1" s="1"/>
  <c r="FR117" i="1"/>
  <c r="GL117" i="1"/>
  <c r="GO117" i="1"/>
  <c r="GP117" i="1"/>
  <c r="GV117" i="1"/>
  <c r="GX117" i="1" s="1"/>
  <c r="C118" i="1"/>
  <c r="D118" i="1"/>
  <c r="I118" i="1"/>
  <c r="AC118" i="1"/>
  <c r="AE118" i="1"/>
  <c r="AF118" i="1"/>
  <c r="CT118" i="1" s="1"/>
  <c r="S118" i="1" s="1"/>
  <c r="AG118" i="1"/>
  <c r="AH118" i="1"/>
  <c r="AI118" i="1"/>
  <c r="CW118" i="1" s="1"/>
  <c r="V118" i="1" s="1"/>
  <c r="AJ118" i="1"/>
  <c r="CX118" i="1" s="1"/>
  <c r="W118" i="1" s="1"/>
  <c r="CQ118" i="1"/>
  <c r="P118" i="1" s="1"/>
  <c r="CU118" i="1"/>
  <c r="T118" i="1" s="1"/>
  <c r="CV118" i="1"/>
  <c r="U118" i="1" s="1"/>
  <c r="FR118" i="1"/>
  <c r="GL118" i="1"/>
  <c r="GO118" i="1"/>
  <c r="GP118" i="1"/>
  <c r="GV118" i="1"/>
  <c r="GX118" i="1" s="1"/>
  <c r="AC119" i="1"/>
  <c r="AB119" i="1" s="1"/>
  <c r="AD119" i="1"/>
  <c r="CR119" i="1" s="1"/>
  <c r="AE119" i="1"/>
  <c r="CS119" i="1" s="1"/>
  <c r="AF119" i="1"/>
  <c r="AG119" i="1"/>
  <c r="AH119" i="1"/>
  <c r="CV119" i="1" s="1"/>
  <c r="AI119" i="1"/>
  <c r="CW119" i="1" s="1"/>
  <c r="AJ119" i="1"/>
  <c r="CQ119" i="1"/>
  <c r="CT119" i="1"/>
  <c r="CU119" i="1"/>
  <c r="CX119" i="1"/>
  <c r="FR119" i="1"/>
  <c r="GL119" i="1"/>
  <c r="GO119" i="1"/>
  <c r="GP119" i="1"/>
  <c r="GV119" i="1"/>
  <c r="AC120" i="1"/>
  <c r="AD120" i="1"/>
  <c r="CR120" i="1" s="1"/>
  <c r="AE120" i="1"/>
  <c r="AF120" i="1"/>
  <c r="AG120" i="1"/>
  <c r="CU120" i="1" s="1"/>
  <c r="AH120" i="1"/>
  <c r="CV120" i="1" s="1"/>
  <c r="AI120" i="1"/>
  <c r="AJ120" i="1"/>
  <c r="CS120" i="1"/>
  <c r="CT120" i="1"/>
  <c r="CW120" i="1"/>
  <c r="CX120" i="1"/>
  <c r="FR120" i="1"/>
  <c r="GL120" i="1"/>
  <c r="GO120" i="1"/>
  <c r="GP120" i="1"/>
  <c r="GV120" i="1"/>
  <c r="I121" i="1"/>
  <c r="AB121" i="1"/>
  <c r="AC121" i="1"/>
  <c r="CQ121" i="1" s="1"/>
  <c r="P121" i="1" s="1"/>
  <c r="AE121" i="1"/>
  <c r="AD121" i="1" s="1"/>
  <c r="CR121" i="1" s="1"/>
  <c r="AF121" i="1"/>
  <c r="CT121" i="1" s="1"/>
  <c r="AG121" i="1"/>
  <c r="CU121" i="1" s="1"/>
  <c r="T121" i="1" s="1"/>
  <c r="AH121" i="1"/>
  <c r="AI121" i="1"/>
  <c r="AJ121" i="1"/>
  <c r="CX121" i="1" s="1"/>
  <c r="CS121" i="1"/>
  <c r="R121" i="1" s="1"/>
  <c r="GK121" i="1" s="1"/>
  <c r="CV121" i="1"/>
  <c r="U121" i="1" s="1"/>
  <c r="CW121" i="1"/>
  <c r="V121" i="1" s="1"/>
  <c r="FR121" i="1"/>
  <c r="GL121" i="1"/>
  <c r="GO121" i="1"/>
  <c r="GP121" i="1"/>
  <c r="GV121" i="1"/>
  <c r="GX121" i="1"/>
  <c r="I122" i="1"/>
  <c r="AC122" i="1"/>
  <c r="AE122" i="1"/>
  <c r="AF122" i="1"/>
  <c r="CT122" i="1" s="1"/>
  <c r="S122" i="1" s="1"/>
  <c r="AG122" i="1"/>
  <c r="AH122" i="1"/>
  <c r="AI122" i="1"/>
  <c r="CW122" i="1" s="1"/>
  <c r="V122" i="1" s="1"/>
  <c r="AJ122" i="1"/>
  <c r="CX122" i="1" s="1"/>
  <c r="W122" i="1" s="1"/>
  <c r="CQ122" i="1"/>
  <c r="P122" i="1" s="1"/>
  <c r="CU122" i="1"/>
  <c r="T122" i="1" s="1"/>
  <c r="CV122" i="1"/>
  <c r="U122" i="1" s="1"/>
  <c r="FR122" i="1"/>
  <c r="GL122" i="1"/>
  <c r="GO122" i="1"/>
  <c r="GP122" i="1"/>
  <c r="GV122" i="1"/>
  <c r="GX122" i="1" s="1"/>
  <c r="C123" i="1"/>
  <c r="D123" i="1"/>
  <c r="W123" i="1"/>
  <c r="AC123" i="1"/>
  <c r="AD123" i="1"/>
  <c r="CR123" i="1" s="1"/>
  <c r="Q123" i="1" s="1"/>
  <c r="AE123" i="1"/>
  <c r="AF123" i="1"/>
  <c r="AG123" i="1"/>
  <c r="CU123" i="1" s="1"/>
  <c r="T123" i="1" s="1"/>
  <c r="AH123" i="1"/>
  <c r="CV123" i="1" s="1"/>
  <c r="U123" i="1" s="1"/>
  <c r="AI123" i="1"/>
  <c r="AJ123" i="1"/>
  <c r="CS123" i="1"/>
  <c r="R123" i="1" s="1"/>
  <c r="GK123" i="1" s="1"/>
  <c r="CT123" i="1"/>
  <c r="S123" i="1" s="1"/>
  <c r="CW123" i="1"/>
  <c r="V123" i="1" s="1"/>
  <c r="CX123" i="1"/>
  <c r="FR123" i="1"/>
  <c r="GL123" i="1"/>
  <c r="GO123" i="1"/>
  <c r="GP123" i="1"/>
  <c r="GV123" i="1"/>
  <c r="GX123" i="1"/>
  <c r="I124" i="1"/>
  <c r="AB124" i="1"/>
  <c r="AC124" i="1"/>
  <c r="CQ124" i="1" s="1"/>
  <c r="P124" i="1" s="1"/>
  <c r="AE124" i="1"/>
  <c r="AD124" i="1" s="1"/>
  <c r="CR124" i="1" s="1"/>
  <c r="AF124" i="1"/>
  <c r="CT124" i="1" s="1"/>
  <c r="AG124" i="1"/>
  <c r="CU124" i="1" s="1"/>
  <c r="T124" i="1" s="1"/>
  <c r="AH124" i="1"/>
  <c r="AI124" i="1"/>
  <c r="AJ124" i="1"/>
  <c r="CX124" i="1" s="1"/>
  <c r="CS124" i="1"/>
  <c r="R124" i="1" s="1"/>
  <c r="GK124" i="1" s="1"/>
  <c r="CV124" i="1"/>
  <c r="U124" i="1" s="1"/>
  <c r="CW124" i="1"/>
  <c r="V124" i="1" s="1"/>
  <c r="FR124" i="1"/>
  <c r="GL124" i="1"/>
  <c r="GO124" i="1"/>
  <c r="GP124" i="1"/>
  <c r="GV124" i="1"/>
  <c r="GX124" i="1"/>
  <c r="I125" i="1"/>
  <c r="U125" i="1"/>
  <c r="AC125" i="1"/>
  <c r="AE125" i="1"/>
  <c r="AF125" i="1"/>
  <c r="CT125" i="1" s="1"/>
  <c r="S125" i="1" s="1"/>
  <c r="AG125" i="1"/>
  <c r="AH125" i="1"/>
  <c r="AI125" i="1"/>
  <c r="CW125" i="1" s="1"/>
  <c r="V125" i="1" s="1"/>
  <c r="AJ125" i="1"/>
  <c r="CX125" i="1" s="1"/>
  <c r="W125" i="1" s="1"/>
  <c r="CQ125" i="1"/>
  <c r="P125" i="1" s="1"/>
  <c r="CU125" i="1"/>
  <c r="T125" i="1" s="1"/>
  <c r="CV125" i="1"/>
  <c r="FR125" i="1"/>
  <c r="GL125" i="1"/>
  <c r="GO125" i="1"/>
  <c r="GP125" i="1"/>
  <c r="GV125" i="1"/>
  <c r="GX125" i="1" s="1"/>
  <c r="C126" i="1"/>
  <c r="D126" i="1"/>
  <c r="I126" i="1"/>
  <c r="V126" i="1"/>
  <c r="AC126" i="1"/>
  <c r="CQ126" i="1" s="1"/>
  <c r="P126" i="1" s="1"/>
  <c r="AE126" i="1"/>
  <c r="AD126" i="1" s="1"/>
  <c r="CR126" i="1" s="1"/>
  <c r="AF126" i="1"/>
  <c r="AG126" i="1"/>
  <c r="CU126" i="1" s="1"/>
  <c r="T126" i="1" s="1"/>
  <c r="AH126" i="1"/>
  <c r="AI126" i="1"/>
  <c r="AJ126" i="1"/>
  <c r="CX126" i="1" s="1"/>
  <c r="W126" i="1" s="1"/>
  <c r="CS126" i="1"/>
  <c r="R126" i="1" s="1"/>
  <c r="GK126" i="1" s="1"/>
  <c r="CV126" i="1"/>
  <c r="U126" i="1" s="1"/>
  <c r="CW126" i="1"/>
  <c r="FR126" i="1"/>
  <c r="GL126" i="1"/>
  <c r="GO126" i="1"/>
  <c r="GP126" i="1"/>
  <c r="GV126" i="1"/>
  <c r="GX126" i="1"/>
  <c r="AC127" i="1"/>
  <c r="AE127" i="1"/>
  <c r="AF127" i="1"/>
  <c r="CT127" i="1" s="1"/>
  <c r="AG127" i="1"/>
  <c r="AH127" i="1"/>
  <c r="AI127" i="1"/>
  <c r="CW127" i="1" s="1"/>
  <c r="AJ127" i="1"/>
  <c r="CX127" i="1" s="1"/>
  <c r="CQ127" i="1"/>
  <c r="CU127" i="1"/>
  <c r="CV127" i="1"/>
  <c r="FR127" i="1"/>
  <c r="GL127" i="1"/>
  <c r="GO127" i="1"/>
  <c r="GP127" i="1"/>
  <c r="GV127" i="1"/>
  <c r="AC128" i="1"/>
  <c r="AD128" i="1"/>
  <c r="CR128" i="1" s="1"/>
  <c r="AE128" i="1"/>
  <c r="CS128" i="1" s="1"/>
  <c r="AF128" i="1"/>
  <c r="AG128" i="1"/>
  <c r="AH128" i="1"/>
  <c r="CV128" i="1" s="1"/>
  <c r="AI128" i="1"/>
  <c r="CW128" i="1" s="1"/>
  <c r="AJ128" i="1"/>
  <c r="CQ128" i="1"/>
  <c r="CT128" i="1"/>
  <c r="CU128" i="1"/>
  <c r="CX128" i="1"/>
  <c r="FR128" i="1"/>
  <c r="GL128" i="1"/>
  <c r="GO128" i="1"/>
  <c r="GP128" i="1"/>
  <c r="GV128" i="1"/>
  <c r="C129" i="1"/>
  <c r="D129" i="1"/>
  <c r="I129" i="1"/>
  <c r="AC129" i="1"/>
  <c r="AE129" i="1"/>
  <c r="AF129" i="1"/>
  <c r="CT129" i="1" s="1"/>
  <c r="S129" i="1" s="1"/>
  <c r="AG129" i="1"/>
  <c r="AH129" i="1"/>
  <c r="AI129" i="1"/>
  <c r="CW129" i="1" s="1"/>
  <c r="V129" i="1" s="1"/>
  <c r="AJ129" i="1"/>
  <c r="CX129" i="1" s="1"/>
  <c r="W129" i="1" s="1"/>
  <c r="CQ129" i="1"/>
  <c r="P129" i="1" s="1"/>
  <c r="CU129" i="1"/>
  <c r="T129" i="1" s="1"/>
  <c r="CV129" i="1"/>
  <c r="U129" i="1" s="1"/>
  <c r="FR129" i="1"/>
  <c r="GL129" i="1"/>
  <c r="GO129" i="1"/>
  <c r="GP129" i="1"/>
  <c r="GV129" i="1"/>
  <c r="GX129" i="1" s="1"/>
  <c r="C130" i="1"/>
  <c r="D130" i="1"/>
  <c r="I130" i="1"/>
  <c r="R130" i="1"/>
  <c r="GK130" i="1" s="1"/>
  <c r="AC130" i="1"/>
  <c r="CQ130" i="1" s="1"/>
  <c r="P130" i="1" s="1"/>
  <c r="AE130" i="1"/>
  <c r="AD130" i="1" s="1"/>
  <c r="AF130" i="1"/>
  <c r="CT130" i="1" s="1"/>
  <c r="S130" i="1" s="1"/>
  <c r="AG130" i="1"/>
  <c r="CU130" i="1" s="1"/>
  <c r="T130" i="1" s="1"/>
  <c r="AH130" i="1"/>
  <c r="AI130" i="1"/>
  <c r="AJ130" i="1"/>
  <c r="CX130" i="1" s="1"/>
  <c r="W130" i="1" s="1"/>
  <c r="CS130" i="1"/>
  <c r="CV130" i="1"/>
  <c r="U130" i="1" s="1"/>
  <c r="CW130" i="1"/>
  <c r="V130" i="1" s="1"/>
  <c r="FR130" i="1"/>
  <c r="GL130" i="1"/>
  <c r="GO130" i="1"/>
  <c r="GP130" i="1"/>
  <c r="GV130" i="1"/>
  <c r="GX130" i="1"/>
  <c r="AC131" i="1"/>
  <c r="AE131" i="1"/>
  <c r="AF131" i="1"/>
  <c r="CT131" i="1" s="1"/>
  <c r="AG131" i="1"/>
  <c r="AH131" i="1"/>
  <c r="AI131" i="1"/>
  <c r="CW131" i="1" s="1"/>
  <c r="AJ131" i="1"/>
  <c r="CX131" i="1" s="1"/>
  <c r="CQ131" i="1"/>
  <c r="CU131" i="1"/>
  <c r="CV131" i="1"/>
  <c r="FR131" i="1"/>
  <c r="GL131" i="1"/>
  <c r="GO131" i="1"/>
  <c r="GP131" i="1"/>
  <c r="GV131" i="1"/>
  <c r="AC132" i="1"/>
  <c r="AB132" i="1" s="1"/>
  <c r="AD132" i="1"/>
  <c r="CR132" i="1" s="1"/>
  <c r="AE132" i="1"/>
  <c r="CS132" i="1" s="1"/>
  <c r="AF132" i="1"/>
  <c r="AG132" i="1"/>
  <c r="AH132" i="1"/>
  <c r="CV132" i="1" s="1"/>
  <c r="AI132" i="1"/>
  <c r="CW132" i="1" s="1"/>
  <c r="AJ132" i="1"/>
  <c r="CQ132" i="1"/>
  <c r="CT132" i="1"/>
  <c r="CU132" i="1"/>
  <c r="CX132" i="1"/>
  <c r="FR132" i="1"/>
  <c r="GL132" i="1"/>
  <c r="GO132" i="1"/>
  <c r="GP132" i="1"/>
  <c r="GV132" i="1"/>
  <c r="C133" i="1"/>
  <c r="D133" i="1"/>
  <c r="I133" i="1"/>
  <c r="AC133" i="1"/>
  <c r="AE133" i="1"/>
  <c r="AF133" i="1"/>
  <c r="CT133" i="1" s="1"/>
  <c r="S133" i="1" s="1"/>
  <c r="AG133" i="1"/>
  <c r="AH133" i="1"/>
  <c r="AI133" i="1"/>
  <c r="CW133" i="1" s="1"/>
  <c r="V133" i="1" s="1"/>
  <c r="AJ133" i="1"/>
  <c r="CX133" i="1" s="1"/>
  <c r="W133" i="1" s="1"/>
  <c r="CQ133" i="1"/>
  <c r="P133" i="1" s="1"/>
  <c r="CU133" i="1"/>
  <c r="T133" i="1" s="1"/>
  <c r="CV133" i="1"/>
  <c r="U133" i="1" s="1"/>
  <c r="FR133" i="1"/>
  <c r="GL133" i="1"/>
  <c r="GO133" i="1"/>
  <c r="GP133" i="1"/>
  <c r="GV133" i="1"/>
  <c r="GX133" i="1" s="1"/>
  <c r="AC134" i="1"/>
  <c r="AB134" i="1" s="1"/>
  <c r="AD134" i="1"/>
  <c r="CR134" i="1" s="1"/>
  <c r="AE134" i="1"/>
  <c r="CS134" i="1" s="1"/>
  <c r="AF134" i="1"/>
  <c r="AG134" i="1"/>
  <c r="AH134" i="1"/>
  <c r="CV134" i="1" s="1"/>
  <c r="AI134" i="1"/>
  <c r="CW134" i="1" s="1"/>
  <c r="AJ134" i="1"/>
  <c r="CQ134" i="1"/>
  <c r="CT134" i="1"/>
  <c r="CU134" i="1"/>
  <c r="CX134" i="1"/>
  <c r="FR134" i="1"/>
  <c r="GL134" i="1"/>
  <c r="GO134" i="1"/>
  <c r="GP134" i="1"/>
  <c r="GV134" i="1"/>
  <c r="C135" i="1"/>
  <c r="D135" i="1"/>
  <c r="I135" i="1"/>
  <c r="AC135" i="1"/>
  <c r="AE135" i="1"/>
  <c r="AF135" i="1"/>
  <c r="CT135" i="1" s="1"/>
  <c r="S135" i="1" s="1"/>
  <c r="AG135" i="1"/>
  <c r="AH135" i="1"/>
  <c r="AI135" i="1"/>
  <c r="CW135" i="1" s="1"/>
  <c r="V135" i="1" s="1"/>
  <c r="AJ135" i="1"/>
  <c r="CX135" i="1" s="1"/>
  <c r="W135" i="1" s="1"/>
  <c r="CQ135" i="1"/>
  <c r="P135" i="1" s="1"/>
  <c r="CU135" i="1"/>
  <c r="T135" i="1" s="1"/>
  <c r="CV135" i="1"/>
  <c r="U135" i="1" s="1"/>
  <c r="FR135" i="1"/>
  <c r="GL135" i="1"/>
  <c r="GO135" i="1"/>
  <c r="GP135" i="1"/>
  <c r="GV135" i="1"/>
  <c r="GX135" i="1" s="1"/>
  <c r="AC136" i="1"/>
  <c r="AB136" i="1" s="1"/>
  <c r="AD136" i="1"/>
  <c r="CR136" i="1" s="1"/>
  <c r="AE136" i="1"/>
  <c r="CS136" i="1" s="1"/>
  <c r="AF136" i="1"/>
  <c r="AG136" i="1"/>
  <c r="AH136" i="1"/>
  <c r="CV136" i="1" s="1"/>
  <c r="AI136" i="1"/>
  <c r="CW136" i="1" s="1"/>
  <c r="AJ136" i="1"/>
  <c r="CQ136" i="1"/>
  <c r="CT136" i="1"/>
  <c r="CU136" i="1"/>
  <c r="CX136" i="1"/>
  <c r="FR136" i="1"/>
  <c r="GL136" i="1"/>
  <c r="GO136" i="1"/>
  <c r="GP136" i="1"/>
  <c r="GV136" i="1"/>
  <c r="AC137" i="1"/>
  <c r="AD137" i="1"/>
  <c r="CR137" i="1" s="1"/>
  <c r="AE137" i="1"/>
  <c r="AF137" i="1"/>
  <c r="AG137" i="1"/>
  <c r="CU137" i="1" s="1"/>
  <c r="AH137" i="1"/>
  <c r="CV137" i="1" s="1"/>
  <c r="AI137" i="1"/>
  <c r="AJ137" i="1"/>
  <c r="CS137" i="1"/>
  <c r="CT137" i="1"/>
  <c r="CW137" i="1"/>
  <c r="CX137" i="1"/>
  <c r="FR137" i="1"/>
  <c r="GL137" i="1"/>
  <c r="GO137" i="1"/>
  <c r="GP137" i="1"/>
  <c r="GV137" i="1"/>
  <c r="C138" i="1"/>
  <c r="D138" i="1"/>
  <c r="I138" i="1"/>
  <c r="AC138" i="1"/>
  <c r="AB138" i="1" s="1"/>
  <c r="AD138" i="1"/>
  <c r="CR138" i="1" s="1"/>
  <c r="Q138" i="1" s="1"/>
  <c r="AE138" i="1"/>
  <c r="CS138" i="1" s="1"/>
  <c r="R138" i="1" s="1"/>
  <c r="GK138" i="1" s="1"/>
  <c r="AF138" i="1"/>
  <c r="AG138" i="1"/>
  <c r="AH138" i="1"/>
  <c r="CV138" i="1" s="1"/>
  <c r="U138" i="1" s="1"/>
  <c r="AI138" i="1"/>
  <c r="CW138" i="1" s="1"/>
  <c r="V138" i="1" s="1"/>
  <c r="AJ138" i="1"/>
  <c r="CQ138" i="1"/>
  <c r="P138" i="1" s="1"/>
  <c r="CP138" i="1" s="1"/>
  <c r="O138" i="1" s="1"/>
  <c r="CT138" i="1"/>
  <c r="S138" i="1" s="1"/>
  <c r="CZ138" i="1" s="1"/>
  <c r="Y138" i="1" s="1"/>
  <c r="CU138" i="1"/>
  <c r="T138" i="1" s="1"/>
  <c r="CX138" i="1"/>
  <c r="W138" i="1" s="1"/>
  <c r="CY138" i="1"/>
  <c r="X138" i="1" s="1"/>
  <c r="FR138" i="1"/>
  <c r="GL138" i="1"/>
  <c r="GO138" i="1"/>
  <c r="GP138" i="1"/>
  <c r="GV138" i="1"/>
  <c r="GX138" i="1" s="1"/>
  <c r="C139" i="1"/>
  <c r="D139" i="1"/>
  <c r="I139" i="1"/>
  <c r="AC139" i="1"/>
  <c r="AE139" i="1"/>
  <c r="AF139" i="1"/>
  <c r="CT139" i="1" s="1"/>
  <c r="S139" i="1" s="1"/>
  <c r="AG139" i="1"/>
  <c r="AH139" i="1"/>
  <c r="AI139" i="1"/>
  <c r="CW139" i="1" s="1"/>
  <c r="V139" i="1" s="1"/>
  <c r="AJ139" i="1"/>
  <c r="CX139" i="1" s="1"/>
  <c r="W139" i="1" s="1"/>
  <c r="CQ139" i="1"/>
  <c r="P139" i="1" s="1"/>
  <c r="CU139" i="1"/>
  <c r="T139" i="1" s="1"/>
  <c r="CV139" i="1"/>
  <c r="U139" i="1" s="1"/>
  <c r="FR139" i="1"/>
  <c r="GL139" i="1"/>
  <c r="GO139" i="1"/>
  <c r="GP139" i="1"/>
  <c r="GV139" i="1"/>
  <c r="GX139" i="1" s="1"/>
  <c r="AC140" i="1"/>
  <c r="AB140" i="1" s="1"/>
  <c r="AD140" i="1"/>
  <c r="CR140" i="1" s="1"/>
  <c r="AE140" i="1"/>
  <c r="CS140" i="1" s="1"/>
  <c r="AF140" i="1"/>
  <c r="AG140" i="1"/>
  <c r="AH140" i="1"/>
  <c r="CV140" i="1" s="1"/>
  <c r="AI140" i="1"/>
  <c r="CW140" i="1" s="1"/>
  <c r="AJ140" i="1"/>
  <c r="CQ140" i="1"/>
  <c r="CT140" i="1"/>
  <c r="CU140" i="1"/>
  <c r="CX140" i="1"/>
  <c r="FR140" i="1"/>
  <c r="GL140" i="1"/>
  <c r="GO140" i="1"/>
  <c r="GP140" i="1"/>
  <c r="GV140" i="1"/>
  <c r="AC141" i="1"/>
  <c r="AD141" i="1"/>
  <c r="CR141" i="1" s="1"/>
  <c r="AE141" i="1"/>
  <c r="AF141" i="1"/>
  <c r="AG141" i="1"/>
  <c r="CU141" i="1" s="1"/>
  <c r="AH141" i="1"/>
  <c r="CV141" i="1" s="1"/>
  <c r="AI141" i="1"/>
  <c r="AJ141" i="1"/>
  <c r="CS141" i="1"/>
  <c r="CT141" i="1"/>
  <c r="CW141" i="1"/>
  <c r="CX141" i="1"/>
  <c r="FR141" i="1"/>
  <c r="GL141" i="1"/>
  <c r="GO141" i="1"/>
  <c r="GP141" i="1"/>
  <c r="GV141" i="1"/>
  <c r="C142" i="1"/>
  <c r="D142" i="1"/>
  <c r="I142" i="1"/>
  <c r="P142" i="1"/>
  <c r="AC142" i="1"/>
  <c r="AD142" i="1"/>
  <c r="CR142" i="1" s="1"/>
  <c r="Q142" i="1" s="1"/>
  <c r="AE142" i="1"/>
  <c r="CS142" i="1" s="1"/>
  <c r="R142" i="1" s="1"/>
  <c r="GK142" i="1" s="1"/>
  <c r="AF142" i="1"/>
  <c r="AG142" i="1"/>
  <c r="AH142" i="1"/>
  <c r="CV142" i="1" s="1"/>
  <c r="U142" i="1" s="1"/>
  <c r="AI142" i="1"/>
  <c r="CW142" i="1" s="1"/>
  <c r="V142" i="1" s="1"/>
  <c r="AJ142" i="1"/>
  <c r="CQ142" i="1"/>
  <c r="CT142" i="1"/>
  <c r="S142" i="1" s="1"/>
  <c r="CU142" i="1"/>
  <c r="T142" i="1" s="1"/>
  <c r="CX142" i="1"/>
  <c r="W142" i="1" s="1"/>
  <c r="FR142" i="1"/>
  <c r="GL142" i="1"/>
  <c r="GO142" i="1"/>
  <c r="GP142" i="1"/>
  <c r="GV142" i="1"/>
  <c r="GX142" i="1" s="1"/>
  <c r="I143" i="1"/>
  <c r="W143" i="1"/>
  <c r="AC143" i="1"/>
  <c r="AD143" i="1"/>
  <c r="CR143" i="1" s="1"/>
  <c r="Q143" i="1" s="1"/>
  <c r="AE143" i="1"/>
  <c r="AF143" i="1"/>
  <c r="AG143" i="1"/>
  <c r="CU143" i="1" s="1"/>
  <c r="T143" i="1" s="1"/>
  <c r="AH143" i="1"/>
  <c r="CV143" i="1" s="1"/>
  <c r="U143" i="1" s="1"/>
  <c r="AI143" i="1"/>
  <c r="AJ143" i="1"/>
  <c r="CS143" i="1"/>
  <c r="R143" i="1" s="1"/>
  <c r="GK143" i="1" s="1"/>
  <c r="CT143" i="1"/>
  <c r="S143" i="1" s="1"/>
  <c r="CW143" i="1"/>
  <c r="V143" i="1" s="1"/>
  <c r="CX143" i="1"/>
  <c r="FR143" i="1"/>
  <c r="GL143" i="1"/>
  <c r="GO143" i="1"/>
  <c r="GP143" i="1"/>
  <c r="GV143" i="1"/>
  <c r="GX143" i="1"/>
  <c r="I144" i="1"/>
  <c r="AB144" i="1"/>
  <c r="AC144" i="1"/>
  <c r="CQ144" i="1" s="1"/>
  <c r="P144" i="1" s="1"/>
  <c r="AE144" i="1"/>
  <c r="AD144" i="1" s="1"/>
  <c r="CR144" i="1" s="1"/>
  <c r="AF144" i="1"/>
  <c r="CT144" i="1" s="1"/>
  <c r="AG144" i="1"/>
  <c r="CU144" i="1" s="1"/>
  <c r="T144" i="1" s="1"/>
  <c r="AH144" i="1"/>
  <c r="AI144" i="1"/>
  <c r="AJ144" i="1"/>
  <c r="CX144" i="1" s="1"/>
  <c r="CS144" i="1"/>
  <c r="R144" i="1" s="1"/>
  <c r="GK144" i="1" s="1"/>
  <c r="CV144" i="1"/>
  <c r="U144" i="1" s="1"/>
  <c r="CW144" i="1"/>
  <c r="V144" i="1" s="1"/>
  <c r="FR144" i="1"/>
  <c r="GL144" i="1"/>
  <c r="GO144" i="1"/>
  <c r="GP144" i="1"/>
  <c r="GV144" i="1"/>
  <c r="GX144" i="1"/>
  <c r="I145" i="1"/>
  <c r="AC145" i="1"/>
  <c r="AE145" i="1"/>
  <c r="AF145" i="1"/>
  <c r="CT145" i="1" s="1"/>
  <c r="S145" i="1" s="1"/>
  <c r="AG145" i="1"/>
  <c r="AH145" i="1"/>
  <c r="AI145" i="1"/>
  <c r="CW145" i="1" s="1"/>
  <c r="V145" i="1" s="1"/>
  <c r="AJ145" i="1"/>
  <c r="CX145" i="1" s="1"/>
  <c r="W145" i="1" s="1"/>
  <c r="CQ145" i="1"/>
  <c r="P145" i="1" s="1"/>
  <c r="CU145" i="1"/>
  <c r="T145" i="1" s="1"/>
  <c r="CV145" i="1"/>
  <c r="U145" i="1" s="1"/>
  <c r="FR145" i="1"/>
  <c r="GL145" i="1"/>
  <c r="GO145" i="1"/>
  <c r="GP145" i="1"/>
  <c r="GV145" i="1"/>
  <c r="GX145" i="1" s="1"/>
  <c r="I146" i="1"/>
  <c r="AC146" i="1"/>
  <c r="AB146" i="1" s="1"/>
  <c r="AD146" i="1"/>
  <c r="CR146" i="1" s="1"/>
  <c r="Q146" i="1" s="1"/>
  <c r="AE146" i="1"/>
  <c r="CS146" i="1" s="1"/>
  <c r="R146" i="1" s="1"/>
  <c r="GK146" i="1" s="1"/>
  <c r="AF146" i="1"/>
  <c r="AG146" i="1"/>
  <c r="AH146" i="1"/>
  <c r="CV146" i="1" s="1"/>
  <c r="U146" i="1" s="1"/>
  <c r="AI146" i="1"/>
  <c r="CW146" i="1" s="1"/>
  <c r="V146" i="1" s="1"/>
  <c r="AJ146" i="1"/>
  <c r="CQ146" i="1"/>
  <c r="P146" i="1" s="1"/>
  <c r="CP146" i="1" s="1"/>
  <c r="O146" i="1" s="1"/>
  <c r="CT146" i="1"/>
  <c r="S146" i="1" s="1"/>
  <c r="CZ146" i="1" s="1"/>
  <c r="Y146" i="1" s="1"/>
  <c r="CU146" i="1"/>
  <c r="T146" i="1" s="1"/>
  <c r="CX146" i="1"/>
  <c r="W146" i="1" s="1"/>
  <c r="CY146" i="1"/>
  <c r="X146" i="1" s="1"/>
  <c r="FR146" i="1"/>
  <c r="GL146" i="1"/>
  <c r="GO146" i="1"/>
  <c r="GP146" i="1"/>
  <c r="GV146" i="1"/>
  <c r="GX146" i="1" s="1"/>
  <c r="I147" i="1"/>
  <c r="S147" i="1"/>
  <c r="W147" i="1"/>
  <c r="AC147" i="1"/>
  <c r="AD147" i="1"/>
  <c r="CR147" i="1" s="1"/>
  <c r="Q147" i="1" s="1"/>
  <c r="AE147" i="1"/>
  <c r="AF147" i="1"/>
  <c r="AG147" i="1"/>
  <c r="CU147" i="1" s="1"/>
  <c r="T147" i="1" s="1"/>
  <c r="AH147" i="1"/>
  <c r="CV147" i="1" s="1"/>
  <c r="U147" i="1" s="1"/>
  <c r="AI147" i="1"/>
  <c r="AJ147" i="1"/>
  <c r="CS147" i="1"/>
  <c r="R147" i="1" s="1"/>
  <c r="CT147" i="1"/>
  <c r="CW147" i="1"/>
  <c r="V147" i="1" s="1"/>
  <c r="CX147" i="1"/>
  <c r="FR147" i="1"/>
  <c r="GK147" i="1"/>
  <c r="GL147" i="1"/>
  <c r="GO147" i="1"/>
  <c r="GP147" i="1"/>
  <c r="GV147" i="1"/>
  <c r="GX147" i="1"/>
  <c r="I148" i="1"/>
  <c r="R148" i="1"/>
  <c r="GK148" i="1" s="1"/>
  <c r="S148" i="1"/>
  <c r="AB148" i="1"/>
  <c r="AC148" i="1"/>
  <c r="CQ148" i="1" s="1"/>
  <c r="P148" i="1" s="1"/>
  <c r="AE148" i="1"/>
  <c r="AD148" i="1" s="1"/>
  <c r="CR148" i="1" s="1"/>
  <c r="Q148" i="1" s="1"/>
  <c r="AF148" i="1"/>
  <c r="AG148" i="1"/>
  <c r="CU148" i="1" s="1"/>
  <c r="T148" i="1" s="1"/>
  <c r="AH148" i="1"/>
  <c r="AI148" i="1"/>
  <c r="AJ148" i="1"/>
  <c r="CP148" i="1"/>
  <c r="O148" i="1" s="1"/>
  <c r="CS148" i="1"/>
  <c r="CT148" i="1"/>
  <c r="CV148" i="1"/>
  <c r="CW148" i="1"/>
  <c r="V148" i="1" s="1"/>
  <c r="CX148" i="1"/>
  <c r="W148" i="1" s="1"/>
  <c r="FR148" i="1"/>
  <c r="GL148" i="1"/>
  <c r="GO148" i="1"/>
  <c r="GP148" i="1"/>
  <c r="GV148" i="1"/>
  <c r="GX148" i="1"/>
  <c r="C149" i="1"/>
  <c r="D149" i="1"/>
  <c r="P149" i="1"/>
  <c r="AC149" i="1"/>
  <c r="AE149" i="1"/>
  <c r="AF149" i="1"/>
  <c r="AG149" i="1"/>
  <c r="AH149" i="1"/>
  <c r="AI149" i="1"/>
  <c r="CW149" i="1" s="1"/>
  <c r="V149" i="1" s="1"/>
  <c r="AJ149" i="1"/>
  <c r="CQ149" i="1"/>
  <c r="CT149" i="1"/>
  <c r="S149" i="1" s="1"/>
  <c r="CU149" i="1"/>
  <c r="T149" i="1" s="1"/>
  <c r="CV149" i="1"/>
  <c r="U149" i="1" s="1"/>
  <c r="CX149" i="1"/>
  <c r="W149" i="1" s="1"/>
  <c r="FR149" i="1"/>
  <c r="GL149" i="1"/>
  <c r="GO149" i="1"/>
  <c r="GP149" i="1"/>
  <c r="CD187" i="1" s="1"/>
  <c r="GV149" i="1"/>
  <c r="GX149" i="1" s="1"/>
  <c r="I150" i="1"/>
  <c r="S150" i="1"/>
  <c r="AC150" i="1"/>
  <c r="AD150" i="1"/>
  <c r="CR150" i="1" s="1"/>
  <c r="Q150" i="1" s="1"/>
  <c r="AE150" i="1"/>
  <c r="CS150" i="1" s="1"/>
  <c r="R150" i="1" s="1"/>
  <c r="GK150" i="1" s="1"/>
  <c r="AF150" i="1"/>
  <c r="AG150" i="1"/>
  <c r="CU150" i="1" s="1"/>
  <c r="T150" i="1" s="1"/>
  <c r="AH150" i="1"/>
  <c r="CV150" i="1" s="1"/>
  <c r="U150" i="1" s="1"/>
  <c r="AI150" i="1"/>
  <c r="CW150" i="1" s="1"/>
  <c r="V150" i="1" s="1"/>
  <c r="AJ150" i="1"/>
  <c r="CT150" i="1"/>
  <c r="CX150" i="1"/>
  <c r="W150" i="1" s="1"/>
  <c r="FR150" i="1"/>
  <c r="GL150" i="1"/>
  <c r="GO150" i="1"/>
  <c r="GP150" i="1"/>
  <c r="GV150" i="1"/>
  <c r="GX150" i="1" s="1"/>
  <c r="I151" i="1"/>
  <c r="R151" i="1"/>
  <c r="GK151" i="1" s="1"/>
  <c r="AC151" i="1"/>
  <c r="CQ151" i="1" s="1"/>
  <c r="P151" i="1" s="1"/>
  <c r="AD151" i="1"/>
  <c r="CR151" i="1" s="1"/>
  <c r="Q151" i="1" s="1"/>
  <c r="AE151" i="1"/>
  <c r="AF151" i="1"/>
  <c r="CT151" i="1" s="1"/>
  <c r="S151" i="1" s="1"/>
  <c r="AG151" i="1"/>
  <c r="CU151" i="1" s="1"/>
  <c r="T151" i="1" s="1"/>
  <c r="AH151" i="1"/>
  <c r="CV151" i="1" s="1"/>
  <c r="U151" i="1" s="1"/>
  <c r="AI151" i="1"/>
  <c r="AJ151" i="1"/>
  <c r="CX151" i="1" s="1"/>
  <c r="W151" i="1" s="1"/>
  <c r="CS151" i="1"/>
  <c r="CW151" i="1"/>
  <c r="V151" i="1" s="1"/>
  <c r="FR151" i="1"/>
  <c r="GL151" i="1"/>
  <c r="GO151" i="1"/>
  <c r="GP151" i="1"/>
  <c r="GV151" i="1"/>
  <c r="GX151" i="1"/>
  <c r="C152" i="1"/>
  <c r="D152" i="1"/>
  <c r="I152" i="1"/>
  <c r="S152" i="1"/>
  <c r="AC152" i="1"/>
  <c r="AD152" i="1"/>
  <c r="CR152" i="1" s="1"/>
  <c r="Q152" i="1" s="1"/>
  <c r="AE152" i="1"/>
  <c r="CS152" i="1" s="1"/>
  <c r="R152" i="1" s="1"/>
  <c r="GK152" i="1" s="1"/>
  <c r="AF152" i="1"/>
  <c r="AG152" i="1"/>
  <c r="CU152" i="1" s="1"/>
  <c r="T152" i="1" s="1"/>
  <c r="AH152" i="1"/>
  <c r="CV152" i="1" s="1"/>
  <c r="U152" i="1" s="1"/>
  <c r="AI152" i="1"/>
  <c r="CW152" i="1" s="1"/>
  <c r="V152" i="1" s="1"/>
  <c r="AJ152" i="1"/>
  <c r="CT152" i="1"/>
  <c r="CX152" i="1"/>
  <c r="W152" i="1" s="1"/>
  <c r="FR152" i="1"/>
  <c r="GL152" i="1"/>
  <c r="GO152" i="1"/>
  <c r="GP152" i="1"/>
  <c r="GV152" i="1"/>
  <c r="GX152" i="1" s="1"/>
  <c r="I153" i="1"/>
  <c r="R153" i="1"/>
  <c r="GK153" i="1" s="1"/>
  <c r="AC153" i="1"/>
  <c r="CQ153" i="1" s="1"/>
  <c r="P153" i="1" s="1"/>
  <c r="AD153" i="1"/>
  <c r="CR153" i="1" s="1"/>
  <c r="Q153" i="1" s="1"/>
  <c r="AE153" i="1"/>
  <c r="AF153" i="1"/>
  <c r="CT153" i="1" s="1"/>
  <c r="S153" i="1" s="1"/>
  <c r="AG153" i="1"/>
  <c r="CU153" i="1" s="1"/>
  <c r="T153" i="1" s="1"/>
  <c r="AH153" i="1"/>
  <c r="CV153" i="1" s="1"/>
  <c r="U153" i="1" s="1"/>
  <c r="AI153" i="1"/>
  <c r="AJ153" i="1"/>
  <c r="CX153" i="1" s="1"/>
  <c r="W153" i="1" s="1"/>
  <c r="CS153" i="1"/>
  <c r="CW153" i="1"/>
  <c r="V153" i="1" s="1"/>
  <c r="FR153" i="1"/>
  <c r="GL153" i="1"/>
  <c r="GO153" i="1"/>
  <c r="GP153" i="1"/>
  <c r="GV153" i="1"/>
  <c r="GX153" i="1"/>
  <c r="I154" i="1"/>
  <c r="AC154" i="1"/>
  <c r="CQ154" i="1" s="1"/>
  <c r="P154" i="1" s="1"/>
  <c r="AE154" i="1"/>
  <c r="AF154" i="1"/>
  <c r="CT154" i="1" s="1"/>
  <c r="S154" i="1" s="1"/>
  <c r="AG154" i="1"/>
  <c r="CU154" i="1" s="1"/>
  <c r="T154" i="1" s="1"/>
  <c r="AH154" i="1"/>
  <c r="AI154" i="1"/>
  <c r="CW154" i="1" s="1"/>
  <c r="V154" i="1" s="1"/>
  <c r="AJ154" i="1"/>
  <c r="CX154" i="1" s="1"/>
  <c r="W154" i="1" s="1"/>
  <c r="CV154" i="1"/>
  <c r="U154" i="1" s="1"/>
  <c r="FR154" i="1"/>
  <c r="GL154" i="1"/>
  <c r="GO154" i="1"/>
  <c r="GP154" i="1"/>
  <c r="GV154" i="1"/>
  <c r="GX154" i="1" s="1"/>
  <c r="C155" i="1"/>
  <c r="D155" i="1"/>
  <c r="I155" i="1"/>
  <c r="V155" i="1"/>
  <c r="AC155" i="1"/>
  <c r="CQ155" i="1" s="1"/>
  <c r="P155" i="1" s="1"/>
  <c r="AD155" i="1"/>
  <c r="CR155" i="1" s="1"/>
  <c r="Q155" i="1" s="1"/>
  <c r="AE155" i="1"/>
  <c r="AF155" i="1"/>
  <c r="CT155" i="1" s="1"/>
  <c r="S155" i="1" s="1"/>
  <c r="AG155" i="1"/>
  <c r="CU155" i="1" s="1"/>
  <c r="T155" i="1" s="1"/>
  <c r="AH155" i="1"/>
  <c r="CV155" i="1" s="1"/>
  <c r="U155" i="1" s="1"/>
  <c r="AI155" i="1"/>
  <c r="AJ155" i="1"/>
  <c r="CX155" i="1" s="1"/>
  <c r="W155" i="1" s="1"/>
  <c r="CS155" i="1"/>
  <c r="R155" i="1" s="1"/>
  <c r="GK155" i="1" s="1"/>
  <c r="CW155" i="1"/>
  <c r="FR155" i="1"/>
  <c r="GL155" i="1"/>
  <c r="GO155" i="1"/>
  <c r="GP155" i="1"/>
  <c r="GV155" i="1"/>
  <c r="GX155" i="1"/>
  <c r="AC156" i="1"/>
  <c r="CQ156" i="1" s="1"/>
  <c r="AE156" i="1"/>
  <c r="AF156" i="1"/>
  <c r="CT156" i="1" s="1"/>
  <c r="AG156" i="1"/>
  <c r="CU156" i="1" s="1"/>
  <c r="AH156" i="1"/>
  <c r="AI156" i="1"/>
  <c r="CW156" i="1" s="1"/>
  <c r="AJ156" i="1"/>
  <c r="CX156" i="1" s="1"/>
  <c r="CV156" i="1"/>
  <c r="FR156" i="1"/>
  <c r="GL156" i="1"/>
  <c r="GO156" i="1"/>
  <c r="GP156" i="1"/>
  <c r="GV156" i="1"/>
  <c r="AC157" i="1"/>
  <c r="AD157" i="1"/>
  <c r="AE157" i="1"/>
  <c r="CS157" i="1" s="1"/>
  <c r="AF157" i="1"/>
  <c r="CT157" i="1" s="1"/>
  <c r="AG157" i="1"/>
  <c r="AH157" i="1"/>
  <c r="CV157" i="1" s="1"/>
  <c r="AI157" i="1"/>
  <c r="CW157" i="1" s="1"/>
  <c r="AJ157" i="1"/>
  <c r="CX157" i="1" s="1"/>
  <c r="CQ157" i="1"/>
  <c r="CU157" i="1"/>
  <c r="FR157" i="1"/>
  <c r="GL157" i="1"/>
  <c r="GO157" i="1"/>
  <c r="GP157" i="1"/>
  <c r="GV157" i="1"/>
  <c r="C158" i="1"/>
  <c r="D158" i="1"/>
  <c r="I158" i="1"/>
  <c r="U158" i="1"/>
  <c r="AC158" i="1"/>
  <c r="CQ158" i="1" s="1"/>
  <c r="P158" i="1" s="1"/>
  <c r="AE158" i="1"/>
  <c r="AF158" i="1"/>
  <c r="CT158" i="1" s="1"/>
  <c r="S158" i="1" s="1"/>
  <c r="AG158" i="1"/>
  <c r="CU158" i="1" s="1"/>
  <c r="T158" i="1" s="1"/>
  <c r="AH158" i="1"/>
  <c r="AI158" i="1"/>
  <c r="CW158" i="1" s="1"/>
  <c r="V158" i="1" s="1"/>
  <c r="AJ158" i="1"/>
  <c r="CX158" i="1" s="1"/>
  <c r="W158" i="1" s="1"/>
  <c r="CV158" i="1"/>
  <c r="FR158" i="1"/>
  <c r="GL158" i="1"/>
  <c r="GO158" i="1"/>
  <c r="GP158" i="1"/>
  <c r="GV158" i="1"/>
  <c r="GX158" i="1" s="1"/>
  <c r="C159" i="1"/>
  <c r="D159" i="1"/>
  <c r="I159" i="1"/>
  <c r="AC159" i="1"/>
  <c r="CQ159" i="1" s="1"/>
  <c r="P159" i="1" s="1"/>
  <c r="AD159" i="1"/>
  <c r="CR159" i="1" s="1"/>
  <c r="AE159" i="1"/>
  <c r="AF159" i="1"/>
  <c r="CT159" i="1" s="1"/>
  <c r="S159" i="1" s="1"/>
  <c r="AG159" i="1"/>
  <c r="CU159" i="1" s="1"/>
  <c r="T159" i="1" s="1"/>
  <c r="AH159" i="1"/>
  <c r="CV159" i="1" s="1"/>
  <c r="AI159" i="1"/>
  <c r="AJ159" i="1"/>
  <c r="CX159" i="1" s="1"/>
  <c r="W159" i="1" s="1"/>
  <c r="CS159" i="1"/>
  <c r="R159" i="1" s="1"/>
  <c r="GK159" i="1" s="1"/>
  <c r="CW159" i="1"/>
  <c r="V159" i="1" s="1"/>
  <c r="FR159" i="1"/>
  <c r="GL159" i="1"/>
  <c r="GO159" i="1"/>
  <c r="GP159" i="1"/>
  <c r="GV159" i="1"/>
  <c r="GX159" i="1"/>
  <c r="C160" i="1"/>
  <c r="D160" i="1"/>
  <c r="I160" i="1"/>
  <c r="AC160" i="1"/>
  <c r="AD160" i="1"/>
  <c r="CR160" i="1" s="1"/>
  <c r="Q160" i="1" s="1"/>
  <c r="AE160" i="1"/>
  <c r="CS160" i="1" s="1"/>
  <c r="R160" i="1" s="1"/>
  <c r="AF160" i="1"/>
  <c r="AG160" i="1"/>
  <c r="CU160" i="1" s="1"/>
  <c r="T160" i="1" s="1"/>
  <c r="AH160" i="1"/>
  <c r="CV160" i="1" s="1"/>
  <c r="U160" i="1" s="1"/>
  <c r="AI160" i="1"/>
  <c r="CW160" i="1" s="1"/>
  <c r="V160" i="1" s="1"/>
  <c r="AJ160" i="1"/>
  <c r="CT160" i="1"/>
  <c r="S160" i="1" s="1"/>
  <c r="CX160" i="1"/>
  <c r="W160" i="1" s="1"/>
  <c r="FR160" i="1"/>
  <c r="GK160" i="1"/>
  <c r="GL160" i="1"/>
  <c r="GO160" i="1"/>
  <c r="GP160" i="1"/>
  <c r="GV160" i="1"/>
  <c r="GX160" i="1" s="1"/>
  <c r="C161" i="1"/>
  <c r="D161" i="1"/>
  <c r="I161" i="1"/>
  <c r="I162" i="1" s="1"/>
  <c r="P161" i="1"/>
  <c r="AC161" i="1"/>
  <c r="AD161" i="1"/>
  <c r="AE161" i="1"/>
  <c r="CS161" i="1" s="1"/>
  <c r="R161" i="1" s="1"/>
  <c r="GK161" i="1" s="1"/>
  <c r="AF161" i="1"/>
  <c r="CT161" i="1" s="1"/>
  <c r="S161" i="1" s="1"/>
  <c r="AG161" i="1"/>
  <c r="AH161" i="1"/>
  <c r="CV161" i="1" s="1"/>
  <c r="U161" i="1" s="1"/>
  <c r="AI161" i="1"/>
  <c r="CW161" i="1" s="1"/>
  <c r="V161" i="1" s="1"/>
  <c r="AJ161" i="1"/>
  <c r="CX161" i="1" s="1"/>
  <c r="W161" i="1" s="1"/>
  <c r="CQ161" i="1"/>
  <c r="CU161" i="1"/>
  <c r="T161" i="1" s="1"/>
  <c r="CY161" i="1"/>
  <c r="X161" i="1" s="1"/>
  <c r="FR161" i="1"/>
  <c r="GL161" i="1"/>
  <c r="GO161" i="1"/>
  <c r="GP161" i="1"/>
  <c r="GV161" i="1"/>
  <c r="GX161" i="1" s="1"/>
  <c r="S162" i="1"/>
  <c r="AC162" i="1"/>
  <c r="AD162" i="1"/>
  <c r="CR162" i="1" s="1"/>
  <c r="Q162" i="1" s="1"/>
  <c r="AE162" i="1"/>
  <c r="CS162" i="1" s="1"/>
  <c r="R162" i="1" s="1"/>
  <c r="GK162" i="1" s="1"/>
  <c r="AF162" i="1"/>
  <c r="AG162" i="1"/>
  <c r="CU162" i="1" s="1"/>
  <c r="T162" i="1" s="1"/>
  <c r="AH162" i="1"/>
  <c r="CV162" i="1" s="1"/>
  <c r="U162" i="1" s="1"/>
  <c r="AI162" i="1"/>
  <c r="CW162" i="1" s="1"/>
  <c r="V162" i="1" s="1"/>
  <c r="AJ162" i="1"/>
  <c r="CT162" i="1"/>
  <c r="CX162" i="1"/>
  <c r="W162" i="1" s="1"/>
  <c r="FR162" i="1"/>
  <c r="GL162" i="1"/>
  <c r="GO162" i="1"/>
  <c r="GP162" i="1"/>
  <c r="GV162" i="1"/>
  <c r="GX162" i="1" s="1"/>
  <c r="I163" i="1"/>
  <c r="R163" i="1"/>
  <c r="GK163" i="1" s="1"/>
  <c r="AC163" i="1"/>
  <c r="CQ163" i="1" s="1"/>
  <c r="P163" i="1" s="1"/>
  <c r="AD163" i="1"/>
  <c r="CR163" i="1" s="1"/>
  <c r="Q163" i="1" s="1"/>
  <c r="AE163" i="1"/>
  <c r="AF163" i="1"/>
  <c r="CT163" i="1" s="1"/>
  <c r="S163" i="1" s="1"/>
  <c r="AG163" i="1"/>
  <c r="CU163" i="1" s="1"/>
  <c r="T163" i="1" s="1"/>
  <c r="AH163" i="1"/>
  <c r="CV163" i="1" s="1"/>
  <c r="U163" i="1" s="1"/>
  <c r="AI163" i="1"/>
  <c r="AJ163" i="1"/>
  <c r="CX163" i="1" s="1"/>
  <c r="W163" i="1" s="1"/>
  <c r="CS163" i="1"/>
  <c r="CW163" i="1"/>
  <c r="V163" i="1" s="1"/>
  <c r="FR163" i="1"/>
  <c r="GL163" i="1"/>
  <c r="GO163" i="1"/>
  <c r="GP163" i="1"/>
  <c r="GV163" i="1"/>
  <c r="GX163" i="1"/>
  <c r="C164" i="1"/>
  <c r="D164" i="1"/>
  <c r="I164" i="1"/>
  <c r="S164" i="1"/>
  <c r="AC164" i="1"/>
  <c r="AD164" i="1"/>
  <c r="CR164" i="1" s="1"/>
  <c r="Q164" i="1" s="1"/>
  <c r="AE164" i="1"/>
  <c r="CS164" i="1" s="1"/>
  <c r="R164" i="1" s="1"/>
  <c r="GK164" i="1" s="1"/>
  <c r="AF164" i="1"/>
  <c r="AG164" i="1"/>
  <c r="CU164" i="1" s="1"/>
  <c r="T164" i="1" s="1"/>
  <c r="AH164" i="1"/>
  <c r="CV164" i="1" s="1"/>
  <c r="U164" i="1" s="1"/>
  <c r="AI164" i="1"/>
  <c r="CW164" i="1" s="1"/>
  <c r="V164" i="1" s="1"/>
  <c r="AJ164" i="1"/>
  <c r="CT164" i="1"/>
  <c r="CX164" i="1"/>
  <c r="W164" i="1" s="1"/>
  <c r="FR164" i="1"/>
  <c r="GL164" i="1"/>
  <c r="GO164" i="1"/>
  <c r="GP164" i="1"/>
  <c r="GV164" i="1"/>
  <c r="GX164" i="1" s="1"/>
  <c r="C165" i="1"/>
  <c r="D165" i="1"/>
  <c r="I165" i="1"/>
  <c r="I166" i="1" s="1"/>
  <c r="P165" i="1"/>
  <c r="AC165" i="1"/>
  <c r="AD165" i="1"/>
  <c r="AE165" i="1"/>
  <c r="CS165" i="1" s="1"/>
  <c r="R165" i="1" s="1"/>
  <c r="GK165" i="1" s="1"/>
  <c r="AF165" i="1"/>
  <c r="CT165" i="1" s="1"/>
  <c r="S165" i="1" s="1"/>
  <c r="AG165" i="1"/>
  <c r="AH165" i="1"/>
  <c r="CV165" i="1" s="1"/>
  <c r="U165" i="1" s="1"/>
  <c r="AI165" i="1"/>
  <c r="CW165" i="1" s="1"/>
  <c r="V165" i="1" s="1"/>
  <c r="AJ165" i="1"/>
  <c r="CX165" i="1" s="1"/>
  <c r="W165" i="1" s="1"/>
  <c r="CQ165" i="1"/>
  <c r="CU165" i="1"/>
  <c r="T165" i="1" s="1"/>
  <c r="FR165" i="1"/>
  <c r="GL165" i="1"/>
  <c r="GO165" i="1"/>
  <c r="GP165" i="1"/>
  <c r="GV165" i="1"/>
  <c r="GX165" i="1" s="1"/>
  <c r="S166" i="1"/>
  <c r="AC166" i="1"/>
  <c r="AD166" i="1"/>
  <c r="CR166" i="1" s="1"/>
  <c r="Q166" i="1" s="1"/>
  <c r="AE166" i="1"/>
  <c r="CS166" i="1" s="1"/>
  <c r="R166" i="1" s="1"/>
  <c r="AF166" i="1"/>
  <c r="AG166" i="1"/>
  <c r="CU166" i="1" s="1"/>
  <c r="T166" i="1" s="1"/>
  <c r="AH166" i="1"/>
  <c r="CV166" i="1" s="1"/>
  <c r="U166" i="1" s="1"/>
  <c r="AI166" i="1"/>
  <c r="CW166" i="1" s="1"/>
  <c r="V166" i="1" s="1"/>
  <c r="AJ166" i="1"/>
  <c r="CT166" i="1"/>
  <c r="CX166" i="1"/>
  <c r="W166" i="1" s="1"/>
  <c r="FR166" i="1"/>
  <c r="GK166" i="1"/>
  <c r="GL166" i="1"/>
  <c r="GO166" i="1"/>
  <c r="GP166" i="1"/>
  <c r="GV166" i="1"/>
  <c r="GX166" i="1" s="1"/>
  <c r="I167" i="1"/>
  <c r="R167" i="1"/>
  <c r="GK167" i="1" s="1"/>
  <c r="AC167" i="1"/>
  <c r="CQ167" i="1" s="1"/>
  <c r="P167" i="1" s="1"/>
  <c r="AD167" i="1"/>
  <c r="CR167" i="1" s="1"/>
  <c r="Q167" i="1" s="1"/>
  <c r="AE167" i="1"/>
  <c r="AF167" i="1"/>
  <c r="CT167" i="1" s="1"/>
  <c r="S167" i="1" s="1"/>
  <c r="AG167" i="1"/>
  <c r="CU167" i="1" s="1"/>
  <c r="T167" i="1" s="1"/>
  <c r="AH167" i="1"/>
  <c r="CV167" i="1" s="1"/>
  <c r="U167" i="1" s="1"/>
  <c r="AI167" i="1"/>
  <c r="AJ167" i="1"/>
  <c r="CX167" i="1" s="1"/>
  <c r="W167" i="1" s="1"/>
  <c r="CS167" i="1"/>
  <c r="CW167" i="1"/>
  <c r="V167" i="1" s="1"/>
  <c r="FR167" i="1"/>
  <c r="GL167" i="1"/>
  <c r="GO167" i="1"/>
  <c r="GP167" i="1"/>
  <c r="GV167" i="1"/>
  <c r="GX167" i="1"/>
  <c r="C168" i="1"/>
  <c r="D168" i="1"/>
  <c r="I168" i="1"/>
  <c r="AC168" i="1"/>
  <c r="AD168" i="1"/>
  <c r="CR168" i="1" s="1"/>
  <c r="Q168" i="1" s="1"/>
  <c r="AE168" i="1"/>
  <c r="CS168" i="1" s="1"/>
  <c r="R168" i="1" s="1"/>
  <c r="AF168" i="1"/>
  <c r="AG168" i="1"/>
  <c r="CU168" i="1" s="1"/>
  <c r="T168" i="1" s="1"/>
  <c r="AH168" i="1"/>
  <c r="CV168" i="1" s="1"/>
  <c r="U168" i="1" s="1"/>
  <c r="AI168" i="1"/>
  <c r="CW168" i="1" s="1"/>
  <c r="V168" i="1" s="1"/>
  <c r="AJ168" i="1"/>
  <c r="CT168" i="1"/>
  <c r="S168" i="1" s="1"/>
  <c r="CX168" i="1"/>
  <c r="W168" i="1" s="1"/>
  <c r="FR168" i="1"/>
  <c r="GK168" i="1"/>
  <c r="GL168" i="1"/>
  <c r="GO168" i="1"/>
  <c r="GP168" i="1"/>
  <c r="GV168" i="1"/>
  <c r="GX168" i="1" s="1"/>
  <c r="I169" i="1"/>
  <c r="AC169" i="1"/>
  <c r="CQ169" i="1" s="1"/>
  <c r="P169" i="1" s="1"/>
  <c r="AD169" i="1"/>
  <c r="CR169" i="1" s="1"/>
  <c r="Q169" i="1" s="1"/>
  <c r="AE169" i="1"/>
  <c r="AF169" i="1"/>
  <c r="CT169" i="1" s="1"/>
  <c r="S169" i="1" s="1"/>
  <c r="AG169" i="1"/>
  <c r="CU169" i="1" s="1"/>
  <c r="T169" i="1" s="1"/>
  <c r="AH169" i="1"/>
  <c r="CV169" i="1" s="1"/>
  <c r="U169" i="1" s="1"/>
  <c r="AI169" i="1"/>
  <c r="AJ169" i="1"/>
  <c r="CX169" i="1" s="1"/>
  <c r="W169" i="1" s="1"/>
  <c r="CS169" i="1"/>
  <c r="R169" i="1" s="1"/>
  <c r="GK169" i="1" s="1"/>
  <c r="CW169" i="1"/>
  <c r="V169" i="1" s="1"/>
  <c r="FR169" i="1"/>
  <c r="GL169" i="1"/>
  <c r="GO169" i="1"/>
  <c r="GP169" i="1"/>
  <c r="GV169" i="1"/>
  <c r="GX169" i="1"/>
  <c r="I170" i="1"/>
  <c r="U170" i="1"/>
  <c r="AC170" i="1"/>
  <c r="CQ170" i="1" s="1"/>
  <c r="P170" i="1" s="1"/>
  <c r="AE170" i="1"/>
  <c r="AF170" i="1"/>
  <c r="CT170" i="1" s="1"/>
  <c r="S170" i="1" s="1"/>
  <c r="AG170" i="1"/>
  <c r="CU170" i="1" s="1"/>
  <c r="T170" i="1" s="1"/>
  <c r="AH170" i="1"/>
  <c r="AI170" i="1"/>
  <c r="CW170" i="1" s="1"/>
  <c r="V170" i="1" s="1"/>
  <c r="AJ170" i="1"/>
  <c r="CX170" i="1" s="1"/>
  <c r="W170" i="1" s="1"/>
  <c r="CV170" i="1"/>
  <c r="FR170" i="1"/>
  <c r="GL170" i="1"/>
  <c r="GO170" i="1"/>
  <c r="GP170" i="1"/>
  <c r="GV170" i="1"/>
  <c r="GX170" i="1" s="1"/>
  <c r="C171" i="1"/>
  <c r="D171" i="1"/>
  <c r="I171" i="1"/>
  <c r="AC171" i="1"/>
  <c r="CQ171" i="1" s="1"/>
  <c r="P171" i="1" s="1"/>
  <c r="AD171" i="1"/>
  <c r="CR171" i="1" s="1"/>
  <c r="AE171" i="1"/>
  <c r="AF171" i="1"/>
  <c r="CT171" i="1" s="1"/>
  <c r="AG171" i="1"/>
  <c r="CU171" i="1" s="1"/>
  <c r="T171" i="1" s="1"/>
  <c r="AH171" i="1"/>
  <c r="CV171" i="1" s="1"/>
  <c r="AI171" i="1"/>
  <c r="AJ171" i="1"/>
  <c r="CX171" i="1" s="1"/>
  <c r="CS171" i="1"/>
  <c r="R171" i="1" s="1"/>
  <c r="GK171" i="1" s="1"/>
  <c r="CW171" i="1"/>
  <c r="V171" i="1" s="1"/>
  <c r="FR171" i="1"/>
  <c r="GL171" i="1"/>
  <c r="GO171" i="1"/>
  <c r="GP171" i="1"/>
  <c r="GV171" i="1"/>
  <c r="GX171" i="1"/>
  <c r="AC172" i="1"/>
  <c r="CQ172" i="1" s="1"/>
  <c r="AE172" i="1"/>
  <c r="AF172" i="1"/>
  <c r="CT172" i="1" s="1"/>
  <c r="AG172" i="1"/>
  <c r="CU172" i="1" s="1"/>
  <c r="AH172" i="1"/>
  <c r="AI172" i="1"/>
  <c r="CW172" i="1" s="1"/>
  <c r="AJ172" i="1"/>
  <c r="CX172" i="1" s="1"/>
  <c r="CV172" i="1"/>
  <c r="FR172" i="1"/>
  <c r="GL172" i="1"/>
  <c r="GO172" i="1"/>
  <c r="GP172" i="1"/>
  <c r="GV172" i="1"/>
  <c r="AC173" i="1"/>
  <c r="AD173" i="1"/>
  <c r="AE173" i="1"/>
  <c r="CS173" i="1" s="1"/>
  <c r="AF173" i="1"/>
  <c r="CT173" i="1" s="1"/>
  <c r="AG173" i="1"/>
  <c r="AH173" i="1"/>
  <c r="CV173" i="1" s="1"/>
  <c r="AI173" i="1"/>
  <c r="CW173" i="1" s="1"/>
  <c r="AJ173" i="1"/>
  <c r="CX173" i="1" s="1"/>
  <c r="CQ173" i="1"/>
  <c r="CU173" i="1"/>
  <c r="FR173" i="1"/>
  <c r="GL173" i="1"/>
  <c r="GO173" i="1"/>
  <c r="GP173" i="1"/>
  <c r="GV173" i="1"/>
  <c r="C174" i="1"/>
  <c r="D174" i="1"/>
  <c r="I174" i="1"/>
  <c r="AC174" i="1"/>
  <c r="CQ174" i="1" s="1"/>
  <c r="P174" i="1" s="1"/>
  <c r="AE174" i="1"/>
  <c r="AF174" i="1"/>
  <c r="CT174" i="1" s="1"/>
  <c r="S174" i="1" s="1"/>
  <c r="AG174" i="1"/>
  <c r="CU174" i="1" s="1"/>
  <c r="T174" i="1" s="1"/>
  <c r="AH174" i="1"/>
  <c r="AI174" i="1"/>
  <c r="CW174" i="1" s="1"/>
  <c r="V174" i="1" s="1"/>
  <c r="AJ174" i="1"/>
  <c r="CX174" i="1" s="1"/>
  <c r="W174" i="1" s="1"/>
  <c r="CV174" i="1"/>
  <c r="U174" i="1" s="1"/>
  <c r="FR174" i="1"/>
  <c r="GL174" i="1"/>
  <c r="GO174" i="1"/>
  <c r="GP174" i="1"/>
  <c r="GV174" i="1"/>
  <c r="GX174" i="1" s="1"/>
  <c r="AC175" i="1"/>
  <c r="AD175" i="1"/>
  <c r="AE175" i="1"/>
  <c r="CS175" i="1" s="1"/>
  <c r="AF175" i="1"/>
  <c r="CT175" i="1" s="1"/>
  <c r="AG175" i="1"/>
  <c r="AH175" i="1"/>
  <c r="CV175" i="1" s="1"/>
  <c r="AI175" i="1"/>
  <c r="CW175" i="1" s="1"/>
  <c r="AJ175" i="1"/>
  <c r="CX175" i="1" s="1"/>
  <c r="CQ175" i="1"/>
  <c r="CU175" i="1"/>
  <c r="FR175" i="1"/>
  <c r="GL175" i="1"/>
  <c r="BZ187" i="1" s="1"/>
  <c r="GO175" i="1"/>
  <c r="GP175" i="1"/>
  <c r="GV175" i="1"/>
  <c r="AC176" i="1"/>
  <c r="AD176" i="1"/>
  <c r="CR176" i="1" s="1"/>
  <c r="AE176" i="1"/>
  <c r="CS176" i="1" s="1"/>
  <c r="AF176" i="1"/>
  <c r="AG176" i="1"/>
  <c r="CU176" i="1" s="1"/>
  <c r="AH176" i="1"/>
  <c r="CV176" i="1" s="1"/>
  <c r="AI176" i="1"/>
  <c r="CW176" i="1" s="1"/>
  <c r="AJ176" i="1"/>
  <c r="CT176" i="1"/>
  <c r="CX176" i="1"/>
  <c r="FR176" i="1"/>
  <c r="GL176" i="1"/>
  <c r="GO176" i="1"/>
  <c r="GP176" i="1"/>
  <c r="GV176" i="1"/>
  <c r="I177" i="1"/>
  <c r="AC177" i="1"/>
  <c r="CQ177" i="1" s="1"/>
  <c r="AD177" i="1"/>
  <c r="CR177" i="1" s="1"/>
  <c r="AE177" i="1"/>
  <c r="AF177" i="1"/>
  <c r="AB177" i="1" s="1"/>
  <c r="AG177" i="1"/>
  <c r="CU177" i="1" s="1"/>
  <c r="AH177" i="1"/>
  <c r="CV177" i="1" s="1"/>
  <c r="AI177" i="1"/>
  <c r="AJ177" i="1"/>
  <c r="CX177" i="1" s="1"/>
  <c r="W177" i="1" s="1"/>
  <c r="CS177" i="1"/>
  <c r="CT177" i="1"/>
  <c r="CW177" i="1"/>
  <c r="V177" i="1" s="1"/>
  <c r="FR177" i="1"/>
  <c r="GL177" i="1"/>
  <c r="GO177" i="1"/>
  <c r="GP177" i="1"/>
  <c r="GV177" i="1"/>
  <c r="C178" i="1"/>
  <c r="D178" i="1"/>
  <c r="I178" i="1"/>
  <c r="S178" i="1"/>
  <c r="AC178" i="1"/>
  <c r="AD178" i="1"/>
  <c r="CR178" i="1" s="1"/>
  <c r="Q178" i="1" s="1"/>
  <c r="AE178" i="1"/>
  <c r="CS178" i="1" s="1"/>
  <c r="R178" i="1" s="1"/>
  <c r="GK178" i="1" s="1"/>
  <c r="AF178" i="1"/>
  <c r="AG178" i="1"/>
  <c r="CU178" i="1" s="1"/>
  <c r="T178" i="1" s="1"/>
  <c r="AH178" i="1"/>
  <c r="CV178" i="1" s="1"/>
  <c r="U178" i="1" s="1"/>
  <c r="AI178" i="1"/>
  <c r="CW178" i="1" s="1"/>
  <c r="V178" i="1" s="1"/>
  <c r="AJ178" i="1"/>
  <c r="CT178" i="1"/>
  <c r="CX178" i="1"/>
  <c r="W178" i="1" s="1"/>
  <c r="FR178" i="1"/>
  <c r="GL178" i="1"/>
  <c r="GO178" i="1"/>
  <c r="GP178" i="1"/>
  <c r="GV178" i="1"/>
  <c r="GX178" i="1" s="1"/>
  <c r="C179" i="1"/>
  <c r="D179" i="1"/>
  <c r="I179" i="1"/>
  <c r="I180" i="1" s="1"/>
  <c r="Q179" i="1"/>
  <c r="T179" i="1"/>
  <c r="AC179" i="1"/>
  <c r="AD179" i="1"/>
  <c r="AB179" i="1" s="1"/>
  <c r="AE179" i="1"/>
  <c r="CS179" i="1" s="1"/>
  <c r="R179" i="1" s="1"/>
  <c r="GK179" i="1" s="1"/>
  <c r="AF179" i="1"/>
  <c r="CT179" i="1" s="1"/>
  <c r="S179" i="1" s="1"/>
  <c r="AG179" i="1"/>
  <c r="AH179" i="1"/>
  <c r="AI179" i="1"/>
  <c r="CW179" i="1" s="1"/>
  <c r="V179" i="1" s="1"/>
  <c r="AJ179" i="1"/>
  <c r="CX179" i="1" s="1"/>
  <c r="W179" i="1" s="1"/>
  <c r="CQ179" i="1"/>
  <c r="P179" i="1" s="1"/>
  <c r="CR179" i="1"/>
  <c r="CU179" i="1"/>
  <c r="CV179" i="1"/>
  <c r="U179" i="1" s="1"/>
  <c r="FR179" i="1"/>
  <c r="GL179" i="1"/>
  <c r="GO179" i="1"/>
  <c r="GP179" i="1"/>
  <c r="GV179" i="1"/>
  <c r="GX179" i="1" s="1"/>
  <c r="T180" i="1"/>
  <c r="AC180" i="1"/>
  <c r="AD180" i="1"/>
  <c r="CR180" i="1" s="1"/>
  <c r="Q180" i="1" s="1"/>
  <c r="AE180" i="1"/>
  <c r="CS180" i="1" s="1"/>
  <c r="R180" i="1" s="1"/>
  <c r="AF180" i="1"/>
  <c r="AG180" i="1"/>
  <c r="AH180" i="1"/>
  <c r="CV180" i="1" s="1"/>
  <c r="U180" i="1" s="1"/>
  <c r="AI180" i="1"/>
  <c r="CW180" i="1" s="1"/>
  <c r="V180" i="1" s="1"/>
  <c r="AJ180" i="1"/>
  <c r="CQ180" i="1"/>
  <c r="P180" i="1" s="1"/>
  <c r="CT180" i="1"/>
  <c r="S180" i="1" s="1"/>
  <c r="CU180" i="1"/>
  <c r="CX180" i="1"/>
  <c r="W180" i="1" s="1"/>
  <c r="FR180" i="1"/>
  <c r="GK180" i="1"/>
  <c r="GL180" i="1"/>
  <c r="GO180" i="1"/>
  <c r="GP180" i="1"/>
  <c r="GV180" i="1"/>
  <c r="GX180" i="1" s="1"/>
  <c r="I181" i="1"/>
  <c r="R181" i="1"/>
  <c r="T181" i="1"/>
  <c r="AC181" i="1"/>
  <c r="AD181" i="1"/>
  <c r="CR181" i="1" s="1"/>
  <c r="Q181" i="1" s="1"/>
  <c r="AE181" i="1"/>
  <c r="AF181" i="1"/>
  <c r="AB181" i="1" s="1"/>
  <c r="AG181" i="1"/>
  <c r="AH181" i="1"/>
  <c r="CV181" i="1" s="1"/>
  <c r="U181" i="1" s="1"/>
  <c r="AI181" i="1"/>
  <c r="AJ181" i="1"/>
  <c r="CX181" i="1" s="1"/>
  <c r="W181" i="1" s="1"/>
  <c r="CQ181" i="1"/>
  <c r="P181" i="1" s="1"/>
  <c r="CS181" i="1"/>
  <c r="CU181" i="1"/>
  <c r="CW181" i="1"/>
  <c r="V181" i="1" s="1"/>
  <c r="FR181" i="1"/>
  <c r="GK181" i="1"/>
  <c r="GL181" i="1"/>
  <c r="GO181" i="1"/>
  <c r="GP181" i="1"/>
  <c r="GV181" i="1"/>
  <c r="GX181" i="1"/>
  <c r="I182" i="1"/>
  <c r="W182" i="1"/>
  <c r="AC182" i="1"/>
  <c r="AE182" i="1"/>
  <c r="AF182" i="1"/>
  <c r="AG182" i="1"/>
  <c r="CU182" i="1" s="1"/>
  <c r="T182" i="1" s="1"/>
  <c r="AH182" i="1"/>
  <c r="AI182" i="1"/>
  <c r="CW182" i="1" s="1"/>
  <c r="V182" i="1" s="1"/>
  <c r="AJ182" i="1"/>
  <c r="CQ182" i="1"/>
  <c r="CT182" i="1"/>
  <c r="S182" i="1" s="1"/>
  <c r="CV182" i="1"/>
  <c r="U182" i="1" s="1"/>
  <c r="CX182" i="1"/>
  <c r="FR182" i="1"/>
  <c r="GL182" i="1"/>
  <c r="GO182" i="1"/>
  <c r="GP182" i="1"/>
  <c r="GV182" i="1"/>
  <c r="GX182" i="1" s="1"/>
  <c r="C183" i="1"/>
  <c r="D183" i="1"/>
  <c r="AC183" i="1"/>
  <c r="AE183" i="1"/>
  <c r="AD183" i="1" s="1"/>
  <c r="CR183" i="1" s="1"/>
  <c r="Q183" i="1" s="1"/>
  <c r="AF183" i="1"/>
  <c r="AG183" i="1"/>
  <c r="CU183" i="1" s="1"/>
  <c r="T183" i="1" s="1"/>
  <c r="AH183" i="1"/>
  <c r="AI183" i="1"/>
  <c r="CW183" i="1" s="1"/>
  <c r="V183" i="1" s="1"/>
  <c r="AJ183" i="1"/>
  <c r="CT183" i="1"/>
  <c r="S183" i="1" s="1"/>
  <c r="CV183" i="1"/>
  <c r="U183" i="1" s="1"/>
  <c r="CX183" i="1"/>
  <c r="W183" i="1" s="1"/>
  <c r="FR183" i="1"/>
  <c r="GL183" i="1"/>
  <c r="GO183" i="1"/>
  <c r="GP183" i="1"/>
  <c r="GV183" i="1"/>
  <c r="GX183" i="1" s="1"/>
  <c r="O184" i="1"/>
  <c r="P184" i="1"/>
  <c r="Q184" i="1"/>
  <c r="R184" i="1"/>
  <c r="S184" i="1"/>
  <c r="T184" i="1"/>
  <c r="U184" i="1"/>
  <c r="V184" i="1"/>
  <c r="W184" i="1"/>
  <c r="X184" i="1"/>
  <c r="Y184" i="1"/>
  <c r="AB184" i="1"/>
  <c r="AC184" i="1"/>
  <c r="AD184" i="1"/>
  <c r="AE184" i="1"/>
  <c r="AF184" i="1"/>
  <c r="AG184" i="1"/>
  <c r="AH184" i="1"/>
  <c r="AI184" i="1"/>
  <c r="AJ184" i="1"/>
  <c r="CP184" i="1"/>
  <c r="GN184" i="1" s="1"/>
  <c r="FR184" i="1"/>
  <c r="GK184" i="1"/>
  <c r="GL184" i="1"/>
  <c r="GM184" i="1"/>
  <c r="GO184" i="1"/>
  <c r="GP184" i="1"/>
  <c r="GV184" i="1"/>
  <c r="GX184" i="1" s="1"/>
  <c r="O185" i="1"/>
  <c r="P185" i="1"/>
  <c r="Q185" i="1"/>
  <c r="R185" i="1"/>
  <c r="S185" i="1"/>
  <c r="T185" i="1"/>
  <c r="U185" i="1"/>
  <c r="V185" i="1"/>
  <c r="W185" i="1"/>
  <c r="X185" i="1"/>
  <c r="Y185" i="1"/>
  <c r="AB185" i="1"/>
  <c r="CP185" i="1" s="1"/>
  <c r="AC185" i="1"/>
  <c r="AD185" i="1"/>
  <c r="AE185" i="1"/>
  <c r="AF185" i="1"/>
  <c r="AG185" i="1"/>
  <c r="AH185" i="1"/>
  <c r="AI185" i="1"/>
  <c r="AJ185" i="1"/>
  <c r="FR185" i="1"/>
  <c r="GK185" i="1"/>
  <c r="GL185" i="1"/>
  <c r="GO185" i="1"/>
  <c r="GP185" i="1"/>
  <c r="GV185" i="1"/>
  <c r="GX185" i="1" s="1"/>
  <c r="B187" i="1"/>
  <c r="B83" i="1" s="1"/>
  <c r="C187" i="1"/>
  <c r="C83" i="1" s="1"/>
  <c r="D187" i="1"/>
  <c r="D83" i="1" s="1"/>
  <c r="F187" i="1"/>
  <c r="F83" i="1" s="1"/>
  <c r="G187" i="1"/>
  <c r="G83" i="1" s="1"/>
  <c r="AP187" i="1"/>
  <c r="AP83" i="1" s="1"/>
  <c r="BB187" i="1"/>
  <c r="BX187" i="1"/>
  <c r="BX83" i="1" s="1"/>
  <c r="CK187" i="1"/>
  <c r="CK83" i="1" s="1"/>
  <c r="CL187" i="1"/>
  <c r="F196" i="1"/>
  <c r="B216" i="1"/>
  <c r="B26" i="1" s="1"/>
  <c r="C216" i="1"/>
  <c r="C26" i="1" s="1"/>
  <c r="D216" i="1"/>
  <c r="D26" i="1" s="1"/>
  <c r="F216" i="1"/>
  <c r="F26" i="1" s="1"/>
  <c r="G216" i="1"/>
  <c r="G26" i="1" s="1"/>
  <c r="BB216" i="1"/>
  <c r="D245" i="1"/>
  <c r="E247" i="1"/>
  <c r="Z247" i="1"/>
  <c r="AA247" i="1"/>
  <c r="AB247" i="1"/>
  <c r="AC247" i="1"/>
  <c r="AD247" i="1"/>
  <c r="AE247" i="1"/>
  <c r="AF247" i="1"/>
  <c r="AG247" i="1"/>
  <c r="AH247" i="1"/>
  <c r="AI247" i="1"/>
  <c r="AJ247" i="1"/>
  <c r="AK247" i="1"/>
  <c r="AL247" i="1"/>
  <c r="AM247" i="1"/>
  <c r="AN247" i="1"/>
  <c r="BD247" i="1"/>
  <c r="BE247" i="1"/>
  <c r="BF247" i="1"/>
  <c r="BG247" i="1"/>
  <c r="BH247" i="1"/>
  <c r="BI247" i="1"/>
  <c r="BJ247" i="1"/>
  <c r="BK247" i="1"/>
  <c r="BL247" i="1"/>
  <c r="BM247" i="1"/>
  <c r="BN247" i="1"/>
  <c r="BO247" i="1"/>
  <c r="BP247" i="1"/>
  <c r="BQ247" i="1"/>
  <c r="BR247" i="1"/>
  <c r="BS247" i="1"/>
  <c r="BT247" i="1"/>
  <c r="BU247" i="1"/>
  <c r="BV247" i="1"/>
  <c r="BW247" i="1"/>
  <c r="BX247" i="1"/>
  <c r="BY247" i="1"/>
  <c r="BZ247" i="1"/>
  <c r="CA247" i="1"/>
  <c r="CB247" i="1"/>
  <c r="CC247" i="1"/>
  <c r="CD247" i="1"/>
  <c r="CE247" i="1"/>
  <c r="CF247" i="1"/>
  <c r="CG247" i="1"/>
  <c r="CH247" i="1"/>
  <c r="CI247" i="1"/>
  <c r="CJ247" i="1"/>
  <c r="CK247" i="1"/>
  <c r="CL247" i="1"/>
  <c r="CM247" i="1"/>
  <c r="CN247" i="1"/>
  <c r="CO247" i="1"/>
  <c r="CP247" i="1"/>
  <c r="CQ247" i="1"/>
  <c r="CR247" i="1"/>
  <c r="CS247" i="1"/>
  <c r="CT247" i="1"/>
  <c r="CU247" i="1"/>
  <c r="CV247" i="1"/>
  <c r="CW247" i="1"/>
  <c r="CX247" i="1"/>
  <c r="CY247" i="1"/>
  <c r="CZ247" i="1"/>
  <c r="DA247" i="1"/>
  <c r="DB247" i="1"/>
  <c r="DC247" i="1"/>
  <c r="DD247" i="1"/>
  <c r="DE247" i="1"/>
  <c r="DF247" i="1"/>
  <c r="DG247" i="1"/>
  <c r="DH247" i="1"/>
  <c r="DI247" i="1"/>
  <c r="DJ247" i="1"/>
  <c r="DK247" i="1"/>
  <c r="DL247" i="1"/>
  <c r="DM247" i="1"/>
  <c r="DN247" i="1"/>
  <c r="DO247" i="1"/>
  <c r="DP247" i="1"/>
  <c r="DQ247" i="1"/>
  <c r="DR247" i="1"/>
  <c r="DS247" i="1"/>
  <c r="DT247" i="1"/>
  <c r="DU247" i="1"/>
  <c r="DV247" i="1"/>
  <c r="DW247" i="1"/>
  <c r="DX247" i="1"/>
  <c r="DY247" i="1"/>
  <c r="DZ247" i="1"/>
  <c r="EA247" i="1"/>
  <c r="EB247" i="1"/>
  <c r="EC247" i="1"/>
  <c r="ED247" i="1"/>
  <c r="EE247" i="1"/>
  <c r="EF247" i="1"/>
  <c r="EG247" i="1"/>
  <c r="EH247" i="1"/>
  <c r="EI247" i="1"/>
  <c r="EJ247" i="1"/>
  <c r="EK247" i="1"/>
  <c r="EL247" i="1"/>
  <c r="EM247" i="1"/>
  <c r="EN247" i="1"/>
  <c r="EO247" i="1"/>
  <c r="EP247" i="1"/>
  <c r="EQ247" i="1"/>
  <c r="ER247" i="1"/>
  <c r="ES247" i="1"/>
  <c r="ET247" i="1"/>
  <c r="EU247" i="1"/>
  <c r="EV247" i="1"/>
  <c r="EW247" i="1"/>
  <c r="EX247" i="1"/>
  <c r="EY247" i="1"/>
  <c r="EZ247" i="1"/>
  <c r="FA247" i="1"/>
  <c r="FB247" i="1"/>
  <c r="FC247" i="1"/>
  <c r="FD247" i="1"/>
  <c r="FE247" i="1"/>
  <c r="FF247" i="1"/>
  <c r="FG247" i="1"/>
  <c r="FH247" i="1"/>
  <c r="FI247" i="1"/>
  <c r="FJ247" i="1"/>
  <c r="FK247" i="1"/>
  <c r="FL247" i="1"/>
  <c r="FM247" i="1"/>
  <c r="FN247" i="1"/>
  <c r="FO247" i="1"/>
  <c r="FP247" i="1"/>
  <c r="FQ247" i="1"/>
  <c r="FR247" i="1"/>
  <c r="FS247" i="1"/>
  <c r="FT247" i="1"/>
  <c r="FU247" i="1"/>
  <c r="FV247" i="1"/>
  <c r="FW247" i="1"/>
  <c r="FX247" i="1"/>
  <c r="FY247" i="1"/>
  <c r="FZ247" i="1"/>
  <c r="GA247" i="1"/>
  <c r="GB247" i="1"/>
  <c r="GC247" i="1"/>
  <c r="GD247" i="1"/>
  <c r="GE247" i="1"/>
  <c r="GF247" i="1"/>
  <c r="GG247" i="1"/>
  <c r="GH247" i="1"/>
  <c r="GI247" i="1"/>
  <c r="GJ247" i="1"/>
  <c r="GK247" i="1"/>
  <c r="GL247" i="1"/>
  <c r="GM247" i="1"/>
  <c r="GN247" i="1"/>
  <c r="GO247" i="1"/>
  <c r="GP247" i="1"/>
  <c r="GQ247" i="1"/>
  <c r="GR247" i="1"/>
  <c r="GS247" i="1"/>
  <c r="GT247" i="1"/>
  <c r="GU247" i="1"/>
  <c r="GV247" i="1"/>
  <c r="GW247" i="1"/>
  <c r="GX247" i="1"/>
  <c r="D249" i="1"/>
  <c r="B251" i="1"/>
  <c r="E251" i="1"/>
  <c r="Z251" i="1"/>
  <c r="AA251" i="1"/>
  <c r="AM251" i="1"/>
  <c r="AN251" i="1"/>
  <c r="BD251" i="1"/>
  <c r="BE251" i="1"/>
  <c r="BF251" i="1"/>
  <c r="BG251" i="1"/>
  <c r="BH251" i="1"/>
  <c r="BI251" i="1"/>
  <c r="BJ251" i="1"/>
  <c r="BK251" i="1"/>
  <c r="BL251" i="1"/>
  <c r="BM251" i="1"/>
  <c r="BN251" i="1"/>
  <c r="BO251" i="1"/>
  <c r="BP251" i="1"/>
  <c r="BQ251" i="1"/>
  <c r="BR251" i="1"/>
  <c r="BS251" i="1"/>
  <c r="BT251" i="1"/>
  <c r="BU251" i="1"/>
  <c r="BV251" i="1"/>
  <c r="BW251" i="1"/>
  <c r="CM251" i="1"/>
  <c r="CN251" i="1"/>
  <c r="CO251" i="1"/>
  <c r="CP251" i="1"/>
  <c r="CQ251" i="1"/>
  <c r="CR251" i="1"/>
  <c r="CS251" i="1"/>
  <c r="CT251" i="1"/>
  <c r="CU251" i="1"/>
  <c r="CV251" i="1"/>
  <c r="CW251" i="1"/>
  <c r="CX251" i="1"/>
  <c r="CY251" i="1"/>
  <c r="CZ251" i="1"/>
  <c r="DA251" i="1"/>
  <c r="DB251" i="1"/>
  <c r="DC251" i="1"/>
  <c r="DD251" i="1"/>
  <c r="DE251" i="1"/>
  <c r="DF251" i="1"/>
  <c r="DG251" i="1"/>
  <c r="DH251" i="1"/>
  <c r="DI251" i="1"/>
  <c r="DJ251" i="1"/>
  <c r="DK251" i="1"/>
  <c r="DL251" i="1"/>
  <c r="DM251" i="1"/>
  <c r="DN251" i="1"/>
  <c r="DO251" i="1"/>
  <c r="DP251" i="1"/>
  <c r="DQ251" i="1"/>
  <c r="DR251" i="1"/>
  <c r="DS251" i="1"/>
  <c r="DT251" i="1"/>
  <c r="DU251" i="1"/>
  <c r="DV251" i="1"/>
  <c r="DW251" i="1"/>
  <c r="DX251" i="1"/>
  <c r="DY251" i="1"/>
  <c r="DZ251" i="1"/>
  <c r="EA251" i="1"/>
  <c r="EB251" i="1"/>
  <c r="EC251" i="1"/>
  <c r="ED251" i="1"/>
  <c r="EE251" i="1"/>
  <c r="EF251" i="1"/>
  <c r="EG251" i="1"/>
  <c r="EH251" i="1"/>
  <c r="EI251" i="1"/>
  <c r="EJ251" i="1"/>
  <c r="EK251" i="1"/>
  <c r="EL251" i="1"/>
  <c r="EM251" i="1"/>
  <c r="EN251" i="1"/>
  <c r="EO251" i="1"/>
  <c r="EP251" i="1"/>
  <c r="EQ251" i="1"/>
  <c r="ER251" i="1"/>
  <c r="ES251" i="1"/>
  <c r="ET251" i="1"/>
  <c r="EU251" i="1"/>
  <c r="EV251" i="1"/>
  <c r="EW251" i="1"/>
  <c r="EX251" i="1"/>
  <c r="EY251" i="1"/>
  <c r="EZ251" i="1"/>
  <c r="FA251" i="1"/>
  <c r="FB251" i="1"/>
  <c r="FC251" i="1"/>
  <c r="FD251" i="1"/>
  <c r="FE251" i="1"/>
  <c r="FF251" i="1"/>
  <c r="FG251" i="1"/>
  <c r="FH251" i="1"/>
  <c r="FI251" i="1"/>
  <c r="FJ251" i="1"/>
  <c r="FK251" i="1"/>
  <c r="FL251" i="1"/>
  <c r="FM251" i="1"/>
  <c r="FN251" i="1"/>
  <c r="FO251" i="1"/>
  <c r="FP251" i="1"/>
  <c r="FQ251" i="1"/>
  <c r="FR251" i="1"/>
  <c r="FS251" i="1"/>
  <c r="FT251" i="1"/>
  <c r="FU251" i="1"/>
  <c r="FV251" i="1"/>
  <c r="FW251" i="1"/>
  <c r="FX251" i="1"/>
  <c r="FY251" i="1"/>
  <c r="FZ251" i="1"/>
  <c r="GA251" i="1"/>
  <c r="GB251" i="1"/>
  <c r="GC251" i="1"/>
  <c r="GD251" i="1"/>
  <c r="GE251" i="1"/>
  <c r="GF251" i="1"/>
  <c r="GG251" i="1"/>
  <c r="GH251" i="1"/>
  <c r="GI251" i="1"/>
  <c r="GJ251" i="1"/>
  <c r="GK251" i="1"/>
  <c r="GL251" i="1"/>
  <c r="GM251" i="1"/>
  <c r="GN251" i="1"/>
  <c r="GO251" i="1"/>
  <c r="GP251" i="1"/>
  <c r="GQ251" i="1"/>
  <c r="GR251" i="1"/>
  <c r="GS251" i="1"/>
  <c r="GT251" i="1"/>
  <c r="GU251" i="1"/>
  <c r="GV251" i="1"/>
  <c r="GW251" i="1"/>
  <c r="GX251" i="1"/>
  <c r="C253" i="1"/>
  <c r="D253" i="1"/>
  <c r="I253" i="1"/>
  <c r="AC253" i="1"/>
  <c r="AD253" i="1"/>
  <c r="CR253" i="1" s="1"/>
  <c r="Q253" i="1" s="1"/>
  <c r="AE253" i="1"/>
  <c r="AF253" i="1"/>
  <c r="CT253" i="1" s="1"/>
  <c r="S253" i="1" s="1"/>
  <c r="AG253" i="1"/>
  <c r="AH253" i="1"/>
  <c r="CV253" i="1" s="1"/>
  <c r="U253" i="1" s="1"/>
  <c r="AI253" i="1"/>
  <c r="AJ253" i="1"/>
  <c r="CX253" i="1" s="1"/>
  <c r="W253" i="1" s="1"/>
  <c r="CQ253" i="1"/>
  <c r="P253" i="1" s="1"/>
  <c r="CS253" i="1"/>
  <c r="R253" i="1" s="1"/>
  <c r="GK253" i="1" s="1"/>
  <c r="CU253" i="1"/>
  <c r="CW253" i="1"/>
  <c r="V253" i="1" s="1"/>
  <c r="FR253" i="1"/>
  <c r="GL253" i="1"/>
  <c r="GO253" i="1"/>
  <c r="GP253" i="1"/>
  <c r="GV253" i="1"/>
  <c r="C254" i="1"/>
  <c r="D254" i="1"/>
  <c r="I254" i="1"/>
  <c r="AC254" i="1"/>
  <c r="AE254" i="1"/>
  <c r="AF254" i="1"/>
  <c r="AG254" i="1"/>
  <c r="CU254" i="1" s="1"/>
  <c r="T254" i="1" s="1"/>
  <c r="AH254" i="1"/>
  <c r="AI254" i="1"/>
  <c r="CW254" i="1" s="1"/>
  <c r="V254" i="1" s="1"/>
  <c r="AI259" i="1" s="1"/>
  <c r="AJ254" i="1"/>
  <c r="CT254" i="1"/>
  <c r="S254" i="1" s="1"/>
  <c r="CV254" i="1"/>
  <c r="U254" i="1" s="1"/>
  <c r="CX254" i="1"/>
  <c r="W254" i="1" s="1"/>
  <c r="FR254" i="1"/>
  <c r="GL254" i="1"/>
  <c r="GO254" i="1"/>
  <c r="GP254" i="1"/>
  <c r="GV254" i="1"/>
  <c r="GX254" i="1" s="1"/>
  <c r="C255" i="1"/>
  <c r="D255" i="1"/>
  <c r="I255" i="1"/>
  <c r="CX338" i="3" s="1"/>
  <c r="R255" i="1"/>
  <c r="GK255" i="1" s="1"/>
  <c r="T255" i="1"/>
  <c r="AC255" i="1"/>
  <c r="AD255" i="1"/>
  <c r="AE255" i="1"/>
  <c r="AF255" i="1"/>
  <c r="AG255" i="1"/>
  <c r="AH255" i="1"/>
  <c r="CV255" i="1" s="1"/>
  <c r="U255" i="1" s="1"/>
  <c r="AI255" i="1"/>
  <c r="AJ255" i="1"/>
  <c r="CX255" i="1" s="1"/>
  <c r="W255" i="1" s="1"/>
  <c r="CQ255" i="1"/>
  <c r="P255" i="1" s="1"/>
  <c r="CS255" i="1"/>
  <c r="CT255" i="1"/>
  <c r="S255" i="1" s="1"/>
  <c r="CU255" i="1"/>
  <c r="CW255" i="1"/>
  <c r="V255" i="1" s="1"/>
  <c r="FR255" i="1"/>
  <c r="GL255" i="1"/>
  <c r="GO255" i="1"/>
  <c r="GP255" i="1"/>
  <c r="GV255" i="1"/>
  <c r="GX255" i="1"/>
  <c r="C256" i="1"/>
  <c r="D256" i="1"/>
  <c r="I256" i="1"/>
  <c r="S256" i="1"/>
  <c r="W256" i="1"/>
  <c r="AC256" i="1"/>
  <c r="AD256" i="1"/>
  <c r="CR256" i="1" s="1"/>
  <c r="Q256" i="1" s="1"/>
  <c r="AE256" i="1"/>
  <c r="AF256" i="1"/>
  <c r="AG256" i="1"/>
  <c r="AH256" i="1"/>
  <c r="CV256" i="1" s="1"/>
  <c r="U256" i="1" s="1"/>
  <c r="AI256" i="1"/>
  <c r="AJ256" i="1"/>
  <c r="CQ256" i="1"/>
  <c r="P256" i="1" s="1"/>
  <c r="CS256" i="1"/>
  <c r="R256" i="1" s="1"/>
  <c r="GK256" i="1" s="1"/>
  <c r="CT256" i="1"/>
  <c r="CU256" i="1"/>
  <c r="T256" i="1" s="1"/>
  <c r="CW256" i="1"/>
  <c r="V256" i="1" s="1"/>
  <c r="CX256" i="1"/>
  <c r="CY256" i="1"/>
  <c r="X256" i="1" s="1"/>
  <c r="FR256" i="1"/>
  <c r="GL256" i="1"/>
  <c r="BZ259" i="1" s="1"/>
  <c r="GN256" i="1"/>
  <c r="GP256" i="1"/>
  <c r="GV256" i="1"/>
  <c r="GX256" i="1"/>
  <c r="C257" i="1"/>
  <c r="D257" i="1"/>
  <c r="AC257" i="1"/>
  <c r="AD257" i="1"/>
  <c r="CR257" i="1" s="1"/>
  <c r="Q257" i="1" s="1"/>
  <c r="AE257" i="1"/>
  <c r="AF257" i="1"/>
  <c r="CT257" i="1" s="1"/>
  <c r="S257" i="1" s="1"/>
  <c r="AG257" i="1"/>
  <c r="AH257" i="1"/>
  <c r="CV257" i="1" s="1"/>
  <c r="U257" i="1" s="1"/>
  <c r="AI257" i="1"/>
  <c r="AJ257" i="1"/>
  <c r="CX257" i="1" s="1"/>
  <c r="W257" i="1" s="1"/>
  <c r="CQ257" i="1"/>
  <c r="P257" i="1" s="1"/>
  <c r="CP257" i="1" s="1"/>
  <c r="O257" i="1" s="1"/>
  <c r="CS257" i="1"/>
  <c r="R257" i="1" s="1"/>
  <c r="GK257" i="1" s="1"/>
  <c r="CU257" i="1"/>
  <c r="T257" i="1" s="1"/>
  <c r="CW257" i="1"/>
  <c r="V257" i="1" s="1"/>
  <c r="FR257" i="1"/>
  <c r="BY259" i="1" s="1"/>
  <c r="GL257" i="1"/>
  <c r="GN257" i="1"/>
  <c r="GP257" i="1"/>
  <c r="GV257" i="1"/>
  <c r="GX257" i="1"/>
  <c r="B259" i="1"/>
  <c r="C259" i="1"/>
  <c r="C251" i="1" s="1"/>
  <c r="D259" i="1"/>
  <c r="D251" i="1" s="1"/>
  <c r="F259" i="1"/>
  <c r="F251" i="1" s="1"/>
  <c r="G259" i="1"/>
  <c r="G251" i="1" s="1"/>
  <c r="AO259" i="1"/>
  <c r="BC259" i="1"/>
  <c r="BC251" i="1" s="1"/>
  <c r="BX259" i="1"/>
  <c r="BX251" i="1" s="1"/>
  <c r="CG259" i="1"/>
  <c r="CK259" i="1"/>
  <c r="CL259" i="1"/>
  <c r="CL251" i="1" s="1"/>
  <c r="F275" i="1"/>
  <c r="D288" i="1"/>
  <c r="E290" i="1"/>
  <c r="Z290" i="1"/>
  <c r="AA290" i="1"/>
  <c r="AM290" i="1"/>
  <c r="AN290" i="1"/>
  <c r="BD290" i="1"/>
  <c r="BE290" i="1"/>
  <c r="BF290" i="1"/>
  <c r="BG290" i="1"/>
  <c r="BH290" i="1"/>
  <c r="BI290" i="1"/>
  <c r="BJ290" i="1"/>
  <c r="BK290" i="1"/>
  <c r="BL290" i="1"/>
  <c r="BM290" i="1"/>
  <c r="BN290" i="1"/>
  <c r="BO290" i="1"/>
  <c r="BP290" i="1"/>
  <c r="BQ290" i="1"/>
  <c r="BR290" i="1"/>
  <c r="BS290" i="1"/>
  <c r="BT290" i="1"/>
  <c r="BU290" i="1"/>
  <c r="BV290" i="1"/>
  <c r="BW290" i="1"/>
  <c r="BX290" i="1"/>
  <c r="CM290" i="1"/>
  <c r="CN290" i="1"/>
  <c r="CO290" i="1"/>
  <c r="CP290" i="1"/>
  <c r="CQ290" i="1"/>
  <c r="CR290" i="1"/>
  <c r="CS290" i="1"/>
  <c r="CT290" i="1"/>
  <c r="CU290" i="1"/>
  <c r="CV290" i="1"/>
  <c r="CW290" i="1"/>
  <c r="CX290" i="1"/>
  <c r="CY290" i="1"/>
  <c r="CZ290" i="1"/>
  <c r="DA290" i="1"/>
  <c r="DB290" i="1"/>
  <c r="DC290" i="1"/>
  <c r="DD290" i="1"/>
  <c r="DE290" i="1"/>
  <c r="DF290" i="1"/>
  <c r="DG290" i="1"/>
  <c r="DH290" i="1"/>
  <c r="DI290" i="1"/>
  <c r="DJ290" i="1"/>
  <c r="DK290" i="1"/>
  <c r="DL290" i="1"/>
  <c r="DM290" i="1"/>
  <c r="DN290" i="1"/>
  <c r="DO290" i="1"/>
  <c r="DP290" i="1"/>
  <c r="DQ290" i="1"/>
  <c r="DR290" i="1"/>
  <c r="DS290" i="1"/>
  <c r="DT290" i="1"/>
  <c r="DU290" i="1"/>
  <c r="DV290" i="1"/>
  <c r="DW290" i="1"/>
  <c r="DX290" i="1"/>
  <c r="DY290" i="1"/>
  <c r="DZ290" i="1"/>
  <c r="EA290" i="1"/>
  <c r="EB290" i="1"/>
  <c r="EC290" i="1"/>
  <c r="ED290" i="1"/>
  <c r="EE290" i="1"/>
  <c r="EF290" i="1"/>
  <c r="EG290" i="1"/>
  <c r="EH290" i="1"/>
  <c r="EI290" i="1"/>
  <c r="EJ290" i="1"/>
  <c r="EK290" i="1"/>
  <c r="EL290" i="1"/>
  <c r="EM290" i="1"/>
  <c r="EN290" i="1"/>
  <c r="EO290" i="1"/>
  <c r="EP290" i="1"/>
  <c r="EQ290" i="1"/>
  <c r="ER290" i="1"/>
  <c r="ES290" i="1"/>
  <c r="ET290" i="1"/>
  <c r="EU290" i="1"/>
  <c r="EV290" i="1"/>
  <c r="EW290" i="1"/>
  <c r="EX290" i="1"/>
  <c r="EY290" i="1"/>
  <c r="EZ290" i="1"/>
  <c r="FA290" i="1"/>
  <c r="FB290" i="1"/>
  <c r="FC290" i="1"/>
  <c r="FD290" i="1"/>
  <c r="FE290" i="1"/>
  <c r="FF290" i="1"/>
  <c r="FG290" i="1"/>
  <c r="FH290" i="1"/>
  <c r="FI290" i="1"/>
  <c r="FJ290" i="1"/>
  <c r="FK290" i="1"/>
  <c r="FL290" i="1"/>
  <c r="FM290" i="1"/>
  <c r="FN290" i="1"/>
  <c r="FO290" i="1"/>
  <c r="FP290" i="1"/>
  <c r="FQ290" i="1"/>
  <c r="FR290" i="1"/>
  <c r="FS290" i="1"/>
  <c r="FT290" i="1"/>
  <c r="FU290" i="1"/>
  <c r="FV290" i="1"/>
  <c r="FW290" i="1"/>
  <c r="FX290" i="1"/>
  <c r="FY290" i="1"/>
  <c r="FZ290" i="1"/>
  <c r="GA290" i="1"/>
  <c r="GB290" i="1"/>
  <c r="GC290" i="1"/>
  <c r="GD290" i="1"/>
  <c r="GE290" i="1"/>
  <c r="GF290" i="1"/>
  <c r="GG290" i="1"/>
  <c r="GH290" i="1"/>
  <c r="GI290" i="1"/>
  <c r="GJ290" i="1"/>
  <c r="GK290" i="1"/>
  <c r="GL290" i="1"/>
  <c r="GM290" i="1"/>
  <c r="GN290" i="1"/>
  <c r="GO290" i="1"/>
  <c r="GP290" i="1"/>
  <c r="GQ290" i="1"/>
  <c r="GR290" i="1"/>
  <c r="GS290" i="1"/>
  <c r="GT290" i="1"/>
  <c r="GU290" i="1"/>
  <c r="GV290" i="1"/>
  <c r="GW290" i="1"/>
  <c r="GX290" i="1"/>
  <c r="C292" i="1"/>
  <c r="D292" i="1"/>
  <c r="I292" i="1"/>
  <c r="U292" i="1"/>
  <c r="AC292" i="1"/>
  <c r="CQ292" i="1" s="1"/>
  <c r="P292" i="1" s="1"/>
  <c r="AE292" i="1"/>
  <c r="AF292" i="1"/>
  <c r="AG292" i="1"/>
  <c r="CU292" i="1" s="1"/>
  <c r="T292" i="1" s="1"/>
  <c r="AH292" i="1"/>
  <c r="AI292" i="1"/>
  <c r="CW292" i="1" s="1"/>
  <c r="V292" i="1" s="1"/>
  <c r="AJ292" i="1"/>
  <c r="CT292" i="1"/>
  <c r="S292" i="1" s="1"/>
  <c r="CV292" i="1"/>
  <c r="CX292" i="1"/>
  <c r="W292" i="1" s="1"/>
  <c r="FR292" i="1"/>
  <c r="GL292" i="1"/>
  <c r="GN292" i="1"/>
  <c r="GP292" i="1"/>
  <c r="GV292" i="1"/>
  <c r="GX292" i="1" s="1"/>
  <c r="I293" i="1"/>
  <c r="AC293" i="1"/>
  <c r="AD293" i="1"/>
  <c r="AE293" i="1"/>
  <c r="AF293" i="1"/>
  <c r="CT293" i="1" s="1"/>
  <c r="S293" i="1" s="1"/>
  <c r="AG293" i="1"/>
  <c r="AH293" i="1"/>
  <c r="CV293" i="1" s="1"/>
  <c r="U293" i="1" s="1"/>
  <c r="AI293" i="1"/>
  <c r="AJ293" i="1"/>
  <c r="CX293" i="1" s="1"/>
  <c r="W293" i="1" s="1"/>
  <c r="CQ293" i="1"/>
  <c r="P293" i="1" s="1"/>
  <c r="CS293" i="1"/>
  <c r="R293" i="1" s="1"/>
  <c r="GK293" i="1" s="1"/>
  <c r="CU293" i="1"/>
  <c r="T293" i="1" s="1"/>
  <c r="CW293" i="1"/>
  <c r="V293" i="1" s="1"/>
  <c r="CY293" i="1"/>
  <c r="X293" i="1" s="1"/>
  <c r="FR293" i="1"/>
  <c r="GL293" i="1"/>
  <c r="GN293" i="1"/>
  <c r="GP293" i="1"/>
  <c r="GV293" i="1"/>
  <c r="GX293" i="1"/>
  <c r="C294" i="1"/>
  <c r="D294" i="1"/>
  <c r="I294" i="1"/>
  <c r="U294" i="1"/>
  <c r="AC294" i="1"/>
  <c r="CQ294" i="1" s="1"/>
  <c r="P294" i="1" s="1"/>
  <c r="AE294" i="1"/>
  <c r="AF294" i="1"/>
  <c r="AG294" i="1"/>
  <c r="CU294" i="1" s="1"/>
  <c r="T294" i="1" s="1"/>
  <c r="AH294" i="1"/>
  <c r="AI294" i="1"/>
  <c r="CW294" i="1" s="1"/>
  <c r="V294" i="1" s="1"/>
  <c r="AJ294" i="1"/>
  <c r="CT294" i="1"/>
  <c r="S294" i="1" s="1"/>
  <c r="CV294" i="1"/>
  <c r="CX294" i="1"/>
  <c r="W294" i="1" s="1"/>
  <c r="FR294" i="1"/>
  <c r="GL294" i="1"/>
  <c r="GN294" i="1"/>
  <c r="GP294" i="1"/>
  <c r="GV294" i="1"/>
  <c r="GX294" i="1" s="1"/>
  <c r="I295" i="1"/>
  <c r="P295" i="1"/>
  <c r="AC295" i="1"/>
  <c r="AD295" i="1"/>
  <c r="AE295" i="1"/>
  <c r="AF295" i="1"/>
  <c r="CT295" i="1" s="1"/>
  <c r="S295" i="1" s="1"/>
  <c r="AG295" i="1"/>
  <c r="AH295" i="1"/>
  <c r="CV295" i="1" s="1"/>
  <c r="U295" i="1" s="1"/>
  <c r="AI295" i="1"/>
  <c r="AJ295" i="1"/>
  <c r="CX295" i="1" s="1"/>
  <c r="W295" i="1" s="1"/>
  <c r="CQ295" i="1"/>
  <c r="CS295" i="1"/>
  <c r="R295" i="1" s="1"/>
  <c r="CU295" i="1"/>
  <c r="T295" i="1" s="1"/>
  <c r="CW295" i="1"/>
  <c r="V295" i="1" s="1"/>
  <c r="FR295" i="1"/>
  <c r="GL295" i="1"/>
  <c r="GN295" i="1"/>
  <c r="GP295" i="1"/>
  <c r="GV295" i="1"/>
  <c r="GX295" i="1"/>
  <c r="C296" i="1"/>
  <c r="D296" i="1"/>
  <c r="I296" i="1"/>
  <c r="AC296" i="1"/>
  <c r="CQ296" i="1" s="1"/>
  <c r="P296" i="1" s="1"/>
  <c r="AE296" i="1"/>
  <c r="AF296" i="1"/>
  <c r="AG296" i="1"/>
  <c r="CU296" i="1" s="1"/>
  <c r="T296" i="1" s="1"/>
  <c r="AH296" i="1"/>
  <c r="AI296" i="1"/>
  <c r="CW296" i="1" s="1"/>
  <c r="V296" i="1" s="1"/>
  <c r="AJ296" i="1"/>
  <c r="CT296" i="1"/>
  <c r="S296" i="1" s="1"/>
  <c r="CV296" i="1"/>
  <c r="U296" i="1" s="1"/>
  <c r="CX296" i="1"/>
  <c r="W296" i="1" s="1"/>
  <c r="FR296" i="1"/>
  <c r="GL296" i="1"/>
  <c r="GN296" i="1"/>
  <c r="GP296" i="1"/>
  <c r="GV296" i="1"/>
  <c r="GX296" i="1" s="1"/>
  <c r="I297" i="1"/>
  <c r="P297" i="1"/>
  <c r="AC297" i="1"/>
  <c r="AD297" i="1"/>
  <c r="AE297" i="1"/>
  <c r="AF297" i="1"/>
  <c r="CT297" i="1" s="1"/>
  <c r="S297" i="1" s="1"/>
  <c r="CZ297" i="1" s="1"/>
  <c r="Y297" i="1" s="1"/>
  <c r="AG297" i="1"/>
  <c r="AH297" i="1"/>
  <c r="CV297" i="1" s="1"/>
  <c r="U297" i="1" s="1"/>
  <c r="AI297" i="1"/>
  <c r="AJ297" i="1"/>
  <c r="CX297" i="1" s="1"/>
  <c r="W297" i="1" s="1"/>
  <c r="CQ297" i="1"/>
  <c r="CS297" i="1"/>
  <c r="R297" i="1" s="1"/>
  <c r="GK297" i="1" s="1"/>
  <c r="CU297" i="1"/>
  <c r="T297" i="1" s="1"/>
  <c r="CW297" i="1"/>
  <c r="V297" i="1" s="1"/>
  <c r="FR297" i="1"/>
  <c r="GL297" i="1"/>
  <c r="GN297" i="1"/>
  <c r="GP297" i="1"/>
  <c r="GV297" i="1"/>
  <c r="GX297" i="1"/>
  <c r="C298" i="1"/>
  <c r="D298" i="1"/>
  <c r="I298" i="1"/>
  <c r="AC298" i="1"/>
  <c r="CQ298" i="1" s="1"/>
  <c r="P298" i="1" s="1"/>
  <c r="AE298" i="1"/>
  <c r="AF298" i="1"/>
  <c r="AG298" i="1"/>
  <c r="CU298" i="1" s="1"/>
  <c r="T298" i="1" s="1"/>
  <c r="AH298" i="1"/>
  <c r="AI298" i="1"/>
  <c r="CW298" i="1" s="1"/>
  <c r="V298" i="1" s="1"/>
  <c r="AJ298" i="1"/>
  <c r="CT298" i="1"/>
  <c r="S298" i="1" s="1"/>
  <c r="CV298" i="1"/>
  <c r="U298" i="1" s="1"/>
  <c r="CX298" i="1"/>
  <c r="W298" i="1" s="1"/>
  <c r="FR298" i="1"/>
  <c r="GL298" i="1"/>
  <c r="GN298" i="1"/>
  <c r="GP298" i="1"/>
  <c r="GV298" i="1"/>
  <c r="GX298" i="1" s="1"/>
  <c r="I299" i="1"/>
  <c r="AC299" i="1"/>
  <c r="AD299" i="1"/>
  <c r="AE299" i="1"/>
  <c r="AF299" i="1"/>
  <c r="CT299" i="1" s="1"/>
  <c r="S299" i="1" s="1"/>
  <c r="AG299" i="1"/>
  <c r="AH299" i="1"/>
  <c r="CV299" i="1" s="1"/>
  <c r="U299" i="1" s="1"/>
  <c r="AI299" i="1"/>
  <c r="AJ299" i="1"/>
  <c r="CX299" i="1" s="1"/>
  <c r="W299" i="1" s="1"/>
  <c r="CQ299" i="1"/>
  <c r="P299" i="1" s="1"/>
  <c r="CS299" i="1"/>
  <c r="R299" i="1" s="1"/>
  <c r="GK299" i="1" s="1"/>
  <c r="CU299" i="1"/>
  <c r="T299" i="1" s="1"/>
  <c r="CW299" i="1"/>
  <c r="V299" i="1" s="1"/>
  <c r="FR299" i="1"/>
  <c r="GL299" i="1"/>
  <c r="GN299" i="1"/>
  <c r="GP299" i="1"/>
  <c r="GV299" i="1"/>
  <c r="GX299" i="1"/>
  <c r="C300" i="1"/>
  <c r="D300" i="1"/>
  <c r="I300" i="1"/>
  <c r="U300" i="1"/>
  <c r="AC300" i="1"/>
  <c r="CQ300" i="1" s="1"/>
  <c r="P300" i="1" s="1"/>
  <c r="AE300" i="1"/>
  <c r="AF300" i="1"/>
  <c r="AG300" i="1"/>
  <c r="CU300" i="1" s="1"/>
  <c r="T300" i="1" s="1"/>
  <c r="AH300" i="1"/>
  <c r="AI300" i="1"/>
  <c r="CW300" i="1" s="1"/>
  <c r="V300" i="1" s="1"/>
  <c r="AJ300" i="1"/>
  <c r="CT300" i="1"/>
  <c r="S300" i="1" s="1"/>
  <c r="CV300" i="1"/>
  <c r="CX300" i="1"/>
  <c r="W300" i="1" s="1"/>
  <c r="FR300" i="1"/>
  <c r="GL300" i="1"/>
  <c r="GN300" i="1"/>
  <c r="GP300" i="1"/>
  <c r="GV300" i="1"/>
  <c r="GX300" i="1" s="1"/>
  <c r="I301" i="1"/>
  <c r="AC301" i="1"/>
  <c r="AD301" i="1"/>
  <c r="AE301" i="1"/>
  <c r="AF301" i="1"/>
  <c r="CT301" i="1" s="1"/>
  <c r="S301" i="1" s="1"/>
  <c r="AG301" i="1"/>
  <c r="AH301" i="1"/>
  <c r="CV301" i="1" s="1"/>
  <c r="U301" i="1" s="1"/>
  <c r="AI301" i="1"/>
  <c r="AJ301" i="1"/>
  <c r="CX301" i="1" s="1"/>
  <c r="W301" i="1" s="1"/>
  <c r="CQ301" i="1"/>
  <c r="P301" i="1" s="1"/>
  <c r="CS301" i="1"/>
  <c r="R301" i="1" s="1"/>
  <c r="GK301" i="1" s="1"/>
  <c r="CU301" i="1"/>
  <c r="T301" i="1" s="1"/>
  <c r="CW301" i="1"/>
  <c r="V301" i="1" s="1"/>
  <c r="CY301" i="1"/>
  <c r="X301" i="1" s="1"/>
  <c r="FR301" i="1"/>
  <c r="GL301" i="1"/>
  <c r="GN301" i="1"/>
  <c r="GP301" i="1"/>
  <c r="GV301" i="1"/>
  <c r="GX301" i="1"/>
  <c r="C302" i="1"/>
  <c r="D302" i="1"/>
  <c r="AC302" i="1"/>
  <c r="AD302" i="1"/>
  <c r="CR302" i="1" s="1"/>
  <c r="Q302" i="1" s="1"/>
  <c r="AE302" i="1"/>
  <c r="AF302" i="1"/>
  <c r="CT302" i="1" s="1"/>
  <c r="S302" i="1" s="1"/>
  <c r="AG302" i="1"/>
  <c r="AH302" i="1"/>
  <c r="CV302" i="1" s="1"/>
  <c r="U302" i="1" s="1"/>
  <c r="AI302" i="1"/>
  <c r="AJ302" i="1"/>
  <c r="CX302" i="1" s="1"/>
  <c r="W302" i="1" s="1"/>
  <c r="CQ302" i="1"/>
  <c r="P302" i="1" s="1"/>
  <c r="CP302" i="1" s="1"/>
  <c r="O302" i="1" s="1"/>
  <c r="CS302" i="1"/>
  <c r="R302" i="1" s="1"/>
  <c r="GK302" i="1" s="1"/>
  <c r="CU302" i="1"/>
  <c r="T302" i="1" s="1"/>
  <c r="CW302" i="1"/>
  <c r="V302" i="1" s="1"/>
  <c r="FR302" i="1"/>
  <c r="GL302" i="1"/>
  <c r="GN302" i="1"/>
  <c r="GP302" i="1"/>
  <c r="GV302" i="1"/>
  <c r="GX302" i="1"/>
  <c r="I303" i="1"/>
  <c r="S303" i="1"/>
  <c r="AC303" i="1"/>
  <c r="AE303" i="1"/>
  <c r="AF303" i="1"/>
  <c r="AG303" i="1"/>
  <c r="CU303" i="1" s="1"/>
  <c r="T303" i="1" s="1"/>
  <c r="AH303" i="1"/>
  <c r="AI303" i="1"/>
  <c r="CW303" i="1" s="1"/>
  <c r="V303" i="1" s="1"/>
  <c r="AJ303" i="1"/>
  <c r="CT303" i="1"/>
  <c r="CV303" i="1"/>
  <c r="U303" i="1" s="1"/>
  <c r="CX303" i="1"/>
  <c r="W303" i="1" s="1"/>
  <c r="FR303" i="1"/>
  <c r="GL303" i="1"/>
  <c r="GN303" i="1"/>
  <c r="GP303" i="1"/>
  <c r="GV303" i="1"/>
  <c r="GX303" i="1" s="1"/>
  <c r="C304" i="1"/>
  <c r="D304" i="1"/>
  <c r="I304" i="1"/>
  <c r="V304" i="1"/>
  <c r="AC304" i="1"/>
  <c r="AD304" i="1"/>
  <c r="AE304" i="1"/>
  <c r="AF304" i="1"/>
  <c r="CT304" i="1" s="1"/>
  <c r="AG304" i="1"/>
  <c r="AH304" i="1"/>
  <c r="CV304" i="1" s="1"/>
  <c r="U304" i="1" s="1"/>
  <c r="AI304" i="1"/>
  <c r="AJ304" i="1"/>
  <c r="CX304" i="1" s="1"/>
  <c r="CQ304" i="1"/>
  <c r="CS304" i="1"/>
  <c r="R304" i="1" s="1"/>
  <c r="GK304" i="1" s="1"/>
  <c r="CU304" i="1"/>
  <c r="T304" i="1" s="1"/>
  <c r="CW304" i="1"/>
  <c r="FR304" i="1"/>
  <c r="GL304" i="1"/>
  <c r="GO304" i="1"/>
  <c r="GP304" i="1"/>
  <c r="GV304" i="1"/>
  <c r="C305" i="1"/>
  <c r="D305" i="1"/>
  <c r="I305" i="1"/>
  <c r="S305" i="1"/>
  <c r="U305" i="1"/>
  <c r="AC305" i="1"/>
  <c r="AE305" i="1"/>
  <c r="AF305" i="1"/>
  <c r="AG305" i="1"/>
  <c r="CU305" i="1" s="1"/>
  <c r="T305" i="1" s="1"/>
  <c r="AH305" i="1"/>
  <c r="AI305" i="1"/>
  <c r="CW305" i="1" s="1"/>
  <c r="V305" i="1" s="1"/>
  <c r="AJ305" i="1"/>
  <c r="CT305" i="1"/>
  <c r="CV305" i="1"/>
  <c r="CX305" i="1"/>
  <c r="W305" i="1" s="1"/>
  <c r="FR305" i="1"/>
  <c r="GL305" i="1"/>
  <c r="GN305" i="1"/>
  <c r="GP305" i="1"/>
  <c r="GV305" i="1"/>
  <c r="GX305" i="1" s="1"/>
  <c r="I306" i="1"/>
  <c r="GX306" i="1" s="1"/>
  <c r="T306" i="1"/>
  <c r="V306" i="1"/>
  <c r="AC306" i="1"/>
  <c r="AD306" i="1"/>
  <c r="CR306" i="1" s="1"/>
  <c r="Q306" i="1" s="1"/>
  <c r="AE306" i="1"/>
  <c r="AF306" i="1"/>
  <c r="CT306" i="1" s="1"/>
  <c r="AG306" i="1"/>
  <c r="AH306" i="1"/>
  <c r="CV306" i="1" s="1"/>
  <c r="U306" i="1" s="1"/>
  <c r="AI306" i="1"/>
  <c r="AJ306" i="1"/>
  <c r="CX306" i="1" s="1"/>
  <c r="CQ306" i="1"/>
  <c r="P306" i="1" s="1"/>
  <c r="CS306" i="1"/>
  <c r="R306" i="1" s="1"/>
  <c r="GK306" i="1" s="1"/>
  <c r="CU306" i="1"/>
  <c r="CW306" i="1"/>
  <c r="FR306" i="1"/>
  <c r="GL306" i="1"/>
  <c r="GN306" i="1"/>
  <c r="GP306" i="1"/>
  <c r="GV306" i="1"/>
  <c r="C307" i="1"/>
  <c r="D307" i="1"/>
  <c r="P307" i="1"/>
  <c r="V307" i="1"/>
  <c r="AC307" i="1"/>
  <c r="AD307" i="1"/>
  <c r="AE307" i="1"/>
  <c r="AF307" i="1"/>
  <c r="CT307" i="1" s="1"/>
  <c r="S307" i="1" s="1"/>
  <c r="AG307" i="1"/>
  <c r="AH307" i="1"/>
  <c r="CV307" i="1" s="1"/>
  <c r="U307" i="1" s="1"/>
  <c r="AI307" i="1"/>
  <c r="AJ307" i="1"/>
  <c r="CX307" i="1" s="1"/>
  <c r="W307" i="1" s="1"/>
  <c r="CQ307" i="1"/>
  <c r="CS307" i="1"/>
  <c r="R307" i="1" s="1"/>
  <c r="CU307" i="1"/>
  <c r="T307" i="1" s="1"/>
  <c r="CW307" i="1"/>
  <c r="FR307" i="1"/>
  <c r="GL307" i="1"/>
  <c r="GN307" i="1"/>
  <c r="GP307" i="1"/>
  <c r="GV307" i="1"/>
  <c r="GX307" i="1"/>
  <c r="I308" i="1"/>
  <c r="S308" i="1"/>
  <c r="AC308" i="1"/>
  <c r="AE308" i="1"/>
  <c r="AF308" i="1"/>
  <c r="AG308" i="1"/>
  <c r="CU308" i="1" s="1"/>
  <c r="T308" i="1" s="1"/>
  <c r="AH308" i="1"/>
  <c r="AI308" i="1"/>
  <c r="CW308" i="1" s="1"/>
  <c r="V308" i="1" s="1"/>
  <c r="AJ308" i="1"/>
  <c r="CT308" i="1"/>
  <c r="CV308" i="1"/>
  <c r="U308" i="1" s="1"/>
  <c r="CX308" i="1"/>
  <c r="W308" i="1" s="1"/>
  <c r="FR308" i="1"/>
  <c r="GL308" i="1"/>
  <c r="GN308" i="1"/>
  <c r="GP308" i="1"/>
  <c r="GV308" i="1"/>
  <c r="GX308" i="1" s="1"/>
  <c r="C309" i="1"/>
  <c r="D309" i="1"/>
  <c r="W309" i="1"/>
  <c r="AC309" i="1"/>
  <c r="AE309" i="1"/>
  <c r="AF309" i="1"/>
  <c r="AG309" i="1"/>
  <c r="CU309" i="1" s="1"/>
  <c r="T309" i="1" s="1"/>
  <c r="AH309" i="1"/>
  <c r="AI309" i="1"/>
  <c r="CW309" i="1" s="1"/>
  <c r="V309" i="1" s="1"/>
  <c r="AJ309" i="1"/>
  <c r="CT309" i="1"/>
  <c r="S309" i="1" s="1"/>
  <c r="CV309" i="1"/>
  <c r="U309" i="1" s="1"/>
  <c r="CX309" i="1"/>
  <c r="FR309" i="1"/>
  <c r="GL309" i="1"/>
  <c r="GN309" i="1"/>
  <c r="GP309" i="1"/>
  <c r="GV309" i="1"/>
  <c r="GX309" i="1" s="1"/>
  <c r="I310" i="1"/>
  <c r="P310" i="1"/>
  <c r="CP310" i="1" s="1"/>
  <c r="O310" i="1" s="1"/>
  <c r="R310" i="1"/>
  <c r="GK310" i="1" s="1"/>
  <c r="AC310" i="1"/>
  <c r="AD310" i="1"/>
  <c r="CR310" i="1" s="1"/>
  <c r="Q310" i="1" s="1"/>
  <c r="AE310" i="1"/>
  <c r="AF310" i="1"/>
  <c r="CT310" i="1" s="1"/>
  <c r="S310" i="1" s="1"/>
  <c r="CZ310" i="1" s="1"/>
  <c r="Y310" i="1" s="1"/>
  <c r="AG310" i="1"/>
  <c r="AH310" i="1"/>
  <c r="CV310" i="1" s="1"/>
  <c r="U310" i="1" s="1"/>
  <c r="AI310" i="1"/>
  <c r="AJ310" i="1"/>
  <c r="CX310" i="1" s="1"/>
  <c r="W310" i="1" s="1"/>
  <c r="CQ310" i="1"/>
  <c r="CS310" i="1"/>
  <c r="CU310" i="1"/>
  <c r="T310" i="1" s="1"/>
  <c r="CW310" i="1"/>
  <c r="V310" i="1" s="1"/>
  <c r="FR310" i="1"/>
  <c r="GL310" i="1"/>
  <c r="GN310" i="1"/>
  <c r="GP310" i="1"/>
  <c r="GV310" i="1"/>
  <c r="GX310" i="1"/>
  <c r="C311" i="1"/>
  <c r="D311" i="1"/>
  <c r="R311" i="1"/>
  <c r="GK311" i="1" s="1"/>
  <c r="T311" i="1"/>
  <c r="AC311" i="1"/>
  <c r="AD311" i="1"/>
  <c r="CR311" i="1" s="1"/>
  <c r="Q311" i="1" s="1"/>
  <c r="AE311" i="1"/>
  <c r="AF311" i="1"/>
  <c r="CT311" i="1" s="1"/>
  <c r="S311" i="1" s="1"/>
  <c r="AG311" i="1"/>
  <c r="AH311" i="1"/>
  <c r="CV311" i="1" s="1"/>
  <c r="U311" i="1" s="1"/>
  <c r="AI311" i="1"/>
  <c r="AJ311" i="1"/>
  <c r="CX311" i="1" s="1"/>
  <c r="W311" i="1" s="1"/>
  <c r="CQ311" i="1"/>
  <c r="P311" i="1" s="1"/>
  <c r="CP311" i="1" s="1"/>
  <c r="O311" i="1" s="1"/>
  <c r="CS311" i="1"/>
  <c r="CU311" i="1"/>
  <c r="CW311" i="1"/>
  <c r="V311" i="1" s="1"/>
  <c r="FR311" i="1"/>
  <c r="GL311" i="1"/>
  <c r="GN311" i="1"/>
  <c r="GP311" i="1"/>
  <c r="GV311" i="1"/>
  <c r="GX311" i="1"/>
  <c r="I312" i="1"/>
  <c r="U312" i="1"/>
  <c r="W312" i="1"/>
  <c r="AC312" i="1"/>
  <c r="AE312" i="1"/>
  <c r="AF312" i="1"/>
  <c r="AG312" i="1"/>
  <c r="CU312" i="1" s="1"/>
  <c r="T312" i="1" s="1"/>
  <c r="AH312" i="1"/>
  <c r="AI312" i="1"/>
  <c r="CW312" i="1" s="1"/>
  <c r="V312" i="1" s="1"/>
  <c r="AJ312" i="1"/>
  <c r="CT312" i="1"/>
  <c r="S312" i="1" s="1"/>
  <c r="CV312" i="1"/>
  <c r="CX312" i="1"/>
  <c r="FR312" i="1"/>
  <c r="GL312" i="1"/>
  <c r="GN312" i="1"/>
  <c r="GP312" i="1"/>
  <c r="GV312" i="1"/>
  <c r="GX312" i="1" s="1"/>
  <c r="I313" i="1"/>
  <c r="V313" i="1"/>
  <c r="AC313" i="1"/>
  <c r="AD313" i="1"/>
  <c r="AE313" i="1"/>
  <c r="AF313" i="1"/>
  <c r="CT313" i="1" s="1"/>
  <c r="AG313" i="1"/>
  <c r="AH313" i="1"/>
  <c r="CV313" i="1" s="1"/>
  <c r="AI313" i="1"/>
  <c r="AJ313" i="1"/>
  <c r="CX313" i="1" s="1"/>
  <c r="CQ313" i="1"/>
  <c r="CS313" i="1"/>
  <c r="CU313" i="1"/>
  <c r="T313" i="1" s="1"/>
  <c r="CW313" i="1"/>
  <c r="FR313" i="1"/>
  <c r="GL313" i="1"/>
  <c r="GN313" i="1"/>
  <c r="GP313" i="1"/>
  <c r="GV313" i="1"/>
  <c r="C314" i="1"/>
  <c r="D314" i="1"/>
  <c r="I314" i="1"/>
  <c r="U314" i="1"/>
  <c r="W314" i="1"/>
  <c r="AC314" i="1"/>
  <c r="AE314" i="1"/>
  <c r="AF314" i="1"/>
  <c r="AG314" i="1"/>
  <c r="CU314" i="1" s="1"/>
  <c r="T314" i="1" s="1"/>
  <c r="AH314" i="1"/>
  <c r="AI314" i="1"/>
  <c r="CW314" i="1" s="1"/>
  <c r="V314" i="1" s="1"/>
  <c r="AJ314" i="1"/>
  <c r="CT314" i="1"/>
  <c r="S314" i="1" s="1"/>
  <c r="CV314" i="1"/>
  <c r="CX314" i="1"/>
  <c r="FR314" i="1"/>
  <c r="GL314" i="1"/>
  <c r="GN314" i="1"/>
  <c r="GP314" i="1"/>
  <c r="GV314" i="1"/>
  <c r="GX314" i="1" s="1"/>
  <c r="I315" i="1"/>
  <c r="V315" i="1"/>
  <c r="AC315" i="1"/>
  <c r="AD315" i="1"/>
  <c r="AE315" i="1"/>
  <c r="AF315" i="1"/>
  <c r="CT315" i="1" s="1"/>
  <c r="AG315" i="1"/>
  <c r="AH315" i="1"/>
  <c r="CV315" i="1" s="1"/>
  <c r="U315" i="1" s="1"/>
  <c r="AI315" i="1"/>
  <c r="AJ315" i="1"/>
  <c r="CX315" i="1" s="1"/>
  <c r="CQ315" i="1"/>
  <c r="CS315" i="1"/>
  <c r="R315" i="1" s="1"/>
  <c r="GK315" i="1" s="1"/>
  <c r="CU315" i="1"/>
  <c r="T315" i="1" s="1"/>
  <c r="CW315" i="1"/>
  <c r="FR315" i="1"/>
  <c r="GL315" i="1"/>
  <c r="GN315" i="1"/>
  <c r="GP315" i="1"/>
  <c r="GV315" i="1"/>
  <c r="C316" i="1"/>
  <c r="D316" i="1"/>
  <c r="I316" i="1"/>
  <c r="U316" i="1"/>
  <c r="W316" i="1"/>
  <c r="AC316" i="1"/>
  <c r="AE316" i="1"/>
  <c r="AF316" i="1"/>
  <c r="AG316" i="1"/>
  <c r="CU316" i="1" s="1"/>
  <c r="T316" i="1" s="1"/>
  <c r="AH316" i="1"/>
  <c r="AI316" i="1"/>
  <c r="CW316" i="1" s="1"/>
  <c r="V316" i="1" s="1"/>
  <c r="AJ316" i="1"/>
  <c r="CT316" i="1"/>
  <c r="S316" i="1" s="1"/>
  <c r="CV316" i="1"/>
  <c r="CX316" i="1"/>
  <c r="FR316" i="1"/>
  <c r="GL316" i="1"/>
  <c r="GN316" i="1"/>
  <c r="GP316" i="1"/>
  <c r="GV316" i="1"/>
  <c r="GX316" i="1" s="1"/>
  <c r="I317" i="1"/>
  <c r="AC317" i="1"/>
  <c r="AD317" i="1"/>
  <c r="AE317" i="1"/>
  <c r="AF317" i="1"/>
  <c r="CT317" i="1" s="1"/>
  <c r="AG317" i="1"/>
  <c r="AH317" i="1"/>
  <c r="CV317" i="1" s="1"/>
  <c r="U317" i="1" s="1"/>
  <c r="AI317" i="1"/>
  <c r="AJ317" i="1"/>
  <c r="CX317" i="1" s="1"/>
  <c r="CQ317" i="1"/>
  <c r="CS317" i="1"/>
  <c r="R317" i="1" s="1"/>
  <c r="GK317" i="1" s="1"/>
  <c r="CU317" i="1"/>
  <c r="T317" i="1" s="1"/>
  <c r="CW317" i="1"/>
  <c r="FR317" i="1"/>
  <c r="GL317" i="1"/>
  <c r="GN317" i="1"/>
  <c r="GP317" i="1"/>
  <c r="GV317" i="1"/>
  <c r="B319" i="1"/>
  <c r="B290" i="1" s="1"/>
  <c r="C319" i="1"/>
  <c r="C290" i="1" s="1"/>
  <c r="D319" i="1"/>
  <c r="D290" i="1" s="1"/>
  <c r="F319" i="1"/>
  <c r="F290" i="1" s="1"/>
  <c r="G319" i="1"/>
  <c r="G290" i="1" s="1"/>
  <c r="AO319" i="1"/>
  <c r="AO290" i="1" s="1"/>
  <c r="BC319" i="1"/>
  <c r="BC290" i="1" s="1"/>
  <c r="BX319" i="1"/>
  <c r="CK319" i="1"/>
  <c r="CL319" i="1"/>
  <c r="CL290" i="1" s="1"/>
  <c r="F323" i="1"/>
  <c r="D348" i="1"/>
  <c r="E350" i="1"/>
  <c r="Z350" i="1"/>
  <c r="AA350" i="1"/>
  <c r="AM350" i="1"/>
  <c r="AN350" i="1"/>
  <c r="BD350" i="1"/>
  <c r="BE350" i="1"/>
  <c r="BF350" i="1"/>
  <c r="BG350" i="1"/>
  <c r="BH350" i="1"/>
  <c r="BI350" i="1"/>
  <c r="BJ350" i="1"/>
  <c r="BK350" i="1"/>
  <c r="BL350" i="1"/>
  <c r="BM350" i="1"/>
  <c r="BN350" i="1"/>
  <c r="BO350" i="1"/>
  <c r="BP350" i="1"/>
  <c r="BQ350" i="1"/>
  <c r="BR350" i="1"/>
  <c r="BS350" i="1"/>
  <c r="BT350" i="1"/>
  <c r="BU350" i="1"/>
  <c r="BV350" i="1"/>
  <c r="BW350" i="1"/>
  <c r="CM350" i="1"/>
  <c r="CN350" i="1"/>
  <c r="CO350" i="1"/>
  <c r="CP350" i="1"/>
  <c r="CQ350" i="1"/>
  <c r="CR350" i="1"/>
  <c r="CS350" i="1"/>
  <c r="CT350" i="1"/>
  <c r="CU350" i="1"/>
  <c r="CV350" i="1"/>
  <c r="CW350" i="1"/>
  <c r="CX350" i="1"/>
  <c r="CY350" i="1"/>
  <c r="CZ350" i="1"/>
  <c r="DA350" i="1"/>
  <c r="DB350" i="1"/>
  <c r="DC350" i="1"/>
  <c r="DD350" i="1"/>
  <c r="DE350" i="1"/>
  <c r="DF350" i="1"/>
  <c r="DG350" i="1"/>
  <c r="DH350" i="1"/>
  <c r="DI350" i="1"/>
  <c r="DJ350" i="1"/>
  <c r="DK350" i="1"/>
  <c r="DL350" i="1"/>
  <c r="DM350" i="1"/>
  <c r="DN350" i="1"/>
  <c r="DO350" i="1"/>
  <c r="DP350" i="1"/>
  <c r="DQ350" i="1"/>
  <c r="DR350" i="1"/>
  <c r="DS350" i="1"/>
  <c r="DT350" i="1"/>
  <c r="DU350" i="1"/>
  <c r="DV350" i="1"/>
  <c r="DW350" i="1"/>
  <c r="DX350" i="1"/>
  <c r="DY350" i="1"/>
  <c r="DZ350" i="1"/>
  <c r="EA350" i="1"/>
  <c r="EB350" i="1"/>
  <c r="EC350" i="1"/>
  <c r="ED350" i="1"/>
  <c r="EE350" i="1"/>
  <c r="EF350" i="1"/>
  <c r="EG350" i="1"/>
  <c r="EH350" i="1"/>
  <c r="EI350" i="1"/>
  <c r="EJ350" i="1"/>
  <c r="EK350" i="1"/>
  <c r="EL350" i="1"/>
  <c r="EM350" i="1"/>
  <c r="EN350" i="1"/>
  <c r="EO350" i="1"/>
  <c r="EP350" i="1"/>
  <c r="EQ350" i="1"/>
  <c r="ER350" i="1"/>
  <c r="ES350" i="1"/>
  <c r="ET350" i="1"/>
  <c r="EU350" i="1"/>
  <c r="EV350" i="1"/>
  <c r="EW350" i="1"/>
  <c r="EX350" i="1"/>
  <c r="EY350" i="1"/>
  <c r="EZ350" i="1"/>
  <c r="FA350" i="1"/>
  <c r="FB350" i="1"/>
  <c r="FC350" i="1"/>
  <c r="FD350" i="1"/>
  <c r="FE350" i="1"/>
  <c r="FF350" i="1"/>
  <c r="FG350" i="1"/>
  <c r="FH350" i="1"/>
  <c r="FI350" i="1"/>
  <c r="FJ350" i="1"/>
  <c r="FK350" i="1"/>
  <c r="FL350" i="1"/>
  <c r="FM350" i="1"/>
  <c r="FN350" i="1"/>
  <c r="FO350" i="1"/>
  <c r="FP350" i="1"/>
  <c r="FQ350" i="1"/>
  <c r="FR350" i="1"/>
  <c r="FS350" i="1"/>
  <c r="FT350" i="1"/>
  <c r="FU350" i="1"/>
  <c r="FV350" i="1"/>
  <c r="FW350" i="1"/>
  <c r="FX350" i="1"/>
  <c r="FY350" i="1"/>
  <c r="FZ350" i="1"/>
  <c r="GA350" i="1"/>
  <c r="GB350" i="1"/>
  <c r="GC350" i="1"/>
  <c r="GD350" i="1"/>
  <c r="GE350" i="1"/>
  <c r="GF350" i="1"/>
  <c r="GG350" i="1"/>
  <c r="GH350" i="1"/>
  <c r="GI350" i="1"/>
  <c r="GJ350" i="1"/>
  <c r="GK350" i="1"/>
  <c r="GL350" i="1"/>
  <c r="GM350" i="1"/>
  <c r="GN350" i="1"/>
  <c r="GO350" i="1"/>
  <c r="GP350" i="1"/>
  <c r="GQ350" i="1"/>
  <c r="GR350" i="1"/>
  <c r="GS350" i="1"/>
  <c r="GT350" i="1"/>
  <c r="GU350" i="1"/>
  <c r="GV350" i="1"/>
  <c r="GW350" i="1"/>
  <c r="GX350" i="1"/>
  <c r="C352" i="1"/>
  <c r="D352" i="1"/>
  <c r="I352" i="1"/>
  <c r="U352" i="1"/>
  <c r="W352" i="1"/>
  <c r="AC352" i="1"/>
  <c r="AE352" i="1"/>
  <c r="AF352" i="1"/>
  <c r="AG352" i="1"/>
  <c r="CU352" i="1" s="1"/>
  <c r="T352" i="1" s="1"/>
  <c r="AH352" i="1"/>
  <c r="AI352" i="1"/>
  <c r="CW352" i="1" s="1"/>
  <c r="V352" i="1" s="1"/>
  <c r="AJ352" i="1"/>
  <c r="CT352" i="1"/>
  <c r="S352" i="1" s="1"/>
  <c r="CV352" i="1"/>
  <c r="CX352" i="1"/>
  <c r="FR352" i="1"/>
  <c r="GL352" i="1"/>
  <c r="GN352" i="1"/>
  <c r="GP352" i="1"/>
  <c r="GV352" i="1"/>
  <c r="GX352" i="1" s="1"/>
  <c r="I353" i="1"/>
  <c r="V353" i="1"/>
  <c r="AC353" i="1"/>
  <c r="AD353" i="1"/>
  <c r="AE353" i="1"/>
  <c r="AF353" i="1"/>
  <c r="CT353" i="1" s="1"/>
  <c r="AG353" i="1"/>
  <c r="AH353" i="1"/>
  <c r="CV353" i="1" s="1"/>
  <c r="U353" i="1" s="1"/>
  <c r="AI353" i="1"/>
  <c r="AJ353" i="1"/>
  <c r="CX353" i="1" s="1"/>
  <c r="CQ353" i="1"/>
  <c r="CS353" i="1"/>
  <c r="R353" i="1" s="1"/>
  <c r="GK353" i="1" s="1"/>
  <c r="CU353" i="1"/>
  <c r="T353" i="1" s="1"/>
  <c r="CW353" i="1"/>
  <c r="FR353" i="1"/>
  <c r="BY390" i="1" s="1"/>
  <c r="GL353" i="1"/>
  <c r="GN353" i="1"/>
  <c r="GP353" i="1"/>
  <c r="GV353" i="1"/>
  <c r="C354" i="1"/>
  <c r="D354" i="1"/>
  <c r="I354" i="1"/>
  <c r="U354" i="1"/>
  <c r="W354" i="1"/>
  <c r="AC354" i="1"/>
  <c r="AE354" i="1"/>
  <c r="AF354" i="1"/>
  <c r="AG354" i="1"/>
  <c r="CU354" i="1" s="1"/>
  <c r="T354" i="1" s="1"/>
  <c r="AH354" i="1"/>
  <c r="AI354" i="1"/>
  <c r="CW354" i="1" s="1"/>
  <c r="V354" i="1" s="1"/>
  <c r="AJ354" i="1"/>
  <c r="CT354" i="1"/>
  <c r="S354" i="1" s="1"/>
  <c r="CV354" i="1"/>
  <c r="CX354" i="1"/>
  <c r="FR354" i="1"/>
  <c r="GL354" i="1"/>
  <c r="GN354" i="1"/>
  <c r="GP354" i="1"/>
  <c r="GV354" i="1"/>
  <c r="GX354" i="1" s="1"/>
  <c r="I355" i="1"/>
  <c r="AC355" i="1"/>
  <c r="AD355" i="1"/>
  <c r="AE355" i="1"/>
  <c r="AF355" i="1"/>
  <c r="CT355" i="1" s="1"/>
  <c r="AG355" i="1"/>
  <c r="AH355" i="1"/>
  <c r="CV355" i="1" s="1"/>
  <c r="U355" i="1" s="1"/>
  <c r="AI355" i="1"/>
  <c r="AJ355" i="1"/>
  <c r="CX355" i="1" s="1"/>
  <c r="CQ355" i="1"/>
  <c r="CS355" i="1"/>
  <c r="R355" i="1" s="1"/>
  <c r="GK355" i="1" s="1"/>
  <c r="CU355" i="1"/>
  <c r="T355" i="1" s="1"/>
  <c r="CW355" i="1"/>
  <c r="FR355" i="1"/>
  <c r="GL355" i="1"/>
  <c r="GN355" i="1"/>
  <c r="GP355" i="1"/>
  <c r="GV355" i="1"/>
  <c r="C356" i="1"/>
  <c r="D356" i="1"/>
  <c r="I356" i="1"/>
  <c r="U356" i="1"/>
  <c r="W356" i="1"/>
  <c r="AC356" i="1"/>
  <c r="AE356" i="1"/>
  <c r="AF356" i="1"/>
  <c r="AG356" i="1"/>
  <c r="CU356" i="1" s="1"/>
  <c r="T356" i="1" s="1"/>
  <c r="AH356" i="1"/>
  <c r="AI356" i="1"/>
  <c r="CW356" i="1" s="1"/>
  <c r="V356" i="1" s="1"/>
  <c r="AJ356" i="1"/>
  <c r="CT356" i="1"/>
  <c r="S356" i="1" s="1"/>
  <c r="CV356" i="1"/>
  <c r="CX356" i="1"/>
  <c r="FR356" i="1"/>
  <c r="GL356" i="1"/>
  <c r="GN356" i="1"/>
  <c r="GP356" i="1"/>
  <c r="GV356" i="1"/>
  <c r="GX356" i="1" s="1"/>
  <c r="I357" i="1"/>
  <c r="V357" i="1" s="1"/>
  <c r="AC357" i="1"/>
  <c r="AD357" i="1"/>
  <c r="AE357" i="1"/>
  <c r="AF357" i="1"/>
  <c r="CT357" i="1" s="1"/>
  <c r="AG357" i="1"/>
  <c r="AH357" i="1"/>
  <c r="CV357" i="1" s="1"/>
  <c r="AI357" i="1"/>
  <c r="AJ357" i="1"/>
  <c r="CX357" i="1" s="1"/>
  <c r="CQ357" i="1"/>
  <c r="CS357" i="1"/>
  <c r="CU357" i="1"/>
  <c r="T357" i="1" s="1"/>
  <c r="CW357" i="1"/>
  <c r="FR357" i="1"/>
  <c r="GL357" i="1"/>
  <c r="GN357" i="1"/>
  <c r="GP357" i="1"/>
  <c r="GV357" i="1"/>
  <c r="C358" i="1"/>
  <c r="D358" i="1"/>
  <c r="I358" i="1"/>
  <c r="S358" i="1"/>
  <c r="CY358" i="1" s="1"/>
  <c r="X358" i="1" s="1"/>
  <c r="W358" i="1"/>
  <c r="AC358" i="1"/>
  <c r="AD358" i="1"/>
  <c r="CR358" i="1" s="1"/>
  <c r="Q358" i="1" s="1"/>
  <c r="AE358" i="1"/>
  <c r="CS358" i="1" s="1"/>
  <c r="R358" i="1" s="1"/>
  <c r="AF358" i="1"/>
  <c r="AG358" i="1"/>
  <c r="AH358" i="1"/>
  <c r="AI358" i="1"/>
  <c r="CW358" i="1" s="1"/>
  <c r="V358" i="1" s="1"/>
  <c r="AJ358" i="1"/>
  <c r="CQ358" i="1"/>
  <c r="P358" i="1" s="1"/>
  <c r="CT358" i="1"/>
  <c r="CU358" i="1"/>
  <c r="T358" i="1" s="1"/>
  <c r="CV358" i="1"/>
  <c r="U358" i="1" s="1"/>
  <c r="CX358" i="1"/>
  <c r="FR358" i="1"/>
  <c r="GK358" i="1"/>
  <c r="GL358" i="1"/>
  <c r="GN358" i="1"/>
  <c r="GP358" i="1"/>
  <c r="GV358" i="1"/>
  <c r="GX358" i="1" s="1"/>
  <c r="I359" i="1"/>
  <c r="AC359" i="1"/>
  <c r="AD359" i="1"/>
  <c r="CR359" i="1" s="1"/>
  <c r="AE359" i="1"/>
  <c r="AF359" i="1"/>
  <c r="AB359" i="1" s="1"/>
  <c r="AG359" i="1"/>
  <c r="AH359" i="1"/>
  <c r="CV359" i="1" s="1"/>
  <c r="AI359" i="1"/>
  <c r="AJ359" i="1"/>
  <c r="CQ359" i="1"/>
  <c r="CS359" i="1"/>
  <c r="R359" i="1" s="1"/>
  <c r="GK359" i="1" s="1"/>
  <c r="CT359" i="1"/>
  <c r="CU359" i="1"/>
  <c r="CW359" i="1"/>
  <c r="CX359" i="1"/>
  <c r="W359" i="1" s="1"/>
  <c r="FR359" i="1"/>
  <c r="GL359" i="1"/>
  <c r="GN359" i="1"/>
  <c r="GP359" i="1"/>
  <c r="GV359" i="1"/>
  <c r="C360" i="1"/>
  <c r="D360" i="1"/>
  <c r="I360" i="1"/>
  <c r="S360" i="1"/>
  <c r="T360" i="1"/>
  <c r="AC360" i="1"/>
  <c r="AE360" i="1"/>
  <c r="AF360" i="1"/>
  <c r="AG360" i="1"/>
  <c r="AH360" i="1"/>
  <c r="AI360" i="1"/>
  <c r="CW360" i="1" s="1"/>
  <c r="V360" i="1" s="1"/>
  <c r="AJ360" i="1"/>
  <c r="CQ360" i="1"/>
  <c r="P360" i="1" s="1"/>
  <c r="CT360" i="1"/>
  <c r="CU360" i="1"/>
  <c r="CV360" i="1"/>
  <c r="U360" i="1" s="1"/>
  <c r="CX360" i="1"/>
  <c r="W360" i="1" s="1"/>
  <c r="FR360" i="1"/>
  <c r="GL360" i="1"/>
  <c r="GN360" i="1"/>
  <c r="GP360" i="1"/>
  <c r="GV360" i="1"/>
  <c r="GX360" i="1" s="1"/>
  <c r="I361" i="1"/>
  <c r="AC361" i="1"/>
  <c r="AD361" i="1"/>
  <c r="AE361" i="1"/>
  <c r="AF361" i="1"/>
  <c r="CT361" i="1" s="1"/>
  <c r="S361" i="1" s="1"/>
  <c r="CZ361" i="1" s="1"/>
  <c r="Y361" i="1" s="1"/>
  <c r="AG361" i="1"/>
  <c r="AH361" i="1"/>
  <c r="CV361" i="1" s="1"/>
  <c r="U361" i="1" s="1"/>
  <c r="AI361" i="1"/>
  <c r="AJ361" i="1"/>
  <c r="CX361" i="1" s="1"/>
  <c r="W361" i="1" s="1"/>
  <c r="CQ361" i="1"/>
  <c r="P361" i="1" s="1"/>
  <c r="CS361" i="1"/>
  <c r="R361" i="1" s="1"/>
  <c r="GK361" i="1" s="1"/>
  <c r="CU361" i="1"/>
  <c r="T361" i="1" s="1"/>
  <c r="CW361" i="1"/>
  <c r="V361" i="1" s="1"/>
  <c r="CY361" i="1"/>
  <c r="X361" i="1" s="1"/>
  <c r="FR361" i="1"/>
  <c r="GL361" i="1"/>
  <c r="GN361" i="1"/>
  <c r="GP361" i="1"/>
  <c r="CD390" i="1" s="1"/>
  <c r="GV361" i="1"/>
  <c r="GX361" i="1"/>
  <c r="C362" i="1"/>
  <c r="D362" i="1"/>
  <c r="I362" i="1"/>
  <c r="U362" i="1"/>
  <c r="AC362" i="1"/>
  <c r="AE362" i="1"/>
  <c r="AF362" i="1"/>
  <c r="AG362" i="1"/>
  <c r="CU362" i="1" s="1"/>
  <c r="T362" i="1" s="1"/>
  <c r="AH362" i="1"/>
  <c r="AI362" i="1"/>
  <c r="CW362" i="1" s="1"/>
  <c r="V362" i="1" s="1"/>
  <c r="AJ362" i="1"/>
  <c r="CT362" i="1"/>
  <c r="S362" i="1" s="1"/>
  <c r="CV362" i="1"/>
  <c r="CX362" i="1"/>
  <c r="W362" i="1" s="1"/>
  <c r="FR362" i="1"/>
  <c r="GL362" i="1"/>
  <c r="GN362" i="1"/>
  <c r="GP362" i="1"/>
  <c r="GV362" i="1"/>
  <c r="GX362" i="1" s="1"/>
  <c r="I363" i="1"/>
  <c r="P363" i="1"/>
  <c r="AC363" i="1"/>
  <c r="AD363" i="1"/>
  <c r="AE363" i="1"/>
  <c r="AF363" i="1"/>
  <c r="CT363" i="1" s="1"/>
  <c r="S363" i="1" s="1"/>
  <c r="AG363" i="1"/>
  <c r="AH363" i="1"/>
  <c r="CV363" i="1" s="1"/>
  <c r="U363" i="1" s="1"/>
  <c r="AI363" i="1"/>
  <c r="AJ363" i="1"/>
  <c r="CX363" i="1" s="1"/>
  <c r="W363" i="1" s="1"/>
  <c r="CQ363" i="1"/>
  <c r="CS363" i="1"/>
  <c r="R363" i="1" s="1"/>
  <c r="GK363" i="1" s="1"/>
  <c r="CU363" i="1"/>
  <c r="T363" i="1" s="1"/>
  <c r="CW363" i="1"/>
  <c r="V363" i="1" s="1"/>
  <c r="FR363" i="1"/>
  <c r="GL363" i="1"/>
  <c r="GN363" i="1"/>
  <c r="GP363" i="1"/>
  <c r="GV363" i="1"/>
  <c r="GX363" i="1"/>
  <c r="C364" i="1"/>
  <c r="D364" i="1"/>
  <c r="I364" i="1"/>
  <c r="AC364" i="1"/>
  <c r="AE364" i="1"/>
  <c r="AF364" i="1"/>
  <c r="AG364" i="1"/>
  <c r="CU364" i="1" s="1"/>
  <c r="T364" i="1" s="1"/>
  <c r="AH364" i="1"/>
  <c r="AI364" i="1"/>
  <c r="CW364" i="1" s="1"/>
  <c r="V364" i="1" s="1"/>
  <c r="AJ364" i="1"/>
  <c r="CT364" i="1"/>
  <c r="S364" i="1" s="1"/>
  <c r="CV364" i="1"/>
  <c r="U364" i="1" s="1"/>
  <c r="CX364" i="1"/>
  <c r="W364" i="1" s="1"/>
  <c r="FR364" i="1"/>
  <c r="GL364" i="1"/>
  <c r="GN364" i="1"/>
  <c r="GP364" i="1"/>
  <c r="GV364" i="1"/>
  <c r="GX364" i="1" s="1"/>
  <c r="I365" i="1"/>
  <c r="P365" i="1"/>
  <c r="AC365" i="1"/>
  <c r="AD365" i="1"/>
  <c r="AE365" i="1"/>
  <c r="AF365" i="1"/>
  <c r="CT365" i="1" s="1"/>
  <c r="S365" i="1" s="1"/>
  <c r="AG365" i="1"/>
  <c r="AH365" i="1"/>
  <c r="CV365" i="1" s="1"/>
  <c r="U365" i="1" s="1"/>
  <c r="AI365" i="1"/>
  <c r="AJ365" i="1"/>
  <c r="CX365" i="1" s="1"/>
  <c r="W365" i="1" s="1"/>
  <c r="CQ365" i="1"/>
  <c r="CS365" i="1"/>
  <c r="R365" i="1" s="1"/>
  <c r="GK365" i="1" s="1"/>
  <c r="CU365" i="1"/>
  <c r="T365" i="1" s="1"/>
  <c r="CW365" i="1"/>
  <c r="V365" i="1" s="1"/>
  <c r="FR365" i="1"/>
  <c r="GL365" i="1"/>
  <c r="BZ390" i="1" s="1"/>
  <c r="GN365" i="1"/>
  <c r="GP365" i="1"/>
  <c r="GV365" i="1"/>
  <c r="GX365" i="1"/>
  <c r="C366" i="1"/>
  <c r="D366" i="1"/>
  <c r="I366" i="1"/>
  <c r="AC366" i="1"/>
  <c r="AE366" i="1"/>
  <c r="AF366" i="1"/>
  <c r="AG366" i="1"/>
  <c r="CU366" i="1" s="1"/>
  <c r="T366" i="1" s="1"/>
  <c r="AH366" i="1"/>
  <c r="AI366" i="1"/>
  <c r="CW366" i="1" s="1"/>
  <c r="V366" i="1" s="1"/>
  <c r="AJ366" i="1"/>
  <c r="CT366" i="1"/>
  <c r="S366" i="1" s="1"/>
  <c r="CV366" i="1"/>
  <c r="U366" i="1" s="1"/>
  <c r="CX366" i="1"/>
  <c r="W366" i="1" s="1"/>
  <c r="FR366" i="1"/>
  <c r="GL366" i="1"/>
  <c r="GN366" i="1"/>
  <c r="GP366" i="1"/>
  <c r="GV366" i="1"/>
  <c r="GX366" i="1" s="1"/>
  <c r="I367" i="1"/>
  <c r="AC367" i="1"/>
  <c r="AD367" i="1"/>
  <c r="AE367" i="1"/>
  <c r="AF367" i="1"/>
  <c r="CT367" i="1" s="1"/>
  <c r="S367" i="1" s="1"/>
  <c r="CZ367" i="1" s="1"/>
  <c r="Y367" i="1" s="1"/>
  <c r="AG367" i="1"/>
  <c r="AH367" i="1"/>
  <c r="CV367" i="1" s="1"/>
  <c r="U367" i="1" s="1"/>
  <c r="AI367" i="1"/>
  <c r="AJ367" i="1"/>
  <c r="CX367" i="1" s="1"/>
  <c r="W367" i="1" s="1"/>
  <c r="CQ367" i="1"/>
  <c r="P367" i="1" s="1"/>
  <c r="CS367" i="1"/>
  <c r="R367" i="1" s="1"/>
  <c r="GK367" i="1" s="1"/>
  <c r="CU367" i="1"/>
  <c r="T367" i="1" s="1"/>
  <c r="CW367" i="1"/>
  <c r="V367" i="1" s="1"/>
  <c r="FR367" i="1"/>
  <c r="GL367" i="1"/>
  <c r="GN367" i="1"/>
  <c r="GP367" i="1"/>
  <c r="GV367" i="1"/>
  <c r="GX367" i="1"/>
  <c r="C368" i="1"/>
  <c r="D368" i="1"/>
  <c r="I368" i="1"/>
  <c r="I370" i="1" s="1"/>
  <c r="U368" i="1"/>
  <c r="AC368" i="1"/>
  <c r="AE368" i="1"/>
  <c r="AF368" i="1"/>
  <c r="AG368" i="1"/>
  <c r="CU368" i="1" s="1"/>
  <c r="T368" i="1" s="1"/>
  <c r="AH368" i="1"/>
  <c r="AI368" i="1"/>
  <c r="CW368" i="1" s="1"/>
  <c r="V368" i="1" s="1"/>
  <c r="AJ368" i="1"/>
  <c r="CT368" i="1"/>
  <c r="S368" i="1" s="1"/>
  <c r="CV368" i="1"/>
  <c r="CX368" i="1"/>
  <c r="W368" i="1" s="1"/>
  <c r="FR368" i="1"/>
  <c r="GL368" i="1"/>
  <c r="GN368" i="1"/>
  <c r="GP368" i="1"/>
  <c r="GV368" i="1"/>
  <c r="GX368" i="1" s="1"/>
  <c r="I369" i="1"/>
  <c r="AC369" i="1"/>
  <c r="AD369" i="1"/>
  <c r="AE369" i="1"/>
  <c r="AF369" i="1"/>
  <c r="CT369" i="1" s="1"/>
  <c r="S369" i="1" s="1"/>
  <c r="CZ369" i="1" s="1"/>
  <c r="Y369" i="1" s="1"/>
  <c r="AG369" i="1"/>
  <c r="AH369" i="1"/>
  <c r="CV369" i="1" s="1"/>
  <c r="U369" i="1" s="1"/>
  <c r="AI369" i="1"/>
  <c r="AJ369" i="1"/>
  <c r="CX369" i="1" s="1"/>
  <c r="W369" i="1" s="1"/>
  <c r="CQ369" i="1"/>
  <c r="P369" i="1" s="1"/>
  <c r="CS369" i="1"/>
  <c r="R369" i="1" s="1"/>
  <c r="GK369" i="1" s="1"/>
  <c r="CU369" i="1"/>
  <c r="T369" i="1" s="1"/>
  <c r="CW369" i="1"/>
  <c r="V369" i="1" s="1"/>
  <c r="CY369" i="1"/>
  <c r="X369" i="1" s="1"/>
  <c r="FR369" i="1"/>
  <c r="GL369" i="1"/>
  <c r="GN369" i="1"/>
  <c r="GP369" i="1"/>
  <c r="GV369" i="1"/>
  <c r="GX369" i="1"/>
  <c r="S370" i="1"/>
  <c r="AC370" i="1"/>
  <c r="AE370" i="1"/>
  <c r="AD370" i="1" s="1"/>
  <c r="CR370" i="1" s="1"/>
  <c r="Q370" i="1" s="1"/>
  <c r="AF370" i="1"/>
  <c r="AG370" i="1"/>
  <c r="CU370" i="1" s="1"/>
  <c r="T370" i="1" s="1"/>
  <c r="AH370" i="1"/>
  <c r="AI370" i="1"/>
  <c r="CW370" i="1" s="1"/>
  <c r="V370" i="1" s="1"/>
  <c r="AJ370" i="1"/>
  <c r="CT370" i="1"/>
  <c r="CV370" i="1"/>
  <c r="U370" i="1" s="1"/>
  <c r="CX370" i="1"/>
  <c r="W370" i="1" s="1"/>
  <c r="FR370" i="1"/>
  <c r="GL370" i="1"/>
  <c r="GN370" i="1"/>
  <c r="GP370" i="1"/>
  <c r="GV370" i="1"/>
  <c r="GX370" i="1" s="1"/>
  <c r="C371" i="1"/>
  <c r="D371" i="1"/>
  <c r="U371" i="1"/>
  <c r="AC371" i="1"/>
  <c r="AE371" i="1"/>
  <c r="AF371" i="1"/>
  <c r="AG371" i="1"/>
  <c r="CU371" i="1" s="1"/>
  <c r="T371" i="1" s="1"/>
  <c r="AH371" i="1"/>
  <c r="AI371" i="1"/>
  <c r="CW371" i="1" s="1"/>
  <c r="V371" i="1" s="1"/>
  <c r="AJ371" i="1"/>
  <c r="CT371" i="1"/>
  <c r="S371" i="1" s="1"/>
  <c r="CV371" i="1"/>
  <c r="CX371" i="1"/>
  <c r="W371" i="1" s="1"/>
  <c r="FR371" i="1"/>
  <c r="GL371" i="1"/>
  <c r="GN371" i="1"/>
  <c r="GP371" i="1"/>
  <c r="GV371" i="1"/>
  <c r="GX371" i="1" s="1"/>
  <c r="I372" i="1"/>
  <c r="P372" i="1"/>
  <c r="AC372" i="1"/>
  <c r="AD372" i="1"/>
  <c r="AE372" i="1"/>
  <c r="AF372" i="1"/>
  <c r="CT372" i="1" s="1"/>
  <c r="S372" i="1" s="1"/>
  <c r="AG372" i="1"/>
  <c r="AH372" i="1"/>
  <c r="CV372" i="1" s="1"/>
  <c r="U372" i="1" s="1"/>
  <c r="AI372" i="1"/>
  <c r="AJ372" i="1"/>
  <c r="CX372" i="1" s="1"/>
  <c r="W372" i="1" s="1"/>
  <c r="CQ372" i="1"/>
  <c r="CS372" i="1"/>
  <c r="R372" i="1" s="1"/>
  <c r="GK372" i="1" s="1"/>
  <c r="CU372" i="1"/>
  <c r="T372" i="1" s="1"/>
  <c r="CW372" i="1"/>
  <c r="V372" i="1" s="1"/>
  <c r="FR372" i="1"/>
  <c r="GL372" i="1"/>
  <c r="GN372" i="1"/>
  <c r="GP372" i="1"/>
  <c r="GV372" i="1"/>
  <c r="GX372" i="1"/>
  <c r="C373" i="1"/>
  <c r="D373" i="1"/>
  <c r="V373" i="1"/>
  <c r="AC373" i="1"/>
  <c r="AD373" i="1"/>
  <c r="CR373" i="1" s="1"/>
  <c r="Q373" i="1" s="1"/>
  <c r="AE373" i="1"/>
  <c r="AF373" i="1"/>
  <c r="CT373" i="1" s="1"/>
  <c r="S373" i="1" s="1"/>
  <c r="AG373" i="1"/>
  <c r="AH373" i="1"/>
  <c r="CV373" i="1" s="1"/>
  <c r="U373" i="1" s="1"/>
  <c r="AI373" i="1"/>
  <c r="AJ373" i="1"/>
  <c r="CX373" i="1" s="1"/>
  <c r="W373" i="1" s="1"/>
  <c r="CQ373" i="1"/>
  <c r="P373" i="1" s="1"/>
  <c r="CS373" i="1"/>
  <c r="R373" i="1" s="1"/>
  <c r="GK373" i="1" s="1"/>
  <c r="CU373" i="1"/>
  <c r="T373" i="1" s="1"/>
  <c r="CW373" i="1"/>
  <c r="FR373" i="1"/>
  <c r="GL373" i="1"/>
  <c r="GN373" i="1"/>
  <c r="GP373" i="1"/>
  <c r="GV373" i="1"/>
  <c r="GX373" i="1"/>
  <c r="I374" i="1"/>
  <c r="U374" i="1"/>
  <c r="AC374" i="1"/>
  <c r="AE374" i="1"/>
  <c r="AF374" i="1"/>
  <c r="AG374" i="1"/>
  <c r="CU374" i="1" s="1"/>
  <c r="T374" i="1" s="1"/>
  <c r="AH374" i="1"/>
  <c r="AI374" i="1"/>
  <c r="CW374" i="1" s="1"/>
  <c r="V374" i="1" s="1"/>
  <c r="AJ374" i="1"/>
  <c r="CT374" i="1"/>
  <c r="S374" i="1" s="1"/>
  <c r="CV374" i="1"/>
  <c r="CX374" i="1"/>
  <c r="W374" i="1" s="1"/>
  <c r="FR374" i="1"/>
  <c r="GL374" i="1"/>
  <c r="GN374" i="1"/>
  <c r="GP374" i="1"/>
  <c r="GV374" i="1"/>
  <c r="GX374" i="1" s="1"/>
  <c r="C375" i="1"/>
  <c r="D375" i="1"/>
  <c r="W375" i="1"/>
  <c r="AC375" i="1"/>
  <c r="AE375" i="1"/>
  <c r="AD375" i="1" s="1"/>
  <c r="CR375" i="1" s="1"/>
  <c r="Q375" i="1" s="1"/>
  <c r="AF375" i="1"/>
  <c r="AG375" i="1"/>
  <c r="CU375" i="1" s="1"/>
  <c r="T375" i="1" s="1"/>
  <c r="AH375" i="1"/>
  <c r="AI375" i="1"/>
  <c r="CW375" i="1" s="1"/>
  <c r="V375" i="1" s="1"/>
  <c r="AJ375" i="1"/>
  <c r="CT375" i="1"/>
  <c r="S375" i="1" s="1"/>
  <c r="CV375" i="1"/>
  <c r="U375" i="1" s="1"/>
  <c r="CX375" i="1"/>
  <c r="FR375" i="1"/>
  <c r="GL375" i="1"/>
  <c r="GN375" i="1"/>
  <c r="GP375" i="1"/>
  <c r="GV375" i="1"/>
  <c r="GX375" i="1" s="1"/>
  <c r="I376" i="1"/>
  <c r="V376" i="1"/>
  <c r="AC376" i="1"/>
  <c r="AD376" i="1"/>
  <c r="CR376" i="1" s="1"/>
  <c r="Q376" i="1" s="1"/>
  <c r="AE376" i="1"/>
  <c r="AF376" i="1"/>
  <c r="CT376" i="1" s="1"/>
  <c r="S376" i="1" s="1"/>
  <c r="AG376" i="1"/>
  <c r="AH376" i="1"/>
  <c r="CV376" i="1" s="1"/>
  <c r="U376" i="1" s="1"/>
  <c r="AI376" i="1"/>
  <c r="AJ376" i="1"/>
  <c r="CX376" i="1" s="1"/>
  <c r="W376" i="1" s="1"/>
  <c r="CQ376" i="1"/>
  <c r="P376" i="1" s="1"/>
  <c r="CS376" i="1"/>
  <c r="R376" i="1" s="1"/>
  <c r="GK376" i="1" s="1"/>
  <c r="CU376" i="1"/>
  <c r="T376" i="1" s="1"/>
  <c r="CW376" i="1"/>
  <c r="FR376" i="1"/>
  <c r="GL376" i="1"/>
  <c r="GN376" i="1"/>
  <c r="GP376" i="1"/>
  <c r="GV376" i="1"/>
  <c r="GX376" i="1"/>
  <c r="I377" i="1"/>
  <c r="AC377" i="1"/>
  <c r="AE377" i="1"/>
  <c r="AF377" i="1"/>
  <c r="AG377" i="1"/>
  <c r="CU377" i="1" s="1"/>
  <c r="T377" i="1" s="1"/>
  <c r="AH377" i="1"/>
  <c r="AI377" i="1"/>
  <c r="CW377" i="1" s="1"/>
  <c r="V377" i="1" s="1"/>
  <c r="AJ377" i="1"/>
  <c r="CT377" i="1"/>
  <c r="S377" i="1" s="1"/>
  <c r="CV377" i="1"/>
  <c r="U377" i="1" s="1"/>
  <c r="CX377" i="1"/>
  <c r="W377" i="1" s="1"/>
  <c r="FR377" i="1"/>
  <c r="GL377" i="1"/>
  <c r="GN377" i="1"/>
  <c r="GP377" i="1"/>
  <c r="GV377" i="1"/>
  <c r="GX377" i="1" s="1"/>
  <c r="I378" i="1"/>
  <c r="P378" i="1"/>
  <c r="AC378" i="1"/>
  <c r="AD378" i="1"/>
  <c r="AE378" i="1"/>
  <c r="AF378" i="1"/>
  <c r="CT378" i="1" s="1"/>
  <c r="S378" i="1" s="1"/>
  <c r="AG378" i="1"/>
  <c r="AH378" i="1"/>
  <c r="CV378" i="1" s="1"/>
  <c r="U378" i="1" s="1"/>
  <c r="AI378" i="1"/>
  <c r="AJ378" i="1"/>
  <c r="CX378" i="1" s="1"/>
  <c r="W378" i="1" s="1"/>
  <c r="CQ378" i="1"/>
  <c r="CS378" i="1"/>
  <c r="R378" i="1" s="1"/>
  <c r="GK378" i="1" s="1"/>
  <c r="CU378" i="1"/>
  <c r="T378" i="1" s="1"/>
  <c r="CW378" i="1"/>
  <c r="V378" i="1" s="1"/>
  <c r="FR378" i="1"/>
  <c r="GL378" i="1"/>
  <c r="GN378" i="1"/>
  <c r="GP378" i="1"/>
  <c r="GV378" i="1"/>
  <c r="GX378" i="1"/>
  <c r="I379" i="1"/>
  <c r="S379" i="1"/>
  <c r="W379" i="1"/>
  <c r="AC379" i="1"/>
  <c r="AE379" i="1"/>
  <c r="AD379" i="1" s="1"/>
  <c r="CR379" i="1" s="1"/>
  <c r="Q379" i="1" s="1"/>
  <c r="AF379" i="1"/>
  <c r="AG379" i="1"/>
  <c r="CU379" i="1" s="1"/>
  <c r="T379" i="1" s="1"/>
  <c r="AH379" i="1"/>
  <c r="AI379" i="1"/>
  <c r="CW379" i="1" s="1"/>
  <c r="V379" i="1" s="1"/>
  <c r="AJ379" i="1"/>
  <c r="CT379" i="1"/>
  <c r="CV379" i="1"/>
  <c r="U379" i="1" s="1"/>
  <c r="CX379" i="1"/>
  <c r="FR379" i="1"/>
  <c r="GL379" i="1"/>
  <c r="GN379" i="1"/>
  <c r="GP379" i="1"/>
  <c r="GV379" i="1"/>
  <c r="GX379" i="1" s="1"/>
  <c r="C380" i="1"/>
  <c r="D380" i="1"/>
  <c r="AC380" i="1"/>
  <c r="AE380" i="1"/>
  <c r="AF380" i="1"/>
  <c r="AG380" i="1"/>
  <c r="CU380" i="1" s="1"/>
  <c r="T380" i="1" s="1"/>
  <c r="AH380" i="1"/>
  <c r="AI380" i="1"/>
  <c r="CW380" i="1" s="1"/>
  <c r="V380" i="1" s="1"/>
  <c r="AJ380" i="1"/>
  <c r="CT380" i="1"/>
  <c r="S380" i="1" s="1"/>
  <c r="CV380" i="1"/>
  <c r="U380" i="1" s="1"/>
  <c r="CX380" i="1"/>
  <c r="W380" i="1" s="1"/>
  <c r="FR380" i="1"/>
  <c r="GL380" i="1"/>
  <c r="GN380" i="1"/>
  <c r="GP380" i="1"/>
  <c r="GV380" i="1"/>
  <c r="GX380" i="1" s="1"/>
  <c r="I381" i="1"/>
  <c r="P381" i="1"/>
  <c r="AC381" i="1"/>
  <c r="AD381" i="1"/>
  <c r="AE381" i="1"/>
  <c r="AF381" i="1"/>
  <c r="CT381" i="1" s="1"/>
  <c r="S381" i="1" s="1"/>
  <c r="AG381" i="1"/>
  <c r="AH381" i="1"/>
  <c r="CV381" i="1" s="1"/>
  <c r="U381" i="1" s="1"/>
  <c r="AI381" i="1"/>
  <c r="AJ381" i="1"/>
  <c r="CX381" i="1" s="1"/>
  <c r="W381" i="1" s="1"/>
  <c r="CQ381" i="1"/>
  <c r="CS381" i="1"/>
  <c r="R381" i="1" s="1"/>
  <c r="GK381" i="1" s="1"/>
  <c r="CU381" i="1"/>
  <c r="T381" i="1" s="1"/>
  <c r="CW381" i="1"/>
  <c r="V381" i="1" s="1"/>
  <c r="FR381" i="1"/>
  <c r="GL381" i="1"/>
  <c r="GN381" i="1"/>
  <c r="GP381" i="1"/>
  <c r="GV381" i="1"/>
  <c r="GX381" i="1"/>
  <c r="I382" i="1"/>
  <c r="S382" i="1"/>
  <c r="W382" i="1"/>
  <c r="AC382" i="1"/>
  <c r="AE382" i="1"/>
  <c r="AD382" i="1" s="1"/>
  <c r="CR382" i="1" s="1"/>
  <c r="Q382" i="1" s="1"/>
  <c r="AF382" i="1"/>
  <c r="AG382" i="1"/>
  <c r="CU382" i="1" s="1"/>
  <c r="T382" i="1" s="1"/>
  <c r="AH382" i="1"/>
  <c r="AI382" i="1"/>
  <c r="CW382" i="1" s="1"/>
  <c r="V382" i="1" s="1"/>
  <c r="AJ382" i="1"/>
  <c r="CT382" i="1"/>
  <c r="CV382" i="1"/>
  <c r="U382" i="1" s="1"/>
  <c r="CX382" i="1"/>
  <c r="FR382" i="1"/>
  <c r="GL382" i="1"/>
  <c r="GN382" i="1"/>
  <c r="GP382" i="1"/>
  <c r="GV382" i="1"/>
  <c r="GX382" i="1" s="1"/>
  <c r="I383" i="1"/>
  <c r="V383" i="1" s="1"/>
  <c r="AC383" i="1"/>
  <c r="AD383" i="1"/>
  <c r="CR383" i="1" s="1"/>
  <c r="Q383" i="1" s="1"/>
  <c r="AE383" i="1"/>
  <c r="AF383" i="1"/>
  <c r="CT383" i="1" s="1"/>
  <c r="AG383" i="1"/>
  <c r="AH383" i="1"/>
  <c r="CV383" i="1" s="1"/>
  <c r="U383" i="1" s="1"/>
  <c r="AI383" i="1"/>
  <c r="AJ383" i="1"/>
  <c r="CX383" i="1" s="1"/>
  <c r="CQ383" i="1"/>
  <c r="P383" i="1" s="1"/>
  <c r="CS383" i="1"/>
  <c r="R383" i="1" s="1"/>
  <c r="GK383" i="1" s="1"/>
  <c r="CU383" i="1"/>
  <c r="CW383" i="1"/>
  <c r="FR383" i="1"/>
  <c r="GL383" i="1"/>
  <c r="GN383" i="1"/>
  <c r="GP383" i="1"/>
  <c r="GV383" i="1"/>
  <c r="C384" i="1"/>
  <c r="D384" i="1"/>
  <c r="I384" i="1"/>
  <c r="CX596" i="3" s="1"/>
  <c r="U384" i="1"/>
  <c r="W384" i="1"/>
  <c r="AC384" i="1"/>
  <c r="AE384" i="1"/>
  <c r="AF384" i="1"/>
  <c r="AG384" i="1"/>
  <c r="CU384" i="1" s="1"/>
  <c r="T384" i="1" s="1"/>
  <c r="AH384" i="1"/>
  <c r="AI384" i="1"/>
  <c r="CW384" i="1" s="1"/>
  <c r="V384" i="1" s="1"/>
  <c r="AJ384" i="1"/>
  <c r="CT384" i="1"/>
  <c r="S384" i="1" s="1"/>
  <c r="CV384" i="1"/>
  <c r="CX384" i="1"/>
  <c r="FR384" i="1"/>
  <c r="GL384" i="1"/>
  <c r="GO384" i="1"/>
  <c r="GP384" i="1"/>
  <c r="GV384" i="1"/>
  <c r="GX384" i="1" s="1"/>
  <c r="C385" i="1"/>
  <c r="D385" i="1"/>
  <c r="I385" i="1"/>
  <c r="R385" i="1"/>
  <c r="GK385" i="1" s="1"/>
  <c r="T385" i="1"/>
  <c r="AC385" i="1"/>
  <c r="AD385" i="1"/>
  <c r="AE385" i="1"/>
  <c r="AF385" i="1"/>
  <c r="CT385" i="1" s="1"/>
  <c r="S385" i="1" s="1"/>
  <c r="CY385" i="1" s="1"/>
  <c r="X385" i="1" s="1"/>
  <c r="AG385" i="1"/>
  <c r="AH385" i="1"/>
  <c r="AI385" i="1"/>
  <c r="AJ385" i="1"/>
  <c r="CX385" i="1" s="1"/>
  <c r="W385" i="1" s="1"/>
  <c r="CQ385" i="1"/>
  <c r="P385" i="1" s="1"/>
  <c r="CP385" i="1" s="1"/>
  <c r="O385" i="1" s="1"/>
  <c r="CR385" i="1"/>
  <c r="Q385" i="1" s="1"/>
  <c r="CS385" i="1"/>
  <c r="CU385" i="1"/>
  <c r="CV385" i="1"/>
  <c r="U385" i="1" s="1"/>
  <c r="CW385" i="1"/>
  <c r="V385" i="1" s="1"/>
  <c r="CZ385" i="1"/>
  <c r="Y385" i="1" s="1"/>
  <c r="FR385" i="1"/>
  <c r="GL385" i="1"/>
  <c r="GN385" i="1"/>
  <c r="GP385" i="1"/>
  <c r="GV385" i="1"/>
  <c r="GX385" i="1" s="1"/>
  <c r="AC386" i="1"/>
  <c r="AB386" i="1" s="1"/>
  <c r="AD386" i="1"/>
  <c r="CR386" i="1" s="1"/>
  <c r="AE386" i="1"/>
  <c r="CS386" i="1" s="1"/>
  <c r="AF386" i="1"/>
  <c r="AG386" i="1"/>
  <c r="AH386" i="1"/>
  <c r="AI386" i="1"/>
  <c r="CW386" i="1" s="1"/>
  <c r="AJ386" i="1"/>
  <c r="CT386" i="1"/>
  <c r="CU386" i="1"/>
  <c r="CV386" i="1"/>
  <c r="CX386" i="1"/>
  <c r="FR386" i="1"/>
  <c r="GL386" i="1"/>
  <c r="GN386" i="1"/>
  <c r="GP386" i="1"/>
  <c r="GV386" i="1"/>
  <c r="C387" i="1"/>
  <c r="D387" i="1"/>
  <c r="AC387" i="1"/>
  <c r="CQ387" i="1" s="1"/>
  <c r="P387" i="1" s="1"/>
  <c r="AE387" i="1"/>
  <c r="AD387" i="1" s="1"/>
  <c r="AF387" i="1"/>
  <c r="AG387" i="1"/>
  <c r="CU387" i="1" s="1"/>
  <c r="T387" i="1" s="1"/>
  <c r="AH387" i="1"/>
  <c r="AI387" i="1"/>
  <c r="AJ387" i="1"/>
  <c r="CR387" i="1"/>
  <c r="Q387" i="1" s="1"/>
  <c r="CS387" i="1"/>
  <c r="R387" i="1" s="1"/>
  <c r="GK387" i="1" s="1"/>
  <c r="CT387" i="1"/>
  <c r="S387" i="1" s="1"/>
  <c r="CV387" i="1"/>
  <c r="U387" i="1" s="1"/>
  <c r="CW387" i="1"/>
  <c r="V387" i="1" s="1"/>
  <c r="CX387" i="1"/>
  <c r="W387" i="1" s="1"/>
  <c r="FR387" i="1"/>
  <c r="GL387" i="1"/>
  <c r="GN387" i="1"/>
  <c r="GP387" i="1"/>
  <c r="GV387" i="1"/>
  <c r="GX387" i="1"/>
  <c r="I388" i="1"/>
  <c r="P388" i="1" s="1"/>
  <c r="AC388" i="1"/>
  <c r="AE388" i="1"/>
  <c r="AD388" i="1" s="1"/>
  <c r="AF388" i="1"/>
  <c r="CT388" i="1" s="1"/>
  <c r="AG388" i="1"/>
  <c r="AH388" i="1"/>
  <c r="CV388" i="1" s="1"/>
  <c r="U388" i="1" s="1"/>
  <c r="AI388" i="1"/>
  <c r="CW388" i="1" s="1"/>
  <c r="V388" i="1" s="1"/>
  <c r="AJ388" i="1"/>
  <c r="CX388" i="1" s="1"/>
  <c r="CQ388" i="1"/>
  <c r="CU388" i="1"/>
  <c r="FR388" i="1"/>
  <c r="GL388" i="1"/>
  <c r="GN388" i="1"/>
  <c r="GP388" i="1"/>
  <c r="GV388" i="1"/>
  <c r="GX388" i="1"/>
  <c r="B390" i="1"/>
  <c r="B350" i="1" s="1"/>
  <c r="C390" i="1"/>
  <c r="C350" i="1" s="1"/>
  <c r="D390" i="1"/>
  <c r="D350" i="1" s="1"/>
  <c r="F390" i="1"/>
  <c r="F350" i="1" s="1"/>
  <c r="G390" i="1"/>
  <c r="G350" i="1" s="1"/>
  <c r="BB390" i="1"/>
  <c r="BB350" i="1" s="1"/>
  <c r="BC390" i="1"/>
  <c r="BC350" i="1" s="1"/>
  <c r="BX390" i="1"/>
  <c r="BX350" i="1" s="1"/>
  <c r="CK390" i="1"/>
  <c r="CK350" i="1" s="1"/>
  <c r="CL390" i="1"/>
  <c r="CL350" i="1" s="1"/>
  <c r="F403" i="1"/>
  <c r="B419" i="1"/>
  <c r="B247" i="1" s="1"/>
  <c r="C419" i="1"/>
  <c r="C247" i="1" s="1"/>
  <c r="D419" i="1"/>
  <c r="D247" i="1" s="1"/>
  <c r="F419" i="1"/>
  <c r="F247" i="1" s="1"/>
  <c r="G419" i="1"/>
  <c r="G247" i="1" s="1"/>
  <c r="BC419" i="1"/>
  <c r="BC247" i="1" s="1"/>
  <c r="D448" i="1"/>
  <c r="B450" i="1"/>
  <c r="E450" i="1"/>
  <c r="F450" i="1"/>
  <c r="Z450" i="1"/>
  <c r="AA450" i="1"/>
  <c r="AM450" i="1"/>
  <c r="AN450" i="1"/>
  <c r="BD450" i="1"/>
  <c r="BE450" i="1"/>
  <c r="BF450" i="1"/>
  <c r="BG450" i="1"/>
  <c r="BH450" i="1"/>
  <c r="BI450" i="1"/>
  <c r="BJ450" i="1"/>
  <c r="BK450" i="1"/>
  <c r="BL450" i="1"/>
  <c r="BM450" i="1"/>
  <c r="BN450" i="1"/>
  <c r="BO450" i="1"/>
  <c r="BP450" i="1"/>
  <c r="BQ450" i="1"/>
  <c r="BR450" i="1"/>
  <c r="BS450" i="1"/>
  <c r="BT450" i="1"/>
  <c r="BU450" i="1"/>
  <c r="BV450" i="1"/>
  <c r="BW450" i="1"/>
  <c r="CK450" i="1"/>
  <c r="CM450" i="1"/>
  <c r="CN450" i="1"/>
  <c r="CO450" i="1"/>
  <c r="CP450" i="1"/>
  <c r="CQ450" i="1"/>
  <c r="CR450" i="1"/>
  <c r="CS450" i="1"/>
  <c r="CT450" i="1"/>
  <c r="CU450" i="1"/>
  <c r="CV450" i="1"/>
  <c r="CW450" i="1"/>
  <c r="CX450" i="1"/>
  <c r="CY450" i="1"/>
  <c r="CZ450" i="1"/>
  <c r="DA450" i="1"/>
  <c r="DB450" i="1"/>
  <c r="DC450" i="1"/>
  <c r="DD450" i="1"/>
  <c r="DE450" i="1"/>
  <c r="DF450" i="1"/>
  <c r="DG450" i="1"/>
  <c r="DH450" i="1"/>
  <c r="DI450" i="1"/>
  <c r="DJ450" i="1"/>
  <c r="DK450" i="1"/>
  <c r="DL450" i="1"/>
  <c r="DM450" i="1"/>
  <c r="DN450" i="1"/>
  <c r="DO450" i="1"/>
  <c r="DP450" i="1"/>
  <c r="DQ450" i="1"/>
  <c r="DR450" i="1"/>
  <c r="DS450" i="1"/>
  <c r="DT450" i="1"/>
  <c r="DU450" i="1"/>
  <c r="DV450" i="1"/>
  <c r="DW450" i="1"/>
  <c r="DX450" i="1"/>
  <c r="DY450" i="1"/>
  <c r="DZ450" i="1"/>
  <c r="EA450" i="1"/>
  <c r="EB450" i="1"/>
  <c r="EC450" i="1"/>
  <c r="ED450" i="1"/>
  <c r="EE450" i="1"/>
  <c r="EF450" i="1"/>
  <c r="EG450" i="1"/>
  <c r="EH450" i="1"/>
  <c r="EI450" i="1"/>
  <c r="EJ450" i="1"/>
  <c r="EK450" i="1"/>
  <c r="EL450" i="1"/>
  <c r="EM450" i="1"/>
  <c r="EN450" i="1"/>
  <c r="EO450" i="1"/>
  <c r="EP450" i="1"/>
  <c r="EQ450" i="1"/>
  <c r="ER450" i="1"/>
  <c r="ES450" i="1"/>
  <c r="ET450" i="1"/>
  <c r="EU450" i="1"/>
  <c r="EV450" i="1"/>
  <c r="EW450" i="1"/>
  <c r="EX450" i="1"/>
  <c r="EY450" i="1"/>
  <c r="EZ450" i="1"/>
  <c r="FA450" i="1"/>
  <c r="FB450" i="1"/>
  <c r="FC450" i="1"/>
  <c r="FD450" i="1"/>
  <c r="FE450" i="1"/>
  <c r="FF450" i="1"/>
  <c r="FG450" i="1"/>
  <c r="FH450" i="1"/>
  <c r="FI450" i="1"/>
  <c r="FJ450" i="1"/>
  <c r="FK450" i="1"/>
  <c r="FL450" i="1"/>
  <c r="FM450" i="1"/>
  <c r="FN450" i="1"/>
  <c r="FO450" i="1"/>
  <c r="FP450" i="1"/>
  <c r="FQ450" i="1"/>
  <c r="FR450" i="1"/>
  <c r="FS450" i="1"/>
  <c r="FT450" i="1"/>
  <c r="FU450" i="1"/>
  <c r="FV450" i="1"/>
  <c r="FW450" i="1"/>
  <c r="FX450" i="1"/>
  <c r="FY450" i="1"/>
  <c r="FZ450" i="1"/>
  <c r="GA450" i="1"/>
  <c r="GB450" i="1"/>
  <c r="GC450" i="1"/>
  <c r="GD450" i="1"/>
  <c r="GE450" i="1"/>
  <c r="GF450" i="1"/>
  <c r="GG450" i="1"/>
  <c r="GH450" i="1"/>
  <c r="GI450" i="1"/>
  <c r="GJ450" i="1"/>
  <c r="GK450" i="1"/>
  <c r="GL450" i="1"/>
  <c r="GM450" i="1"/>
  <c r="GN450" i="1"/>
  <c r="GO450" i="1"/>
  <c r="GP450" i="1"/>
  <c r="GQ450" i="1"/>
  <c r="GR450" i="1"/>
  <c r="GS450" i="1"/>
  <c r="GT450" i="1"/>
  <c r="GU450" i="1"/>
  <c r="GV450" i="1"/>
  <c r="GW450" i="1"/>
  <c r="GX450" i="1"/>
  <c r="C452" i="1"/>
  <c r="D452" i="1"/>
  <c r="W452" i="1"/>
  <c r="AC452" i="1"/>
  <c r="AD452" i="1"/>
  <c r="CR452" i="1" s="1"/>
  <c r="Q452" i="1" s="1"/>
  <c r="AE452" i="1"/>
  <c r="AF452" i="1"/>
  <c r="AG452" i="1"/>
  <c r="CU452" i="1" s="1"/>
  <c r="T452" i="1" s="1"/>
  <c r="AH452" i="1"/>
  <c r="CV452" i="1" s="1"/>
  <c r="U452" i="1" s="1"/>
  <c r="AI452" i="1"/>
  <c r="AJ452" i="1"/>
  <c r="CS452" i="1"/>
  <c r="R452" i="1" s="1"/>
  <c r="CT452" i="1"/>
  <c r="S452" i="1" s="1"/>
  <c r="CW452" i="1"/>
  <c r="V452" i="1" s="1"/>
  <c r="CX452" i="1"/>
  <c r="FR452" i="1"/>
  <c r="GK452" i="1"/>
  <c r="GL452" i="1"/>
  <c r="GN452" i="1"/>
  <c r="GO452" i="1"/>
  <c r="CC457" i="1" s="1"/>
  <c r="AT457" i="1" s="1"/>
  <c r="AT450" i="1" s="1"/>
  <c r="GV452" i="1"/>
  <c r="GX452" i="1"/>
  <c r="C453" i="1"/>
  <c r="D453" i="1"/>
  <c r="AC453" i="1"/>
  <c r="AE453" i="1"/>
  <c r="AF453" i="1"/>
  <c r="CT453" i="1" s="1"/>
  <c r="S453" i="1" s="1"/>
  <c r="AG453" i="1"/>
  <c r="AH453" i="1"/>
  <c r="AI453" i="1"/>
  <c r="CW453" i="1" s="1"/>
  <c r="V453" i="1" s="1"/>
  <c r="AJ453" i="1"/>
  <c r="CX453" i="1" s="1"/>
  <c r="W453" i="1" s="1"/>
  <c r="CQ453" i="1"/>
  <c r="P453" i="1" s="1"/>
  <c r="CU453" i="1"/>
  <c r="T453" i="1" s="1"/>
  <c r="CV453" i="1"/>
  <c r="U453" i="1" s="1"/>
  <c r="FR453" i="1"/>
  <c r="GL453" i="1"/>
  <c r="GN453" i="1"/>
  <c r="GO453" i="1"/>
  <c r="GV453" i="1"/>
  <c r="GX453" i="1" s="1"/>
  <c r="C454" i="1"/>
  <c r="D454" i="1"/>
  <c r="I454" i="1"/>
  <c r="R454" i="1"/>
  <c r="GK454" i="1" s="1"/>
  <c r="V454" i="1"/>
  <c r="AC454" i="1"/>
  <c r="CQ454" i="1" s="1"/>
  <c r="P454" i="1" s="1"/>
  <c r="AE454" i="1"/>
  <c r="AD454" i="1" s="1"/>
  <c r="CR454" i="1" s="1"/>
  <c r="Q454" i="1" s="1"/>
  <c r="AF454" i="1"/>
  <c r="CT454" i="1" s="1"/>
  <c r="S454" i="1" s="1"/>
  <c r="AG454" i="1"/>
  <c r="CU454" i="1" s="1"/>
  <c r="AH454" i="1"/>
  <c r="AI454" i="1"/>
  <c r="AJ454" i="1"/>
  <c r="CX454" i="1" s="1"/>
  <c r="W454" i="1" s="1"/>
  <c r="CS454" i="1"/>
  <c r="CV454" i="1"/>
  <c r="U454" i="1" s="1"/>
  <c r="CW454" i="1"/>
  <c r="FR454" i="1"/>
  <c r="GL454" i="1"/>
  <c r="GN454" i="1"/>
  <c r="CB457" i="1" s="1"/>
  <c r="GO454" i="1"/>
  <c r="GV454" i="1"/>
  <c r="C455" i="1"/>
  <c r="D455" i="1"/>
  <c r="P455" i="1"/>
  <c r="AC455" i="1"/>
  <c r="AD455" i="1"/>
  <c r="CR455" i="1" s="1"/>
  <c r="Q455" i="1" s="1"/>
  <c r="AE455" i="1"/>
  <c r="CS455" i="1" s="1"/>
  <c r="R455" i="1" s="1"/>
  <c r="GK455" i="1" s="1"/>
  <c r="AF455" i="1"/>
  <c r="AG455" i="1"/>
  <c r="AH455" i="1"/>
  <c r="CV455" i="1" s="1"/>
  <c r="U455" i="1" s="1"/>
  <c r="AI455" i="1"/>
  <c r="CW455" i="1" s="1"/>
  <c r="V455" i="1" s="1"/>
  <c r="AJ455" i="1"/>
  <c r="CQ455" i="1"/>
  <c r="CT455" i="1"/>
  <c r="S455" i="1" s="1"/>
  <c r="CZ455" i="1" s="1"/>
  <c r="Y455" i="1" s="1"/>
  <c r="CU455" i="1"/>
  <c r="T455" i="1" s="1"/>
  <c r="CX455" i="1"/>
  <c r="W455" i="1" s="1"/>
  <c r="FR455" i="1"/>
  <c r="GL455" i="1"/>
  <c r="BZ457" i="1" s="1"/>
  <c r="BZ450" i="1" s="1"/>
  <c r="GN455" i="1"/>
  <c r="GO455" i="1"/>
  <c r="GV455" i="1"/>
  <c r="GX455" i="1" s="1"/>
  <c r="B457" i="1"/>
  <c r="C457" i="1"/>
  <c r="C450" i="1" s="1"/>
  <c r="D457" i="1"/>
  <c r="D450" i="1" s="1"/>
  <c r="F457" i="1"/>
  <c r="G457" i="1"/>
  <c r="G450" i="1" s="1"/>
  <c r="AQ457" i="1"/>
  <c r="AQ450" i="1" s="1"/>
  <c r="BB457" i="1"/>
  <c r="BB450" i="1" s="1"/>
  <c r="BC457" i="1"/>
  <c r="BX457" i="1"/>
  <c r="AO457" i="1" s="1"/>
  <c r="CK457" i="1"/>
  <c r="CL457" i="1"/>
  <c r="CL450" i="1" s="1"/>
  <c r="F467" i="1"/>
  <c r="F470" i="1"/>
  <c r="F475" i="1"/>
  <c r="D486" i="1"/>
  <c r="C488" i="1"/>
  <c r="E488" i="1"/>
  <c r="G488" i="1"/>
  <c r="Z488" i="1"/>
  <c r="AA488" i="1"/>
  <c r="AM488" i="1"/>
  <c r="AN488" i="1"/>
  <c r="BB488" i="1"/>
  <c r="BD488" i="1"/>
  <c r="BE488" i="1"/>
  <c r="BF488" i="1"/>
  <c r="BG488" i="1"/>
  <c r="BH488" i="1"/>
  <c r="BI488" i="1"/>
  <c r="BJ488" i="1"/>
  <c r="BK488" i="1"/>
  <c r="BL488" i="1"/>
  <c r="BM488" i="1"/>
  <c r="BN488" i="1"/>
  <c r="BO488" i="1"/>
  <c r="BP488" i="1"/>
  <c r="BQ488" i="1"/>
  <c r="BR488" i="1"/>
  <c r="BS488" i="1"/>
  <c r="BT488" i="1"/>
  <c r="BU488" i="1"/>
  <c r="BV488" i="1"/>
  <c r="BW488" i="1"/>
  <c r="CL488" i="1"/>
  <c r="CM488" i="1"/>
  <c r="CN488" i="1"/>
  <c r="CO488" i="1"/>
  <c r="CP488" i="1"/>
  <c r="CQ488" i="1"/>
  <c r="CR488" i="1"/>
  <c r="CS488" i="1"/>
  <c r="CT488" i="1"/>
  <c r="CU488" i="1"/>
  <c r="CV488" i="1"/>
  <c r="CW488" i="1"/>
  <c r="CX488" i="1"/>
  <c r="CY488" i="1"/>
  <c r="CZ488" i="1"/>
  <c r="DA488" i="1"/>
  <c r="DB488" i="1"/>
  <c r="DC488" i="1"/>
  <c r="DD488" i="1"/>
  <c r="DE488" i="1"/>
  <c r="DF488" i="1"/>
  <c r="DG488" i="1"/>
  <c r="DH488" i="1"/>
  <c r="DI488" i="1"/>
  <c r="DJ488" i="1"/>
  <c r="DK488" i="1"/>
  <c r="DL488" i="1"/>
  <c r="DM488" i="1"/>
  <c r="DN488" i="1"/>
  <c r="DO488" i="1"/>
  <c r="DP488" i="1"/>
  <c r="DQ488" i="1"/>
  <c r="DR488" i="1"/>
  <c r="DS488" i="1"/>
  <c r="DT488" i="1"/>
  <c r="DU488" i="1"/>
  <c r="DV488" i="1"/>
  <c r="DW488" i="1"/>
  <c r="DX488" i="1"/>
  <c r="DY488" i="1"/>
  <c r="DZ488" i="1"/>
  <c r="EA488" i="1"/>
  <c r="EB488" i="1"/>
  <c r="EC488" i="1"/>
  <c r="ED488" i="1"/>
  <c r="EE488" i="1"/>
  <c r="EF488" i="1"/>
  <c r="EG488" i="1"/>
  <c r="EH488" i="1"/>
  <c r="EI488" i="1"/>
  <c r="EJ488" i="1"/>
  <c r="EK488" i="1"/>
  <c r="EL488" i="1"/>
  <c r="EM488" i="1"/>
  <c r="EN488" i="1"/>
  <c r="EO488" i="1"/>
  <c r="EP488" i="1"/>
  <c r="EQ488" i="1"/>
  <c r="ER488" i="1"/>
  <c r="ES488" i="1"/>
  <c r="ET488" i="1"/>
  <c r="EU488" i="1"/>
  <c r="EV488" i="1"/>
  <c r="EW488" i="1"/>
  <c r="EX488" i="1"/>
  <c r="EY488" i="1"/>
  <c r="EZ488" i="1"/>
  <c r="FA488" i="1"/>
  <c r="FB488" i="1"/>
  <c r="FC488" i="1"/>
  <c r="FD488" i="1"/>
  <c r="FE488" i="1"/>
  <c r="FF488" i="1"/>
  <c r="FG488" i="1"/>
  <c r="FH488" i="1"/>
  <c r="FI488" i="1"/>
  <c r="FJ488" i="1"/>
  <c r="FK488" i="1"/>
  <c r="FL488" i="1"/>
  <c r="FM488" i="1"/>
  <c r="FN488" i="1"/>
  <c r="FO488" i="1"/>
  <c r="FP488" i="1"/>
  <c r="FQ488" i="1"/>
  <c r="FR488" i="1"/>
  <c r="FS488" i="1"/>
  <c r="FT488" i="1"/>
  <c r="FU488" i="1"/>
  <c r="FV488" i="1"/>
  <c r="FW488" i="1"/>
  <c r="FX488" i="1"/>
  <c r="FY488" i="1"/>
  <c r="FZ488" i="1"/>
  <c r="GA488" i="1"/>
  <c r="GB488" i="1"/>
  <c r="GC488" i="1"/>
  <c r="GD488" i="1"/>
  <c r="GE488" i="1"/>
  <c r="GF488" i="1"/>
  <c r="GG488" i="1"/>
  <c r="GH488" i="1"/>
  <c r="GI488" i="1"/>
  <c r="GJ488" i="1"/>
  <c r="GK488" i="1"/>
  <c r="GL488" i="1"/>
  <c r="GM488" i="1"/>
  <c r="GN488" i="1"/>
  <c r="GO488" i="1"/>
  <c r="GP488" i="1"/>
  <c r="GQ488" i="1"/>
  <c r="GR488" i="1"/>
  <c r="GS488" i="1"/>
  <c r="GT488" i="1"/>
  <c r="GU488" i="1"/>
  <c r="GV488" i="1"/>
  <c r="GW488" i="1"/>
  <c r="GX488" i="1"/>
  <c r="C490" i="1"/>
  <c r="D490" i="1"/>
  <c r="P490" i="1"/>
  <c r="AC490" i="1"/>
  <c r="AD490" i="1"/>
  <c r="CR490" i="1" s="1"/>
  <c r="Q490" i="1" s="1"/>
  <c r="AE490" i="1"/>
  <c r="CS490" i="1" s="1"/>
  <c r="R490" i="1" s="1"/>
  <c r="AF490" i="1"/>
  <c r="AG490" i="1"/>
  <c r="AH490" i="1"/>
  <c r="CV490" i="1" s="1"/>
  <c r="U490" i="1" s="1"/>
  <c r="AI490" i="1"/>
  <c r="CW490" i="1" s="1"/>
  <c r="V490" i="1" s="1"/>
  <c r="AJ490" i="1"/>
  <c r="CQ490" i="1"/>
  <c r="CT490" i="1"/>
  <c r="S490" i="1" s="1"/>
  <c r="CU490" i="1"/>
  <c r="T490" i="1" s="1"/>
  <c r="CX490" i="1"/>
  <c r="W490" i="1" s="1"/>
  <c r="FR490" i="1"/>
  <c r="GL490" i="1"/>
  <c r="BZ498" i="1" s="1"/>
  <c r="GN490" i="1"/>
  <c r="GP490" i="1"/>
  <c r="GV490" i="1"/>
  <c r="GX490" i="1" s="1"/>
  <c r="I491" i="1"/>
  <c r="AC491" i="1"/>
  <c r="AD491" i="1"/>
  <c r="CR491" i="1" s="1"/>
  <c r="Q491" i="1" s="1"/>
  <c r="AE491" i="1"/>
  <c r="AF491" i="1"/>
  <c r="AG491" i="1"/>
  <c r="CU491" i="1" s="1"/>
  <c r="T491" i="1" s="1"/>
  <c r="AH491" i="1"/>
  <c r="CV491" i="1" s="1"/>
  <c r="U491" i="1" s="1"/>
  <c r="AI491" i="1"/>
  <c r="AJ491" i="1"/>
  <c r="CS491" i="1"/>
  <c r="R491" i="1" s="1"/>
  <c r="CT491" i="1"/>
  <c r="S491" i="1" s="1"/>
  <c r="CW491" i="1"/>
  <c r="V491" i="1" s="1"/>
  <c r="CX491" i="1"/>
  <c r="W491" i="1" s="1"/>
  <c r="FR491" i="1"/>
  <c r="GK491" i="1"/>
  <c r="GL491" i="1"/>
  <c r="GN491" i="1"/>
  <c r="GP491" i="1"/>
  <c r="GV491" i="1"/>
  <c r="GX491" i="1"/>
  <c r="C492" i="1"/>
  <c r="D492" i="1"/>
  <c r="I492" i="1"/>
  <c r="P492" i="1"/>
  <c r="AC492" i="1"/>
  <c r="AD492" i="1"/>
  <c r="CR492" i="1" s="1"/>
  <c r="Q492" i="1" s="1"/>
  <c r="AE492" i="1"/>
  <c r="CS492" i="1" s="1"/>
  <c r="R492" i="1" s="1"/>
  <c r="GK492" i="1" s="1"/>
  <c r="AF492" i="1"/>
  <c r="AG492" i="1"/>
  <c r="AH492" i="1"/>
  <c r="CV492" i="1" s="1"/>
  <c r="U492" i="1" s="1"/>
  <c r="AI492" i="1"/>
  <c r="CW492" i="1" s="1"/>
  <c r="V492" i="1" s="1"/>
  <c r="AJ492" i="1"/>
  <c r="CQ492" i="1"/>
  <c r="CT492" i="1"/>
  <c r="S492" i="1" s="1"/>
  <c r="CZ492" i="1" s="1"/>
  <c r="Y492" i="1" s="1"/>
  <c r="CU492" i="1"/>
  <c r="T492" i="1" s="1"/>
  <c r="CX492" i="1"/>
  <c r="W492" i="1" s="1"/>
  <c r="FR492" i="1"/>
  <c r="GL492" i="1"/>
  <c r="GN492" i="1"/>
  <c r="GP492" i="1"/>
  <c r="GV492" i="1"/>
  <c r="GX492" i="1" s="1"/>
  <c r="CJ498" i="1" s="1"/>
  <c r="I493" i="1"/>
  <c r="W493" i="1"/>
  <c r="AC493" i="1"/>
  <c r="AD493" i="1"/>
  <c r="CR493" i="1" s="1"/>
  <c r="Q493" i="1" s="1"/>
  <c r="AE493" i="1"/>
  <c r="AF493" i="1"/>
  <c r="AG493" i="1"/>
  <c r="CU493" i="1" s="1"/>
  <c r="T493" i="1" s="1"/>
  <c r="AH493" i="1"/>
  <c r="CV493" i="1" s="1"/>
  <c r="U493" i="1" s="1"/>
  <c r="AI493" i="1"/>
  <c r="AJ493" i="1"/>
  <c r="CS493" i="1"/>
  <c r="R493" i="1" s="1"/>
  <c r="CT493" i="1"/>
  <c r="S493" i="1" s="1"/>
  <c r="CW493" i="1"/>
  <c r="V493" i="1" s="1"/>
  <c r="CX493" i="1"/>
  <c r="FR493" i="1"/>
  <c r="GK493" i="1"/>
  <c r="GL493" i="1"/>
  <c r="GN493" i="1"/>
  <c r="GP493" i="1"/>
  <c r="GV493" i="1"/>
  <c r="GX493" i="1"/>
  <c r="C494" i="1"/>
  <c r="D494" i="1"/>
  <c r="I494" i="1"/>
  <c r="AC494" i="1"/>
  <c r="AB494" i="1" s="1"/>
  <c r="AD494" i="1"/>
  <c r="CR494" i="1" s="1"/>
  <c r="Q494" i="1" s="1"/>
  <c r="AE494" i="1"/>
  <c r="CS494" i="1" s="1"/>
  <c r="R494" i="1" s="1"/>
  <c r="GK494" i="1" s="1"/>
  <c r="AF494" i="1"/>
  <c r="AG494" i="1"/>
  <c r="AH494" i="1"/>
  <c r="CV494" i="1" s="1"/>
  <c r="U494" i="1" s="1"/>
  <c r="AI494" i="1"/>
  <c r="CW494" i="1" s="1"/>
  <c r="V494" i="1" s="1"/>
  <c r="AJ494" i="1"/>
  <c r="CQ494" i="1"/>
  <c r="P494" i="1" s="1"/>
  <c r="CP494" i="1" s="1"/>
  <c r="O494" i="1" s="1"/>
  <c r="CT494" i="1"/>
  <c r="S494" i="1" s="1"/>
  <c r="CU494" i="1"/>
  <c r="T494" i="1" s="1"/>
  <c r="CX494" i="1"/>
  <c r="W494" i="1" s="1"/>
  <c r="CY494" i="1"/>
  <c r="X494" i="1" s="1"/>
  <c r="FR494" i="1"/>
  <c r="GL494" i="1"/>
  <c r="GN494" i="1"/>
  <c r="GP494" i="1"/>
  <c r="GV494" i="1"/>
  <c r="GX494" i="1" s="1"/>
  <c r="I495" i="1"/>
  <c r="AC495" i="1"/>
  <c r="AD495" i="1"/>
  <c r="CR495" i="1" s="1"/>
  <c r="Q495" i="1" s="1"/>
  <c r="AE495" i="1"/>
  <c r="AF495" i="1"/>
  <c r="AG495" i="1"/>
  <c r="CU495" i="1" s="1"/>
  <c r="T495" i="1" s="1"/>
  <c r="AH495" i="1"/>
  <c r="CV495" i="1" s="1"/>
  <c r="U495" i="1" s="1"/>
  <c r="AI495" i="1"/>
  <c r="AJ495" i="1"/>
  <c r="CS495" i="1"/>
  <c r="R495" i="1" s="1"/>
  <c r="CT495" i="1"/>
  <c r="S495" i="1" s="1"/>
  <c r="CW495" i="1"/>
  <c r="V495" i="1" s="1"/>
  <c r="CX495" i="1"/>
  <c r="W495" i="1" s="1"/>
  <c r="FR495" i="1"/>
  <c r="GK495" i="1"/>
  <c r="GL495" i="1"/>
  <c r="GN495" i="1"/>
  <c r="GP495" i="1"/>
  <c r="GV495" i="1"/>
  <c r="GX495" i="1"/>
  <c r="C496" i="1"/>
  <c r="D496" i="1"/>
  <c r="AC496" i="1"/>
  <c r="AE496" i="1"/>
  <c r="AF496" i="1"/>
  <c r="CT496" i="1" s="1"/>
  <c r="S496" i="1" s="1"/>
  <c r="AG496" i="1"/>
  <c r="AH496" i="1"/>
  <c r="AI496" i="1"/>
  <c r="CW496" i="1" s="1"/>
  <c r="V496" i="1" s="1"/>
  <c r="AJ496" i="1"/>
  <c r="CX496" i="1" s="1"/>
  <c r="W496" i="1" s="1"/>
  <c r="CQ496" i="1"/>
  <c r="P496" i="1" s="1"/>
  <c r="CU496" i="1"/>
  <c r="T496" i="1" s="1"/>
  <c r="CV496" i="1"/>
  <c r="U496" i="1" s="1"/>
  <c r="FR496" i="1"/>
  <c r="GL496" i="1"/>
  <c r="GN496" i="1"/>
  <c r="GP496" i="1"/>
  <c r="GV496" i="1"/>
  <c r="GX496" i="1" s="1"/>
  <c r="B498" i="1"/>
  <c r="B488" i="1" s="1"/>
  <c r="C498" i="1"/>
  <c r="D498" i="1"/>
  <c r="D488" i="1" s="1"/>
  <c r="F498" i="1"/>
  <c r="F488" i="1" s="1"/>
  <c r="G498" i="1"/>
  <c r="BC498" i="1"/>
  <c r="BC488" i="1" s="1"/>
  <c r="BX498" i="1"/>
  <c r="BY498" i="1"/>
  <c r="AP498" i="1" s="1"/>
  <c r="F507" i="1" s="1"/>
  <c r="CB498" i="1"/>
  <c r="CK498" i="1"/>
  <c r="BB498" i="1" s="1"/>
  <c r="F511" i="1" s="1"/>
  <c r="CL498" i="1"/>
  <c r="F514" i="1"/>
  <c r="D527" i="1"/>
  <c r="D529" i="1"/>
  <c r="E529" i="1"/>
  <c r="Z529" i="1"/>
  <c r="AA529" i="1"/>
  <c r="AM529" i="1"/>
  <c r="AN529" i="1"/>
  <c r="BD529" i="1"/>
  <c r="BE529" i="1"/>
  <c r="BF529" i="1"/>
  <c r="BG529" i="1"/>
  <c r="BH529" i="1"/>
  <c r="BI529" i="1"/>
  <c r="BJ529" i="1"/>
  <c r="BK529" i="1"/>
  <c r="BL529" i="1"/>
  <c r="BM529" i="1"/>
  <c r="BN529" i="1"/>
  <c r="BO529" i="1"/>
  <c r="BP529" i="1"/>
  <c r="BQ529" i="1"/>
  <c r="BR529" i="1"/>
  <c r="BS529" i="1"/>
  <c r="BT529" i="1"/>
  <c r="BU529" i="1"/>
  <c r="BV529" i="1"/>
  <c r="BW529" i="1"/>
  <c r="CM529" i="1"/>
  <c r="CN529" i="1"/>
  <c r="CO529" i="1"/>
  <c r="CP529" i="1"/>
  <c r="CQ529" i="1"/>
  <c r="CR529" i="1"/>
  <c r="CS529" i="1"/>
  <c r="CT529" i="1"/>
  <c r="CU529" i="1"/>
  <c r="CV529" i="1"/>
  <c r="CW529" i="1"/>
  <c r="CX529" i="1"/>
  <c r="CY529" i="1"/>
  <c r="CZ529" i="1"/>
  <c r="DA529" i="1"/>
  <c r="DB529" i="1"/>
  <c r="DC529" i="1"/>
  <c r="DD529" i="1"/>
  <c r="DE529" i="1"/>
  <c r="DF529" i="1"/>
  <c r="DG529" i="1"/>
  <c r="DH529" i="1"/>
  <c r="DI529" i="1"/>
  <c r="DJ529" i="1"/>
  <c r="DK529" i="1"/>
  <c r="DL529" i="1"/>
  <c r="DM529" i="1"/>
  <c r="DN529" i="1"/>
  <c r="DO529" i="1"/>
  <c r="DP529" i="1"/>
  <c r="DQ529" i="1"/>
  <c r="DR529" i="1"/>
  <c r="DS529" i="1"/>
  <c r="DT529" i="1"/>
  <c r="DU529" i="1"/>
  <c r="DV529" i="1"/>
  <c r="DW529" i="1"/>
  <c r="DX529" i="1"/>
  <c r="DY529" i="1"/>
  <c r="DZ529" i="1"/>
  <c r="EA529" i="1"/>
  <c r="EB529" i="1"/>
  <c r="EC529" i="1"/>
  <c r="ED529" i="1"/>
  <c r="EE529" i="1"/>
  <c r="EF529" i="1"/>
  <c r="EG529" i="1"/>
  <c r="EH529" i="1"/>
  <c r="EI529" i="1"/>
  <c r="EJ529" i="1"/>
  <c r="EK529" i="1"/>
  <c r="EL529" i="1"/>
  <c r="EM529" i="1"/>
  <c r="EN529" i="1"/>
  <c r="EO529" i="1"/>
  <c r="EP529" i="1"/>
  <c r="EQ529" i="1"/>
  <c r="ER529" i="1"/>
  <c r="ES529" i="1"/>
  <c r="ET529" i="1"/>
  <c r="EU529" i="1"/>
  <c r="EV529" i="1"/>
  <c r="EW529" i="1"/>
  <c r="EX529" i="1"/>
  <c r="EY529" i="1"/>
  <c r="EZ529" i="1"/>
  <c r="FA529" i="1"/>
  <c r="FB529" i="1"/>
  <c r="FC529" i="1"/>
  <c r="FD529" i="1"/>
  <c r="FE529" i="1"/>
  <c r="FF529" i="1"/>
  <c r="FG529" i="1"/>
  <c r="FH529" i="1"/>
  <c r="FI529" i="1"/>
  <c r="FJ529" i="1"/>
  <c r="FK529" i="1"/>
  <c r="FL529" i="1"/>
  <c r="FM529" i="1"/>
  <c r="FN529" i="1"/>
  <c r="FO529" i="1"/>
  <c r="FP529" i="1"/>
  <c r="FQ529" i="1"/>
  <c r="FR529" i="1"/>
  <c r="FS529" i="1"/>
  <c r="FT529" i="1"/>
  <c r="FU529" i="1"/>
  <c r="FV529" i="1"/>
  <c r="FW529" i="1"/>
  <c r="FX529" i="1"/>
  <c r="FY529" i="1"/>
  <c r="FZ529" i="1"/>
  <c r="GA529" i="1"/>
  <c r="GB529" i="1"/>
  <c r="GC529" i="1"/>
  <c r="GD529" i="1"/>
  <c r="GE529" i="1"/>
  <c r="GF529" i="1"/>
  <c r="GG529" i="1"/>
  <c r="GH529" i="1"/>
  <c r="GI529" i="1"/>
  <c r="GJ529" i="1"/>
  <c r="GK529" i="1"/>
  <c r="GL529" i="1"/>
  <c r="GM529" i="1"/>
  <c r="GN529" i="1"/>
  <c r="GO529" i="1"/>
  <c r="GP529" i="1"/>
  <c r="GQ529" i="1"/>
  <c r="GR529" i="1"/>
  <c r="GS529" i="1"/>
  <c r="GT529" i="1"/>
  <c r="GU529" i="1"/>
  <c r="GV529" i="1"/>
  <c r="GW529" i="1"/>
  <c r="GX529" i="1"/>
  <c r="C531" i="1"/>
  <c r="D531" i="1"/>
  <c r="I531" i="1"/>
  <c r="P531" i="1"/>
  <c r="AC531" i="1"/>
  <c r="AD531" i="1"/>
  <c r="CR531" i="1" s="1"/>
  <c r="Q531" i="1" s="1"/>
  <c r="AE531" i="1"/>
  <c r="CS531" i="1" s="1"/>
  <c r="R531" i="1" s="1"/>
  <c r="AF531" i="1"/>
  <c r="AG531" i="1"/>
  <c r="AH531" i="1"/>
  <c r="CV531" i="1" s="1"/>
  <c r="U531" i="1" s="1"/>
  <c r="AI531" i="1"/>
  <c r="CW531" i="1" s="1"/>
  <c r="V531" i="1" s="1"/>
  <c r="AJ531" i="1"/>
  <c r="CQ531" i="1"/>
  <c r="CT531" i="1"/>
  <c r="S531" i="1" s="1"/>
  <c r="CU531" i="1"/>
  <c r="T531" i="1" s="1"/>
  <c r="CX531" i="1"/>
  <c r="W531" i="1" s="1"/>
  <c r="FR531" i="1"/>
  <c r="GL531" i="1"/>
  <c r="GN531" i="1"/>
  <c r="GP531" i="1"/>
  <c r="GV531" i="1"/>
  <c r="GX531" i="1" s="1"/>
  <c r="I532" i="1"/>
  <c r="AC532" i="1"/>
  <c r="AD532" i="1"/>
  <c r="CR532" i="1" s="1"/>
  <c r="Q532" i="1" s="1"/>
  <c r="AE532" i="1"/>
  <c r="AF532" i="1"/>
  <c r="AG532" i="1"/>
  <c r="CU532" i="1" s="1"/>
  <c r="T532" i="1" s="1"/>
  <c r="AH532" i="1"/>
  <c r="CV532" i="1" s="1"/>
  <c r="U532" i="1" s="1"/>
  <c r="AI532" i="1"/>
  <c r="AJ532" i="1"/>
  <c r="CS532" i="1"/>
  <c r="R532" i="1" s="1"/>
  <c r="GK532" i="1" s="1"/>
  <c r="CT532" i="1"/>
  <c r="S532" i="1" s="1"/>
  <c r="CW532" i="1"/>
  <c r="V532" i="1" s="1"/>
  <c r="CX532" i="1"/>
  <c r="W532" i="1" s="1"/>
  <c r="FR532" i="1"/>
  <c r="GL532" i="1"/>
  <c r="GN532" i="1"/>
  <c r="GP532" i="1"/>
  <c r="GV532" i="1"/>
  <c r="GX532" i="1"/>
  <c r="C533" i="1"/>
  <c r="D533" i="1"/>
  <c r="I533" i="1"/>
  <c r="P533" i="1"/>
  <c r="AC533" i="1"/>
  <c r="AD533" i="1"/>
  <c r="CR533" i="1" s="1"/>
  <c r="Q533" i="1" s="1"/>
  <c r="AE533" i="1"/>
  <c r="CS533" i="1" s="1"/>
  <c r="R533" i="1" s="1"/>
  <c r="GK533" i="1" s="1"/>
  <c r="AF533" i="1"/>
  <c r="AG533" i="1"/>
  <c r="AH533" i="1"/>
  <c r="CV533" i="1" s="1"/>
  <c r="U533" i="1" s="1"/>
  <c r="AI533" i="1"/>
  <c r="CW533" i="1" s="1"/>
  <c r="V533" i="1" s="1"/>
  <c r="AJ533" i="1"/>
  <c r="CQ533" i="1"/>
  <c r="CT533" i="1"/>
  <c r="S533" i="1" s="1"/>
  <c r="CU533" i="1"/>
  <c r="T533" i="1" s="1"/>
  <c r="CX533" i="1"/>
  <c r="W533" i="1" s="1"/>
  <c r="FR533" i="1"/>
  <c r="GL533" i="1"/>
  <c r="GN533" i="1"/>
  <c r="GP533" i="1"/>
  <c r="GV533" i="1"/>
  <c r="GX533" i="1" s="1"/>
  <c r="I534" i="1"/>
  <c r="AC534" i="1"/>
  <c r="AD534" i="1"/>
  <c r="CR534" i="1" s="1"/>
  <c r="Q534" i="1" s="1"/>
  <c r="AE534" i="1"/>
  <c r="AF534" i="1"/>
  <c r="AG534" i="1"/>
  <c r="CU534" i="1" s="1"/>
  <c r="T534" i="1" s="1"/>
  <c r="AH534" i="1"/>
  <c r="CV534" i="1" s="1"/>
  <c r="U534" i="1" s="1"/>
  <c r="AI534" i="1"/>
  <c r="AJ534" i="1"/>
  <c r="CS534" i="1"/>
  <c r="R534" i="1" s="1"/>
  <c r="CT534" i="1"/>
  <c r="S534" i="1" s="1"/>
  <c r="CW534" i="1"/>
  <c r="V534" i="1" s="1"/>
  <c r="CX534" i="1"/>
  <c r="W534" i="1" s="1"/>
  <c r="FR534" i="1"/>
  <c r="GK534" i="1"/>
  <c r="GL534" i="1"/>
  <c r="GN534" i="1"/>
  <c r="GP534" i="1"/>
  <c r="GV534" i="1"/>
  <c r="GX534" i="1"/>
  <c r="C535" i="1"/>
  <c r="D535" i="1"/>
  <c r="I535" i="1"/>
  <c r="CX664" i="3" s="1"/>
  <c r="P535" i="1"/>
  <c r="AC535" i="1"/>
  <c r="AD535" i="1"/>
  <c r="CR535" i="1" s="1"/>
  <c r="Q535" i="1" s="1"/>
  <c r="AE535" i="1"/>
  <c r="CS535" i="1" s="1"/>
  <c r="R535" i="1" s="1"/>
  <c r="GK535" i="1" s="1"/>
  <c r="AF535" i="1"/>
  <c r="AG535" i="1"/>
  <c r="AH535" i="1"/>
  <c r="CV535" i="1" s="1"/>
  <c r="U535" i="1" s="1"/>
  <c r="AI535" i="1"/>
  <c r="CW535" i="1" s="1"/>
  <c r="V535" i="1" s="1"/>
  <c r="AJ535" i="1"/>
  <c r="CQ535" i="1"/>
  <c r="CT535" i="1"/>
  <c r="S535" i="1" s="1"/>
  <c r="CZ535" i="1" s="1"/>
  <c r="Y535" i="1" s="1"/>
  <c r="CU535" i="1"/>
  <c r="T535" i="1" s="1"/>
  <c r="CX535" i="1"/>
  <c r="W535" i="1" s="1"/>
  <c r="FR535" i="1"/>
  <c r="GL535" i="1"/>
  <c r="GO535" i="1"/>
  <c r="GP535" i="1"/>
  <c r="GV535" i="1"/>
  <c r="GX535" i="1" s="1"/>
  <c r="C536" i="1"/>
  <c r="D536" i="1"/>
  <c r="I536" i="1"/>
  <c r="AC536" i="1"/>
  <c r="AE536" i="1"/>
  <c r="AF536" i="1"/>
  <c r="CT536" i="1" s="1"/>
  <c r="S536" i="1" s="1"/>
  <c r="AG536" i="1"/>
  <c r="AH536" i="1"/>
  <c r="AI536" i="1"/>
  <c r="CW536" i="1" s="1"/>
  <c r="V536" i="1" s="1"/>
  <c r="AJ536" i="1"/>
  <c r="CX536" i="1" s="1"/>
  <c r="W536" i="1" s="1"/>
  <c r="CQ536" i="1"/>
  <c r="P536" i="1" s="1"/>
  <c r="CU536" i="1"/>
  <c r="T536" i="1" s="1"/>
  <c r="CV536" i="1"/>
  <c r="U536" i="1" s="1"/>
  <c r="FR536" i="1"/>
  <c r="GL536" i="1"/>
  <c r="GN536" i="1"/>
  <c r="GP536" i="1"/>
  <c r="GV536" i="1"/>
  <c r="GX536" i="1" s="1"/>
  <c r="AC537" i="1"/>
  <c r="AB537" i="1" s="1"/>
  <c r="AD537" i="1"/>
  <c r="CR537" i="1" s="1"/>
  <c r="AE537" i="1"/>
  <c r="CS537" i="1" s="1"/>
  <c r="AF537" i="1"/>
  <c r="AG537" i="1"/>
  <c r="AH537" i="1"/>
  <c r="CV537" i="1" s="1"/>
  <c r="AI537" i="1"/>
  <c r="CW537" i="1" s="1"/>
  <c r="AJ537" i="1"/>
  <c r="CQ537" i="1"/>
  <c r="CT537" i="1"/>
  <c r="CU537" i="1"/>
  <c r="CX537" i="1"/>
  <c r="FR537" i="1"/>
  <c r="GL537" i="1"/>
  <c r="GN537" i="1"/>
  <c r="GP537" i="1"/>
  <c r="GV537" i="1"/>
  <c r="C538" i="1"/>
  <c r="D538" i="1"/>
  <c r="I538" i="1"/>
  <c r="AC538" i="1"/>
  <c r="AE538" i="1"/>
  <c r="AF538" i="1"/>
  <c r="CT538" i="1" s="1"/>
  <c r="S538" i="1" s="1"/>
  <c r="AG538" i="1"/>
  <c r="AH538" i="1"/>
  <c r="AI538" i="1"/>
  <c r="CW538" i="1" s="1"/>
  <c r="V538" i="1" s="1"/>
  <c r="AJ538" i="1"/>
  <c r="CX538" i="1" s="1"/>
  <c r="W538" i="1" s="1"/>
  <c r="CQ538" i="1"/>
  <c r="P538" i="1" s="1"/>
  <c r="CU538" i="1"/>
  <c r="T538" i="1" s="1"/>
  <c r="CV538" i="1"/>
  <c r="U538" i="1" s="1"/>
  <c r="FR538" i="1"/>
  <c r="GL538" i="1"/>
  <c r="GN538" i="1"/>
  <c r="GP538" i="1"/>
  <c r="GV538" i="1"/>
  <c r="GX538" i="1" s="1"/>
  <c r="AC539" i="1"/>
  <c r="AD539" i="1"/>
  <c r="CR539" i="1" s="1"/>
  <c r="AE539" i="1"/>
  <c r="CS539" i="1" s="1"/>
  <c r="AF539" i="1"/>
  <c r="AG539" i="1"/>
  <c r="AH539" i="1"/>
  <c r="CV539" i="1" s="1"/>
  <c r="AI539" i="1"/>
  <c r="CW539" i="1" s="1"/>
  <c r="AJ539" i="1"/>
  <c r="CQ539" i="1"/>
  <c r="CT539" i="1"/>
  <c r="CU539" i="1"/>
  <c r="CX539" i="1"/>
  <c r="FR539" i="1"/>
  <c r="GL539" i="1"/>
  <c r="GN539" i="1"/>
  <c r="GP539" i="1"/>
  <c r="GV539" i="1"/>
  <c r="B541" i="1"/>
  <c r="B529" i="1" s="1"/>
  <c r="C541" i="1"/>
  <c r="C529" i="1" s="1"/>
  <c r="D541" i="1"/>
  <c r="F541" i="1"/>
  <c r="F529" i="1" s="1"/>
  <c r="G541" i="1"/>
  <c r="G529" i="1" s="1"/>
  <c r="AP541" i="1"/>
  <c r="AP529" i="1" s="1"/>
  <c r="BC541" i="1"/>
  <c r="F557" i="1" s="1"/>
  <c r="BX541" i="1"/>
  <c r="AO541" i="1" s="1"/>
  <c r="BY541" i="1"/>
  <c r="BY529" i="1" s="1"/>
  <c r="CK541" i="1"/>
  <c r="CK529" i="1" s="1"/>
  <c r="CL541" i="1"/>
  <c r="CL529" i="1" s="1"/>
  <c r="F550" i="1"/>
  <c r="D570" i="1"/>
  <c r="C572" i="1"/>
  <c r="E572" i="1"/>
  <c r="G572" i="1"/>
  <c r="Z572" i="1"/>
  <c r="AA572" i="1"/>
  <c r="AM572" i="1"/>
  <c r="AN572" i="1"/>
  <c r="BD572" i="1"/>
  <c r="BE572" i="1"/>
  <c r="BF572" i="1"/>
  <c r="BG572" i="1"/>
  <c r="BH572" i="1"/>
  <c r="BI572" i="1"/>
  <c r="BJ572" i="1"/>
  <c r="BK572" i="1"/>
  <c r="BL572" i="1"/>
  <c r="BM572" i="1"/>
  <c r="BN572" i="1"/>
  <c r="BO572" i="1"/>
  <c r="BP572" i="1"/>
  <c r="BQ572" i="1"/>
  <c r="BR572" i="1"/>
  <c r="BS572" i="1"/>
  <c r="BT572" i="1"/>
  <c r="BU572" i="1"/>
  <c r="BV572" i="1"/>
  <c r="BW572" i="1"/>
  <c r="BZ572" i="1"/>
  <c r="CD572" i="1"/>
  <c r="CL572" i="1"/>
  <c r="CM572" i="1"/>
  <c r="CN572" i="1"/>
  <c r="CO572" i="1"/>
  <c r="CP572" i="1"/>
  <c r="CQ572" i="1"/>
  <c r="CR572" i="1"/>
  <c r="CS572" i="1"/>
  <c r="CT572" i="1"/>
  <c r="CU572" i="1"/>
  <c r="CV572" i="1"/>
  <c r="CW572" i="1"/>
  <c r="CX572" i="1"/>
  <c r="CY572" i="1"/>
  <c r="CZ572" i="1"/>
  <c r="DA572" i="1"/>
  <c r="DB572" i="1"/>
  <c r="DC572" i="1"/>
  <c r="DD572" i="1"/>
  <c r="DE572" i="1"/>
  <c r="DF572" i="1"/>
  <c r="DG572" i="1"/>
  <c r="DH572" i="1"/>
  <c r="DI572" i="1"/>
  <c r="DJ572" i="1"/>
  <c r="DK572" i="1"/>
  <c r="DL572" i="1"/>
  <c r="DM572" i="1"/>
  <c r="DN572" i="1"/>
  <c r="DO572" i="1"/>
  <c r="DP572" i="1"/>
  <c r="DQ572" i="1"/>
  <c r="DR572" i="1"/>
  <c r="DS572" i="1"/>
  <c r="DT572" i="1"/>
  <c r="DU572" i="1"/>
  <c r="DV572" i="1"/>
  <c r="DW572" i="1"/>
  <c r="DX572" i="1"/>
  <c r="DY572" i="1"/>
  <c r="DZ572" i="1"/>
  <c r="EA572" i="1"/>
  <c r="EB572" i="1"/>
  <c r="EC572" i="1"/>
  <c r="ED572" i="1"/>
  <c r="EE572" i="1"/>
  <c r="EF572" i="1"/>
  <c r="EG572" i="1"/>
  <c r="EH572" i="1"/>
  <c r="EI572" i="1"/>
  <c r="EJ572" i="1"/>
  <c r="EK572" i="1"/>
  <c r="EL572" i="1"/>
  <c r="EM572" i="1"/>
  <c r="EN572" i="1"/>
  <c r="EO572" i="1"/>
  <c r="EP572" i="1"/>
  <c r="EQ572" i="1"/>
  <c r="ER572" i="1"/>
  <c r="ES572" i="1"/>
  <c r="ET572" i="1"/>
  <c r="EU572" i="1"/>
  <c r="EV572" i="1"/>
  <c r="EW572" i="1"/>
  <c r="EX572" i="1"/>
  <c r="EY572" i="1"/>
  <c r="EZ572" i="1"/>
  <c r="FA572" i="1"/>
  <c r="FB572" i="1"/>
  <c r="FC572" i="1"/>
  <c r="FD572" i="1"/>
  <c r="FE572" i="1"/>
  <c r="FF572" i="1"/>
  <c r="FG572" i="1"/>
  <c r="FH572" i="1"/>
  <c r="FI572" i="1"/>
  <c r="FJ572" i="1"/>
  <c r="FK572" i="1"/>
  <c r="FL572" i="1"/>
  <c r="FM572" i="1"/>
  <c r="FN572" i="1"/>
  <c r="FO572" i="1"/>
  <c r="FP572" i="1"/>
  <c r="FQ572" i="1"/>
  <c r="FR572" i="1"/>
  <c r="FS572" i="1"/>
  <c r="FT572" i="1"/>
  <c r="FU572" i="1"/>
  <c r="FV572" i="1"/>
  <c r="FW572" i="1"/>
  <c r="FX572" i="1"/>
  <c r="FY572" i="1"/>
  <c r="FZ572" i="1"/>
  <c r="GA572" i="1"/>
  <c r="GB572" i="1"/>
  <c r="GC572" i="1"/>
  <c r="GD572" i="1"/>
  <c r="GE572" i="1"/>
  <c r="GF572" i="1"/>
  <c r="GG572" i="1"/>
  <c r="GH572" i="1"/>
  <c r="GI572" i="1"/>
  <c r="GJ572" i="1"/>
  <c r="GK572" i="1"/>
  <c r="GL572" i="1"/>
  <c r="GM572" i="1"/>
  <c r="GN572" i="1"/>
  <c r="GO572" i="1"/>
  <c r="GP572" i="1"/>
  <c r="GQ572" i="1"/>
  <c r="GR572" i="1"/>
  <c r="GS572" i="1"/>
  <c r="GT572" i="1"/>
  <c r="GU572" i="1"/>
  <c r="GV572" i="1"/>
  <c r="GW572" i="1"/>
  <c r="GX572" i="1"/>
  <c r="C574" i="1"/>
  <c r="D574" i="1"/>
  <c r="I574" i="1"/>
  <c r="W574" i="1"/>
  <c r="AC574" i="1"/>
  <c r="AD574" i="1"/>
  <c r="CR574" i="1" s="1"/>
  <c r="Q574" i="1" s="1"/>
  <c r="AE574" i="1"/>
  <c r="AF574" i="1"/>
  <c r="AG574" i="1"/>
  <c r="CU574" i="1" s="1"/>
  <c r="T574" i="1" s="1"/>
  <c r="AH574" i="1"/>
  <c r="CV574" i="1" s="1"/>
  <c r="U574" i="1" s="1"/>
  <c r="AI574" i="1"/>
  <c r="AJ574" i="1"/>
  <c r="CS574" i="1"/>
  <c r="R574" i="1" s="1"/>
  <c r="CT574" i="1"/>
  <c r="S574" i="1" s="1"/>
  <c r="CW574" i="1"/>
  <c r="V574" i="1" s="1"/>
  <c r="CX574" i="1"/>
  <c r="FR574" i="1"/>
  <c r="GK574" i="1"/>
  <c r="GL574" i="1"/>
  <c r="GO574" i="1"/>
  <c r="GP574" i="1"/>
  <c r="GV574" i="1"/>
  <c r="GX574" i="1"/>
  <c r="C575" i="1"/>
  <c r="D575" i="1"/>
  <c r="I575" i="1"/>
  <c r="P575" i="1"/>
  <c r="AC575" i="1"/>
  <c r="AD575" i="1"/>
  <c r="CR575" i="1" s="1"/>
  <c r="Q575" i="1" s="1"/>
  <c r="AE575" i="1"/>
  <c r="CS575" i="1" s="1"/>
  <c r="R575" i="1" s="1"/>
  <c r="GK575" i="1" s="1"/>
  <c r="AF575" i="1"/>
  <c r="AG575" i="1"/>
  <c r="AH575" i="1"/>
  <c r="CV575" i="1" s="1"/>
  <c r="U575" i="1" s="1"/>
  <c r="AH580" i="1" s="1"/>
  <c r="AI575" i="1"/>
  <c r="CW575" i="1" s="1"/>
  <c r="V575" i="1" s="1"/>
  <c r="AJ575" i="1"/>
  <c r="CQ575" i="1"/>
  <c r="CT575" i="1"/>
  <c r="S575" i="1" s="1"/>
  <c r="CZ575" i="1" s="1"/>
  <c r="Y575" i="1" s="1"/>
  <c r="CU575" i="1"/>
  <c r="T575" i="1" s="1"/>
  <c r="CX575" i="1"/>
  <c r="W575" i="1" s="1"/>
  <c r="FR575" i="1"/>
  <c r="GL575" i="1"/>
  <c r="BZ580" i="1" s="1"/>
  <c r="AQ580" i="1" s="1"/>
  <c r="GO575" i="1"/>
  <c r="GP575" i="1"/>
  <c r="CD580" i="1" s="1"/>
  <c r="AU580" i="1" s="1"/>
  <c r="AU572" i="1" s="1"/>
  <c r="GV575" i="1"/>
  <c r="GX575" i="1" s="1"/>
  <c r="CJ580" i="1" s="1"/>
  <c r="I576" i="1"/>
  <c r="W576" i="1"/>
  <c r="AC576" i="1"/>
  <c r="AD576" i="1"/>
  <c r="AE576" i="1"/>
  <c r="AF576" i="1"/>
  <c r="AG576" i="1"/>
  <c r="CU576" i="1" s="1"/>
  <c r="T576" i="1" s="1"/>
  <c r="AH576" i="1"/>
  <c r="AI576" i="1"/>
  <c r="AJ576" i="1"/>
  <c r="CR576" i="1"/>
  <c r="Q576" i="1" s="1"/>
  <c r="CS576" i="1"/>
  <c r="R576" i="1" s="1"/>
  <c r="GK576" i="1" s="1"/>
  <c r="CT576" i="1"/>
  <c r="S576" i="1" s="1"/>
  <c r="CV576" i="1"/>
  <c r="U576" i="1" s="1"/>
  <c r="CW576" i="1"/>
  <c r="V576" i="1" s="1"/>
  <c r="CX576" i="1"/>
  <c r="FR576" i="1"/>
  <c r="GL576" i="1"/>
  <c r="GO576" i="1"/>
  <c r="GP576" i="1"/>
  <c r="GV576" i="1"/>
  <c r="GX576" i="1"/>
  <c r="I577" i="1"/>
  <c r="R577" i="1"/>
  <c r="GK577" i="1" s="1"/>
  <c r="AC577" i="1"/>
  <c r="CQ577" i="1" s="1"/>
  <c r="P577" i="1" s="1"/>
  <c r="AE577" i="1"/>
  <c r="AD577" i="1" s="1"/>
  <c r="CR577" i="1" s="1"/>
  <c r="Q577" i="1" s="1"/>
  <c r="AF577" i="1"/>
  <c r="CT577" i="1" s="1"/>
  <c r="AG577" i="1"/>
  <c r="CU577" i="1" s="1"/>
  <c r="AH577" i="1"/>
  <c r="AI577" i="1"/>
  <c r="AJ577" i="1"/>
  <c r="CX577" i="1" s="1"/>
  <c r="CS577" i="1"/>
  <c r="CV577" i="1"/>
  <c r="U577" i="1" s="1"/>
  <c r="CW577" i="1"/>
  <c r="V577" i="1" s="1"/>
  <c r="FR577" i="1"/>
  <c r="BY580" i="1" s="1"/>
  <c r="GL577" i="1"/>
  <c r="GO577" i="1"/>
  <c r="GP577" i="1"/>
  <c r="GV577" i="1"/>
  <c r="GX577" i="1"/>
  <c r="I578" i="1"/>
  <c r="AC578" i="1"/>
  <c r="AE578" i="1"/>
  <c r="AF578" i="1"/>
  <c r="AG578" i="1"/>
  <c r="AH578" i="1"/>
  <c r="AI578" i="1"/>
  <c r="CW578" i="1" s="1"/>
  <c r="V578" i="1" s="1"/>
  <c r="AJ578" i="1"/>
  <c r="CQ578" i="1"/>
  <c r="P578" i="1" s="1"/>
  <c r="CT578" i="1"/>
  <c r="S578" i="1" s="1"/>
  <c r="CU578" i="1"/>
  <c r="T578" i="1" s="1"/>
  <c r="CV578" i="1"/>
  <c r="U578" i="1" s="1"/>
  <c r="CX578" i="1"/>
  <c r="W578" i="1" s="1"/>
  <c r="FR578" i="1"/>
  <c r="GL578" i="1"/>
  <c r="GO578" i="1"/>
  <c r="GP578" i="1"/>
  <c r="GV578" i="1"/>
  <c r="GX578" i="1" s="1"/>
  <c r="B580" i="1"/>
  <c r="B572" i="1" s="1"/>
  <c r="C580" i="1"/>
  <c r="D580" i="1"/>
  <c r="D572" i="1" s="1"/>
  <c r="F580" i="1"/>
  <c r="F572" i="1" s="1"/>
  <c r="G580" i="1"/>
  <c r="BX580" i="1"/>
  <c r="CK580" i="1"/>
  <c r="BB580" i="1" s="1"/>
  <c r="F593" i="1" s="1"/>
  <c r="CL580" i="1"/>
  <c r="BC580" i="1" s="1"/>
  <c r="F599" i="1"/>
  <c r="D609" i="1"/>
  <c r="D611" i="1"/>
  <c r="E611" i="1"/>
  <c r="Z611" i="1"/>
  <c r="AA611" i="1"/>
  <c r="AM611" i="1"/>
  <c r="AN611" i="1"/>
  <c r="BD611" i="1"/>
  <c r="BE611" i="1"/>
  <c r="BF611" i="1"/>
  <c r="BG611" i="1"/>
  <c r="BH611" i="1"/>
  <c r="BI611" i="1"/>
  <c r="BJ611" i="1"/>
  <c r="BK611" i="1"/>
  <c r="BL611" i="1"/>
  <c r="BM611" i="1"/>
  <c r="BN611" i="1"/>
  <c r="BO611" i="1"/>
  <c r="BP611" i="1"/>
  <c r="BQ611" i="1"/>
  <c r="BR611" i="1"/>
  <c r="BS611" i="1"/>
  <c r="BT611" i="1"/>
  <c r="BU611" i="1"/>
  <c r="BV611" i="1"/>
  <c r="BW611" i="1"/>
  <c r="CM611" i="1"/>
  <c r="CN611" i="1"/>
  <c r="CO611" i="1"/>
  <c r="CP611" i="1"/>
  <c r="CQ611" i="1"/>
  <c r="CR611" i="1"/>
  <c r="CS611" i="1"/>
  <c r="CT611" i="1"/>
  <c r="CU611" i="1"/>
  <c r="CV611" i="1"/>
  <c r="CW611" i="1"/>
  <c r="CX611" i="1"/>
  <c r="CY611" i="1"/>
  <c r="CZ611" i="1"/>
  <c r="DA611" i="1"/>
  <c r="DB611" i="1"/>
  <c r="DC611" i="1"/>
  <c r="DD611" i="1"/>
  <c r="DE611" i="1"/>
  <c r="DF611" i="1"/>
  <c r="DG611" i="1"/>
  <c r="DH611" i="1"/>
  <c r="DI611" i="1"/>
  <c r="DJ611" i="1"/>
  <c r="DK611" i="1"/>
  <c r="DL611" i="1"/>
  <c r="DM611" i="1"/>
  <c r="DN611" i="1"/>
  <c r="DO611" i="1"/>
  <c r="DP611" i="1"/>
  <c r="DQ611" i="1"/>
  <c r="DR611" i="1"/>
  <c r="DS611" i="1"/>
  <c r="DT611" i="1"/>
  <c r="DU611" i="1"/>
  <c r="DV611" i="1"/>
  <c r="DW611" i="1"/>
  <c r="DX611" i="1"/>
  <c r="DY611" i="1"/>
  <c r="DZ611" i="1"/>
  <c r="EA611" i="1"/>
  <c r="EB611" i="1"/>
  <c r="EC611" i="1"/>
  <c r="ED611" i="1"/>
  <c r="EE611" i="1"/>
  <c r="EF611" i="1"/>
  <c r="EG611" i="1"/>
  <c r="EH611" i="1"/>
  <c r="EI611" i="1"/>
  <c r="EJ611" i="1"/>
  <c r="EK611" i="1"/>
  <c r="EL611" i="1"/>
  <c r="EM611" i="1"/>
  <c r="EN611" i="1"/>
  <c r="EO611" i="1"/>
  <c r="EP611" i="1"/>
  <c r="EQ611" i="1"/>
  <c r="ER611" i="1"/>
  <c r="ES611" i="1"/>
  <c r="ET611" i="1"/>
  <c r="EU611" i="1"/>
  <c r="EV611" i="1"/>
  <c r="EW611" i="1"/>
  <c r="EX611" i="1"/>
  <c r="EY611" i="1"/>
  <c r="EZ611" i="1"/>
  <c r="FA611" i="1"/>
  <c r="FB611" i="1"/>
  <c r="FC611" i="1"/>
  <c r="FD611" i="1"/>
  <c r="FE611" i="1"/>
  <c r="FF611" i="1"/>
  <c r="FG611" i="1"/>
  <c r="FH611" i="1"/>
  <c r="FI611" i="1"/>
  <c r="FJ611" i="1"/>
  <c r="FK611" i="1"/>
  <c r="FL611" i="1"/>
  <c r="FM611" i="1"/>
  <c r="FN611" i="1"/>
  <c r="FO611" i="1"/>
  <c r="FP611" i="1"/>
  <c r="FQ611" i="1"/>
  <c r="FR611" i="1"/>
  <c r="FS611" i="1"/>
  <c r="FT611" i="1"/>
  <c r="FU611" i="1"/>
  <c r="FV611" i="1"/>
  <c r="FW611" i="1"/>
  <c r="FX611" i="1"/>
  <c r="FY611" i="1"/>
  <c r="FZ611" i="1"/>
  <c r="GA611" i="1"/>
  <c r="GB611" i="1"/>
  <c r="GC611" i="1"/>
  <c r="GD611" i="1"/>
  <c r="GE611" i="1"/>
  <c r="GF611" i="1"/>
  <c r="GG611" i="1"/>
  <c r="GH611" i="1"/>
  <c r="GI611" i="1"/>
  <c r="GJ611" i="1"/>
  <c r="GK611" i="1"/>
  <c r="GL611" i="1"/>
  <c r="GM611" i="1"/>
  <c r="GN611" i="1"/>
  <c r="GO611" i="1"/>
  <c r="GP611" i="1"/>
  <c r="GQ611" i="1"/>
  <c r="GR611" i="1"/>
  <c r="GS611" i="1"/>
  <c r="GT611" i="1"/>
  <c r="GU611" i="1"/>
  <c r="GV611" i="1"/>
  <c r="GW611" i="1"/>
  <c r="GX611" i="1"/>
  <c r="C613" i="1"/>
  <c r="D613" i="1"/>
  <c r="I613" i="1"/>
  <c r="AC613" i="1"/>
  <c r="AD613" i="1"/>
  <c r="AE613" i="1"/>
  <c r="AF613" i="1"/>
  <c r="CT613" i="1" s="1"/>
  <c r="S613" i="1" s="1"/>
  <c r="AG613" i="1"/>
  <c r="AH613" i="1"/>
  <c r="CV613" i="1" s="1"/>
  <c r="U613" i="1" s="1"/>
  <c r="AI613" i="1"/>
  <c r="AJ613" i="1"/>
  <c r="CX613" i="1" s="1"/>
  <c r="W613" i="1" s="1"/>
  <c r="CQ613" i="1"/>
  <c r="P613" i="1" s="1"/>
  <c r="CS613" i="1"/>
  <c r="R613" i="1" s="1"/>
  <c r="CU613" i="1"/>
  <c r="T613" i="1" s="1"/>
  <c r="CW613" i="1"/>
  <c r="V613" i="1" s="1"/>
  <c r="CY613" i="1"/>
  <c r="X613" i="1" s="1"/>
  <c r="FR613" i="1"/>
  <c r="GL613" i="1"/>
  <c r="GO613" i="1"/>
  <c r="GP613" i="1"/>
  <c r="CD622" i="1" s="1"/>
  <c r="CD611" i="1" s="1"/>
  <c r="GV613" i="1"/>
  <c r="GX613" i="1"/>
  <c r="C614" i="1"/>
  <c r="D614" i="1"/>
  <c r="AC614" i="1"/>
  <c r="AD614" i="1"/>
  <c r="CR614" i="1" s="1"/>
  <c r="Q614" i="1" s="1"/>
  <c r="AE614" i="1"/>
  <c r="AF614" i="1"/>
  <c r="CT614" i="1" s="1"/>
  <c r="S614" i="1" s="1"/>
  <c r="AG614" i="1"/>
  <c r="AH614" i="1"/>
  <c r="CV614" i="1" s="1"/>
  <c r="U614" i="1" s="1"/>
  <c r="AI614" i="1"/>
  <c r="AJ614" i="1"/>
  <c r="CX614" i="1" s="1"/>
  <c r="W614" i="1" s="1"/>
  <c r="CQ614" i="1"/>
  <c r="P614" i="1" s="1"/>
  <c r="CP614" i="1" s="1"/>
  <c r="O614" i="1" s="1"/>
  <c r="CS614" i="1"/>
  <c r="R614" i="1" s="1"/>
  <c r="GK614" i="1" s="1"/>
  <c r="CU614" i="1"/>
  <c r="T614" i="1" s="1"/>
  <c r="CW614" i="1"/>
  <c r="V614" i="1" s="1"/>
  <c r="FR614" i="1"/>
  <c r="BY622" i="1" s="1"/>
  <c r="GL614" i="1"/>
  <c r="GO614" i="1"/>
  <c r="GP614" i="1"/>
  <c r="GV614" i="1"/>
  <c r="GX614" i="1"/>
  <c r="I615" i="1"/>
  <c r="AC615" i="1"/>
  <c r="CQ615" i="1" s="1"/>
  <c r="P615" i="1" s="1"/>
  <c r="AE615" i="1"/>
  <c r="AF615" i="1"/>
  <c r="AG615" i="1"/>
  <c r="CU615" i="1" s="1"/>
  <c r="T615" i="1" s="1"/>
  <c r="AH615" i="1"/>
  <c r="AI615" i="1"/>
  <c r="CW615" i="1" s="1"/>
  <c r="V615" i="1" s="1"/>
  <c r="AJ615" i="1"/>
  <c r="CT615" i="1"/>
  <c r="S615" i="1" s="1"/>
  <c r="CV615" i="1"/>
  <c r="U615" i="1" s="1"/>
  <c r="CX615" i="1"/>
  <c r="W615" i="1" s="1"/>
  <c r="FR615" i="1"/>
  <c r="GL615" i="1"/>
  <c r="GO615" i="1"/>
  <c r="GP615" i="1"/>
  <c r="GV615" i="1"/>
  <c r="GX615" i="1" s="1"/>
  <c r="C616" i="1"/>
  <c r="D616" i="1"/>
  <c r="I616" i="1"/>
  <c r="AC616" i="1"/>
  <c r="AD616" i="1"/>
  <c r="CR616" i="1" s="1"/>
  <c r="Q616" i="1" s="1"/>
  <c r="AE616" i="1"/>
  <c r="AF616" i="1"/>
  <c r="CT616" i="1" s="1"/>
  <c r="AG616" i="1"/>
  <c r="AH616" i="1"/>
  <c r="CV616" i="1" s="1"/>
  <c r="U616" i="1" s="1"/>
  <c r="AI616" i="1"/>
  <c r="AJ616" i="1"/>
  <c r="CX616" i="1" s="1"/>
  <c r="CQ616" i="1"/>
  <c r="P616" i="1" s="1"/>
  <c r="CS616" i="1"/>
  <c r="R616" i="1" s="1"/>
  <c r="GK616" i="1" s="1"/>
  <c r="CU616" i="1"/>
  <c r="CW616" i="1"/>
  <c r="V616" i="1" s="1"/>
  <c r="FR616" i="1"/>
  <c r="GL616" i="1"/>
  <c r="GO616" i="1"/>
  <c r="GP616" i="1"/>
  <c r="GV616" i="1"/>
  <c r="AC617" i="1"/>
  <c r="CQ617" i="1" s="1"/>
  <c r="AE617" i="1"/>
  <c r="AF617" i="1"/>
  <c r="AG617" i="1"/>
  <c r="CU617" i="1" s="1"/>
  <c r="AH617" i="1"/>
  <c r="AI617" i="1"/>
  <c r="CW617" i="1" s="1"/>
  <c r="AJ617" i="1"/>
  <c r="CT617" i="1"/>
  <c r="CV617" i="1"/>
  <c r="CX617" i="1"/>
  <c r="FR617" i="1"/>
  <c r="GL617" i="1"/>
  <c r="GO617" i="1"/>
  <c r="GP617" i="1"/>
  <c r="GV617" i="1"/>
  <c r="AC618" i="1"/>
  <c r="AD618" i="1"/>
  <c r="AE618" i="1"/>
  <c r="AF618" i="1"/>
  <c r="CT618" i="1" s="1"/>
  <c r="AG618" i="1"/>
  <c r="AH618" i="1"/>
  <c r="CV618" i="1" s="1"/>
  <c r="AI618" i="1"/>
  <c r="AJ618" i="1"/>
  <c r="CX618" i="1" s="1"/>
  <c r="CQ618" i="1"/>
  <c r="CS618" i="1"/>
  <c r="CU618" i="1"/>
  <c r="CW618" i="1"/>
  <c r="FR618" i="1"/>
  <c r="GL618" i="1"/>
  <c r="GO618" i="1"/>
  <c r="GP618" i="1"/>
  <c r="GV618" i="1"/>
  <c r="AC619" i="1"/>
  <c r="AE619" i="1"/>
  <c r="CS619" i="1" s="1"/>
  <c r="AF619" i="1"/>
  <c r="AG619" i="1"/>
  <c r="CU619" i="1" s="1"/>
  <c r="AH619" i="1"/>
  <c r="AI619" i="1"/>
  <c r="CW619" i="1" s="1"/>
  <c r="AJ619" i="1"/>
  <c r="CT619" i="1"/>
  <c r="CV619" i="1"/>
  <c r="CX619" i="1"/>
  <c r="FR619" i="1"/>
  <c r="GL619" i="1"/>
  <c r="GO619" i="1"/>
  <c r="CC622" i="1" s="1"/>
  <c r="GP619" i="1"/>
  <c r="GV619" i="1"/>
  <c r="C620" i="1"/>
  <c r="D620" i="1"/>
  <c r="I620" i="1"/>
  <c r="P620" i="1"/>
  <c r="AC620" i="1"/>
  <c r="AD620" i="1"/>
  <c r="AE620" i="1"/>
  <c r="AF620" i="1"/>
  <c r="CT620" i="1" s="1"/>
  <c r="S620" i="1" s="1"/>
  <c r="AG620" i="1"/>
  <c r="AH620" i="1"/>
  <c r="CV620" i="1" s="1"/>
  <c r="U620" i="1" s="1"/>
  <c r="AI620" i="1"/>
  <c r="AJ620" i="1"/>
  <c r="CX620" i="1" s="1"/>
  <c r="W620" i="1" s="1"/>
  <c r="CQ620" i="1"/>
  <c r="CS620" i="1"/>
  <c r="R620" i="1" s="1"/>
  <c r="GK620" i="1" s="1"/>
  <c r="CU620" i="1"/>
  <c r="T620" i="1" s="1"/>
  <c r="CW620" i="1"/>
  <c r="V620" i="1" s="1"/>
  <c r="FR620" i="1"/>
  <c r="GL620" i="1"/>
  <c r="GO620" i="1"/>
  <c r="GP620" i="1"/>
  <c r="GV620" i="1"/>
  <c r="GX620" i="1"/>
  <c r="B622" i="1"/>
  <c r="B611" i="1" s="1"/>
  <c r="C622" i="1"/>
  <c r="C611" i="1" s="1"/>
  <c r="D622" i="1"/>
  <c r="F622" i="1"/>
  <c r="F611" i="1" s="1"/>
  <c r="G622" i="1"/>
  <c r="G611" i="1" s="1"/>
  <c r="AO622" i="1"/>
  <c r="AO611" i="1" s="1"/>
  <c r="BC622" i="1"/>
  <c r="F638" i="1" s="1"/>
  <c r="BX622" i="1"/>
  <c r="BX611" i="1" s="1"/>
  <c r="CK622" i="1"/>
  <c r="CK611" i="1" s="1"/>
  <c r="CL622" i="1"/>
  <c r="CL611" i="1" s="1"/>
  <c r="F626" i="1"/>
  <c r="D651" i="1"/>
  <c r="C653" i="1"/>
  <c r="E653" i="1"/>
  <c r="G653" i="1"/>
  <c r="Z653" i="1"/>
  <c r="AA653" i="1"/>
  <c r="AM653" i="1"/>
  <c r="AN653" i="1"/>
  <c r="BD653" i="1"/>
  <c r="BE653" i="1"/>
  <c r="BF653" i="1"/>
  <c r="BG653" i="1"/>
  <c r="BH653" i="1"/>
  <c r="BI653" i="1"/>
  <c r="BJ653" i="1"/>
  <c r="BK653" i="1"/>
  <c r="BL653" i="1"/>
  <c r="BM653" i="1"/>
  <c r="BN653" i="1"/>
  <c r="BO653" i="1"/>
  <c r="BP653" i="1"/>
  <c r="BQ653" i="1"/>
  <c r="BR653" i="1"/>
  <c r="BS653" i="1"/>
  <c r="BT653" i="1"/>
  <c r="BU653" i="1"/>
  <c r="BV653" i="1"/>
  <c r="BW653" i="1"/>
  <c r="CL653" i="1"/>
  <c r="CM653" i="1"/>
  <c r="CN653" i="1"/>
  <c r="CO653" i="1"/>
  <c r="CP653" i="1"/>
  <c r="CQ653" i="1"/>
  <c r="CR653" i="1"/>
  <c r="CS653" i="1"/>
  <c r="CT653" i="1"/>
  <c r="CU653" i="1"/>
  <c r="CV653" i="1"/>
  <c r="CW653" i="1"/>
  <c r="CX653" i="1"/>
  <c r="CY653" i="1"/>
  <c r="CZ653" i="1"/>
  <c r="DA653" i="1"/>
  <c r="DB653" i="1"/>
  <c r="DC653" i="1"/>
  <c r="DD653" i="1"/>
  <c r="DE653" i="1"/>
  <c r="DF653" i="1"/>
  <c r="DG653" i="1"/>
  <c r="DH653" i="1"/>
  <c r="DI653" i="1"/>
  <c r="DJ653" i="1"/>
  <c r="DK653" i="1"/>
  <c r="DL653" i="1"/>
  <c r="DM653" i="1"/>
  <c r="DN653" i="1"/>
  <c r="DO653" i="1"/>
  <c r="DP653" i="1"/>
  <c r="DQ653" i="1"/>
  <c r="DR653" i="1"/>
  <c r="DS653" i="1"/>
  <c r="DT653" i="1"/>
  <c r="DU653" i="1"/>
  <c r="DV653" i="1"/>
  <c r="DW653" i="1"/>
  <c r="DX653" i="1"/>
  <c r="DY653" i="1"/>
  <c r="DZ653" i="1"/>
  <c r="EA653" i="1"/>
  <c r="EB653" i="1"/>
  <c r="EC653" i="1"/>
  <c r="ED653" i="1"/>
  <c r="EE653" i="1"/>
  <c r="EF653" i="1"/>
  <c r="EG653" i="1"/>
  <c r="EH653" i="1"/>
  <c r="EI653" i="1"/>
  <c r="EJ653" i="1"/>
  <c r="EK653" i="1"/>
  <c r="EL653" i="1"/>
  <c r="EM653" i="1"/>
  <c r="EN653" i="1"/>
  <c r="EO653" i="1"/>
  <c r="EP653" i="1"/>
  <c r="EQ653" i="1"/>
  <c r="ER653" i="1"/>
  <c r="ES653" i="1"/>
  <c r="ET653" i="1"/>
  <c r="EU653" i="1"/>
  <c r="EV653" i="1"/>
  <c r="EW653" i="1"/>
  <c r="EX653" i="1"/>
  <c r="EY653" i="1"/>
  <c r="EZ653" i="1"/>
  <c r="FA653" i="1"/>
  <c r="FB653" i="1"/>
  <c r="FC653" i="1"/>
  <c r="FD653" i="1"/>
  <c r="FE653" i="1"/>
  <c r="FF653" i="1"/>
  <c r="FG653" i="1"/>
  <c r="FH653" i="1"/>
  <c r="FI653" i="1"/>
  <c r="FJ653" i="1"/>
  <c r="FK653" i="1"/>
  <c r="FL653" i="1"/>
  <c r="FM653" i="1"/>
  <c r="FN653" i="1"/>
  <c r="FO653" i="1"/>
  <c r="FP653" i="1"/>
  <c r="FQ653" i="1"/>
  <c r="FR653" i="1"/>
  <c r="FS653" i="1"/>
  <c r="FT653" i="1"/>
  <c r="FU653" i="1"/>
  <c r="FV653" i="1"/>
  <c r="FW653" i="1"/>
  <c r="FX653" i="1"/>
  <c r="FY653" i="1"/>
  <c r="FZ653" i="1"/>
  <c r="GA653" i="1"/>
  <c r="GB653" i="1"/>
  <c r="GC653" i="1"/>
  <c r="GD653" i="1"/>
  <c r="GE653" i="1"/>
  <c r="GF653" i="1"/>
  <c r="GG653" i="1"/>
  <c r="GH653" i="1"/>
  <c r="GI653" i="1"/>
  <c r="GJ653" i="1"/>
  <c r="GK653" i="1"/>
  <c r="GL653" i="1"/>
  <c r="GM653" i="1"/>
  <c r="GN653" i="1"/>
  <c r="GO653" i="1"/>
  <c r="GP653" i="1"/>
  <c r="GQ653" i="1"/>
  <c r="GR653" i="1"/>
  <c r="GS653" i="1"/>
  <c r="GT653" i="1"/>
  <c r="GU653" i="1"/>
  <c r="GV653" i="1"/>
  <c r="GW653" i="1"/>
  <c r="GX653" i="1"/>
  <c r="C655" i="1"/>
  <c r="D655" i="1"/>
  <c r="I655" i="1"/>
  <c r="S655" i="1"/>
  <c r="AC655" i="1"/>
  <c r="AE655" i="1"/>
  <c r="CS655" i="1" s="1"/>
  <c r="R655" i="1" s="1"/>
  <c r="AF655" i="1"/>
  <c r="AG655" i="1"/>
  <c r="CU655" i="1" s="1"/>
  <c r="T655" i="1" s="1"/>
  <c r="AH655" i="1"/>
  <c r="AI655" i="1"/>
  <c r="CW655" i="1" s="1"/>
  <c r="V655" i="1" s="1"/>
  <c r="AJ655" i="1"/>
  <c r="CT655" i="1"/>
  <c r="CV655" i="1"/>
  <c r="U655" i="1" s="1"/>
  <c r="CX655" i="1"/>
  <c r="W655" i="1" s="1"/>
  <c r="FR655" i="1"/>
  <c r="GL655" i="1"/>
  <c r="GO655" i="1"/>
  <c r="CC669" i="1" s="1"/>
  <c r="GP655" i="1"/>
  <c r="GV655" i="1"/>
  <c r="GX655" i="1" s="1"/>
  <c r="C656" i="1"/>
  <c r="D656" i="1"/>
  <c r="I656" i="1"/>
  <c r="P656" i="1"/>
  <c r="AC656" i="1"/>
  <c r="AD656" i="1"/>
  <c r="AE656" i="1"/>
  <c r="AF656" i="1"/>
  <c r="CT656" i="1" s="1"/>
  <c r="S656" i="1" s="1"/>
  <c r="CZ656" i="1" s="1"/>
  <c r="Y656" i="1" s="1"/>
  <c r="AG656" i="1"/>
  <c r="AH656" i="1"/>
  <c r="CV656" i="1" s="1"/>
  <c r="U656" i="1" s="1"/>
  <c r="AI656" i="1"/>
  <c r="AJ656" i="1"/>
  <c r="CX656" i="1" s="1"/>
  <c r="W656" i="1" s="1"/>
  <c r="CQ656" i="1"/>
  <c r="CS656" i="1"/>
  <c r="R656" i="1" s="1"/>
  <c r="GK656" i="1" s="1"/>
  <c r="CU656" i="1"/>
  <c r="T656" i="1" s="1"/>
  <c r="CW656" i="1"/>
  <c r="V656" i="1" s="1"/>
  <c r="FR656" i="1"/>
  <c r="GL656" i="1"/>
  <c r="GO656" i="1"/>
  <c r="GP656" i="1"/>
  <c r="GV656" i="1"/>
  <c r="GX656" i="1"/>
  <c r="C657" i="1"/>
  <c r="D657" i="1"/>
  <c r="I657" i="1"/>
  <c r="U657" i="1"/>
  <c r="AC657" i="1"/>
  <c r="CQ657" i="1" s="1"/>
  <c r="P657" i="1" s="1"/>
  <c r="AE657" i="1"/>
  <c r="AF657" i="1"/>
  <c r="AG657" i="1"/>
  <c r="CU657" i="1" s="1"/>
  <c r="T657" i="1" s="1"/>
  <c r="AH657" i="1"/>
  <c r="AI657" i="1"/>
  <c r="CW657" i="1" s="1"/>
  <c r="V657" i="1" s="1"/>
  <c r="AJ657" i="1"/>
  <c r="CT657" i="1"/>
  <c r="S657" i="1" s="1"/>
  <c r="CV657" i="1"/>
  <c r="CX657" i="1"/>
  <c r="W657" i="1" s="1"/>
  <c r="FR657" i="1"/>
  <c r="GL657" i="1"/>
  <c r="GO657" i="1"/>
  <c r="GP657" i="1"/>
  <c r="GV657" i="1"/>
  <c r="GX657" i="1" s="1"/>
  <c r="I658" i="1"/>
  <c r="AC658" i="1"/>
  <c r="AD658" i="1"/>
  <c r="AE658" i="1"/>
  <c r="AF658" i="1"/>
  <c r="CT658" i="1" s="1"/>
  <c r="S658" i="1" s="1"/>
  <c r="CZ658" i="1" s="1"/>
  <c r="Y658" i="1" s="1"/>
  <c r="AG658" i="1"/>
  <c r="AH658" i="1"/>
  <c r="CV658" i="1" s="1"/>
  <c r="U658" i="1" s="1"/>
  <c r="AI658" i="1"/>
  <c r="AJ658" i="1"/>
  <c r="CX658" i="1" s="1"/>
  <c r="W658" i="1" s="1"/>
  <c r="CQ658" i="1"/>
  <c r="P658" i="1" s="1"/>
  <c r="CS658" i="1"/>
  <c r="R658" i="1" s="1"/>
  <c r="GK658" i="1" s="1"/>
  <c r="CU658" i="1"/>
  <c r="T658" i="1" s="1"/>
  <c r="CW658" i="1"/>
  <c r="V658" i="1" s="1"/>
  <c r="CY658" i="1"/>
  <c r="X658" i="1" s="1"/>
  <c r="FR658" i="1"/>
  <c r="GL658" i="1"/>
  <c r="GO658" i="1"/>
  <c r="GP658" i="1"/>
  <c r="GV658" i="1"/>
  <c r="GX658" i="1"/>
  <c r="I659" i="1"/>
  <c r="W659" i="1"/>
  <c r="AC659" i="1"/>
  <c r="AE659" i="1"/>
  <c r="CS659" i="1" s="1"/>
  <c r="R659" i="1" s="1"/>
  <c r="GK659" i="1" s="1"/>
  <c r="AF659" i="1"/>
  <c r="AG659" i="1"/>
  <c r="CU659" i="1" s="1"/>
  <c r="T659" i="1" s="1"/>
  <c r="AH659" i="1"/>
  <c r="AI659" i="1"/>
  <c r="CW659" i="1" s="1"/>
  <c r="V659" i="1" s="1"/>
  <c r="AJ659" i="1"/>
  <c r="CT659" i="1"/>
  <c r="S659" i="1" s="1"/>
  <c r="CV659" i="1"/>
  <c r="U659" i="1" s="1"/>
  <c r="CX659" i="1"/>
  <c r="FR659" i="1"/>
  <c r="GL659" i="1"/>
  <c r="GO659" i="1"/>
  <c r="GP659" i="1"/>
  <c r="GV659" i="1"/>
  <c r="GX659" i="1" s="1"/>
  <c r="CJ669" i="1" s="1"/>
  <c r="C660" i="1"/>
  <c r="D660" i="1"/>
  <c r="I660" i="1"/>
  <c r="P660" i="1"/>
  <c r="AC660" i="1"/>
  <c r="AD660" i="1"/>
  <c r="AE660" i="1"/>
  <c r="AF660" i="1"/>
  <c r="CT660" i="1" s="1"/>
  <c r="S660" i="1" s="1"/>
  <c r="AG660" i="1"/>
  <c r="AH660" i="1"/>
  <c r="CV660" i="1" s="1"/>
  <c r="U660" i="1" s="1"/>
  <c r="AI660" i="1"/>
  <c r="AJ660" i="1"/>
  <c r="CX660" i="1" s="1"/>
  <c r="W660" i="1" s="1"/>
  <c r="CQ660" i="1"/>
  <c r="CS660" i="1"/>
  <c r="R660" i="1" s="1"/>
  <c r="GK660" i="1" s="1"/>
  <c r="CU660" i="1"/>
  <c r="T660" i="1" s="1"/>
  <c r="CW660" i="1"/>
  <c r="V660" i="1" s="1"/>
  <c r="FR660" i="1"/>
  <c r="GL660" i="1"/>
  <c r="GO660" i="1"/>
  <c r="GP660" i="1"/>
  <c r="GV660" i="1"/>
  <c r="GX660" i="1"/>
  <c r="I661" i="1"/>
  <c r="S661" i="1"/>
  <c r="W661" i="1"/>
  <c r="AC661" i="1"/>
  <c r="AE661" i="1"/>
  <c r="CS661" i="1" s="1"/>
  <c r="R661" i="1" s="1"/>
  <c r="GK661" i="1" s="1"/>
  <c r="AF661" i="1"/>
  <c r="AG661" i="1"/>
  <c r="CU661" i="1" s="1"/>
  <c r="T661" i="1" s="1"/>
  <c r="AH661" i="1"/>
  <c r="AI661" i="1"/>
  <c r="CW661" i="1" s="1"/>
  <c r="V661" i="1" s="1"/>
  <c r="AJ661" i="1"/>
  <c r="CT661" i="1"/>
  <c r="CV661" i="1"/>
  <c r="U661" i="1" s="1"/>
  <c r="CX661" i="1"/>
  <c r="FR661" i="1"/>
  <c r="GL661" i="1"/>
  <c r="GO661" i="1"/>
  <c r="GP661" i="1"/>
  <c r="GV661" i="1"/>
  <c r="GX661" i="1"/>
  <c r="C662" i="1"/>
  <c r="D662" i="1"/>
  <c r="I662" i="1"/>
  <c r="P662" i="1"/>
  <c r="X662" i="1"/>
  <c r="AC662" i="1"/>
  <c r="AD662" i="1"/>
  <c r="CR662" i="1" s="1"/>
  <c r="Q662" i="1" s="1"/>
  <c r="AE662" i="1"/>
  <c r="AF662" i="1"/>
  <c r="AG662" i="1"/>
  <c r="AH662" i="1"/>
  <c r="CV662" i="1" s="1"/>
  <c r="U662" i="1" s="1"/>
  <c r="AI662" i="1"/>
  <c r="AJ662" i="1"/>
  <c r="CQ662" i="1"/>
  <c r="CS662" i="1"/>
  <c r="R662" i="1" s="1"/>
  <c r="GK662" i="1" s="1"/>
  <c r="CT662" i="1"/>
  <c r="S662" i="1" s="1"/>
  <c r="CZ662" i="1" s="1"/>
  <c r="Y662" i="1" s="1"/>
  <c r="CU662" i="1"/>
  <c r="T662" i="1" s="1"/>
  <c r="CW662" i="1"/>
  <c r="V662" i="1" s="1"/>
  <c r="CX662" i="1"/>
  <c r="W662" i="1" s="1"/>
  <c r="CY662" i="1"/>
  <c r="FR662" i="1"/>
  <c r="GL662" i="1"/>
  <c r="GO662" i="1"/>
  <c r="GP662" i="1"/>
  <c r="GV662" i="1"/>
  <c r="GX662" i="1"/>
  <c r="I663" i="1"/>
  <c r="S663" i="1"/>
  <c r="AC663" i="1"/>
  <c r="AE663" i="1"/>
  <c r="AD663" i="1" s="1"/>
  <c r="CR663" i="1" s="1"/>
  <c r="Q663" i="1" s="1"/>
  <c r="AF663" i="1"/>
  <c r="AG663" i="1"/>
  <c r="CU663" i="1" s="1"/>
  <c r="T663" i="1" s="1"/>
  <c r="AH663" i="1"/>
  <c r="AI663" i="1"/>
  <c r="AJ663" i="1"/>
  <c r="CS663" i="1"/>
  <c r="R663" i="1" s="1"/>
  <c r="CT663" i="1"/>
  <c r="CV663" i="1"/>
  <c r="U663" i="1" s="1"/>
  <c r="CW663" i="1"/>
  <c r="V663" i="1" s="1"/>
  <c r="CX663" i="1"/>
  <c r="W663" i="1" s="1"/>
  <c r="FR663" i="1"/>
  <c r="GK663" i="1"/>
  <c r="GL663" i="1"/>
  <c r="GO663" i="1"/>
  <c r="GP663" i="1"/>
  <c r="GV663" i="1"/>
  <c r="GX663" i="1"/>
  <c r="I664" i="1"/>
  <c r="R664" i="1"/>
  <c r="GK664" i="1" s="1"/>
  <c r="V664" i="1"/>
  <c r="AC664" i="1"/>
  <c r="AE664" i="1"/>
  <c r="AD664" i="1" s="1"/>
  <c r="CR664" i="1" s="1"/>
  <c r="Q664" i="1" s="1"/>
  <c r="AF664" i="1"/>
  <c r="CT664" i="1" s="1"/>
  <c r="S664" i="1" s="1"/>
  <c r="AG664" i="1"/>
  <c r="AH664" i="1"/>
  <c r="AI664" i="1"/>
  <c r="AJ664" i="1"/>
  <c r="CX664" i="1" s="1"/>
  <c r="W664" i="1" s="1"/>
  <c r="CQ664" i="1"/>
  <c r="CS664" i="1"/>
  <c r="CU664" i="1"/>
  <c r="T664" i="1" s="1"/>
  <c r="CV664" i="1"/>
  <c r="U664" i="1" s="1"/>
  <c r="CW664" i="1"/>
  <c r="FR664" i="1"/>
  <c r="BY669" i="1" s="1"/>
  <c r="GL664" i="1"/>
  <c r="GO664" i="1"/>
  <c r="GP664" i="1"/>
  <c r="GV664" i="1"/>
  <c r="GX664" i="1"/>
  <c r="C665" i="1"/>
  <c r="D665" i="1"/>
  <c r="I665" i="1"/>
  <c r="AC665" i="1"/>
  <c r="AE665" i="1"/>
  <c r="AD665" i="1" s="1"/>
  <c r="CR665" i="1" s="1"/>
  <c r="Q665" i="1" s="1"/>
  <c r="AF665" i="1"/>
  <c r="AG665" i="1"/>
  <c r="CU665" i="1" s="1"/>
  <c r="T665" i="1" s="1"/>
  <c r="AH665" i="1"/>
  <c r="AI665" i="1"/>
  <c r="AJ665" i="1"/>
  <c r="CS665" i="1"/>
  <c r="R665" i="1" s="1"/>
  <c r="GK665" i="1" s="1"/>
  <c r="CT665" i="1"/>
  <c r="S665" i="1" s="1"/>
  <c r="CV665" i="1"/>
  <c r="U665" i="1" s="1"/>
  <c r="CW665" i="1"/>
  <c r="V665" i="1" s="1"/>
  <c r="CX665" i="1"/>
  <c r="W665" i="1" s="1"/>
  <c r="FR665" i="1"/>
  <c r="GL665" i="1"/>
  <c r="GO665" i="1"/>
  <c r="GP665" i="1"/>
  <c r="GV665" i="1"/>
  <c r="GX665" i="1"/>
  <c r="I666" i="1"/>
  <c r="R666" i="1"/>
  <c r="GK666" i="1" s="1"/>
  <c r="AC666" i="1"/>
  <c r="CQ666" i="1" s="1"/>
  <c r="P666" i="1" s="1"/>
  <c r="AE666" i="1"/>
  <c r="AD666" i="1" s="1"/>
  <c r="CR666" i="1" s="1"/>
  <c r="Q666" i="1" s="1"/>
  <c r="AF666" i="1"/>
  <c r="CT666" i="1" s="1"/>
  <c r="AG666" i="1"/>
  <c r="CU666" i="1" s="1"/>
  <c r="AH666" i="1"/>
  <c r="AI666" i="1"/>
  <c r="AJ666" i="1"/>
  <c r="CX666" i="1" s="1"/>
  <c r="CS666" i="1"/>
  <c r="CV666" i="1"/>
  <c r="U666" i="1" s="1"/>
  <c r="CW666" i="1"/>
  <c r="V666" i="1" s="1"/>
  <c r="FR666" i="1"/>
  <c r="GL666" i="1"/>
  <c r="GO666" i="1"/>
  <c r="GP666" i="1"/>
  <c r="GV666" i="1"/>
  <c r="GX666" i="1"/>
  <c r="I667" i="1"/>
  <c r="AC667" i="1"/>
  <c r="AE667" i="1"/>
  <c r="AF667" i="1"/>
  <c r="AG667" i="1"/>
  <c r="AH667" i="1"/>
  <c r="AI667" i="1"/>
  <c r="CW667" i="1" s="1"/>
  <c r="V667" i="1" s="1"/>
  <c r="AJ667" i="1"/>
  <c r="CQ667" i="1"/>
  <c r="P667" i="1" s="1"/>
  <c r="CT667" i="1"/>
  <c r="S667" i="1" s="1"/>
  <c r="CU667" i="1"/>
  <c r="T667" i="1" s="1"/>
  <c r="CV667" i="1"/>
  <c r="U667" i="1" s="1"/>
  <c r="CX667" i="1"/>
  <c r="W667" i="1" s="1"/>
  <c r="FR667" i="1"/>
  <c r="GL667" i="1"/>
  <c r="GO667" i="1"/>
  <c r="GP667" i="1"/>
  <c r="GV667" i="1"/>
  <c r="GX667" i="1" s="1"/>
  <c r="B669" i="1"/>
  <c r="B653" i="1" s="1"/>
  <c r="C669" i="1"/>
  <c r="D669" i="1"/>
  <c r="D653" i="1" s="1"/>
  <c r="F669" i="1"/>
  <c r="F653" i="1" s="1"/>
  <c r="G669" i="1"/>
  <c r="BX669" i="1"/>
  <c r="CK669" i="1"/>
  <c r="BB669" i="1" s="1"/>
  <c r="F682" i="1" s="1"/>
  <c r="CL669" i="1"/>
  <c r="BC669" i="1" s="1"/>
  <c r="B698" i="1"/>
  <c r="B22" i="1" s="1"/>
  <c r="C698" i="1"/>
  <c r="C22" i="1" s="1"/>
  <c r="D698" i="1"/>
  <c r="D22" i="1" s="1"/>
  <c r="F698" i="1"/>
  <c r="F22" i="1" s="1"/>
  <c r="G698" i="1"/>
  <c r="G22" i="1" s="1"/>
  <c r="B730" i="1"/>
  <c r="B18" i="1" s="1"/>
  <c r="C730" i="1"/>
  <c r="C18" i="1" s="1"/>
  <c r="D730" i="1"/>
  <c r="D18" i="1" s="1"/>
  <c r="F730" i="1"/>
  <c r="F18" i="1" s="1"/>
  <c r="G730" i="1"/>
  <c r="G18" i="1" s="1"/>
  <c r="X1034" i="5" l="1"/>
  <c r="J955" i="5"/>
  <c r="G732" i="5"/>
  <c r="O732" i="5" s="1"/>
  <c r="G562" i="5"/>
  <c r="O562" i="5" s="1"/>
  <c r="G92" i="5"/>
  <c r="O92" i="5" s="1"/>
  <c r="J1070" i="5"/>
  <c r="P1070" i="5" s="1"/>
  <c r="J430" i="5"/>
  <c r="P430" i="5" s="1"/>
  <c r="G686" i="5"/>
  <c r="O686" i="5" s="1"/>
  <c r="W276" i="5"/>
  <c r="X832" i="5"/>
  <c r="J897" i="5"/>
  <c r="P897" i="5" s="1"/>
  <c r="J832" i="5"/>
  <c r="P832" i="5" s="1"/>
  <c r="G897" i="5"/>
  <c r="O897" i="5" s="1"/>
  <c r="W1092" i="5"/>
  <c r="W1157" i="5"/>
  <c r="X1045" i="5"/>
  <c r="G1016" i="5"/>
  <c r="O1016" i="5" s="1"/>
  <c r="G1047" i="5" s="1"/>
  <c r="G1070" i="5"/>
  <c r="O1070" i="5" s="1"/>
  <c r="G1072" i="5" s="1"/>
  <c r="J1072" i="5"/>
  <c r="W517" i="5"/>
  <c r="J483" i="5"/>
  <c r="P483" i="5" s="1"/>
  <c r="G441" i="5"/>
  <c r="O441" i="5" s="1"/>
  <c r="J821" i="5"/>
  <c r="P821" i="5" s="1"/>
  <c r="G1105" i="5"/>
  <c r="O1105" i="5" s="1"/>
  <c r="G1115" i="5" s="1"/>
  <c r="G768" i="5"/>
  <c r="O768" i="5" s="1"/>
  <c r="J686" i="5"/>
  <c r="P686" i="5" s="1"/>
  <c r="G327" i="5"/>
  <c r="O327" i="5" s="1"/>
  <c r="G223" i="5"/>
  <c r="O223" i="5" s="1"/>
  <c r="G1146" i="5"/>
  <c r="O1146" i="5" s="1"/>
  <c r="X973" i="5"/>
  <c r="X704" i="5"/>
  <c r="X821" i="5"/>
  <c r="X678" i="5"/>
  <c r="G235" i="5"/>
  <c r="O235" i="5" s="1"/>
  <c r="W305" i="5"/>
  <c r="G276" i="5"/>
  <c r="O276" i="5" s="1"/>
  <c r="G430" i="5"/>
  <c r="O430" i="5" s="1"/>
  <c r="G647" i="5"/>
  <c r="O647" i="5" s="1"/>
  <c r="G887" i="5"/>
  <c r="O887" i="5" s="1"/>
  <c r="G360" i="5"/>
  <c r="O360" i="5" s="1"/>
  <c r="G743" i="5"/>
  <c r="O743" i="5" s="1"/>
  <c r="J1157" i="5"/>
  <c r="P1157" i="5" s="1"/>
  <c r="J92" i="5"/>
  <c r="P92" i="5" s="1"/>
  <c r="J1092" i="5"/>
  <c r="P1092" i="5" s="1"/>
  <c r="X647" i="5"/>
  <c r="G483" i="5"/>
  <c r="O483" i="5" s="1"/>
  <c r="W360" i="5"/>
  <c r="G145" i="5"/>
  <c r="O145" i="5" s="1"/>
  <c r="J801" i="5"/>
  <c r="P801" i="5" s="1"/>
  <c r="J754" i="5"/>
  <c r="P754" i="5" s="1"/>
  <c r="G754" i="5"/>
  <c r="O754" i="5" s="1"/>
  <c r="J1181" i="5"/>
  <c r="P1181" i="5" s="1"/>
  <c r="J327" i="5"/>
  <c r="P327" i="5" s="1"/>
  <c r="J505" i="5"/>
  <c r="P505" i="5" s="1"/>
  <c r="J964" i="5"/>
  <c r="P964" i="5" s="1"/>
  <c r="J993" i="5" s="1"/>
  <c r="W505" i="5"/>
  <c r="G180" i="5"/>
  <c r="O180" i="5" s="1"/>
  <c r="J305" i="5"/>
  <c r="P305" i="5" s="1"/>
  <c r="J136" i="5"/>
  <c r="P136" i="5" s="1"/>
  <c r="G75" i="5"/>
  <c r="O75" i="5" s="1"/>
  <c r="G244" i="5"/>
  <c r="O244" i="5" s="1"/>
  <c r="G810" i="5"/>
  <c r="O810" i="5" s="1"/>
  <c r="G875" i="5"/>
  <c r="O875" i="5" s="1"/>
  <c r="G201" i="5"/>
  <c r="O201" i="5" s="1"/>
  <c r="J180" i="5"/>
  <c r="P180" i="5" s="1"/>
  <c r="G257" i="5"/>
  <c r="O257" i="5" s="1"/>
  <c r="X887" i="5"/>
  <c r="G790" i="5"/>
  <c r="O790" i="5" s="1"/>
  <c r="X855" i="5"/>
  <c r="X801" i="5"/>
  <c r="G418" i="5"/>
  <c r="O418" i="5" s="1"/>
  <c r="G779" i="5"/>
  <c r="O779" i="5" s="1"/>
  <c r="X658" i="5"/>
  <c r="X754" i="5"/>
  <c r="G855" i="5"/>
  <c r="O855" i="5" s="1"/>
  <c r="G407" i="5"/>
  <c r="O407" i="5" s="1"/>
  <c r="J75" i="5"/>
  <c r="P75" i="5" s="1"/>
  <c r="J923" i="5"/>
  <c r="P923" i="5" s="1"/>
  <c r="J562" i="5"/>
  <c r="P562" i="5" s="1"/>
  <c r="X897" i="5"/>
  <c r="X768" i="5"/>
  <c r="G714" i="5"/>
  <c r="O714" i="5" s="1"/>
  <c r="W407" i="5"/>
  <c r="J1034" i="5"/>
  <c r="P1034" i="5" s="1"/>
  <c r="W539" i="5"/>
  <c r="W180" i="5"/>
  <c r="X915" i="5"/>
  <c r="J732" i="5"/>
  <c r="P732" i="5" s="1"/>
  <c r="W136" i="5"/>
  <c r="W327" i="5"/>
  <c r="J315" i="5"/>
  <c r="P315" i="5" s="1"/>
  <c r="J1045" i="5"/>
  <c r="P1045" i="5" s="1"/>
  <c r="J1105" i="5"/>
  <c r="P1105" i="5" s="1"/>
  <c r="W244" i="5"/>
  <c r="W145" i="5"/>
  <c r="J1146" i="5"/>
  <c r="P1146" i="5" s="1"/>
  <c r="G667" i="5"/>
  <c r="O667" i="5" s="1"/>
  <c r="X723" i="5"/>
  <c r="X686" i="5"/>
  <c r="G20" i="5"/>
  <c r="G993" i="5"/>
  <c r="G22" i="5"/>
  <c r="G154" i="5"/>
  <c r="G678" i="5"/>
  <c r="O678" i="5" s="1"/>
  <c r="G624" i="5"/>
  <c r="J624" i="5"/>
  <c r="W168" i="5"/>
  <c r="G1183" i="5"/>
  <c r="G955" i="5"/>
  <c r="W528" i="5"/>
  <c r="U580" i="1"/>
  <c r="AH572" i="1"/>
  <c r="CZ534" i="1"/>
  <c r="Y534" i="1" s="1"/>
  <c r="CY534" i="1"/>
  <c r="X534" i="1" s="1"/>
  <c r="CJ572" i="1"/>
  <c r="BA580" i="1"/>
  <c r="T537" i="1"/>
  <c r="CZ495" i="1"/>
  <c r="Y495" i="1" s="1"/>
  <c r="CY495" i="1"/>
  <c r="X495" i="1" s="1"/>
  <c r="GO494" i="1"/>
  <c r="AH498" i="1"/>
  <c r="AG498" i="1"/>
  <c r="CZ452" i="1"/>
  <c r="Y452" i="1" s="1"/>
  <c r="AF457" i="1"/>
  <c r="CY452" i="1"/>
  <c r="X452" i="1" s="1"/>
  <c r="CZ576" i="1"/>
  <c r="Y576" i="1" s="1"/>
  <c r="CY576" i="1"/>
  <c r="X576" i="1" s="1"/>
  <c r="CZ491" i="1"/>
  <c r="Y491" i="1" s="1"/>
  <c r="CY491" i="1"/>
  <c r="X491" i="1" s="1"/>
  <c r="CZ665" i="1"/>
  <c r="Y665" i="1" s="1"/>
  <c r="CY665" i="1"/>
  <c r="X665" i="1" s="1"/>
  <c r="CZ659" i="1"/>
  <c r="Y659" i="1" s="1"/>
  <c r="CY659" i="1"/>
  <c r="X659" i="1" s="1"/>
  <c r="CP658" i="1"/>
  <c r="O658" i="1" s="1"/>
  <c r="CZ493" i="1"/>
  <c r="Y493" i="1" s="1"/>
  <c r="CY493" i="1"/>
  <c r="X493" i="1" s="1"/>
  <c r="CJ488" i="1"/>
  <c r="BA498" i="1"/>
  <c r="CZ532" i="1"/>
  <c r="Y532" i="1" s="1"/>
  <c r="CY532" i="1"/>
  <c r="X532" i="1" s="1"/>
  <c r="CJ653" i="1"/>
  <c r="BA669" i="1"/>
  <c r="AH669" i="1"/>
  <c r="CZ574" i="1"/>
  <c r="Y574" i="1" s="1"/>
  <c r="CY574" i="1"/>
  <c r="X574" i="1" s="1"/>
  <c r="P537" i="1"/>
  <c r="CZ663" i="1"/>
  <c r="Y663" i="1" s="1"/>
  <c r="CY663" i="1"/>
  <c r="X663" i="1" s="1"/>
  <c r="CZ655" i="1"/>
  <c r="Y655" i="1" s="1"/>
  <c r="AF669" i="1"/>
  <c r="CY655" i="1"/>
  <c r="X655" i="1" s="1"/>
  <c r="GM614" i="1"/>
  <c r="AI580" i="1"/>
  <c r="AQ498" i="1"/>
  <c r="CI498" i="1"/>
  <c r="CY454" i="1"/>
  <c r="X454" i="1" s="1"/>
  <c r="CZ454" i="1"/>
  <c r="Y454" i="1" s="1"/>
  <c r="AJ457" i="1"/>
  <c r="BC653" i="1"/>
  <c r="F685" i="1"/>
  <c r="AB665" i="1"/>
  <c r="CQ665" i="1"/>
  <c r="P665" i="1" s="1"/>
  <c r="CP665" i="1" s="1"/>
  <c r="O665" i="1" s="1"/>
  <c r="CZ661" i="1"/>
  <c r="Y661" i="1" s="1"/>
  <c r="CY661" i="1"/>
  <c r="X661" i="1" s="1"/>
  <c r="AB660" i="1"/>
  <c r="CR660" i="1"/>
  <c r="Q660" i="1" s="1"/>
  <c r="CP660" i="1"/>
  <c r="O660" i="1" s="1"/>
  <c r="CQ659" i="1"/>
  <c r="P659" i="1" s="1"/>
  <c r="AD657" i="1"/>
  <c r="CR657" i="1" s="1"/>
  <c r="Q657" i="1" s="1"/>
  <c r="CS657" i="1"/>
  <c r="R657" i="1" s="1"/>
  <c r="GK657" i="1" s="1"/>
  <c r="BZ669" i="1"/>
  <c r="AI669" i="1"/>
  <c r="BB653" i="1"/>
  <c r="AB620" i="1"/>
  <c r="CR620" i="1"/>
  <c r="Q620" i="1" s="1"/>
  <c r="CP620" i="1"/>
  <c r="O620" i="1" s="1"/>
  <c r="GX619" i="1"/>
  <c r="CQ619" i="1"/>
  <c r="U618" i="1"/>
  <c r="AB618" i="1"/>
  <c r="CR618" i="1"/>
  <c r="CP616" i="1"/>
  <c r="O616" i="1" s="1"/>
  <c r="CX718" i="3"/>
  <c r="CX717" i="3"/>
  <c r="CX719" i="3"/>
  <c r="CX723" i="3"/>
  <c r="CX716" i="3"/>
  <c r="CX722" i="3"/>
  <c r="CX726" i="3"/>
  <c r="CX715" i="3"/>
  <c r="CX721" i="3"/>
  <c r="CX725" i="3"/>
  <c r="CX724" i="3"/>
  <c r="CX720" i="3"/>
  <c r="I618" i="1"/>
  <c r="R618" i="1" s="1"/>
  <c r="I619" i="1"/>
  <c r="W619" i="1" s="1"/>
  <c r="I617" i="1"/>
  <c r="U617" i="1" s="1"/>
  <c r="CY615" i="1"/>
  <c r="X615" i="1" s="1"/>
  <c r="CY614" i="1"/>
  <c r="X614" i="1" s="1"/>
  <c r="CZ614" i="1"/>
  <c r="Y614" i="1" s="1"/>
  <c r="AB614" i="1"/>
  <c r="CZ613" i="1"/>
  <c r="Y613" i="1" s="1"/>
  <c r="BC572" i="1"/>
  <c r="F596" i="1"/>
  <c r="CP577" i="1"/>
  <c r="O577" i="1" s="1"/>
  <c r="CY575" i="1"/>
  <c r="X575" i="1" s="1"/>
  <c r="AB575" i="1"/>
  <c r="AO529" i="1"/>
  <c r="F545" i="1"/>
  <c r="W537" i="1"/>
  <c r="CY535" i="1"/>
  <c r="X535" i="1" s="1"/>
  <c r="AB535" i="1"/>
  <c r="CZ533" i="1"/>
  <c r="Y533" i="1" s="1"/>
  <c r="CP533" i="1"/>
  <c r="O533" i="1" s="1"/>
  <c r="AB532" i="1"/>
  <c r="CQ532" i="1"/>
  <c r="P532" i="1" s="1"/>
  <c r="BZ541" i="1"/>
  <c r="GK531" i="1"/>
  <c r="BC529" i="1"/>
  <c r="CB488" i="1"/>
  <c r="AS498" i="1"/>
  <c r="CY492" i="1"/>
  <c r="X492" i="1" s="1"/>
  <c r="AB492" i="1"/>
  <c r="AF498" i="1"/>
  <c r="CZ490" i="1"/>
  <c r="Y490" i="1" s="1"/>
  <c r="CP490" i="1"/>
  <c r="O490" i="1" s="1"/>
  <c r="CY455" i="1"/>
  <c r="X455" i="1" s="1"/>
  <c r="AB455" i="1"/>
  <c r="AD453" i="1"/>
  <c r="CS453" i="1"/>
  <c r="R453" i="1" s="1"/>
  <c r="GK453" i="1" s="1"/>
  <c r="CR388" i="1"/>
  <c r="Q388" i="1" s="1"/>
  <c r="AB388" i="1"/>
  <c r="CY387" i="1"/>
  <c r="X387" i="1" s="1"/>
  <c r="CZ387" i="1"/>
  <c r="Y387" i="1" s="1"/>
  <c r="GO385" i="1"/>
  <c r="GM385" i="1"/>
  <c r="AT669" i="1"/>
  <c r="CC653" i="1"/>
  <c r="R619" i="1"/>
  <c r="GK619" i="1" s="1"/>
  <c r="T617" i="1"/>
  <c r="BY611" i="1"/>
  <c r="AP622" i="1"/>
  <c r="AD536" i="1"/>
  <c r="CS536" i="1"/>
  <c r="R536" i="1" s="1"/>
  <c r="AB491" i="1"/>
  <c r="CQ491" i="1"/>
  <c r="P491" i="1" s="1"/>
  <c r="CP491" i="1" s="1"/>
  <c r="O491" i="1" s="1"/>
  <c r="GK490" i="1"/>
  <c r="CP455" i="1"/>
  <c r="O455" i="1" s="1"/>
  <c r="CY453" i="1"/>
  <c r="X453" i="1" s="1"/>
  <c r="BZ350" i="1"/>
  <c r="AQ390" i="1"/>
  <c r="BX653" i="1"/>
  <c r="AO669" i="1"/>
  <c r="CG669" i="1"/>
  <c r="T666" i="1"/>
  <c r="AB666" i="1"/>
  <c r="AP669" i="1"/>
  <c r="BY653" i="1"/>
  <c r="CI669" i="1"/>
  <c r="AB663" i="1"/>
  <c r="CQ663" i="1"/>
  <c r="P663" i="1" s="1"/>
  <c r="CP663" i="1" s="1"/>
  <c r="O663" i="1" s="1"/>
  <c r="CP662" i="1"/>
  <c r="O662" i="1" s="1"/>
  <c r="CY660" i="1"/>
  <c r="X660" i="1" s="1"/>
  <c r="CP657" i="1"/>
  <c r="O657" i="1" s="1"/>
  <c r="AB656" i="1"/>
  <c r="CR656" i="1"/>
  <c r="Q656" i="1" s="1"/>
  <c r="CP656" i="1"/>
  <c r="O656" i="1" s="1"/>
  <c r="GK655" i="1"/>
  <c r="CQ655" i="1"/>
  <c r="P655" i="1" s="1"/>
  <c r="AU622" i="1"/>
  <c r="CY620" i="1"/>
  <c r="X620" i="1" s="1"/>
  <c r="T619" i="1"/>
  <c r="GX617" i="1"/>
  <c r="V617" i="1"/>
  <c r="AD617" i="1"/>
  <c r="CR617" i="1" s="1"/>
  <c r="Q617" i="1" s="1"/>
  <c r="CS617" i="1"/>
  <c r="R617" i="1" s="1"/>
  <c r="GK617" i="1" s="1"/>
  <c r="W616" i="1"/>
  <c r="S616" i="1"/>
  <c r="AB616" i="1"/>
  <c r="GN614" i="1"/>
  <c r="BZ622" i="1"/>
  <c r="BC611" i="1"/>
  <c r="BX572" i="1"/>
  <c r="AO580" i="1"/>
  <c r="CG580" i="1"/>
  <c r="T577" i="1"/>
  <c r="AB577" i="1"/>
  <c r="BB572" i="1"/>
  <c r="CY533" i="1"/>
  <c r="X533" i="1" s="1"/>
  <c r="AB533" i="1"/>
  <c r="CZ531" i="1"/>
  <c r="Y531" i="1" s="1"/>
  <c r="CP531" i="1"/>
  <c r="O531" i="1" s="1"/>
  <c r="AB495" i="1"/>
  <c r="CQ495" i="1"/>
  <c r="P495" i="1" s="1"/>
  <c r="CP495" i="1" s="1"/>
  <c r="O495" i="1" s="1"/>
  <c r="CD498" i="1"/>
  <c r="CY490" i="1"/>
  <c r="X490" i="1" s="1"/>
  <c r="AB490" i="1"/>
  <c r="F461" i="1"/>
  <c r="AO450" i="1"/>
  <c r="AS457" i="1"/>
  <c r="CB450" i="1"/>
  <c r="CP454" i="1"/>
  <c r="O454" i="1" s="1"/>
  <c r="CX619" i="3"/>
  <c r="CX620" i="3"/>
  <c r="BY457" i="1"/>
  <c r="AE457" i="1"/>
  <c r="AH457" i="1"/>
  <c r="CP387" i="1"/>
  <c r="O387" i="1" s="1"/>
  <c r="CZ384" i="1"/>
  <c r="Y384" i="1" s="1"/>
  <c r="CY664" i="1"/>
  <c r="X664" i="1" s="1"/>
  <c r="CZ664" i="1"/>
  <c r="Y664" i="1" s="1"/>
  <c r="AD615" i="1"/>
  <c r="CR615" i="1" s="1"/>
  <c r="Q615" i="1" s="1"/>
  <c r="CP615" i="1" s="1"/>
  <c r="O615" i="1" s="1"/>
  <c r="CS615" i="1"/>
  <c r="R615" i="1" s="1"/>
  <c r="GK615" i="1" s="1"/>
  <c r="CP575" i="1"/>
  <c r="O575" i="1" s="1"/>
  <c r="CP535" i="1"/>
  <c r="O535" i="1" s="1"/>
  <c r="AB534" i="1"/>
  <c r="CQ534" i="1"/>
  <c r="P534" i="1" s="1"/>
  <c r="CP534" i="1" s="1"/>
  <c r="O534" i="1" s="1"/>
  <c r="CP492" i="1"/>
  <c r="O492" i="1" s="1"/>
  <c r="AI498" i="1"/>
  <c r="AI457" i="1"/>
  <c r="CP367" i="1"/>
  <c r="O367" i="1" s="1"/>
  <c r="AD667" i="1"/>
  <c r="CR667" i="1" s="1"/>
  <c r="Q667" i="1" s="1"/>
  <c r="CP667" i="1" s="1"/>
  <c r="O667" i="1" s="1"/>
  <c r="CS667" i="1"/>
  <c r="R667" i="1" s="1"/>
  <c r="W666" i="1"/>
  <c r="AJ669" i="1" s="1"/>
  <c r="S666" i="1"/>
  <c r="P664" i="1"/>
  <c r="CP664" i="1" s="1"/>
  <c r="O664" i="1" s="1"/>
  <c r="AB664" i="1"/>
  <c r="AB662" i="1"/>
  <c r="CQ661" i="1"/>
  <c r="P661" i="1" s="1"/>
  <c r="CZ660" i="1"/>
  <c r="Y660" i="1" s="1"/>
  <c r="AB658" i="1"/>
  <c r="CR658" i="1"/>
  <c r="Q658" i="1" s="1"/>
  <c r="CD669" i="1"/>
  <c r="CY656" i="1"/>
  <c r="X656" i="1" s="1"/>
  <c r="AG669" i="1"/>
  <c r="CZ620" i="1"/>
  <c r="Y620" i="1" s="1"/>
  <c r="CC611" i="1"/>
  <c r="AT622" i="1"/>
  <c r="V618" i="1"/>
  <c r="W618" i="1"/>
  <c r="S618" i="1"/>
  <c r="S617" i="1"/>
  <c r="P617" i="1"/>
  <c r="GX616" i="1"/>
  <c r="T616" i="1"/>
  <c r="GK613" i="1"/>
  <c r="AB613" i="1"/>
  <c r="CR613" i="1"/>
  <c r="Q613" i="1" s="1"/>
  <c r="CP613" i="1" s="1"/>
  <c r="O613" i="1" s="1"/>
  <c r="AD578" i="1"/>
  <c r="CR578" i="1" s="1"/>
  <c r="Q578" i="1" s="1"/>
  <c r="AD580" i="1" s="1"/>
  <c r="CS578" i="1"/>
  <c r="R578" i="1" s="1"/>
  <c r="CY578" i="1" s="1"/>
  <c r="X578" i="1" s="1"/>
  <c r="AP580" i="1"/>
  <c r="BY572" i="1"/>
  <c r="CI580" i="1"/>
  <c r="W577" i="1"/>
  <c r="AJ580" i="1" s="1"/>
  <c r="S577" i="1"/>
  <c r="AF580" i="1" s="1"/>
  <c r="AB576" i="1"/>
  <c r="CQ576" i="1"/>
  <c r="P576" i="1" s="1"/>
  <c r="CP576" i="1" s="1"/>
  <c r="O576" i="1" s="1"/>
  <c r="F590" i="1"/>
  <c r="AQ572" i="1"/>
  <c r="CC580" i="1"/>
  <c r="AG580" i="1"/>
  <c r="AB574" i="1"/>
  <c r="CQ574" i="1"/>
  <c r="P574" i="1" s="1"/>
  <c r="AB539" i="1"/>
  <c r="AD538" i="1"/>
  <c r="CS538" i="1"/>
  <c r="R538" i="1" s="1"/>
  <c r="Q537" i="1"/>
  <c r="CD541" i="1"/>
  <c r="CY531" i="1"/>
  <c r="X531" i="1" s="1"/>
  <c r="AB531" i="1"/>
  <c r="BX488" i="1"/>
  <c r="AO498" i="1"/>
  <c r="CG498" i="1"/>
  <c r="AD496" i="1"/>
  <c r="CS496" i="1"/>
  <c r="R496" i="1" s="1"/>
  <c r="CZ494" i="1"/>
  <c r="Y494" i="1" s="1"/>
  <c r="GM494" i="1" s="1"/>
  <c r="AB493" i="1"/>
  <c r="CQ493" i="1"/>
  <c r="P493" i="1" s="1"/>
  <c r="CP493" i="1" s="1"/>
  <c r="O493" i="1" s="1"/>
  <c r="AJ498" i="1"/>
  <c r="BZ488" i="1"/>
  <c r="AP488" i="1"/>
  <c r="BC450" i="1"/>
  <c r="F473" i="1"/>
  <c r="GX454" i="1"/>
  <c r="CJ457" i="1" s="1"/>
  <c r="T454" i="1"/>
  <c r="AG457" i="1" s="1"/>
  <c r="AB454" i="1"/>
  <c r="CZ453" i="1"/>
  <c r="Y453" i="1" s="1"/>
  <c r="AB452" i="1"/>
  <c r="CQ452" i="1"/>
  <c r="P452" i="1" s="1"/>
  <c r="CC450" i="1"/>
  <c r="CD350" i="1"/>
  <c r="AU390" i="1"/>
  <c r="BY350" i="1"/>
  <c r="AP390" i="1"/>
  <c r="CI390" i="1"/>
  <c r="CS388" i="1"/>
  <c r="R388" i="1" s="1"/>
  <c r="GK388" i="1" s="1"/>
  <c r="T388" i="1"/>
  <c r="CQ375" i="1"/>
  <c r="P375" i="1" s="1"/>
  <c r="CP375" i="1" s="1"/>
  <c r="O375" i="1" s="1"/>
  <c r="AB375" i="1"/>
  <c r="CR372" i="1"/>
  <c r="Q372" i="1" s="1"/>
  <c r="CP372" i="1" s="1"/>
  <c r="O372" i="1" s="1"/>
  <c r="AB372" i="1"/>
  <c r="CS366" i="1"/>
  <c r="R366" i="1" s="1"/>
  <c r="GK366" i="1" s="1"/>
  <c r="AD366" i="1"/>
  <c r="CR366" i="1" s="1"/>
  <c r="Q366" i="1" s="1"/>
  <c r="CR363" i="1"/>
  <c r="Q363" i="1" s="1"/>
  <c r="CP363" i="1" s="1"/>
  <c r="O363" i="1" s="1"/>
  <c r="AB363" i="1"/>
  <c r="T359" i="1"/>
  <c r="GX359" i="1"/>
  <c r="AD314" i="1"/>
  <c r="CR314" i="1" s="1"/>
  <c r="Q314" i="1" s="1"/>
  <c r="CS314" i="1"/>
  <c r="R314" i="1" s="1"/>
  <c r="GK314" i="1" s="1"/>
  <c r="AD254" i="1"/>
  <c r="CR254" i="1" s="1"/>
  <c r="Q254" i="1" s="1"/>
  <c r="CS254" i="1"/>
  <c r="R254" i="1" s="1"/>
  <c r="GK254" i="1" s="1"/>
  <c r="AD661" i="1"/>
  <c r="CR661" i="1" s="1"/>
  <c r="Q661" i="1" s="1"/>
  <c r="AD659" i="1"/>
  <c r="CR659" i="1" s="1"/>
  <c r="Q659" i="1" s="1"/>
  <c r="AB657" i="1"/>
  <c r="CX743" i="3"/>
  <c r="CX747" i="3"/>
  <c r="CX751" i="3"/>
  <c r="CX742" i="3"/>
  <c r="CX746" i="3"/>
  <c r="CX750" i="3"/>
  <c r="CX741" i="3"/>
  <c r="CX745" i="3"/>
  <c r="CX749" i="3"/>
  <c r="CX740" i="3"/>
  <c r="CX752" i="3"/>
  <c r="CX744" i="3"/>
  <c r="CX748" i="3"/>
  <c r="AD655" i="1"/>
  <c r="CR655" i="1" s="1"/>
  <c r="Q655" i="1" s="1"/>
  <c r="AD669" i="1" s="1"/>
  <c r="AD619" i="1"/>
  <c r="CR619" i="1" s="1"/>
  <c r="Q619" i="1" s="1"/>
  <c r="AB615" i="1"/>
  <c r="CX678" i="3"/>
  <c r="CX682" i="3"/>
  <c r="CX686" i="3"/>
  <c r="CX681" i="3"/>
  <c r="CX683" i="3"/>
  <c r="CX680" i="3"/>
  <c r="CX688" i="3"/>
  <c r="CX677" i="3"/>
  <c r="CX679" i="3"/>
  <c r="CX685" i="3"/>
  <c r="CX687" i="3"/>
  <c r="CX684" i="3"/>
  <c r="CX676" i="3"/>
  <c r="CX666" i="3"/>
  <c r="CX670" i="3"/>
  <c r="CX674" i="3"/>
  <c r="CX665" i="3"/>
  <c r="CX667" i="3"/>
  <c r="CX673" i="3"/>
  <c r="CX675" i="3"/>
  <c r="CX672" i="3"/>
  <c r="CX669" i="3"/>
  <c r="CX671" i="3"/>
  <c r="CX668" i="3"/>
  <c r="BX529" i="1"/>
  <c r="W388" i="1"/>
  <c r="S388" i="1"/>
  <c r="CQ386" i="1"/>
  <c r="CX597" i="3"/>
  <c r="CX601" i="3"/>
  <c r="CX605" i="3"/>
  <c r="CX600" i="3"/>
  <c r="CX598" i="3"/>
  <c r="CX602" i="3"/>
  <c r="CX606" i="3"/>
  <c r="CX604" i="3"/>
  <c r="CX603" i="3"/>
  <c r="CX607" i="3"/>
  <c r="CX599" i="3"/>
  <c r="I386" i="1"/>
  <c r="GX383" i="1"/>
  <c r="T383" i="1"/>
  <c r="CQ382" i="1"/>
  <c r="P382" i="1" s="1"/>
  <c r="CP382" i="1" s="1"/>
  <c r="O382" i="1" s="1"/>
  <c r="AB382" i="1"/>
  <c r="CZ381" i="1"/>
  <c r="Y381" i="1" s="1"/>
  <c r="CS380" i="1"/>
  <c r="R380" i="1" s="1"/>
  <c r="GK380" i="1" s="1"/>
  <c r="AD380" i="1"/>
  <c r="CR380" i="1" s="1"/>
  <c r="Q380" i="1" s="1"/>
  <c r="CQ379" i="1"/>
  <c r="P379" i="1" s="1"/>
  <c r="CP379" i="1" s="1"/>
  <c r="O379" i="1" s="1"/>
  <c r="AB379" i="1"/>
  <c r="CZ378" i="1"/>
  <c r="Y378" i="1" s="1"/>
  <c r="CS377" i="1"/>
  <c r="R377" i="1" s="1"/>
  <c r="GK377" i="1" s="1"/>
  <c r="AD377" i="1"/>
  <c r="CR377" i="1" s="1"/>
  <c r="Q377" i="1" s="1"/>
  <c r="CY376" i="1"/>
  <c r="X376" i="1" s="1"/>
  <c r="CZ376" i="1"/>
  <c r="Y376" i="1" s="1"/>
  <c r="AB376" i="1"/>
  <c r="AB374" i="1"/>
  <c r="CR369" i="1"/>
  <c r="Q369" i="1" s="1"/>
  <c r="CP369" i="1" s="1"/>
  <c r="O369" i="1" s="1"/>
  <c r="AB369" i="1"/>
  <c r="CY367" i="1"/>
  <c r="X367" i="1" s="1"/>
  <c r="CZ365" i="1"/>
  <c r="Y365" i="1" s="1"/>
  <c r="CS364" i="1"/>
  <c r="R364" i="1" s="1"/>
  <c r="GK364" i="1" s="1"/>
  <c r="AD364" i="1"/>
  <c r="CR364" i="1" s="1"/>
  <c r="Q364" i="1" s="1"/>
  <c r="CR361" i="1"/>
  <c r="Q361" i="1" s="1"/>
  <c r="CP361" i="1" s="1"/>
  <c r="O361" i="1" s="1"/>
  <c r="AB361" i="1"/>
  <c r="CS360" i="1"/>
  <c r="R360" i="1" s="1"/>
  <c r="AD360" i="1"/>
  <c r="CR360" i="1" s="1"/>
  <c r="Q360" i="1" s="1"/>
  <c r="CY360" i="1"/>
  <c r="X360" i="1" s="1"/>
  <c r="S359" i="1"/>
  <c r="CP358" i="1"/>
  <c r="O358" i="1" s="1"/>
  <c r="P355" i="1"/>
  <c r="GX355" i="1"/>
  <c r="CY354" i="1"/>
  <c r="X354" i="1" s="1"/>
  <c r="CR353" i="1"/>
  <c r="Q353" i="1" s="1"/>
  <c r="AB353" i="1"/>
  <c r="P317" i="1"/>
  <c r="CP317" i="1" s="1"/>
  <c r="O317" i="1" s="1"/>
  <c r="GX317" i="1"/>
  <c r="CR315" i="1"/>
  <c r="Q315" i="1" s="1"/>
  <c r="AB315" i="1"/>
  <c r="AD312" i="1"/>
  <c r="CR312" i="1" s="1"/>
  <c r="Q312" i="1" s="1"/>
  <c r="CS312" i="1"/>
  <c r="R312" i="1" s="1"/>
  <c r="GK312" i="1" s="1"/>
  <c r="GO310" i="1"/>
  <c r="CR304" i="1"/>
  <c r="Q304" i="1" s="1"/>
  <c r="AB304" i="1"/>
  <c r="CP301" i="1"/>
  <c r="O301" i="1" s="1"/>
  <c r="CZ299" i="1"/>
  <c r="Y299" i="1" s="1"/>
  <c r="CY299" i="1"/>
  <c r="X299" i="1" s="1"/>
  <c r="GK295" i="1"/>
  <c r="CY295" i="1"/>
  <c r="X295" i="1" s="1"/>
  <c r="AB295" i="1"/>
  <c r="CR295" i="1"/>
  <c r="Q295" i="1" s="1"/>
  <c r="CD319" i="1"/>
  <c r="CG251" i="1"/>
  <c r="AX259" i="1"/>
  <c r="AD384" i="1"/>
  <c r="CR384" i="1" s="1"/>
  <c r="Q384" i="1" s="1"/>
  <c r="CS384" i="1"/>
  <c r="R384" i="1" s="1"/>
  <c r="GK384" i="1" s="1"/>
  <c r="CY380" i="1"/>
  <c r="X380" i="1" s="1"/>
  <c r="AB380" i="1"/>
  <c r="CZ370" i="1"/>
  <c r="Y370" i="1" s="1"/>
  <c r="P357" i="1"/>
  <c r="GX357" i="1"/>
  <c r="CR355" i="1"/>
  <c r="Q355" i="1" s="1"/>
  <c r="AB355" i="1"/>
  <c r="CX771" i="3"/>
  <c r="CX775" i="3"/>
  <c r="CX779" i="3"/>
  <c r="CX770" i="3"/>
  <c r="CX774" i="3"/>
  <c r="CX778" i="3"/>
  <c r="CX773" i="3"/>
  <c r="CX777" i="3"/>
  <c r="CX772" i="3"/>
  <c r="CX776" i="3"/>
  <c r="CX731" i="3"/>
  <c r="CX735" i="3"/>
  <c r="CX734" i="3"/>
  <c r="CX733" i="3"/>
  <c r="CX736" i="3"/>
  <c r="CX732" i="3"/>
  <c r="CK653" i="1"/>
  <c r="BB622" i="1"/>
  <c r="CX690" i="3"/>
  <c r="CX689" i="3"/>
  <c r="CX691" i="3"/>
  <c r="CK572" i="1"/>
  <c r="BB541" i="1"/>
  <c r="CK488" i="1"/>
  <c r="BY488" i="1"/>
  <c r="BX450" i="1"/>
  <c r="F435" i="1"/>
  <c r="AB387" i="1"/>
  <c r="AB385" i="1"/>
  <c r="CQ384" i="1"/>
  <c r="P384" i="1" s="1"/>
  <c r="AB384" i="1"/>
  <c r="CR381" i="1"/>
  <c r="Q381" i="1" s="1"/>
  <c r="AB381" i="1"/>
  <c r="CP381" i="1"/>
  <c r="O381" i="1" s="1"/>
  <c r="CZ380" i="1"/>
  <c r="Y380" i="1" s="1"/>
  <c r="CR378" i="1"/>
  <c r="Q378" i="1" s="1"/>
  <c r="CP378" i="1" s="1"/>
  <c r="O378" i="1" s="1"/>
  <c r="AB378" i="1"/>
  <c r="CP373" i="1"/>
  <c r="O373" i="1" s="1"/>
  <c r="CY372" i="1"/>
  <c r="X372" i="1" s="1"/>
  <c r="CS368" i="1"/>
  <c r="R368" i="1" s="1"/>
  <c r="AD368" i="1"/>
  <c r="CR368" i="1" s="1"/>
  <c r="Q368" i="1" s="1"/>
  <c r="CY366" i="1"/>
  <c r="X366" i="1" s="1"/>
  <c r="AB366" i="1"/>
  <c r="CR365" i="1"/>
  <c r="Q365" i="1" s="1"/>
  <c r="AB365" i="1"/>
  <c r="CP365" i="1"/>
  <c r="O365" i="1" s="1"/>
  <c r="CZ364" i="1"/>
  <c r="Y364" i="1" s="1"/>
  <c r="CY363" i="1"/>
  <c r="X363" i="1" s="1"/>
  <c r="CP360" i="1"/>
  <c r="O360" i="1" s="1"/>
  <c r="V359" i="1"/>
  <c r="P359" i="1"/>
  <c r="CP359" i="1" s="1"/>
  <c r="O359" i="1" s="1"/>
  <c r="R357" i="1"/>
  <c r="GK357" i="1" s="1"/>
  <c r="U357" i="1"/>
  <c r="CR357" i="1"/>
  <c r="Q357" i="1" s="1"/>
  <c r="AB357" i="1"/>
  <c r="CS354" i="1"/>
  <c r="R354" i="1" s="1"/>
  <c r="GK354" i="1" s="1"/>
  <c r="AD354" i="1"/>
  <c r="CR354" i="1" s="1"/>
  <c r="Q354" i="1" s="1"/>
  <c r="AD316" i="1"/>
  <c r="CR316" i="1" s="1"/>
  <c r="Q316" i="1" s="1"/>
  <c r="CS316" i="1"/>
  <c r="R316" i="1" s="1"/>
  <c r="GK316" i="1" s="1"/>
  <c r="P313" i="1"/>
  <c r="GX313" i="1"/>
  <c r="CY312" i="1"/>
  <c r="X312" i="1" s="1"/>
  <c r="CZ312" i="1"/>
  <c r="Y312" i="1" s="1"/>
  <c r="CP295" i="1"/>
  <c r="O295" i="1" s="1"/>
  <c r="AG319" i="1"/>
  <c r="BB26" i="1"/>
  <c r="F229" i="1"/>
  <c r="GM185" i="1"/>
  <c r="GN185" i="1"/>
  <c r="CY183" i="1"/>
  <c r="X183" i="1" s="1"/>
  <c r="CY377" i="1"/>
  <c r="X377" i="1" s="1"/>
  <c r="AB377" i="1"/>
  <c r="CS352" i="1"/>
  <c r="R352" i="1" s="1"/>
  <c r="AD352" i="1"/>
  <c r="CR352" i="1" s="1"/>
  <c r="Q352" i="1" s="1"/>
  <c r="CR317" i="1"/>
  <c r="Q317" i="1" s="1"/>
  <c r="AB317" i="1"/>
  <c r="AI251" i="1"/>
  <c r="V259" i="1"/>
  <c r="CX763" i="3"/>
  <c r="CX767" i="3"/>
  <c r="CX762" i="3"/>
  <c r="CX766" i="3"/>
  <c r="CX761" i="3"/>
  <c r="CX765" i="3"/>
  <c r="CX769" i="3"/>
  <c r="CX768" i="3"/>
  <c r="CX760" i="3"/>
  <c r="CX764" i="3"/>
  <c r="CX755" i="3"/>
  <c r="CX759" i="3"/>
  <c r="CX754" i="3"/>
  <c r="CX758" i="3"/>
  <c r="CX753" i="3"/>
  <c r="CX757" i="3"/>
  <c r="CX756" i="3"/>
  <c r="CX739" i="3"/>
  <c r="CX738" i="3"/>
  <c r="CX737" i="3"/>
  <c r="CX727" i="3"/>
  <c r="CX730" i="3"/>
  <c r="CX729" i="3"/>
  <c r="CX728" i="3"/>
  <c r="CX706" i="3"/>
  <c r="CX705" i="3"/>
  <c r="CX704" i="3"/>
  <c r="CX694" i="3"/>
  <c r="CX698" i="3"/>
  <c r="CX702" i="3"/>
  <c r="CX697" i="3"/>
  <c r="CX699" i="3"/>
  <c r="CX696" i="3"/>
  <c r="CX693" i="3"/>
  <c r="CX695" i="3"/>
  <c r="CX701" i="3"/>
  <c r="CX703" i="3"/>
  <c r="CX692" i="3"/>
  <c r="CX700" i="3"/>
  <c r="CG541" i="1"/>
  <c r="I539" i="1"/>
  <c r="P539" i="1" s="1"/>
  <c r="I537" i="1"/>
  <c r="GX537" i="1" s="1"/>
  <c r="CX658" i="3"/>
  <c r="CX662" i="3"/>
  <c r="CX657" i="3"/>
  <c r="CX659" i="3"/>
  <c r="CX661" i="3"/>
  <c r="CX663" i="3"/>
  <c r="CX660" i="3"/>
  <c r="CX650" i="3"/>
  <c r="CX654" i="3"/>
  <c r="CX649" i="3"/>
  <c r="CX651" i="3"/>
  <c r="CX648" i="3"/>
  <c r="CX656" i="3"/>
  <c r="CX647" i="3"/>
  <c r="CX653" i="3"/>
  <c r="CX655" i="3"/>
  <c r="CX652" i="3"/>
  <c r="CX634" i="3"/>
  <c r="CX638" i="3"/>
  <c r="CX642" i="3"/>
  <c r="CX640" i="3"/>
  <c r="CX637" i="3"/>
  <c r="CX639" i="3"/>
  <c r="CX636" i="3"/>
  <c r="CX644" i="3"/>
  <c r="CX641" i="3"/>
  <c r="CX643" i="3"/>
  <c r="CX635" i="3"/>
  <c r="CX630" i="3"/>
  <c r="CX632" i="3"/>
  <c r="CX631" i="3"/>
  <c r="CX633" i="3"/>
  <c r="CG457" i="1"/>
  <c r="F406" i="1"/>
  <c r="CG390" i="1"/>
  <c r="AO390" i="1"/>
  <c r="V386" i="1"/>
  <c r="R386" i="1"/>
  <c r="GK386" i="1" s="1"/>
  <c r="W383" i="1"/>
  <c r="S383" i="1"/>
  <c r="CP383" i="1" s="1"/>
  <c r="O383" i="1" s="1"/>
  <c r="AB383" i="1"/>
  <c r="CY381" i="1"/>
  <c r="X381" i="1" s="1"/>
  <c r="CY378" i="1"/>
  <c r="X378" i="1" s="1"/>
  <c r="CP376" i="1"/>
  <c r="O376" i="1" s="1"/>
  <c r="CS374" i="1"/>
  <c r="R374" i="1" s="1"/>
  <c r="CY374" i="1" s="1"/>
  <c r="X374" i="1" s="1"/>
  <c r="AD374" i="1"/>
  <c r="CR374" i="1" s="1"/>
  <c r="Q374" i="1" s="1"/>
  <c r="CY373" i="1"/>
  <c r="X373" i="1" s="1"/>
  <c r="CZ373" i="1"/>
  <c r="Y373" i="1" s="1"/>
  <c r="AB373" i="1"/>
  <c r="CZ372" i="1"/>
  <c r="Y372" i="1" s="1"/>
  <c r="CS371" i="1"/>
  <c r="R371" i="1" s="1"/>
  <c r="AD371" i="1"/>
  <c r="CR371" i="1" s="1"/>
  <c r="Q371" i="1" s="1"/>
  <c r="CQ370" i="1"/>
  <c r="P370" i="1" s="1"/>
  <c r="CP370" i="1" s="1"/>
  <c r="O370" i="1" s="1"/>
  <c r="AB370" i="1"/>
  <c r="CY368" i="1"/>
  <c r="X368" i="1" s="1"/>
  <c r="AB368" i="1"/>
  <c r="CR367" i="1"/>
  <c r="Q367" i="1" s="1"/>
  <c r="AB367" i="1"/>
  <c r="CZ366" i="1"/>
  <c r="Y366" i="1" s="1"/>
  <c r="CY365" i="1"/>
  <c r="X365" i="1" s="1"/>
  <c r="CZ363" i="1"/>
  <c r="Y363" i="1" s="1"/>
  <c r="CS362" i="1"/>
  <c r="R362" i="1" s="1"/>
  <c r="AD362" i="1"/>
  <c r="CR362" i="1" s="1"/>
  <c r="Q362" i="1" s="1"/>
  <c r="CS356" i="1"/>
  <c r="R356" i="1" s="1"/>
  <c r="GK356" i="1" s="1"/>
  <c r="AD356" i="1"/>
  <c r="CR356" i="1" s="1"/>
  <c r="Q356" i="1" s="1"/>
  <c r="V355" i="1"/>
  <c r="AI390" i="1" s="1"/>
  <c r="P353" i="1"/>
  <c r="CP353" i="1" s="1"/>
  <c r="O353" i="1" s="1"/>
  <c r="GX353" i="1"/>
  <c r="V317" i="1"/>
  <c r="AI319" i="1" s="1"/>
  <c r="P315" i="1"/>
  <c r="GX315" i="1"/>
  <c r="CY314" i="1"/>
  <c r="X314" i="1" s="1"/>
  <c r="CZ314" i="1"/>
  <c r="Y314" i="1" s="1"/>
  <c r="R313" i="1"/>
  <c r="GK313" i="1" s="1"/>
  <c r="U313" i="1"/>
  <c r="AH319" i="1" s="1"/>
  <c r="CR313" i="1"/>
  <c r="Q313" i="1" s="1"/>
  <c r="AB313" i="1"/>
  <c r="CZ311" i="1"/>
  <c r="Y311" i="1" s="1"/>
  <c r="CY311" i="1"/>
  <c r="X311" i="1" s="1"/>
  <c r="GM311" i="1" s="1"/>
  <c r="AB311" i="1"/>
  <c r="CY309" i="1"/>
  <c r="X309" i="1" s="1"/>
  <c r="GK307" i="1"/>
  <c r="CY307" i="1"/>
  <c r="X307" i="1" s="1"/>
  <c r="CR307" i="1"/>
  <c r="Q307" i="1" s="1"/>
  <c r="CP307" i="1" s="1"/>
  <c r="O307" i="1" s="1"/>
  <c r="AB307" i="1"/>
  <c r="CQ305" i="1"/>
  <c r="P305" i="1" s="1"/>
  <c r="CX400" i="3"/>
  <c r="P304" i="1"/>
  <c r="GX304" i="1"/>
  <c r="BY319" i="1"/>
  <c r="GM302" i="1"/>
  <c r="AD298" i="1"/>
  <c r="CR298" i="1" s="1"/>
  <c r="Q298" i="1" s="1"/>
  <c r="CS298" i="1"/>
  <c r="R298" i="1" s="1"/>
  <c r="GK298" i="1" s="1"/>
  <c r="AO251" i="1"/>
  <c r="F263" i="1"/>
  <c r="CI259" i="1"/>
  <c r="BY251" i="1"/>
  <c r="AP259" i="1"/>
  <c r="CY254" i="1"/>
  <c r="X254" i="1" s="1"/>
  <c r="CZ254" i="1"/>
  <c r="Y254" i="1" s="1"/>
  <c r="AB166" i="1"/>
  <c r="CQ166" i="1"/>
  <c r="P166" i="1" s="1"/>
  <c r="CP166" i="1" s="1"/>
  <c r="O166" i="1" s="1"/>
  <c r="CS382" i="1"/>
  <c r="R382" i="1" s="1"/>
  <c r="GK382" i="1" s="1"/>
  <c r="CQ380" i="1"/>
  <c r="P380" i="1" s="1"/>
  <c r="CP380" i="1" s="1"/>
  <c r="O380" i="1" s="1"/>
  <c r="CS379" i="1"/>
  <c r="R379" i="1" s="1"/>
  <c r="GK379" i="1" s="1"/>
  <c r="CQ377" i="1"/>
  <c r="P377" i="1" s="1"/>
  <c r="CP377" i="1" s="1"/>
  <c r="O377" i="1" s="1"/>
  <c r="CS375" i="1"/>
  <c r="R375" i="1" s="1"/>
  <c r="GK375" i="1" s="1"/>
  <c r="CQ374" i="1"/>
  <c r="P374" i="1" s="1"/>
  <c r="CP374" i="1" s="1"/>
  <c r="O374" i="1" s="1"/>
  <c r="CQ371" i="1"/>
  <c r="P371" i="1" s="1"/>
  <c r="CP371" i="1" s="1"/>
  <c r="O371" i="1" s="1"/>
  <c r="CS370" i="1"/>
  <c r="R370" i="1" s="1"/>
  <c r="GK370" i="1" s="1"/>
  <c r="CQ368" i="1"/>
  <c r="P368" i="1" s="1"/>
  <c r="CP368" i="1" s="1"/>
  <c r="O368" i="1" s="1"/>
  <c r="CQ366" i="1"/>
  <c r="P366" i="1" s="1"/>
  <c r="CP366" i="1" s="1"/>
  <c r="O366" i="1" s="1"/>
  <c r="CQ364" i="1"/>
  <c r="P364" i="1" s="1"/>
  <c r="CQ362" i="1"/>
  <c r="P362" i="1" s="1"/>
  <c r="U359" i="1"/>
  <c r="Q359" i="1"/>
  <c r="CZ358" i="1"/>
  <c r="Y358" i="1" s="1"/>
  <c r="AB358" i="1"/>
  <c r="AB356" i="1"/>
  <c r="CQ356" i="1"/>
  <c r="P356" i="1" s="1"/>
  <c r="CP356" i="1" s="1"/>
  <c r="O356" i="1" s="1"/>
  <c r="AB354" i="1"/>
  <c r="CQ354" i="1"/>
  <c r="P354" i="1" s="1"/>
  <c r="CP354" i="1" s="1"/>
  <c r="O354" i="1" s="1"/>
  <c r="AB352" i="1"/>
  <c r="CQ352" i="1"/>
  <c r="P352" i="1" s="1"/>
  <c r="CQ316" i="1"/>
  <c r="P316" i="1" s="1"/>
  <c r="CP316" i="1" s="1"/>
  <c r="O316" i="1" s="1"/>
  <c r="AB316" i="1"/>
  <c r="CQ314" i="1"/>
  <c r="P314" i="1" s="1"/>
  <c r="CP314" i="1" s="1"/>
  <c r="O314" i="1" s="1"/>
  <c r="CQ312" i="1"/>
  <c r="P312" i="1" s="1"/>
  <c r="CP312" i="1" s="1"/>
  <c r="O312" i="1" s="1"/>
  <c r="AB312" i="1"/>
  <c r="AD309" i="1"/>
  <c r="CR309" i="1" s="1"/>
  <c r="Q309" i="1" s="1"/>
  <c r="CS309" i="1"/>
  <c r="R309" i="1" s="1"/>
  <c r="GK309" i="1" s="1"/>
  <c r="W306" i="1"/>
  <c r="S306" i="1"/>
  <c r="AB306" i="1"/>
  <c r="CY302" i="1"/>
  <c r="X302" i="1" s="1"/>
  <c r="GO302" i="1" s="1"/>
  <c r="CZ302" i="1"/>
  <c r="Y302" i="1" s="1"/>
  <c r="AB302" i="1"/>
  <c r="CZ301" i="1"/>
  <c r="Y301" i="1" s="1"/>
  <c r="AD300" i="1"/>
  <c r="CR300" i="1" s="1"/>
  <c r="Q300" i="1" s="1"/>
  <c r="CS300" i="1"/>
  <c r="R300" i="1" s="1"/>
  <c r="CP298" i="1"/>
  <c r="O298" i="1" s="1"/>
  <c r="AB297" i="1"/>
  <c r="CR297" i="1"/>
  <c r="Q297" i="1" s="1"/>
  <c r="CP297" i="1"/>
  <c r="O297" i="1" s="1"/>
  <c r="CZ293" i="1"/>
  <c r="Y293" i="1" s="1"/>
  <c r="CJ319" i="1"/>
  <c r="AD292" i="1"/>
  <c r="CR292" i="1" s="1"/>
  <c r="Q292" i="1" s="1"/>
  <c r="CS292" i="1"/>
  <c r="R292" i="1" s="1"/>
  <c r="CY257" i="1"/>
  <c r="X257" i="1" s="1"/>
  <c r="GM257" i="1" s="1"/>
  <c r="CZ257" i="1"/>
  <c r="Y257" i="1" s="1"/>
  <c r="AB257" i="1"/>
  <c r="AH259" i="1"/>
  <c r="BB83" i="1"/>
  <c r="F200" i="1"/>
  <c r="CZ152" i="1"/>
  <c r="Y152" i="1" s="1"/>
  <c r="CY152" i="1"/>
  <c r="X152" i="1" s="1"/>
  <c r="CC187" i="1"/>
  <c r="CD83" i="1"/>
  <c r="AU187" i="1"/>
  <c r="CZ149" i="1"/>
  <c r="Y149" i="1" s="1"/>
  <c r="AB360" i="1"/>
  <c r="W357" i="1"/>
  <c r="S357" i="1"/>
  <c r="W355" i="1"/>
  <c r="S355" i="1"/>
  <c r="W353" i="1"/>
  <c r="S353" i="1"/>
  <c r="F335" i="1"/>
  <c r="W317" i="1"/>
  <c r="S317" i="1"/>
  <c r="W315" i="1"/>
  <c r="S315" i="1"/>
  <c r="W313" i="1"/>
  <c r="S313" i="1"/>
  <c r="CY310" i="1"/>
  <c r="X310" i="1" s="1"/>
  <c r="GM310" i="1" s="1"/>
  <c r="CQ309" i="1"/>
  <c r="P309" i="1" s="1"/>
  <c r="CP309" i="1" s="1"/>
  <c r="O309" i="1" s="1"/>
  <c r="CS308" i="1"/>
  <c r="R308" i="1" s="1"/>
  <c r="AD308" i="1"/>
  <c r="CR308" i="1" s="1"/>
  <c r="Q308" i="1" s="1"/>
  <c r="CZ307" i="1"/>
  <c r="Y307" i="1" s="1"/>
  <c r="W304" i="1"/>
  <c r="AJ319" i="1" s="1"/>
  <c r="S304" i="1"/>
  <c r="AD303" i="1"/>
  <c r="CR303" i="1" s="1"/>
  <c r="Q303" i="1" s="1"/>
  <c r="CS303" i="1"/>
  <c r="R303" i="1" s="1"/>
  <c r="CY300" i="1"/>
  <c r="X300" i="1" s="1"/>
  <c r="CP300" i="1"/>
  <c r="O300" i="1" s="1"/>
  <c r="AB299" i="1"/>
  <c r="CR299" i="1"/>
  <c r="Q299" i="1" s="1"/>
  <c r="CP299" i="1" s="1"/>
  <c r="O299" i="1" s="1"/>
  <c r="CY297" i="1"/>
  <c r="X297" i="1" s="1"/>
  <c r="CZ295" i="1"/>
  <c r="Y295" i="1" s="1"/>
  <c r="AD294" i="1"/>
  <c r="CR294" i="1" s="1"/>
  <c r="Q294" i="1" s="1"/>
  <c r="CS294" i="1"/>
  <c r="R294" i="1" s="1"/>
  <c r="BZ319" i="1"/>
  <c r="CY292" i="1"/>
  <c r="X292" i="1" s="1"/>
  <c r="CP292" i="1"/>
  <c r="O292" i="1" s="1"/>
  <c r="AE259" i="1"/>
  <c r="BZ251" i="1"/>
  <c r="AQ259" i="1"/>
  <c r="CP256" i="1"/>
  <c r="O256" i="1" s="1"/>
  <c r="CZ255" i="1"/>
  <c r="Y255" i="1" s="1"/>
  <c r="CY255" i="1"/>
  <c r="X255" i="1" s="1"/>
  <c r="CY180" i="1"/>
  <c r="X180" i="1" s="1"/>
  <c r="CZ180" i="1"/>
  <c r="Y180" i="1" s="1"/>
  <c r="CY179" i="1"/>
  <c r="X179" i="1" s="1"/>
  <c r="CZ179" i="1"/>
  <c r="Y179" i="1" s="1"/>
  <c r="CZ168" i="1"/>
  <c r="Y168" i="1" s="1"/>
  <c r="CY168" i="1"/>
  <c r="X168" i="1" s="1"/>
  <c r="CZ114" i="1"/>
  <c r="Y114" i="1" s="1"/>
  <c r="CY114" i="1"/>
  <c r="X114" i="1" s="1"/>
  <c r="CX541" i="3"/>
  <c r="CX545" i="3"/>
  <c r="CX549" i="3"/>
  <c r="CX540" i="3"/>
  <c r="CX544" i="3"/>
  <c r="CX548" i="3"/>
  <c r="CX542" i="3"/>
  <c r="CX546" i="3"/>
  <c r="CX547" i="3"/>
  <c r="CX543" i="3"/>
  <c r="CX532" i="3"/>
  <c r="CX531" i="3"/>
  <c r="CX533" i="3"/>
  <c r="CX537" i="3"/>
  <c r="CX536" i="3"/>
  <c r="CX534" i="3"/>
  <c r="CX538" i="3"/>
  <c r="CX539" i="3"/>
  <c r="CX535" i="3"/>
  <c r="CX521" i="3"/>
  <c r="CX520" i="3"/>
  <c r="CX524" i="3"/>
  <c r="CX528" i="3"/>
  <c r="CX519" i="3"/>
  <c r="CX523" i="3"/>
  <c r="CX525" i="3"/>
  <c r="CX518" i="3"/>
  <c r="CX522" i="3"/>
  <c r="CX530" i="3"/>
  <c r="CX526" i="3"/>
  <c r="CX527" i="3"/>
  <c r="CX529" i="3"/>
  <c r="CX509" i="3"/>
  <c r="CX513" i="3"/>
  <c r="CX517" i="3"/>
  <c r="CX508" i="3"/>
  <c r="CX512" i="3"/>
  <c r="CX516" i="3"/>
  <c r="CX507" i="3"/>
  <c r="CX511" i="3"/>
  <c r="CX515" i="3"/>
  <c r="CX510" i="3"/>
  <c r="CX514" i="3"/>
  <c r="BB319" i="1"/>
  <c r="CK290" i="1"/>
  <c r="AB310" i="1"/>
  <c r="AB308" i="1"/>
  <c r="CQ308" i="1"/>
  <c r="P308" i="1" s="1"/>
  <c r="CP308" i="1" s="1"/>
  <c r="O308" i="1" s="1"/>
  <c r="CY308" i="1"/>
  <c r="X308" i="1" s="1"/>
  <c r="CS305" i="1"/>
  <c r="R305" i="1" s="1"/>
  <c r="GK305" i="1" s="1"/>
  <c r="AD305" i="1"/>
  <c r="CR305" i="1" s="1"/>
  <c r="Q305" i="1" s="1"/>
  <c r="CQ303" i="1"/>
  <c r="P303" i="1" s="1"/>
  <c r="CP303" i="1" s="1"/>
  <c r="O303" i="1" s="1"/>
  <c r="AB303" i="1"/>
  <c r="CY303" i="1"/>
  <c r="X303" i="1" s="1"/>
  <c r="AB301" i="1"/>
  <c r="CR301" i="1"/>
  <c r="Q301" i="1" s="1"/>
  <c r="AD296" i="1"/>
  <c r="CR296" i="1" s="1"/>
  <c r="Q296" i="1" s="1"/>
  <c r="CP296" i="1" s="1"/>
  <c r="O296" i="1" s="1"/>
  <c r="CS296" i="1"/>
  <c r="R296" i="1" s="1"/>
  <c r="GK296" i="1" s="1"/>
  <c r="CY294" i="1"/>
  <c r="X294" i="1" s="1"/>
  <c r="CP294" i="1"/>
  <c r="O294" i="1" s="1"/>
  <c r="AB293" i="1"/>
  <c r="CR293" i="1"/>
  <c r="Q293" i="1" s="1"/>
  <c r="CP293" i="1" s="1"/>
  <c r="O293" i="1" s="1"/>
  <c r="CK251" i="1"/>
  <c r="BB259" i="1"/>
  <c r="CD259" i="1"/>
  <c r="CR255" i="1"/>
  <c r="Q255" i="1" s="1"/>
  <c r="AD259" i="1" s="1"/>
  <c r="AB255" i="1"/>
  <c r="AJ259" i="1"/>
  <c r="CY253" i="1"/>
  <c r="X253" i="1" s="1"/>
  <c r="CZ253" i="1"/>
  <c r="Y253" i="1" s="1"/>
  <c r="AL259" i="1" s="1"/>
  <c r="AF259" i="1"/>
  <c r="AB253" i="1"/>
  <c r="CQ183" i="1"/>
  <c r="P183" i="1" s="1"/>
  <c r="CP183" i="1" s="1"/>
  <c r="O183" i="1" s="1"/>
  <c r="AB183" i="1"/>
  <c r="R177" i="1"/>
  <c r="GK177" i="1" s="1"/>
  <c r="GX177" i="1"/>
  <c r="BZ83" i="1"/>
  <c r="AQ187" i="1"/>
  <c r="S156" i="1"/>
  <c r="CX457" i="3"/>
  <c r="CX461" i="3"/>
  <c r="CX465" i="3"/>
  <c r="CX456" i="3"/>
  <c r="CX460" i="3"/>
  <c r="CX464" i="3"/>
  <c r="CX455" i="3"/>
  <c r="CX459" i="3"/>
  <c r="CX463" i="3"/>
  <c r="CX454" i="3"/>
  <c r="CX458" i="3"/>
  <c r="CX462" i="3"/>
  <c r="CX441" i="3"/>
  <c r="CX445" i="3"/>
  <c r="CX449" i="3"/>
  <c r="CX453" i="3"/>
  <c r="CX444" i="3"/>
  <c r="CX448" i="3"/>
  <c r="CX452" i="3"/>
  <c r="CX443" i="3"/>
  <c r="CX447" i="3"/>
  <c r="CX451" i="3"/>
  <c r="CX442" i="3"/>
  <c r="CX446" i="3"/>
  <c r="CX450" i="3"/>
  <c r="AB300" i="1"/>
  <c r="CX385" i="3"/>
  <c r="CX389" i="3"/>
  <c r="CX393" i="3"/>
  <c r="CX384" i="3"/>
  <c r="CX388" i="3"/>
  <c r="CX392" i="3"/>
  <c r="CX386" i="3"/>
  <c r="CX390" i="3"/>
  <c r="CX387" i="3"/>
  <c r="CX383" i="3"/>
  <c r="CX391" i="3"/>
  <c r="AB298" i="1"/>
  <c r="CX381" i="3"/>
  <c r="CX380" i="3"/>
  <c r="CX382" i="3"/>
  <c r="CX379" i="3"/>
  <c r="CX369" i="3"/>
  <c r="CX373" i="3"/>
  <c r="CX377" i="3"/>
  <c r="CX372" i="3"/>
  <c r="CX376" i="3"/>
  <c r="CX370" i="3"/>
  <c r="CX374" i="3"/>
  <c r="CX378" i="3"/>
  <c r="CX371" i="3"/>
  <c r="CX375" i="3"/>
  <c r="AB294" i="1"/>
  <c r="CX361" i="3"/>
  <c r="CX365" i="3"/>
  <c r="CX360" i="3"/>
  <c r="CX364" i="3"/>
  <c r="CX368" i="3"/>
  <c r="CX362" i="3"/>
  <c r="CX366" i="3"/>
  <c r="CX367" i="3"/>
  <c r="CX363" i="3"/>
  <c r="AB292" i="1"/>
  <c r="CX353" i="3"/>
  <c r="CX357" i="3"/>
  <c r="CX356" i="3"/>
  <c r="CX354" i="3"/>
  <c r="CX358" i="3"/>
  <c r="CX355" i="3"/>
  <c r="CX359" i="3"/>
  <c r="CZ256" i="1"/>
  <c r="Y256" i="1" s="1"/>
  <c r="CP253" i="1"/>
  <c r="O253" i="1" s="1"/>
  <c r="CX334" i="3"/>
  <c r="CX333" i="3"/>
  <c r="CX332" i="3"/>
  <c r="CY182" i="1"/>
  <c r="X182" i="1" s="1"/>
  <c r="AD182" i="1"/>
  <c r="CS182" i="1"/>
  <c r="R182" i="1" s="1"/>
  <c r="CT181" i="1"/>
  <c r="S181" i="1" s="1"/>
  <c r="CP179" i="1"/>
  <c r="O179" i="1" s="1"/>
  <c r="AB173" i="1"/>
  <c r="CR173" i="1"/>
  <c r="CY169" i="1"/>
  <c r="X169" i="1" s="1"/>
  <c r="CZ169" i="1"/>
  <c r="Y169" i="1" s="1"/>
  <c r="AB169" i="1"/>
  <c r="AB160" i="1"/>
  <c r="CQ160" i="1"/>
  <c r="P160" i="1" s="1"/>
  <c r="CP160" i="1" s="1"/>
  <c r="O160" i="1" s="1"/>
  <c r="CY159" i="1"/>
  <c r="X159" i="1" s="1"/>
  <c r="CZ159" i="1"/>
  <c r="Y159" i="1" s="1"/>
  <c r="AB159" i="1"/>
  <c r="AD158" i="1"/>
  <c r="CS158" i="1"/>
  <c r="R158" i="1" s="1"/>
  <c r="GM148" i="1"/>
  <c r="CZ147" i="1"/>
  <c r="Y147" i="1" s="1"/>
  <c r="CY147" i="1"/>
  <c r="X147" i="1" s="1"/>
  <c r="CZ139" i="1"/>
  <c r="Y139" i="1" s="1"/>
  <c r="CR130" i="1"/>
  <c r="Q130" i="1" s="1"/>
  <c r="AB130" i="1"/>
  <c r="CX505" i="3"/>
  <c r="CX504" i="3"/>
  <c r="CX503" i="3"/>
  <c r="CX506" i="3"/>
  <c r="CX497" i="3"/>
  <c r="CX501" i="3"/>
  <c r="CX496" i="3"/>
  <c r="CX500" i="3"/>
  <c r="CX495" i="3"/>
  <c r="CX499" i="3"/>
  <c r="CX494" i="3"/>
  <c r="CX498" i="3"/>
  <c r="CX502" i="3"/>
  <c r="CX485" i="3"/>
  <c r="CX489" i="3"/>
  <c r="CX493" i="3"/>
  <c r="CX484" i="3"/>
  <c r="CX488" i="3"/>
  <c r="CX492" i="3"/>
  <c r="CX483" i="3"/>
  <c r="CX487" i="3"/>
  <c r="CX491" i="3"/>
  <c r="CX486" i="3"/>
  <c r="CX490" i="3"/>
  <c r="CX473" i="3"/>
  <c r="CX477" i="3"/>
  <c r="CX481" i="3"/>
  <c r="CX476" i="3"/>
  <c r="CX480" i="3"/>
  <c r="CX475" i="3"/>
  <c r="CX479" i="3"/>
  <c r="CX474" i="3"/>
  <c r="CX478" i="3"/>
  <c r="CX482" i="3"/>
  <c r="CX469" i="3"/>
  <c r="CX468" i="3"/>
  <c r="CX472" i="3"/>
  <c r="CX467" i="3"/>
  <c r="CX471" i="3"/>
  <c r="CX466" i="3"/>
  <c r="CX470" i="3"/>
  <c r="CX401" i="3"/>
  <c r="CX405" i="3"/>
  <c r="CX409" i="3"/>
  <c r="CX404" i="3"/>
  <c r="CX408" i="3"/>
  <c r="CX403" i="3"/>
  <c r="CX407" i="3"/>
  <c r="CX411" i="3"/>
  <c r="CX406" i="3"/>
  <c r="CX402" i="3"/>
  <c r="CX410" i="3"/>
  <c r="AB256" i="1"/>
  <c r="CQ254" i="1"/>
  <c r="P254" i="1" s="1"/>
  <c r="AB254" i="1"/>
  <c r="GX253" i="1"/>
  <c r="CJ259" i="1" s="1"/>
  <c r="T253" i="1"/>
  <c r="AG259" i="1" s="1"/>
  <c r="CP181" i="1"/>
  <c r="O181" i="1" s="1"/>
  <c r="CP180" i="1"/>
  <c r="O180" i="1" s="1"/>
  <c r="AB178" i="1"/>
  <c r="CQ178" i="1"/>
  <c r="P178" i="1" s="1"/>
  <c r="CP178" i="1" s="1"/>
  <c r="O178" i="1" s="1"/>
  <c r="S177" i="1"/>
  <c r="CX306" i="3"/>
  <c r="CX305" i="3"/>
  <c r="CX309" i="3"/>
  <c r="CX307" i="3"/>
  <c r="CX308" i="3"/>
  <c r="CX304" i="3"/>
  <c r="I173" i="1"/>
  <c r="P173" i="1" s="1"/>
  <c r="I172" i="1"/>
  <c r="U172" i="1" s="1"/>
  <c r="AB168" i="1"/>
  <c r="CQ168" i="1"/>
  <c r="P168" i="1" s="1"/>
  <c r="CP168" i="1" s="1"/>
  <c r="O168" i="1" s="1"/>
  <c r="CY167" i="1"/>
  <c r="X167" i="1" s="1"/>
  <c r="CZ167" i="1"/>
  <c r="Y167" i="1" s="1"/>
  <c r="AB167" i="1"/>
  <c r="CZ165" i="1"/>
  <c r="Y165" i="1" s="1"/>
  <c r="CY165" i="1"/>
  <c r="X165" i="1" s="1"/>
  <c r="CZ164" i="1"/>
  <c r="Y164" i="1" s="1"/>
  <c r="CY164" i="1"/>
  <c r="X164" i="1" s="1"/>
  <c r="AB161" i="1"/>
  <c r="CR161" i="1"/>
  <c r="Q161" i="1" s="1"/>
  <c r="CP161" i="1" s="1"/>
  <c r="O161" i="1" s="1"/>
  <c r="CZ150" i="1"/>
  <c r="Y150" i="1" s="1"/>
  <c r="CY150" i="1"/>
  <c r="X150" i="1" s="1"/>
  <c r="CL83" i="1"/>
  <c r="BC187" i="1"/>
  <c r="CZ178" i="1"/>
  <c r="Y178" i="1" s="1"/>
  <c r="CY178" i="1"/>
  <c r="X178" i="1" s="1"/>
  <c r="T175" i="1"/>
  <c r="CY170" i="1"/>
  <c r="X170" i="1" s="1"/>
  <c r="CZ162" i="1"/>
  <c r="Y162" i="1" s="1"/>
  <c r="CY162" i="1"/>
  <c r="X162" i="1" s="1"/>
  <c r="CZ160" i="1"/>
  <c r="Y160" i="1" s="1"/>
  <c r="CY160" i="1"/>
  <c r="X160" i="1" s="1"/>
  <c r="CZ142" i="1"/>
  <c r="Y142" i="1" s="1"/>
  <c r="CY142" i="1"/>
  <c r="X142" i="1" s="1"/>
  <c r="CZ123" i="1"/>
  <c r="Y123" i="1" s="1"/>
  <c r="CY123" i="1"/>
  <c r="X123" i="1" s="1"/>
  <c r="BY83" i="1"/>
  <c r="CI187" i="1"/>
  <c r="CT90" i="1"/>
  <c r="S90" i="1" s="1"/>
  <c r="AB90" i="1"/>
  <c r="CX337" i="3"/>
  <c r="CX335" i="3"/>
  <c r="CX336" i="3"/>
  <c r="CG187" i="1"/>
  <c r="AO187" i="1"/>
  <c r="CS183" i="1"/>
  <c r="R183" i="1" s="1"/>
  <c r="GK183" i="1" s="1"/>
  <c r="P182" i="1"/>
  <c r="AB180" i="1"/>
  <c r="U177" i="1"/>
  <c r="Q177" i="1"/>
  <c r="GX176" i="1"/>
  <c r="AB176" i="1"/>
  <c r="CQ176" i="1"/>
  <c r="GX175" i="1"/>
  <c r="GX172" i="1"/>
  <c r="T172" i="1"/>
  <c r="W171" i="1"/>
  <c r="S171" i="1"/>
  <c r="AB171" i="1"/>
  <c r="AD170" i="1"/>
  <c r="CS170" i="1"/>
  <c r="R170" i="1" s="1"/>
  <c r="GK170" i="1" s="1"/>
  <c r="CP163" i="1"/>
  <c r="O163" i="1" s="1"/>
  <c r="AD156" i="1"/>
  <c r="CS156" i="1"/>
  <c r="CP153" i="1"/>
  <c r="O153" i="1" s="1"/>
  <c r="CP151" i="1"/>
  <c r="O151" i="1" s="1"/>
  <c r="CZ143" i="1"/>
  <c r="Y143" i="1" s="1"/>
  <c r="CY143" i="1"/>
  <c r="X143" i="1" s="1"/>
  <c r="T134" i="1"/>
  <c r="CT126" i="1"/>
  <c r="S126" i="1" s="1"/>
  <c r="AB126" i="1"/>
  <c r="CY116" i="1"/>
  <c r="X116" i="1" s="1"/>
  <c r="CP113" i="1"/>
  <c r="O113" i="1" s="1"/>
  <c r="P110" i="1"/>
  <c r="T177" i="1"/>
  <c r="P177" i="1"/>
  <c r="CP177" i="1" s="1"/>
  <c r="O177" i="1" s="1"/>
  <c r="V175" i="1"/>
  <c r="AD174" i="1"/>
  <c r="CS174" i="1"/>
  <c r="R174" i="1" s="1"/>
  <c r="GX173" i="1"/>
  <c r="W172" i="1"/>
  <c r="S172" i="1"/>
  <c r="CZ166" i="1"/>
  <c r="Y166" i="1" s="1"/>
  <c r="CY166" i="1"/>
  <c r="X166" i="1" s="1"/>
  <c r="AB165" i="1"/>
  <c r="CR165" i="1"/>
  <c r="Q165" i="1" s="1"/>
  <c r="CP165" i="1" s="1"/>
  <c r="O165" i="1" s="1"/>
  <c r="AB164" i="1"/>
  <c r="CQ164" i="1"/>
  <c r="P164" i="1" s="1"/>
  <c r="CP164" i="1" s="1"/>
  <c r="O164" i="1" s="1"/>
  <c r="CY163" i="1"/>
  <c r="X163" i="1" s="1"/>
  <c r="CZ163" i="1"/>
  <c r="Y163" i="1" s="1"/>
  <c r="AB163" i="1"/>
  <c r="AB162" i="1"/>
  <c r="CQ162" i="1"/>
  <c r="P162" i="1" s="1"/>
  <c r="CP162" i="1" s="1"/>
  <c r="O162" i="1" s="1"/>
  <c r="CZ161" i="1"/>
  <c r="Y161" i="1" s="1"/>
  <c r="U159" i="1"/>
  <c r="Q159" i="1"/>
  <c r="CP159" i="1" s="1"/>
  <c r="O159" i="1" s="1"/>
  <c r="AB157" i="1"/>
  <c r="CR157" i="1"/>
  <c r="P156" i="1"/>
  <c r="CP155" i="1"/>
  <c r="O155" i="1" s="1"/>
  <c r="CX246" i="3"/>
  <c r="CX245" i="3"/>
  <c r="CX243" i="3"/>
  <c r="CX247" i="3"/>
  <c r="CX248" i="3"/>
  <c r="CX244" i="3"/>
  <c r="I157" i="1"/>
  <c r="W157" i="1" s="1"/>
  <c r="I156" i="1"/>
  <c r="U156" i="1" s="1"/>
  <c r="CY153" i="1"/>
  <c r="X153" i="1" s="1"/>
  <c r="CZ153" i="1"/>
  <c r="Y153" i="1" s="1"/>
  <c r="AB153" i="1"/>
  <c r="AB152" i="1"/>
  <c r="CQ152" i="1"/>
  <c r="P152" i="1" s="1"/>
  <c r="CP152" i="1" s="1"/>
  <c r="O152" i="1" s="1"/>
  <c r="CY151" i="1"/>
  <c r="X151" i="1" s="1"/>
  <c r="CZ151" i="1"/>
  <c r="Y151" i="1" s="1"/>
  <c r="AB151" i="1"/>
  <c r="AB150" i="1"/>
  <c r="CQ150" i="1"/>
  <c r="P150" i="1" s="1"/>
  <c r="CP150" i="1" s="1"/>
  <c r="O150" i="1" s="1"/>
  <c r="CP149" i="1"/>
  <c r="O149" i="1" s="1"/>
  <c r="CP142" i="1"/>
  <c r="O142" i="1" s="1"/>
  <c r="Q137" i="1"/>
  <c r="CZ122" i="1"/>
  <c r="Y122" i="1" s="1"/>
  <c r="GN117" i="1"/>
  <c r="GM117" i="1"/>
  <c r="W110" i="1"/>
  <c r="CX342" i="3"/>
  <c r="CX341" i="3"/>
  <c r="CX339" i="3"/>
  <c r="CX343" i="3"/>
  <c r="CX340" i="3"/>
  <c r="CX344" i="3"/>
  <c r="R176" i="1"/>
  <c r="GK176" i="1" s="1"/>
  <c r="AB175" i="1"/>
  <c r="CR175" i="1"/>
  <c r="V172" i="1"/>
  <c r="AD172" i="1"/>
  <c r="CS172" i="1"/>
  <c r="R172" i="1" s="1"/>
  <c r="GK172" i="1" s="1"/>
  <c r="U171" i="1"/>
  <c r="Q171" i="1"/>
  <c r="CP171" i="1" s="1"/>
  <c r="O171" i="1" s="1"/>
  <c r="CP169" i="1"/>
  <c r="O169" i="1" s="1"/>
  <c r="CP167" i="1"/>
  <c r="O167" i="1" s="1"/>
  <c r="CX258" i="3"/>
  <c r="CX257" i="3"/>
  <c r="CX261" i="3"/>
  <c r="CX259" i="3"/>
  <c r="CX260" i="3"/>
  <c r="CX256" i="3"/>
  <c r="CY158" i="1"/>
  <c r="X158" i="1" s="1"/>
  <c r="T156" i="1"/>
  <c r="CY155" i="1"/>
  <c r="X155" i="1" s="1"/>
  <c r="CZ155" i="1"/>
  <c r="Y155" i="1" s="1"/>
  <c r="AB155" i="1"/>
  <c r="AD154" i="1"/>
  <c r="CS154" i="1"/>
  <c r="R154" i="1" s="1"/>
  <c r="CS149" i="1"/>
  <c r="R149" i="1" s="1"/>
  <c r="AD149" i="1"/>
  <c r="CR149" i="1" s="1"/>
  <c r="Q149" i="1" s="1"/>
  <c r="GN146" i="1"/>
  <c r="GM146" i="1"/>
  <c r="GN138" i="1"/>
  <c r="GM138" i="1"/>
  <c r="R137" i="1"/>
  <c r="GK137" i="1" s="1"/>
  <c r="P134" i="1"/>
  <c r="AD131" i="1"/>
  <c r="CS131" i="1"/>
  <c r="AD129" i="1"/>
  <c r="CS129" i="1"/>
  <c r="R129" i="1" s="1"/>
  <c r="GK129" i="1" s="1"/>
  <c r="CZ118" i="1"/>
  <c r="Y118" i="1" s="1"/>
  <c r="CZ113" i="1"/>
  <c r="Y113" i="1" s="1"/>
  <c r="CY113" i="1"/>
  <c r="X113" i="1" s="1"/>
  <c r="CQ105" i="1"/>
  <c r="P105" i="1" s="1"/>
  <c r="CP105" i="1" s="1"/>
  <c r="O105" i="1" s="1"/>
  <c r="AB105" i="1"/>
  <c r="CY85" i="1"/>
  <c r="X85" i="1" s="1"/>
  <c r="CZ85" i="1"/>
  <c r="Y85" i="1" s="1"/>
  <c r="AB85" i="1"/>
  <c r="CX310" i="3"/>
  <c r="CX314" i="3"/>
  <c r="CX313" i="3"/>
  <c r="CX311" i="3"/>
  <c r="CX312" i="3"/>
  <c r="CX250" i="3"/>
  <c r="CX254" i="3"/>
  <c r="CX249" i="3"/>
  <c r="CX253" i="3"/>
  <c r="CX251" i="3"/>
  <c r="CX255" i="3"/>
  <c r="CX252" i="3"/>
  <c r="CY148" i="1"/>
  <c r="X148" i="1" s="1"/>
  <c r="GN148" i="1" s="1"/>
  <c r="CZ148" i="1"/>
  <c r="Y148" i="1" s="1"/>
  <c r="AB143" i="1"/>
  <c r="CQ143" i="1"/>
  <c r="P143" i="1" s="1"/>
  <c r="CP143" i="1" s="1"/>
  <c r="O143" i="1" s="1"/>
  <c r="V141" i="1"/>
  <c r="AD139" i="1"/>
  <c r="CS139" i="1"/>
  <c r="R139" i="1" s="1"/>
  <c r="GK139" i="1" s="1"/>
  <c r="AD133" i="1"/>
  <c r="CS133" i="1"/>
  <c r="R133" i="1" s="1"/>
  <c r="GK133" i="1" s="1"/>
  <c r="U132" i="1"/>
  <c r="S131" i="1"/>
  <c r="CY130" i="1"/>
  <c r="X130" i="1" s="1"/>
  <c r="CZ130" i="1"/>
  <c r="Y130" i="1" s="1"/>
  <c r="AB123" i="1"/>
  <c r="CQ123" i="1"/>
  <c r="P123" i="1" s="1"/>
  <c r="CP123" i="1" s="1"/>
  <c r="O123" i="1" s="1"/>
  <c r="AD118" i="1"/>
  <c r="CS118" i="1"/>
  <c r="R118" i="1" s="1"/>
  <c r="GK118" i="1" s="1"/>
  <c r="AB114" i="1"/>
  <c r="CQ114" i="1"/>
  <c r="P114" i="1" s="1"/>
  <c r="CP114" i="1" s="1"/>
  <c r="O114" i="1" s="1"/>
  <c r="AD109" i="1"/>
  <c r="CS109" i="1"/>
  <c r="R109" i="1" s="1"/>
  <c r="GK109" i="1" s="1"/>
  <c r="CX120" i="3"/>
  <c r="CX119" i="3"/>
  <c r="CY106" i="1"/>
  <c r="X106" i="1" s="1"/>
  <c r="CZ106" i="1"/>
  <c r="Y106" i="1" s="1"/>
  <c r="AB106" i="1"/>
  <c r="CR101" i="1"/>
  <c r="Q101" i="1" s="1"/>
  <c r="AB101" i="1"/>
  <c r="CX318" i="3"/>
  <c r="CX317" i="3"/>
  <c r="CX315" i="3"/>
  <c r="CX319" i="3"/>
  <c r="CX316" i="3"/>
  <c r="I176" i="1"/>
  <c r="S176" i="1" s="1"/>
  <c r="CX298" i="3"/>
  <c r="CX302" i="3"/>
  <c r="CX297" i="3"/>
  <c r="CX301" i="3"/>
  <c r="CX299" i="3"/>
  <c r="CX303" i="3"/>
  <c r="CX300" i="3"/>
  <c r="CX282" i="3"/>
  <c r="CX286" i="3"/>
  <c r="CX290" i="3"/>
  <c r="CX281" i="3"/>
  <c r="CX285" i="3"/>
  <c r="CX289" i="3"/>
  <c r="CX279" i="3"/>
  <c r="CX283" i="3"/>
  <c r="CX287" i="3"/>
  <c r="CX280" i="3"/>
  <c r="CX284" i="3"/>
  <c r="CX288" i="3"/>
  <c r="CX262" i="3"/>
  <c r="CX266" i="3"/>
  <c r="CX265" i="3"/>
  <c r="CX263" i="3"/>
  <c r="CX267" i="3"/>
  <c r="CX264" i="3"/>
  <c r="CX238" i="3"/>
  <c r="CX242" i="3"/>
  <c r="CX237" i="3"/>
  <c r="CX241" i="3"/>
  <c r="CX239" i="3"/>
  <c r="CX236" i="3"/>
  <c r="CX240" i="3"/>
  <c r="U148" i="1"/>
  <c r="AD145" i="1"/>
  <c r="CS145" i="1"/>
  <c r="R145" i="1" s="1"/>
  <c r="GK145" i="1" s="1"/>
  <c r="W144" i="1"/>
  <c r="S144" i="1"/>
  <c r="AB142" i="1"/>
  <c r="V140" i="1"/>
  <c r="AB137" i="1"/>
  <c r="CQ137" i="1"/>
  <c r="R134" i="1"/>
  <c r="GK134" i="1" s="1"/>
  <c r="CP130" i="1"/>
  <c r="O130" i="1" s="1"/>
  <c r="CX176" i="3"/>
  <c r="CX180" i="3"/>
  <c r="CX184" i="3"/>
  <c r="CX175" i="3"/>
  <c r="CX179" i="3"/>
  <c r="CX183" i="3"/>
  <c r="CX177" i="3"/>
  <c r="CX181" i="3"/>
  <c r="CX185" i="3"/>
  <c r="CX178" i="3"/>
  <c r="CX174" i="3"/>
  <c r="CX182" i="3"/>
  <c r="CX186" i="3"/>
  <c r="I132" i="1"/>
  <c r="P132" i="1" s="1"/>
  <c r="I131" i="1"/>
  <c r="T131" i="1" s="1"/>
  <c r="AB128" i="1"/>
  <c r="GX127" i="1"/>
  <c r="AD127" i="1"/>
  <c r="CS127" i="1"/>
  <c r="R127" i="1" s="1"/>
  <c r="GK127" i="1" s="1"/>
  <c r="Q126" i="1"/>
  <c r="AD125" i="1"/>
  <c r="CS125" i="1"/>
  <c r="R125" i="1" s="1"/>
  <c r="GK125" i="1" s="1"/>
  <c r="W124" i="1"/>
  <c r="S124" i="1"/>
  <c r="AD122" i="1"/>
  <c r="CS122" i="1"/>
  <c r="R122" i="1" s="1"/>
  <c r="GK122" i="1" s="1"/>
  <c r="W121" i="1"/>
  <c r="S121" i="1"/>
  <c r="AD116" i="1"/>
  <c r="CS116" i="1"/>
  <c r="R116" i="1" s="1"/>
  <c r="GK116" i="1" s="1"/>
  <c r="W115" i="1"/>
  <c r="S115" i="1"/>
  <c r="AB113" i="1"/>
  <c r="CY112" i="1"/>
  <c r="X112" i="1" s="1"/>
  <c r="AB111" i="1"/>
  <c r="R110" i="1"/>
  <c r="GK110" i="1" s="1"/>
  <c r="W108" i="1"/>
  <c r="CZ104" i="1"/>
  <c r="Y104" i="1" s="1"/>
  <c r="CY104" i="1"/>
  <c r="X104" i="1" s="1"/>
  <c r="CP94" i="1"/>
  <c r="O94" i="1" s="1"/>
  <c r="CY91" i="1"/>
  <c r="X91" i="1" s="1"/>
  <c r="CZ91" i="1"/>
  <c r="Y91" i="1" s="1"/>
  <c r="U86" i="1"/>
  <c r="CX322" i="3"/>
  <c r="CX326" i="3"/>
  <c r="CX321" i="3"/>
  <c r="CX325" i="3"/>
  <c r="CX329" i="3"/>
  <c r="CX323" i="3"/>
  <c r="CX327" i="3"/>
  <c r="CX328" i="3"/>
  <c r="CX324" i="3"/>
  <c r="CX320" i="3"/>
  <c r="I175" i="1"/>
  <c r="W175" i="1" s="1"/>
  <c r="CX294" i="3"/>
  <c r="CX293" i="3"/>
  <c r="CX291" i="3"/>
  <c r="CX295" i="3"/>
  <c r="CX296" i="3"/>
  <c r="CX292" i="3"/>
  <c r="CX270" i="3"/>
  <c r="CX274" i="3"/>
  <c r="CX278" i="3"/>
  <c r="CX269" i="3"/>
  <c r="CX273" i="3"/>
  <c r="CX277" i="3"/>
  <c r="CX271" i="3"/>
  <c r="CX275" i="3"/>
  <c r="CX276" i="3"/>
  <c r="CX268" i="3"/>
  <c r="CX272" i="3"/>
  <c r="AB149" i="1"/>
  <c r="AB147" i="1"/>
  <c r="CQ147" i="1"/>
  <c r="P147" i="1" s="1"/>
  <c r="CP147" i="1" s="1"/>
  <c r="O147" i="1" s="1"/>
  <c r="Q144" i="1"/>
  <c r="CP144" i="1" s="1"/>
  <c r="O144" i="1" s="1"/>
  <c r="AB141" i="1"/>
  <c r="CQ141" i="1"/>
  <c r="P141" i="1" s="1"/>
  <c r="GX140" i="1"/>
  <c r="CY139" i="1"/>
  <c r="X139" i="1" s="1"/>
  <c r="AD135" i="1"/>
  <c r="CS135" i="1"/>
  <c r="R135" i="1" s="1"/>
  <c r="GX134" i="1"/>
  <c r="CY133" i="1"/>
  <c r="X133" i="1" s="1"/>
  <c r="V132" i="1"/>
  <c r="P131" i="1"/>
  <c r="CZ129" i="1"/>
  <c r="Y129" i="1" s="1"/>
  <c r="CP126" i="1"/>
  <c r="O126" i="1" s="1"/>
  <c r="CX160" i="3"/>
  <c r="CX164" i="3"/>
  <c r="CX159" i="3"/>
  <c r="CX163" i="3"/>
  <c r="CX161" i="3"/>
  <c r="CX165" i="3"/>
  <c r="CX162" i="3"/>
  <c r="CX158" i="3"/>
  <c r="I128" i="1"/>
  <c r="P128" i="1" s="1"/>
  <c r="I127" i="1"/>
  <c r="P127" i="1" s="1"/>
  <c r="Q124" i="1"/>
  <c r="CP124" i="1" s="1"/>
  <c r="O124" i="1" s="1"/>
  <c r="Q121" i="1"/>
  <c r="CP121" i="1" s="1"/>
  <c r="O121" i="1" s="1"/>
  <c r="AB120" i="1"/>
  <c r="CQ120" i="1"/>
  <c r="GX119" i="1"/>
  <c r="S119" i="1"/>
  <c r="CY118" i="1"/>
  <c r="X118" i="1" s="1"/>
  <c r="Q115" i="1"/>
  <c r="CP115" i="1" s="1"/>
  <c r="O115" i="1" s="1"/>
  <c r="AD112" i="1"/>
  <c r="CS112" i="1"/>
  <c r="R112" i="1" s="1"/>
  <c r="CY111" i="1"/>
  <c r="X111" i="1" s="1"/>
  <c r="CZ111" i="1"/>
  <c r="Y111" i="1" s="1"/>
  <c r="Q110" i="1"/>
  <c r="V108" i="1"/>
  <c r="R108" i="1"/>
  <c r="GK102" i="1"/>
  <c r="GN102" i="1" s="1"/>
  <c r="CY102" i="1"/>
  <c r="X102" i="1" s="1"/>
  <c r="GM102" i="1" s="1"/>
  <c r="CY100" i="1"/>
  <c r="X100" i="1" s="1"/>
  <c r="CZ100" i="1"/>
  <c r="Y100" i="1" s="1"/>
  <c r="GM96" i="1"/>
  <c r="GK94" i="1"/>
  <c r="CY94" i="1"/>
  <c r="X94" i="1" s="1"/>
  <c r="CZ92" i="1"/>
  <c r="Y92" i="1" s="1"/>
  <c r="GM92" i="1" s="1"/>
  <c r="CY92" i="1"/>
  <c r="X92" i="1" s="1"/>
  <c r="GN92" i="1" s="1"/>
  <c r="CY89" i="1"/>
  <c r="X89" i="1" s="1"/>
  <c r="CZ89" i="1"/>
  <c r="Y89" i="1" s="1"/>
  <c r="CQ88" i="1"/>
  <c r="P88" i="1" s="1"/>
  <c r="CP88" i="1" s="1"/>
  <c r="O88" i="1" s="1"/>
  <c r="CX210" i="3"/>
  <c r="CX214" i="3"/>
  <c r="CX209" i="3"/>
  <c r="CX213" i="3"/>
  <c r="CX211" i="3"/>
  <c r="CX212" i="3"/>
  <c r="CX198" i="3"/>
  <c r="CX199" i="3"/>
  <c r="CX200" i="3"/>
  <c r="CX188" i="3"/>
  <c r="CX187" i="3"/>
  <c r="CX191" i="3"/>
  <c r="CX194" i="3"/>
  <c r="CX193" i="3"/>
  <c r="CX197" i="3"/>
  <c r="CX189" i="3"/>
  <c r="CX195" i="3"/>
  <c r="CX196" i="3"/>
  <c r="CX190" i="3"/>
  <c r="CX192" i="3"/>
  <c r="CX168" i="3"/>
  <c r="CX172" i="3"/>
  <c r="CX167" i="3"/>
  <c r="CX171" i="3"/>
  <c r="CX169" i="3"/>
  <c r="CX173" i="3"/>
  <c r="CX166" i="3"/>
  <c r="CX170" i="3"/>
  <c r="CX141" i="3"/>
  <c r="CX145" i="3"/>
  <c r="CX149" i="3"/>
  <c r="CX144" i="3"/>
  <c r="CX148" i="3"/>
  <c r="CX152" i="3"/>
  <c r="CX143" i="3"/>
  <c r="CX147" i="3"/>
  <c r="CX151" i="3"/>
  <c r="CX150" i="3"/>
  <c r="CX146" i="3"/>
  <c r="CX142" i="3"/>
  <c r="CX121" i="3"/>
  <c r="CX125" i="3"/>
  <c r="CX124" i="3"/>
  <c r="CX123" i="3"/>
  <c r="CX122" i="3"/>
  <c r="CX126" i="3"/>
  <c r="CS107" i="1"/>
  <c r="R107" i="1" s="1"/>
  <c r="GK107" i="1" s="1"/>
  <c r="AD107" i="1"/>
  <c r="CR107" i="1" s="1"/>
  <c r="Q107" i="1" s="1"/>
  <c r="CY101" i="1"/>
  <c r="X101" i="1" s="1"/>
  <c r="CZ101" i="1"/>
  <c r="Y101" i="1" s="1"/>
  <c r="CQ97" i="1"/>
  <c r="P97" i="1" s="1"/>
  <c r="CP97" i="1" s="1"/>
  <c r="O97" i="1" s="1"/>
  <c r="AB97" i="1"/>
  <c r="CZ94" i="1"/>
  <c r="Y94" i="1" s="1"/>
  <c r="CQ93" i="1"/>
  <c r="P93" i="1" s="1"/>
  <c r="CP93" i="1" s="1"/>
  <c r="O93" i="1" s="1"/>
  <c r="AB93" i="1"/>
  <c r="CQ91" i="1"/>
  <c r="P91" i="1" s="1"/>
  <c r="CP91" i="1" s="1"/>
  <c r="O91" i="1" s="1"/>
  <c r="AB91" i="1"/>
  <c r="AD86" i="1"/>
  <c r="CR86" i="1" s="1"/>
  <c r="CS86" i="1"/>
  <c r="R86" i="1" s="1"/>
  <c r="CZ48" i="1"/>
  <c r="Y48" i="1" s="1"/>
  <c r="CY48" i="1"/>
  <c r="X48" i="1" s="1"/>
  <c r="CZ46" i="1"/>
  <c r="Y46" i="1" s="1"/>
  <c r="CY46" i="1"/>
  <c r="X46" i="1" s="1"/>
  <c r="CZ44" i="1"/>
  <c r="Y44" i="1" s="1"/>
  <c r="CY44" i="1"/>
  <c r="X44" i="1" s="1"/>
  <c r="I141" i="1"/>
  <c r="Q141" i="1" s="1"/>
  <c r="I137" i="1"/>
  <c r="I120" i="1"/>
  <c r="T106" i="1"/>
  <c r="AB102" i="1"/>
  <c r="CQ100" i="1"/>
  <c r="P100" i="1" s="1"/>
  <c r="CP100" i="1" s="1"/>
  <c r="O100" i="1" s="1"/>
  <c r="AB100" i="1"/>
  <c r="CP99" i="1"/>
  <c r="O99" i="1" s="1"/>
  <c r="CS98" i="1"/>
  <c r="R98" i="1" s="1"/>
  <c r="AD98" i="1"/>
  <c r="CR98" i="1" s="1"/>
  <c r="Q98" i="1" s="1"/>
  <c r="CP98" i="1" s="1"/>
  <c r="O98" i="1" s="1"/>
  <c r="CY97" i="1"/>
  <c r="X97" i="1" s="1"/>
  <c r="CZ97" i="1"/>
  <c r="Y97" i="1" s="1"/>
  <c r="CS95" i="1"/>
  <c r="R95" i="1" s="1"/>
  <c r="AD95" i="1"/>
  <c r="CR95" i="1" s="1"/>
  <c r="Q95" i="1" s="1"/>
  <c r="AB94" i="1"/>
  <c r="CY93" i="1"/>
  <c r="X93" i="1" s="1"/>
  <c r="CZ93" i="1"/>
  <c r="Y93" i="1" s="1"/>
  <c r="AB92" i="1"/>
  <c r="AB48" i="1"/>
  <c r="CQ48" i="1"/>
  <c r="P48" i="1" s="1"/>
  <c r="CP48" i="1" s="1"/>
  <c r="O48" i="1" s="1"/>
  <c r="CP44" i="1"/>
  <c r="O44" i="1" s="1"/>
  <c r="CZ43" i="1"/>
  <c r="Y43" i="1" s="1"/>
  <c r="CY43" i="1"/>
  <c r="X43" i="1" s="1"/>
  <c r="CZ42" i="1"/>
  <c r="Y42" i="1" s="1"/>
  <c r="CC52" i="1"/>
  <c r="CX218" i="3"/>
  <c r="CX222" i="3"/>
  <c r="CX226" i="3"/>
  <c r="CX217" i="3"/>
  <c r="CX221" i="3"/>
  <c r="CX225" i="3"/>
  <c r="CX215" i="3"/>
  <c r="CX219" i="3"/>
  <c r="CX223" i="3"/>
  <c r="CX227" i="3"/>
  <c r="CX224" i="3"/>
  <c r="CX216" i="3"/>
  <c r="CX220" i="3"/>
  <c r="I140" i="1"/>
  <c r="W140" i="1" s="1"/>
  <c r="CX202" i="3"/>
  <c r="CX206" i="3"/>
  <c r="CX201" i="3"/>
  <c r="CX205" i="3"/>
  <c r="CX203" i="3"/>
  <c r="CX207" i="3"/>
  <c r="CX208" i="3"/>
  <c r="CX204" i="3"/>
  <c r="I136" i="1"/>
  <c r="V136" i="1" s="1"/>
  <c r="I134" i="1"/>
  <c r="S134" i="1" s="1"/>
  <c r="I119" i="1"/>
  <c r="T119" i="1" s="1"/>
  <c r="I110" i="1"/>
  <c r="T110" i="1" s="1"/>
  <c r="U106" i="1"/>
  <c r="Q106" i="1"/>
  <c r="CP106" i="1" s="1"/>
  <c r="O106" i="1" s="1"/>
  <c r="CR104" i="1"/>
  <c r="Q104" i="1" s="1"/>
  <c r="CP104" i="1" s="1"/>
  <c r="O104" i="1" s="1"/>
  <c r="AB104" i="1"/>
  <c r="CQ103" i="1"/>
  <c r="P103" i="1" s="1"/>
  <c r="CP103" i="1" s="1"/>
  <c r="O103" i="1" s="1"/>
  <c r="AB103" i="1"/>
  <c r="CZ102" i="1"/>
  <c r="Y102" i="1" s="1"/>
  <c r="P101" i="1"/>
  <c r="CP101" i="1" s="1"/>
  <c r="O101" i="1" s="1"/>
  <c r="AB99" i="1"/>
  <c r="CY96" i="1"/>
  <c r="X96" i="1" s="1"/>
  <c r="GN96" i="1" s="1"/>
  <c r="CZ96" i="1"/>
  <c r="Y96" i="1" s="1"/>
  <c r="CY95" i="1"/>
  <c r="X95" i="1" s="1"/>
  <c r="CQ89" i="1"/>
  <c r="P89" i="1" s="1"/>
  <c r="CP89" i="1" s="1"/>
  <c r="O89" i="1" s="1"/>
  <c r="AB89" i="1"/>
  <c r="BB30" i="1"/>
  <c r="F65" i="1"/>
  <c r="CZ50" i="1"/>
  <c r="Y50" i="1" s="1"/>
  <c r="CY50" i="1"/>
  <c r="X50" i="1" s="1"/>
  <c r="CT45" i="1"/>
  <c r="S45" i="1" s="1"/>
  <c r="AB45" i="1"/>
  <c r="S41" i="1"/>
  <c r="CZ35" i="1"/>
  <c r="Y35" i="1" s="1"/>
  <c r="CY35" i="1"/>
  <c r="X35" i="1" s="1"/>
  <c r="GM35" i="1" s="1"/>
  <c r="CQ107" i="1"/>
  <c r="P107" i="1" s="1"/>
  <c r="CP107" i="1" s="1"/>
  <c r="O107" i="1" s="1"/>
  <c r="CS105" i="1"/>
  <c r="R105" i="1" s="1"/>
  <c r="GK105" i="1" s="1"/>
  <c r="CS103" i="1"/>
  <c r="R103" i="1" s="1"/>
  <c r="GK103" i="1" s="1"/>
  <c r="CQ95" i="1"/>
  <c r="P95" i="1" s="1"/>
  <c r="CX65" i="3"/>
  <c r="CX69" i="3"/>
  <c r="CX68" i="3"/>
  <c r="CX67" i="3"/>
  <c r="CX71" i="3"/>
  <c r="CX66" i="3"/>
  <c r="CX70" i="3"/>
  <c r="V87" i="1"/>
  <c r="W87" i="1"/>
  <c r="S87" i="1"/>
  <c r="T85" i="1"/>
  <c r="CD30" i="1"/>
  <c r="AU52" i="1"/>
  <c r="AB50" i="1"/>
  <c r="CQ50" i="1"/>
  <c r="P50" i="1" s="1"/>
  <c r="CP50" i="1" s="1"/>
  <c r="O50" i="1" s="1"/>
  <c r="T49" i="1"/>
  <c r="AB49" i="1"/>
  <c r="W47" i="1"/>
  <c r="S47" i="1"/>
  <c r="CP47" i="1" s="1"/>
  <c r="O47" i="1" s="1"/>
  <c r="AB44" i="1"/>
  <c r="AB42" i="1"/>
  <c r="R38" i="1"/>
  <c r="GK38" i="1" s="1"/>
  <c r="CS36" i="1"/>
  <c r="R36" i="1" s="1"/>
  <c r="AD36" i="1"/>
  <c r="R32" i="1"/>
  <c r="CX109" i="3"/>
  <c r="CX113" i="3"/>
  <c r="CX117" i="3"/>
  <c r="CX108" i="3"/>
  <c r="CX112" i="3"/>
  <c r="CX116" i="3"/>
  <c r="CX111" i="3"/>
  <c r="CX115" i="3"/>
  <c r="CX118" i="3"/>
  <c r="CX110" i="3"/>
  <c r="CX114" i="3"/>
  <c r="CX81" i="3"/>
  <c r="CX80" i="3"/>
  <c r="CX79" i="3"/>
  <c r="CX83" i="3"/>
  <c r="CX82" i="3"/>
  <c r="CX73" i="3"/>
  <c r="CX77" i="3"/>
  <c r="CX72" i="3"/>
  <c r="CX76" i="3"/>
  <c r="CX75" i="3"/>
  <c r="CX78" i="3"/>
  <c r="CX74" i="3"/>
  <c r="T86" i="1"/>
  <c r="CL30" i="1"/>
  <c r="BC52" i="1"/>
  <c r="BZ30" i="1"/>
  <c r="AQ52" i="1"/>
  <c r="W49" i="1"/>
  <c r="S49" i="1"/>
  <c r="Q47" i="1"/>
  <c r="CP45" i="1"/>
  <c r="O45" i="1" s="1"/>
  <c r="CY42" i="1"/>
  <c r="X42" i="1" s="1"/>
  <c r="AB39" i="1"/>
  <c r="CQ39" i="1"/>
  <c r="P39" i="1" s="1"/>
  <c r="CP39" i="1" s="1"/>
  <c r="O39" i="1" s="1"/>
  <c r="W38" i="1"/>
  <c r="CS34" i="1"/>
  <c r="R34" i="1" s="1"/>
  <c r="AD34" i="1"/>
  <c r="AD33" i="1"/>
  <c r="CS33" i="1"/>
  <c r="R33" i="1" s="1"/>
  <c r="GK33" i="1" s="1"/>
  <c r="BY52" i="1"/>
  <c r="S32" i="1"/>
  <c r="V32" i="1"/>
  <c r="CX85" i="3"/>
  <c r="CX89" i="3"/>
  <c r="CX84" i="3"/>
  <c r="CX88" i="3"/>
  <c r="CX92" i="3"/>
  <c r="CX87" i="3"/>
  <c r="CX91" i="3"/>
  <c r="CX90" i="3"/>
  <c r="CX86" i="3"/>
  <c r="AD88" i="1"/>
  <c r="CR88" i="1" s="1"/>
  <c r="Q88" i="1" s="1"/>
  <c r="CS88" i="1"/>
  <c r="R88" i="1" s="1"/>
  <c r="R87" i="1"/>
  <c r="GK87" i="1" s="1"/>
  <c r="U87" i="1"/>
  <c r="AB87" i="1"/>
  <c r="CR87" i="1"/>
  <c r="Q87" i="1" s="1"/>
  <c r="W86" i="1"/>
  <c r="CP85" i="1"/>
  <c r="O85" i="1" s="1"/>
  <c r="CX41" i="3"/>
  <c r="CX45" i="3"/>
  <c r="CX49" i="3"/>
  <c r="CX44" i="3"/>
  <c r="CX48" i="3"/>
  <c r="CX52" i="3"/>
  <c r="CX43" i="3"/>
  <c r="CX47" i="3"/>
  <c r="CX51" i="3"/>
  <c r="CX46" i="3"/>
  <c r="CX42" i="3"/>
  <c r="CX50" i="3"/>
  <c r="I87" i="1"/>
  <c r="GX87" i="1" s="1"/>
  <c r="I86" i="1"/>
  <c r="GX86" i="1" s="1"/>
  <c r="AO30" i="1"/>
  <c r="F56" i="1"/>
  <c r="Q49" i="1"/>
  <c r="CP49" i="1" s="1"/>
  <c r="O49" i="1" s="1"/>
  <c r="AB46" i="1"/>
  <c r="CQ46" i="1"/>
  <c r="P46" i="1" s="1"/>
  <c r="CP46" i="1" s="1"/>
  <c r="O46" i="1" s="1"/>
  <c r="AB43" i="1"/>
  <c r="CQ43" i="1"/>
  <c r="P43" i="1" s="1"/>
  <c r="CP43" i="1" s="1"/>
  <c r="O43" i="1" s="1"/>
  <c r="CP42" i="1"/>
  <c r="O42" i="1" s="1"/>
  <c r="GM40" i="1"/>
  <c r="GN40" i="1"/>
  <c r="S38" i="1"/>
  <c r="GX38" i="1"/>
  <c r="AB37" i="1"/>
  <c r="CQ37" i="1"/>
  <c r="P37" i="1" s="1"/>
  <c r="CX53" i="3"/>
  <c r="CX57" i="3"/>
  <c r="CX61" i="3"/>
  <c r="CX56" i="3"/>
  <c r="CX60" i="3"/>
  <c r="CX64" i="3"/>
  <c r="CX55" i="3"/>
  <c r="CX59" i="3"/>
  <c r="CX63" i="3"/>
  <c r="CX62" i="3"/>
  <c r="CX58" i="3"/>
  <c r="CX54" i="3"/>
  <c r="AB86" i="1"/>
  <c r="Q37" i="1"/>
  <c r="W33" i="1"/>
  <c r="S33" i="1"/>
  <c r="BX30" i="1"/>
  <c r="CG52" i="1"/>
  <c r="CX37" i="3"/>
  <c r="CX36" i="3"/>
  <c r="CX39" i="3"/>
  <c r="CX38" i="3"/>
  <c r="CX29" i="3"/>
  <c r="CX33" i="3"/>
  <c r="CX32" i="3"/>
  <c r="CX31" i="3"/>
  <c r="CX35" i="3"/>
  <c r="CX30" i="3"/>
  <c r="CX34" i="3"/>
  <c r="CX16" i="3"/>
  <c r="CX15" i="3"/>
  <c r="CX14" i="3"/>
  <c r="R41" i="1"/>
  <c r="GK41" i="1" s="1"/>
  <c r="AB40" i="1"/>
  <c r="T38" i="1"/>
  <c r="P38" i="1"/>
  <c r="P33" i="1"/>
  <c r="T32" i="1"/>
  <c r="P32" i="1"/>
  <c r="CX17" i="3"/>
  <c r="CX21" i="3"/>
  <c r="CX20" i="3"/>
  <c r="CX19" i="3"/>
  <c r="CX18" i="3"/>
  <c r="CQ41" i="1"/>
  <c r="P41" i="1" s="1"/>
  <c r="AD41" i="1"/>
  <c r="CR41" i="1" s="1"/>
  <c r="Q41" i="1" s="1"/>
  <c r="CX9" i="3"/>
  <c r="CX12" i="3"/>
  <c r="CX11" i="3"/>
  <c r="CX10" i="3"/>
  <c r="I41" i="1"/>
  <c r="V41" i="1" s="1"/>
  <c r="AB38" i="1"/>
  <c r="V37" i="1"/>
  <c r="R37" i="1"/>
  <c r="GK37" i="1" s="1"/>
  <c r="T33" i="1"/>
  <c r="AB32" i="1"/>
  <c r="CX2" i="3"/>
  <c r="CX1" i="3"/>
  <c r="CX5" i="3"/>
  <c r="CX4" i="3"/>
  <c r="CX3" i="3"/>
  <c r="CX7" i="3"/>
  <c r="CX6" i="3"/>
  <c r="J925" i="5" l="1"/>
  <c r="J1183" i="5"/>
  <c r="J1115" i="5"/>
  <c r="J575" i="5"/>
  <c r="J154" i="5"/>
  <c r="G1184" i="5"/>
  <c r="J577" i="5"/>
  <c r="G925" i="5"/>
  <c r="G18" i="5"/>
  <c r="J927" i="5"/>
  <c r="J1047" i="5"/>
  <c r="G575" i="5"/>
  <c r="J756" i="5"/>
  <c r="G577" i="5"/>
  <c r="J1184" i="5"/>
  <c r="G17" i="5"/>
  <c r="G16" i="5"/>
  <c r="G927" i="5"/>
  <c r="G756" i="5"/>
  <c r="CZ176" i="1"/>
  <c r="Y176" i="1" s="1"/>
  <c r="CY176" i="1"/>
  <c r="X176" i="1" s="1"/>
  <c r="GM159" i="1"/>
  <c r="GN159" i="1"/>
  <c r="GN161" i="1"/>
  <c r="GM161" i="1"/>
  <c r="AD251" i="1"/>
  <c r="Q259" i="1"/>
  <c r="GO293" i="1"/>
  <c r="GM293" i="1"/>
  <c r="AI350" i="1"/>
  <c r="V390" i="1"/>
  <c r="AJ572" i="1"/>
  <c r="W580" i="1"/>
  <c r="AI290" i="1"/>
  <c r="V319" i="1"/>
  <c r="GM361" i="1"/>
  <c r="GO361" i="1"/>
  <c r="GM104" i="1"/>
  <c r="GN104" i="1"/>
  <c r="GN165" i="1"/>
  <c r="GM165" i="1"/>
  <c r="AJ290" i="1"/>
  <c r="W319" i="1"/>
  <c r="GO307" i="1"/>
  <c r="GM307" i="1"/>
  <c r="GM378" i="1"/>
  <c r="GO378" i="1"/>
  <c r="GM363" i="1"/>
  <c r="GO363" i="1"/>
  <c r="GM372" i="1"/>
  <c r="GO372" i="1"/>
  <c r="BA457" i="1"/>
  <c r="CJ450" i="1"/>
  <c r="GN613" i="1"/>
  <c r="GM613" i="1"/>
  <c r="AJ653" i="1"/>
  <c r="W669" i="1"/>
  <c r="GM106" i="1"/>
  <c r="GN106" i="1"/>
  <c r="CZ134" i="1"/>
  <c r="Y134" i="1" s="1"/>
  <c r="CY134" i="1"/>
  <c r="X134" i="1" s="1"/>
  <c r="GO299" i="1"/>
  <c r="GM299" i="1"/>
  <c r="AH290" i="1"/>
  <c r="U319" i="1"/>
  <c r="GM369" i="1"/>
  <c r="GO369" i="1"/>
  <c r="AF572" i="1"/>
  <c r="S580" i="1"/>
  <c r="GK618" i="1"/>
  <c r="AE622" i="1"/>
  <c r="GM42" i="1"/>
  <c r="GN42" i="1"/>
  <c r="AE52" i="1"/>
  <c r="GK32" i="1"/>
  <c r="CZ41" i="1"/>
  <c r="Y41" i="1" s="1"/>
  <c r="CY41" i="1"/>
  <c r="X41" i="1" s="1"/>
  <c r="GX120" i="1"/>
  <c r="W120" i="1"/>
  <c r="T120" i="1"/>
  <c r="CZ107" i="1"/>
  <c r="Y107" i="1" s="1"/>
  <c r="AB116" i="1"/>
  <c r="CR116" i="1"/>
  <c r="Q116" i="1" s="1"/>
  <c r="CP116" i="1" s="1"/>
  <c r="O116" i="1" s="1"/>
  <c r="Q120" i="1"/>
  <c r="R128" i="1"/>
  <c r="GK128" i="1" s="1"/>
  <c r="AB131" i="1"/>
  <c r="CR131" i="1"/>
  <c r="Q131" i="1" s="1"/>
  <c r="AB172" i="1"/>
  <c r="CR172" i="1"/>
  <c r="Q172" i="1" s="1"/>
  <c r="AG251" i="1"/>
  <c r="T259" i="1"/>
  <c r="GM253" i="1"/>
  <c r="GN253" i="1"/>
  <c r="AQ83" i="1"/>
  <c r="F197" i="1"/>
  <c r="GO314" i="1"/>
  <c r="GM314" i="1"/>
  <c r="GK371" i="1"/>
  <c r="CZ371" i="1"/>
  <c r="Y371" i="1" s="1"/>
  <c r="GK352" i="1"/>
  <c r="AE390" i="1"/>
  <c r="GO295" i="1"/>
  <c r="GM295" i="1"/>
  <c r="Q669" i="1"/>
  <c r="AD653" i="1"/>
  <c r="AU350" i="1"/>
  <c r="F409" i="1"/>
  <c r="CP452" i="1"/>
  <c r="O452" i="1" s="1"/>
  <c r="AC457" i="1"/>
  <c r="CZ618" i="1"/>
  <c r="Y618" i="1" s="1"/>
  <c r="CY618" i="1"/>
  <c r="X618" i="1" s="1"/>
  <c r="GK667" i="1"/>
  <c r="CZ667" i="1"/>
  <c r="Y667" i="1" s="1"/>
  <c r="AU498" i="1"/>
  <c r="CD488" i="1"/>
  <c r="CG622" i="1"/>
  <c r="BZ611" i="1"/>
  <c r="AQ622" i="1"/>
  <c r="CI622" i="1"/>
  <c r="GM663" i="1"/>
  <c r="GN663" i="1"/>
  <c r="GK536" i="1"/>
  <c r="CZ536" i="1"/>
  <c r="Y536" i="1" s="1"/>
  <c r="GO533" i="1"/>
  <c r="GM533" i="1"/>
  <c r="U669" i="1"/>
  <c r="AH653" i="1"/>
  <c r="GN658" i="1"/>
  <c r="GM658" i="1"/>
  <c r="AG488" i="1"/>
  <c r="T498" i="1"/>
  <c r="CG30" i="1"/>
  <c r="AX52" i="1"/>
  <c r="GM43" i="1"/>
  <c r="GN43" i="1"/>
  <c r="GK88" i="1"/>
  <c r="CZ88" i="1"/>
  <c r="Y88" i="1" s="1"/>
  <c r="GN39" i="1"/>
  <c r="GM39" i="1"/>
  <c r="P86" i="1"/>
  <c r="GM101" i="1"/>
  <c r="GN101" i="1"/>
  <c r="CC30" i="1"/>
  <c r="AT52" i="1"/>
  <c r="GK95" i="1"/>
  <c r="CZ95" i="1"/>
  <c r="Y95" i="1" s="1"/>
  <c r="GK98" i="1"/>
  <c r="CZ98" i="1"/>
  <c r="Y98" i="1" s="1"/>
  <c r="GM100" i="1"/>
  <c r="GN100" i="1"/>
  <c r="GX137" i="1"/>
  <c r="W137" i="1"/>
  <c r="CZ37" i="1"/>
  <c r="Y37" i="1" s="1"/>
  <c r="Q86" i="1"/>
  <c r="GM91" i="1"/>
  <c r="GN91" i="1"/>
  <c r="GK108" i="1"/>
  <c r="CY108" i="1"/>
  <c r="X108" i="1" s="1"/>
  <c r="U110" i="1"/>
  <c r="AH187" i="1" s="1"/>
  <c r="GN111" i="1"/>
  <c r="CP131" i="1"/>
  <c r="O131" i="1" s="1"/>
  <c r="Q134" i="1"/>
  <c r="GK135" i="1"/>
  <c r="CZ135" i="1"/>
  <c r="Y135" i="1" s="1"/>
  <c r="Q140" i="1"/>
  <c r="GM147" i="1"/>
  <c r="GN147" i="1"/>
  <c r="CY107" i="1"/>
  <c r="X107" i="1" s="1"/>
  <c r="V110" i="1"/>
  <c r="CY115" i="1"/>
  <c r="X115" i="1" s="1"/>
  <c r="GM115" i="1" s="1"/>
  <c r="CZ115" i="1"/>
  <c r="Y115" i="1" s="1"/>
  <c r="U120" i="1"/>
  <c r="AB127" i="1"/>
  <c r="CR127" i="1"/>
  <c r="Q127" i="1" s="1"/>
  <c r="CP127" i="1" s="1"/>
  <c r="O127" i="1" s="1"/>
  <c r="GM130" i="1"/>
  <c r="GN130" i="1"/>
  <c r="V134" i="1"/>
  <c r="S136" i="1"/>
  <c r="T137" i="1"/>
  <c r="CY144" i="1"/>
  <c r="X144" i="1" s="1"/>
  <c r="GM144" i="1" s="1"/>
  <c r="CZ144" i="1"/>
  <c r="Y144" i="1" s="1"/>
  <c r="AB109" i="1"/>
  <c r="CR109" i="1"/>
  <c r="Q109" i="1" s="1"/>
  <c r="CP109" i="1" s="1"/>
  <c r="O109" i="1" s="1"/>
  <c r="V128" i="1"/>
  <c r="S132" i="1"/>
  <c r="W136" i="1"/>
  <c r="GM143" i="1"/>
  <c r="GN143" i="1"/>
  <c r="V131" i="1"/>
  <c r="AB154" i="1"/>
  <c r="CR154" i="1"/>
  <c r="Q154" i="1" s="1"/>
  <c r="CP154" i="1" s="1"/>
  <c r="O154" i="1" s="1"/>
  <c r="Q175" i="1"/>
  <c r="V176" i="1"/>
  <c r="CY122" i="1"/>
  <c r="X122" i="1" s="1"/>
  <c r="U137" i="1"/>
  <c r="CZ145" i="1"/>
  <c r="Y145" i="1" s="1"/>
  <c r="GM152" i="1"/>
  <c r="GN152" i="1"/>
  <c r="Q157" i="1"/>
  <c r="GK174" i="1"/>
  <c r="CZ174" i="1"/>
  <c r="Y174" i="1" s="1"/>
  <c r="GM111" i="1"/>
  <c r="W119" i="1"/>
  <c r="CY126" i="1"/>
  <c r="X126" i="1" s="1"/>
  <c r="GM126" i="1" s="1"/>
  <c r="CZ126" i="1"/>
  <c r="Y126" i="1" s="1"/>
  <c r="P136" i="1"/>
  <c r="GM151" i="1"/>
  <c r="GN151" i="1"/>
  <c r="V156" i="1"/>
  <c r="GM163" i="1"/>
  <c r="GN163" i="1"/>
  <c r="CY171" i="1"/>
  <c r="X171" i="1" s="1"/>
  <c r="GN171" i="1" s="1"/>
  <c r="CZ171" i="1"/>
  <c r="Y171" i="1" s="1"/>
  <c r="CY174" i="1"/>
  <c r="X174" i="1" s="1"/>
  <c r="P176" i="1"/>
  <c r="CI83" i="1"/>
  <c r="AZ187" i="1"/>
  <c r="S128" i="1"/>
  <c r="GX157" i="1"/>
  <c r="Q176" i="1"/>
  <c r="U127" i="1"/>
  <c r="GM168" i="1"/>
  <c r="GN168" i="1"/>
  <c r="CJ251" i="1"/>
  <c r="BA259" i="1"/>
  <c r="P119" i="1"/>
  <c r="T157" i="1"/>
  <c r="P172" i="1"/>
  <c r="CP172" i="1" s="1"/>
  <c r="O172" i="1" s="1"/>
  <c r="T173" i="1"/>
  <c r="CZ181" i="1"/>
  <c r="Y181" i="1" s="1"/>
  <c r="CY181" i="1"/>
  <c r="X181" i="1" s="1"/>
  <c r="S127" i="1"/>
  <c r="W156" i="1"/>
  <c r="AK259" i="1"/>
  <c r="CD251" i="1"/>
  <c r="AU259" i="1"/>
  <c r="AE251" i="1"/>
  <c r="R259" i="1"/>
  <c r="BZ290" i="1"/>
  <c r="AQ319" i="1"/>
  <c r="CG319" i="1"/>
  <c r="CZ353" i="1"/>
  <c r="Y353" i="1" s="1"/>
  <c r="CY353" i="1"/>
  <c r="X353" i="1" s="1"/>
  <c r="CZ357" i="1"/>
  <c r="Y357" i="1" s="1"/>
  <c r="CY357" i="1"/>
  <c r="X357" i="1" s="1"/>
  <c r="AU83" i="1"/>
  <c r="F206" i="1"/>
  <c r="AH251" i="1"/>
  <c r="U259" i="1"/>
  <c r="GK292" i="1"/>
  <c r="CZ292" i="1"/>
  <c r="Y292" i="1" s="1"/>
  <c r="AE319" i="1"/>
  <c r="GO297" i="1"/>
  <c r="GM297" i="1"/>
  <c r="CY298" i="1"/>
  <c r="X298" i="1" s="1"/>
  <c r="GO298" i="1" s="1"/>
  <c r="CZ306" i="1"/>
  <c r="Y306" i="1" s="1"/>
  <c r="CY306" i="1"/>
  <c r="X306" i="1" s="1"/>
  <c r="CP362" i="1"/>
  <c r="O362" i="1" s="1"/>
  <c r="GM166" i="1"/>
  <c r="GN166" i="1"/>
  <c r="GO257" i="1"/>
  <c r="CI251" i="1"/>
  <c r="AZ259" i="1"/>
  <c r="AP319" i="1"/>
  <c r="BY290" i="1"/>
  <c r="CI319" i="1"/>
  <c r="CP305" i="1"/>
  <c r="O305" i="1" s="1"/>
  <c r="CZ352" i="1"/>
  <c r="Y352" i="1" s="1"/>
  <c r="GK362" i="1"/>
  <c r="CZ362" i="1"/>
  <c r="Y362" i="1" s="1"/>
  <c r="CG529" i="1"/>
  <c r="AX541" i="1"/>
  <c r="V251" i="1"/>
  <c r="F282" i="1"/>
  <c r="V419" i="1"/>
  <c r="CZ356" i="1"/>
  <c r="Y356" i="1" s="1"/>
  <c r="CP255" i="1"/>
  <c r="O255" i="1" s="1"/>
  <c r="CP306" i="1"/>
  <c r="O306" i="1" s="1"/>
  <c r="GM365" i="1"/>
  <c r="GO365" i="1"/>
  <c r="GO373" i="1"/>
  <c r="GM373" i="1"/>
  <c r="CZ379" i="1"/>
  <c r="Y379" i="1" s="1"/>
  <c r="CY305" i="1"/>
  <c r="X305" i="1" s="1"/>
  <c r="CP357" i="1"/>
  <c r="O357" i="1" s="1"/>
  <c r="CY370" i="1"/>
  <c r="X370" i="1" s="1"/>
  <c r="CZ316" i="1"/>
  <c r="Y316" i="1" s="1"/>
  <c r="U386" i="1"/>
  <c r="AH390" i="1" s="1"/>
  <c r="W386" i="1"/>
  <c r="P386" i="1"/>
  <c r="AG450" i="1"/>
  <c r="T457" i="1"/>
  <c r="AX498" i="1"/>
  <c r="CG488" i="1"/>
  <c r="U537" i="1"/>
  <c r="AB538" i="1"/>
  <c r="CR538" i="1"/>
  <c r="Q538" i="1" s="1"/>
  <c r="CP538" i="1" s="1"/>
  <c r="O538" i="1" s="1"/>
  <c r="AG572" i="1"/>
  <c r="T580" i="1"/>
  <c r="GM576" i="1"/>
  <c r="GN576" i="1"/>
  <c r="CI572" i="1"/>
  <c r="AZ580" i="1"/>
  <c r="Q580" i="1"/>
  <c r="AD572" i="1"/>
  <c r="CZ657" i="1"/>
  <c r="Y657" i="1" s="1"/>
  <c r="CP661" i="1"/>
  <c r="O661" i="1" s="1"/>
  <c r="GM664" i="1"/>
  <c r="GN664" i="1"/>
  <c r="Q386" i="1"/>
  <c r="GM534" i="1"/>
  <c r="GO534" i="1"/>
  <c r="GN575" i="1"/>
  <c r="GM575" i="1"/>
  <c r="CY384" i="1"/>
  <c r="X384" i="1" s="1"/>
  <c r="AE450" i="1"/>
  <c r="R457" i="1"/>
  <c r="GP454" i="1"/>
  <c r="GM454" i="1"/>
  <c r="GM495" i="1"/>
  <c r="GO495" i="1"/>
  <c r="R537" i="1"/>
  <c r="GK537" i="1" s="1"/>
  <c r="U539" i="1"/>
  <c r="AE580" i="1"/>
  <c r="AO572" i="1"/>
  <c r="F584" i="1"/>
  <c r="CY616" i="1"/>
  <c r="X616" i="1" s="1"/>
  <c r="CZ616" i="1"/>
  <c r="Y616" i="1" s="1"/>
  <c r="F641" i="1"/>
  <c r="AU611" i="1"/>
  <c r="GN656" i="1"/>
  <c r="GM656" i="1"/>
  <c r="CY657" i="1"/>
  <c r="X657" i="1" s="1"/>
  <c r="GM491" i="1"/>
  <c r="GO491" i="1"/>
  <c r="AB536" i="1"/>
  <c r="CR536" i="1"/>
  <c r="Q536" i="1" s="1"/>
  <c r="F687" i="1"/>
  <c r="AT653" i="1"/>
  <c r="CY375" i="1"/>
  <c r="X375" i="1" s="1"/>
  <c r="GO490" i="1"/>
  <c r="GM490" i="1"/>
  <c r="BZ529" i="1"/>
  <c r="AQ541" i="1"/>
  <c r="CI541" i="1"/>
  <c r="CP578" i="1"/>
  <c r="O578" i="1" s="1"/>
  <c r="W617" i="1"/>
  <c r="AJ622" i="1" s="1"/>
  <c r="GN620" i="1"/>
  <c r="GM620" i="1"/>
  <c r="AE669" i="1"/>
  <c r="GM665" i="1"/>
  <c r="GN665" i="1"/>
  <c r="T386" i="1"/>
  <c r="CI488" i="1"/>
  <c r="AZ498" i="1"/>
  <c r="V619" i="1"/>
  <c r="AI622" i="1" s="1"/>
  <c r="BA653" i="1"/>
  <c r="F689" i="1"/>
  <c r="AK457" i="1"/>
  <c r="BA572" i="1"/>
  <c r="F600" i="1"/>
  <c r="AQ30" i="1"/>
  <c r="F62" i="1"/>
  <c r="AQ216" i="1"/>
  <c r="GM50" i="1"/>
  <c r="GN50" i="1"/>
  <c r="GN107" i="1"/>
  <c r="GM107" i="1"/>
  <c r="GK154" i="1"/>
  <c r="CZ154" i="1"/>
  <c r="Y154" i="1" s="1"/>
  <c r="GM150" i="1"/>
  <c r="GN150" i="1"/>
  <c r="GM164" i="1"/>
  <c r="GN164" i="1"/>
  <c r="CY172" i="1"/>
  <c r="X172" i="1" s="1"/>
  <c r="CZ172" i="1"/>
  <c r="Y172" i="1" s="1"/>
  <c r="CY90" i="1"/>
  <c r="X90" i="1" s="1"/>
  <c r="CZ90" i="1"/>
  <c r="Y90" i="1" s="1"/>
  <c r="U128" i="1"/>
  <c r="S120" i="1"/>
  <c r="GM178" i="1"/>
  <c r="GN178" i="1"/>
  <c r="GN179" i="1"/>
  <c r="GM179" i="1"/>
  <c r="AL251" i="1"/>
  <c r="Y259" i="1"/>
  <c r="GM353" i="1"/>
  <c r="GO353" i="1"/>
  <c r="CG350" i="1"/>
  <c r="AX390" i="1"/>
  <c r="CD290" i="1"/>
  <c r="AU319" i="1"/>
  <c r="AP350" i="1"/>
  <c r="F399" i="1"/>
  <c r="AB496" i="1"/>
  <c r="CR496" i="1"/>
  <c r="Q496" i="1" s="1"/>
  <c r="AU669" i="1"/>
  <c r="CD653" i="1"/>
  <c r="GM367" i="1"/>
  <c r="GO367" i="1"/>
  <c r="GO531" i="1"/>
  <c r="GM531" i="1"/>
  <c r="AX580" i="1"/>
  <c r="CG572" i="1"/>
  <c r="GN657" i="1"/>
  <c r="GM657" i="1"/>
  <c r="F678" i="1"/>
  <c r="AP653" i="1"/>
  <c r="AO653" i="1"/>
  <c r="F673" i="1"/>
  <c r="AP611" i="1"/>
  <c r="F631" i="1"/>
  <c r="CZ375" i="1"/>
  <c r="Y375" i="1" s="1"/>
  <c r="AC498" i="1"/>
  <c r="GM616" i="1"/>
  <c r="GN616" i="1"/>
  <c r="CP41" i="1"/>
  <c r="O41" i="1" s="1"/>
  <c r="CP37" i="1"/>
  <c r="O37" i="1" s="1"/>
  <c r="AI52" i="1"/>
  <c r="AB33" i="1"/>
  <c r="CR33" i="1"/>
  <c r="Q33" i="1" s="1"/>
  <c r="W41" i="1"/>
  <c r="CP95" i="1"/>
  <c r="O95" i="1" s="1"/>
  <c r="GM89" i="1"/>
  <c r="GN89" i="1"/>
  <c r="CP38" i="1"/>
  <c r="O38" i="1" s="1"/>
  <c r="AB41" i="1"/>
  <c r="CY32" i="1"/>
  <c r="X32" i="1" s="1"/>
  <c r="CZ32" i="1"/>
  <c r="Y32" i="1" s="1"/>
  <c r="AF52" i="1"/>
  <c r="AB34" i="1"/>
  <c r="CR34" i="1"/>
  <c r="Q34" i="1" s="1"/>
  <c r="CP34" i="1" s="1"/>
  <c r="O34" i="1" s="1"/>
  <c r="CY49" i="1"/>
  <c r="X49" i="1" s="1"/>
  <c r="GM49" i="1" s="1"/>
  <c r="CZ49" i="1"/>
  <c r="Y49" i="1" s="1"/>
  <c r="F68" i="1"/>
  <c r="BC30" i="1"/>
  <c r="BC216" i="1"/>
  <c r="AB36" i="1"/>
  <c r="CR36" i="1"/>
  <c r="Q36" i="1" s="1"/>
  <c r="CP36" i="1" s="1"/>
  <c r="O36" i="1" s="1"/>
  <c r="F71" i="1"/>
  <c r="AU30" i="1"/>
  <c r="AU216" i="1"/>
  <c r="S86" i="1"/>
  <c r="CY45" i="1"/>
  <c r="X45" i="1" s="1"/>
  <c r="GM45" i="1" s="1"/>
  <c r="CZ45" i="1"/>
  <c r="Y45" i="1" s="1"/>
  <c r="CP90" i="1"/>
  <c r="O90" i="1" s="1"/>
  <c r="GN35" i="1"/>
  <c r="CY98" i="1"/>
  <c r="X98" i="1" s="1"/>
  <c r="GN98" i="1" s="1"/>
  <c r="GX141" i="1"/>
  <c r="W141" i="1"/>
  <c r="S141" i="1"/>
  <c r="V86" i="1"/>
  <c r="GM97" i="1"/>
  <c r="GN97" i="1"/>
  <c r="S110" i="1"/>
  <c r="CP110" i="1" s="1"/>
  <c r="O110" i="1" s="1"/>
  <c r="GK112" i="1"/>
  <c r="CZ112" i="1"/>
  <c r="Y112" i="1" s="1"/>
  <c r="Q119" i="1"/>
  <c r="P120" i="1"/>
  <c r="CP120" i="1" s="1"/>
  <c r="O120" i="1" s="1"/>
  <c r="W128" i="1"/>
  <c r="R132" i="1"/>
  <c r="GK132" i="1" s="1"/>
  <c r="U134" i="1"/>
  <c r="AB135" i="1"/>
  <c r="CR135" i="1"/>
  <c r="Q135" i="1" s="1"/>
  <c r="CP135" i="1" s="1"/>
  <c r="O135" i="1" s="1"/>
  <c r="U140" i="1"/>
  <c r="CZ105" i="1"/>
  <c r="Y105" i="1" s="1"/>
  <c r="R119" i="1"/>
  <c r="GK119" i="1" s="1"/>
  <c r="R120" i="1"/>
  <c r="GK120" i="1" s="1"/>
  <c r="AB122" i="1"/>
  <c r="CR122" i="1"/>
  <c r="Q122" i="1" s="1"/>
  <c r="CP122" i="1" s="1"/>
  <c r="O122" i="1" s="1"/>
  <c r="AB125" i="1"/>
  <c r="CR125" i="1"/>
  <c r="Q125" i="1" s="1"/>
  <c r="CP125" i="1" s="1"/>
  <c r="O125" i="1" s="1"/>
  <c r="V127" i="1"/>
  <c r="W132" i="1"/>
  <c r="CY135" i="1"/>
  <c r="X135" i="1" s="1"/>
  <c r="GX136" i="1"/>
  <c r="U141" i="1"/>
  <c r="GM114" i="1"/>
  <c r="GN114" i="1"/>
  <c r="CY129" i="1"/>
  <c r="X129" i="1" s="1"/>
  <c r="W131" i="1"/>
  <c r="GX132" i="1"/>
  <c r="AB129" i="1"/>
  <c r="CR129" i="1"/>
  <c r="Q129" i="1" s="1"/>
  <c r="CP129" i="1" s="1"/>
  <c r="O129" i="1" s="1"/>
  <c r="U131" i="1"/>
  <c r="R136" i="1"/>
  <c r="GK136" i="1" s="1"/>
  <c r="GX156" i="1"/>
  <c r="R173" i="1"/>
  <c r="GK173" i="1" s="1"/>
  <c r="CZ103" i="1"/>
  <c r="Y103" i="1" s="1"/>
  <c r="GX131" i="1"/>
  <c r="S137" i="1"/>
  <c r="CY145" i="1"/>
  <c r="X145" i="1" s="1"/>
  <c r="CY154" i="1"/>
  <c r="X154" i="1" s="1"/>
  <c r="S173" i="1"/>
  <c r="AB174" i="1"/>
  <c r="CR174" i="1"/>
  <c r="Q174" i="1" s="1"/>
  <c r="CP174" i="1" s="1"/>
  <c r="O174" i="1" s="1"/>
  <c r="GN113" i="1"/>
  <c r="GM113" i="1"/>
  <c r="CZ125" i="1"/>
  <c r="Y125" i="1" s="1"/>
  <c r="GX128" i="1"/>
  <c r="P140" i="1"/>
  <c r="GM153" i="1"/>
  <c r="GN153" i="1"/>
  <c r="R157" i="1"/>
  <c r="GK157" i="1" s="1"/>
  <c r="S175" i="1"/>
  <c r="AO83" i="1"/>
  <c r="F191" i="1"/>
  <c r="AO216" i="1"/>
  <c r="T136" i="1"/>
  <c r="CZ170" i="1"/>
  <c r="Y170" i="1" s="1"/>
  <c r="U176" i="1"/>
  <c r="BC83" i="1"/>
  <c r="F203" i="1"/>
  <c r="W134" i="1"/>
  <c r="S157" i="1"/>
  <c r="GN180" i="1"/>
  <c r="GM180" i="1"/>
  <c r="GK158" i="1"/>
  <c r="CZ158" i="1"/>
  <c r="Y158" i="1" s="1"/>
  <c r="Q173" i="1"/>
  <c r="P175" i="1"/>
  <c r="CP175" i="1" s="1"/>
  <c r="O175" i="1" s="1"/>
  <c r="GK182" i="1"/>
  <c r="CZ182" i="1"/>
  <c r="Y182" i="1" s="1"/>
  <c r="AB296" i="1"/>
  <c r="W127" i="1"/>
  <c r="AJ187" i="1" s="1"/>
  <c r="AJ251" i="1"/>
  <c r="W259" i="1"/>
  <c r="BB251" i="1"/>
  <c r="F272" i="1"/>
  <c r="BB419" i="1"/>
  <c r="GO256" i="1"/>
  <c r="CC259" i="1" s="1"/>
  <c r="GM256" i="1"/>
  <c r="GO292" i="1"/>
  <c r="GM292" i="1"/>
  <c r="GK294" i="1"/>
  <c r="GM294" i="1" s="1"/>
  <c r="CZ294" i="1"/>
  <c r="Y294" i="1" s="1"/>
  <c r="GO294" i="1" s="1"/>
  <c r="CZ298" i="1"/>
  <c r="Y298" i="1" s="1"/>
  <c r="CZ304" i="1"/>
  <c r="Y304" i="1" s="1"/>
  <c r="CY304" i="1"/>
  <c r="X304" i="1" s="1"/>
  <c r="CZ308" i="1"/>
  <c r="Y308" i="1" s="1"/>
  <c r="GK308" i="1"/>
  <c r="CZ313" i="1"/>
  <c r="Y313" i="1" s="1"/>
  <c r="CY313" i="1"/>
  <c r="X313" i="1" s="1"/>
  <c r="CZ317" i="1"/>
  <c r="Y317" i="1" s="1"/>
  <c r="CY317" i="1"/>
  <c r="X317" i="1" s="1"/>
  <c r="AJ390" i="1"/>
  <c r="AD319" i="1"/>
  <c r="GK300" i="1"/>
  <c r="CZ300" i="1"/>
  <c r="Y300" i="1" s="1"/>
  <c r="GO300" i="1" s="1"/>
  <c r="GO312" i="1"/>
  <c r="GM312" i="1"/>
  <c r="CP364" i="1"/>
  <c r="O364" i="1" s="1"/>
  <c r="AB305" i="1"/>
  <c r="CY352" i="1"/>
  <c r="X352" i="1" s="1"/>
  <c r="GM370" i="1"/>
  <c r="GO370" i="1"/>
  <c r="GK374" i="1"/>
  <c r="CZ374" i="1"/>
  <c r="Y374" i="1" s="1"/>
  <c r="AX457" i="1"/>
  <c r="CG450" i="1"/>
  <c r="CY356" i="1"/>
  <c r="X356" i="1" s="1"/>
  <c r="P157" i="1"/>
  <c r="CP157" i="1" s="1"/>
  <c r="O157" i="1" s="1"/>
  <c r="GO311" i="1"/>
  <c r="CY379" i="1"/>
  <c r="X379" i="1" s="1"/>
  <c r="GM379" i="1" s="1"/>
  <c r="BB529" i="1"/>
  <c r="F554" i="1"/>
  <c r="AB364" i="1"/>
  <c r="AC319" i="1"/>
  <c r="CY316" i="1"/>
  <c r="X316" i="1" s="1"/>
  <c r="GM316" i="1" s="1"/>
  <c r="CP355" i="1"/>
  <c r="O355" i="1" s="1"/>
  <c r="AB362" i="1"/>
  <c r="AB371" i="1"/>
  <c r="CY388" i="1"/>
  <c r="X388" i="1" s="1"/>
  <c r="CZ388" i="1"/>
  <c r="Y388" i="1" s="1"/>
  <c r="AB617" i="1"/>
  <c r="AG390" i="1"/>
  <c r="GM375" i="1"/>
  <c r="GO375" i="1"/>
  <c r="CP388" i="1"/>
  <c r="O388" i="1" s="1"/>
  <c r="AO488" i="1"/>
  <c r="F502" i="1"/>
  <c r="CD529" i="1"/>
  <c r="AU541" i="1"/>
  <c r="S537" i="1"/>
  <c r="AT580" i="1"/>
  <c r="CC572" i="1"/>
  <c r="CP617" i="1"/>
  <c r="O617" i="1" s="1"/>
  <c r="AG653" i="1"/>
  <c r="T669" i="1"/>
  <c r="AB661" i="1"/>
  <c r="CY666" i="1"/>
  <c r="X666" i="1" s="1"/>
  <c r="CZ666" i="1"/>
  <c r="Y666" i="1" s="1"/>
  <c r="AL669" i="1" s="1"/>
  <c r="CY667" i="1"/>
  <c r="X667" i="1" s="1"/>
  <c r="GM667" i="1" s="1"/>
  <c r="AI450" i="1"/>
  <c r="V457" i="1"/>
  <c r="AB667" i="1"/>
  <c r="GM387" i="1"/>
  <c r="GO387" i="1"/>
  <c r="AP457" i="1"/>
  <c r="CI457" i="1"/>
  <c r="BY450" i="1"/>
  <c r="V537" i="1"/>
  <c r="S539" i="1"/>
  <c r="AC669" i="1"/>
  <c r="CP655" i="1"/>
  <c r="O655" i="1" s="1"/>
  <c r="CI653" i="1"/>
  <c r="AZ669" i="1"/>
  <c r="CP666" i="1"/>
  <c r="O666" i="1" s="1"/>
  <c r="GM455" i="1"/>
  <c r="GP455" i="1"/>
  <c r="CZ305" i="1"/>
  <c r="Y305" i="1" s="1"/>
  <c r="S386" i="1"/>
  <c r="CP532" i="1"/>
  <c r="O532" i="1" s="1"/>
  <c r="AC541" i="1"/>
  <c r="R539" i="1"/>
  <c r="GK539" i="1" s="1"/>
  <c r="Q618" i="1"/>
  <c r="P619" i="1"/>
  <c r="V669" i="1"/>
  <c r="AI653" i="1"/>
  <c r="CP659" i="1"/>
  <c r="O659" i="1" s="1"/>
  <c r="AJ450" i="1"/>
  <c r="W457" i="1"/>
  <c r="F508" i="1"/>
  <c r="AQ488" i="1"/>
  <c r="U619" i="1"/>
  <c r="AH622" i="1" s="1"/>
  <c r="BA488" i="1"/>
  <c r="F518" i="1"/>
  <c r="T539" i="1"/>
  <c r="AG541" i="1" s="1"/>
  <c r="AF450" i="1"/>
  <c r="S457" i="1"/>
  <c r="U498" i="1"/>
  <c r="AH488" i="1"/>
  <c r="AJ52" i="1"/>
  <c r="CY38" i="1"/>
  <c r="X38" i="1" s="1"/>
  <c r="CZ38" i="1"/>
  <c r="Y38" i="1" s="1"/>
  <c r="CY47" i="1"/>
  <c r="X47" i="1" s="1"/>
  <c r="GM47" i="1" s="1"/>
  <c r="CZ47" i="1"/>
  <c r="Y47" i="1" s="1"/>
  <c r="GM48" i="1"/>
  <c r="GN48" i="1"/>
  <c r="CY37" i="1"/>
  <c r="X37" i="1" s="1"/>
  <c r="GK86" i="1"/>
  <c r="U136" i="1"/>
  <c r="AB145" i="1"/>
  <c r="CR145" i="1"/>
  <c r="Q145" i="1" s="1"/>
  <c r="CP145" i="1" s="1"/>
  <c r="O145" i="1" s="1"/>
  <c r="V120" i="1"/>
  <c r="AB133" i="1"/>
  <c r="CR133" i="1"/>
  <c r="Q133" i="1" s="1"/>
  <c r="CP133" i="1" s="1"/>
  <c r="O133" i="1" s="1"/>
  <c r="T128" i="1"/>
  <c r="CP134" i="1"/>
  <c r="O134" i="1" s="1"/>
  <c r="GM169" i="1"/>
  <c r="GN169" i="1"/>
  <c r="GN142" i="1"/>
  <c r="GM142" i="1"/>
  <c r="AB156" i="1"/>
  <c r="CR156" i="1"/>
  <c r="Q156" i="1" s="1"/>
  <c r="CP156" i="1" s="1"/>
  <c r="O156" i="1" s="1"/>
  <c r="CP173" i="1"/>
  <c r="O173" i="1" s="1"/>
  <c r="U173" i="1"/>
  <c r="CZ303" i="1"/>
  <c r="Y303" i="1" s="1"/>
  <c r="GO303" i="1" s="1"/>
  <c r="GK303" i="1"/>
  <c r="CZ315" i="1"/>
  <c r="Y315" i="1" s="1"/>
  <c r="CY315" i="1"/>
  <c r="X315" i="1" s="1"/>
  <c r="CY296" i="1"/>
  <c r="X296" i="1" s="1"/>
  <c r="GO296" i="1" s="1"/>
  <c r="GM381" i="1"/>
  <c r="GO381" i="1"/>
  <c r="CY382" i="1"/>
  <c r="X382" i="1" s="1"/>
  <c r="GM382" i="1" s="1"/>
  <c r="GO301" i="1"/>
  <c r="GM301" i="1"/>
  <c r="GO317" i="1"/>
  <c r="GM317" i="1"/>
  <c r="CZ359" i="1"/>
  <c r="Y359" i="1" s="1"/>
  <c r="CY359" i="1"/>
  <c r="X359" i="1" s="1"/>
  <c r="GM359" i="1" s="1"/>
  <c r="GM493" i="1"/>
  <c r="GO493" i="1"/>
  <c r="GK538" i="1"/>
  <c r="CZ538" i="1"/>
  <c r="Y538" i="1" s="1"/>
  <c r="GK578" i="1"/>
  <c r="CZ578" i="1"/>
  <c r="Y578" i="1" s="1"/>
  <c r="GO492" i="1"/>
  <c r="GM492" i="1"/>
  <c r="W539" i="1"/>
  <c r="AJ541" i="1" s="1"/>
  <c r="U457" i="1"/>
  <c r="AH450" i="1"/>
  <c r="Q539" i="1"/>
  <c r="CP539" i="1" s="1"/>
  <c r="O539" i="1" s="1"/>
  <c r="AB453" i="1"/>
  <c r="CR453" i="1"/>
  <c r="Q453" i="1" s="1"/>
  <c r="GN660" i="1"/>
  <c r="GM660" i="1"/>
  <c r="AF653" i="1"/>
  <c r="S669" i="1"/>
  <c r="CP33" i="1"/>
  <c r="O33" i="1" s="1"/>
  <c r="U41" i="1"/>
  <c r="AH52" i="1" s="1"/>
  <c r="T41" i="1"/>
  <c r="AG52" i="1" s="1"/>
  <c r="CP32" i="1"/>
  <c r="O32" i="1" s="1"/>
  <c r="AC52" i="1"/>
  <c r="CY33" i="1"/>
  <c r="X33" i="1" s="1"/>
  <c r="CZ33" i="1"/>
  <c r="Y33" i="1" s="1"/>
  <c r="GX41" i="1"/>
  <c r="CJ52" i="1" s="1"/>
  <c r="GM46" i="1"/>
  <c r="GN46" i="1"/>
  <c r="GM85" i="1"/>
  <c r="GN85" i="1"/>
  <c r="CY88" i="1"/>
  <c r="X88" i="1" s="1"/>
  <c r="GN88" i="1" s="1"/>
  <c r="BY30" i="1"/>
  <c r="CI52" i="1"/>
  <c r="AP52" i="1"/>
  <c r="GK34" i="1"/>
  <c r="CY34" i="1"/>
  <c r="X34" i="1" s="1"/>
  <c r="CZ34" i="1"/>
  <c r="Y34" i="1" s="1"/>
  <c r="GK36" i="1"/>
  <c r="CZ36" i="1"/>
  <c r="Y36" i="1" s="1"/>
  <c r="CZ87" i="1"/>
  <c r="Y87" i="1" s="1"/>
  <c r="CY87" i="1"/>
  <c r="X87" i="1" s="1"/>
  <c r="AB95" i="1"/>
  <c r="AB98" i="1"/>
  <c r="GN44" i="1"/>
  <c r="GM44" i="1"/>
  <c r="P87" i="1"/>
  <c r="CP87" i="1" s="1"/>
  <c r="O87" i="1" s="1"/>
  <c r="GM99" i="1"/>
  <c r="GN99" i="1"/>
  <c r="CY36" i="1"/>
  <c r="X36" i="1" s="1"/>
  <c r="T87" i="1"/>
  <c r="AG187" i="1" s="1"/>
  <c r="GM93" i="1"/>
  <c r="GN93" i="1"/>
  <c r="AB88" i="1"/>
  <c r="CY109" i="1"/>
  <c r="X109" i="1" s="1"/>
  <c r="GX110" i="1"/>
  <c r="CJ187" i="1" s="1"/>
  <c r="AB112" i="1"/>
  <c r="CR112" i="1"/>
  <c r="Q112" i="1" s="1"/>
  <c r="CP112" i="1" s="1"/>
  <c r="O112" i="1" s="1"/>
  <c r="U119" i="1"/>
  <c r="V137" i="1"/>
  <c r="S140" i="1"/>
  <c r="T141" i="1"/>
  <c r="GM94" i="1"/>
  <c r="GN94" i="1"/>
  <c r="CY105" i="1"/>
  <c r="X105" i="1" s="1"/>
  <c r="GM105" i="1" s="1"/>
  <c r="V119" i="1"/>
  <c r="CY121" i="1"/>
  <c r="X121" i="1" s="1"/>
  <c r="GN121" i="1" s="1"/>
  <c r="CZ121" i="1"/>
  <c r="Y121" i="1" s="1"/>
  <c r="CY124" i="1"/>
  <c r="X124" i="1" s="1"/>
  <c r="GN124" i="1" s="1"/>
  <c r="CZ124" i="1"/>
  <c r="Y124" i="1" s="1"/>
  <c r="T127" i="1"/>
  <c r="Q136" i="1"/>
  <c r="P137" i="1"/>
  <c r="CP137" i="1" s="1"/>
  <c r="O137" i="1" s="1"/>
  <c r="R140" i="1"/>
  <c r="GK140" i="1" s="1"/>
  <c r="R141" i="1"/>
  <c r="GK141" i="1" s="1"/>
  <c r="CZ108" i="1"/>
  <c r="Y108" i="1" s="1"/>
  <c r="AB118" i="1"/>
  <c r="CR118" i="1"/>
  <c r="Q118" i="1" s="1"/>
  <c r="CP118" i="1" s="1"/>
  <c r="O118" i="1" s="1"/>
  <c r="GM123" i="1"/>
  <c r="GN123" i="1"/>
  <c r="Q132" i="1"/>
  <c r="CP132" i="1" s="1"/>
  <c r="O132" i="1" s="1"/>
  <c r="AB139" i="1"/>
  <c r="CR139" i="1"/>
  <c r="Q139" i="1" s="1"/>
  <c r="CP139" i="1" s="1"/>
  <c r="O139" i="1" s="1"/>
  <c r="R131" i="1"/>
  <c r="GK131" i="1" s="1"/>
  <c r="T132" i="1"/>
  <c r="T140" i="1"/>
  <c r="GK149" i="1"/>
  <c r="CY149" i="1"/>
  <c r="X149" i="1" s="1"/>
  <c r="GN149" i="1" s="1"/>
  <c r="GM167" i="1"/>
  <c r="GN167" i="1"/>
  <c r="V173" i="1"/>
  <c r="U175" i="1"/>
  <c r="CY103" i="1"/>
  <c r="X103" i="1" s="1"/>
  <c r="GM103" i="1" s="1"/>
  <c r="CZ133" i="1"/>
  <c r="Y133" i="1" s="1"/>
  <c r="GM149" i="1"/>
  <c r="GM155" i="1"/>
  <c r="GN155" i="1"/>
  <c r="U157" i="1"/>
  <c r="GM162" i="1"/>
  <c r="GN162" i="1"/>
  <c r="W173" i="1"/>
  <c r="R175" i="1"/>
  <c r="GK175" i="1" s="1"/>
  <c r="AB107" i="1"/>
  <c r="CZ116" i="1"/>
  <c r="Y116" i="1" s="1"/>
  <c r="CY125" i="1"/>
  <c r="X125" i="1" s="1"/>
  <c r="R156" i="1"/>
  <c r="GK156" i="1" s="1"/>
  <c r="V157" i="1"/>
  <c r="AB170" i="1"/>
  <c r="CR170" i="1"/>
  <c r="Q170" i="1" s="1"/>
  <c r="CP170" i="1" s="1"/>
  <c r="O170" i="1" s="1"/>
  <c r="T176" i="1"/>
  <c r="CG83" i="1"/>
  <c r="AX187" i="1"/>
  <c r="Q128" i="1"/>
  <c r="CP128" i="1" s="1"/>
  <c r="O128" i="1" s="1"/>
  <c r="W176" i="1"/>
  <c r="CY177" i="1"/>
  <c r="X177" i="1" s="1"/>
  <c r="GM177" i="1" s="1"/>
  <c r="CZ177" i="1"/>
  <c r="Y177" i="1" s="1"/>
  <c r="GM181" i="1"/>
  <c r="GN181" i="1"/>
  <c r="CP254" i="1"/>
  <c r="O254" i="1" s="1"/>
  <c r="AC259" i="1"/>
  <c r="AB158" i="1"/>
  <c r="CR158" i="1"/>
  <c r="Q158" i="1" s="1"/>
  <c r="CP158" i="1" s="1"/>
  <c r="O158" i="1" s="1"/>
  <c r="GM160" i="1"/>
  <c r="GN160" i="1"/>
  <c r="AB182" i="1"/>
  <c r="CR182" i="1"/>
  <c r="Q182" i="1" s="1"/>
  <c r="CP182" i="1" s="1"/>
  <c r="O182" i="1" s="1"/>
  <c r="AF251" i="1"/>
  <c r="S259" i="1"/>
  <c r="GM308" i="1"/>
  <c r="GO308" i="1"/>
  <c r="BB290" i="1"/>
  <c r="F332" i="1"/>
  <c r="CZ109" i="1"/>
  <c r="Y109" i="1" s="1"/>
  <c r="AQ251" i="1"/>
  <c r="F269" i="1"/>
  <c r="AQ419" i="1"/>
  <c r="AF319" i="1"/>
  <c r="AB309" i="1"/>
  <c r="CZ355" i="1"/>
  <c r="Y355" i="1" s="1"/>
  <c r="CY355" i="1"/>
  <c r="X355" i="1" s="1"/>
  <c r="CC83" i="1"/>
  <c r="AT187" i="1"/>
  <c r="CJ290" i="1"/>
  <c r="BA319" i="1"/>
  <c r="AB314" i="1"/>
  <c r="CP352" i="1"/>
  <c r="O352" i="1" s="1"/>
  <c r="AC390" i="1"/>
  <c r="GO356" i="1"/>
  <c r="GM356" i="1"/>
  <c r="GO366" i="1"/>
  <c r="GM366" i="1"/>
  <c r="GO374" i="1"/>
  <c r="GM374" i="1"/>
  <c r="GO380" i="1"/>
  <c r="GM380" i="1"/>
  <c r="AP251" i="1"/>
  <c r="F268" i="1"/>
  <c r="AP419" i="1"/>
  <c r="CP304" i="1"/>
  <c r="O304" i="1" s="1"/>
  <c r="CZ309" i="1"/>
  <c r="Y309" i="1" s="1"/>
  <c r="GM309" i="1" s="1"/>
  <c r="CP315" i="1"/>
  <c r="O315" i="1" s="1"/>
  <c r="GO376" i="1"/>
  <c r="GM376" i="1"/>
  <c r="CZ383" i="1"/>
  <c r="Y383" i="1" s="1"/>
  <c r="CY383" i="1"/>
  <c r="X383" i="1" s="1"/>
  <c r="GO383" i="1" s="1"/>
  <c r="AO350" i="1"/>
  <c r="F394" i="1"/>
  <c r="AO419" i="1"/>
  <c r="CZ296" i="1"/>
  <c r="Y296" i="1" s="1"/>
  <c r="AD390" i="1"/>
  <c r="CZ183" i="1"/>
  <c r="Y183" i="1" s="1"/>
  <c r="GM183" i="1" s="1"/>
  <c r="AG290" i="1"/>
  <c r="T319" i="1"/>
  <c r="CP313" i="1"/>
  <c r="O313" i="1" s="1"/>
  <c r="GK368" i="1"/>
  <c r="CZ368" i="1"/>
  <c r="Y368" i="1" s="1"/>
  <c r="GO368" i="1" s="1"/>
  <c r="CZ382" i="1"/>
  <c r="Y382" i="1" s="1"/>
  <c r="CP384" i="1"/>
  <c r="O384" i="1" s="1"/>
  <c r="BB611" i="1"/>
  <c r="F635" i="1"/>
  <c r="CY364" i="1"/>
  <c r="X364" i="1" s="1"/>
  <c r="AX251" i="1"/>
  <c r="F266" i="1"/>
  <c r="CZ354" i="1"/>
  <c r="Y354" i="1" s="1"/>
  <c r="GM354" i="1" s="1"/>
  <c r="GO358" i="1"/>
  <c r="GM358" i="1"/>
  <c r="GK360" i="1"/>
  <c r="CZ360" i="1"/>
  <c r="Y360" i="1" s="1"/>
  <c r="GM360" i="1" s="1"/>
  <c r="CY362" i="1"/>
  <c r="X362" i="1" s="1"/>
  <c r="CY371" i="1"/>
  <c r="X371" i="1" s="1"/>
  <c r="GO371" i="1" s="1"/>
  <c r="GX386" i="1"/>
  <c r="CJ390" i="1" s="1"/>
  <c r="CI350" i="1"/>
  <c r="AZ390" i="1"/>
  <c r="AJ488" i="1"/>
  <c r="W498" i="1"/>
  <c r="GK496" i="1"/>
  <c r="CZ496" i="1"/>
  <c r="Y496" i="1" s="1"/>
  <c r="AL498" i="1" s="1"/>
  <c r="CY536" i="1"/>
  <c r="X536" i="1" s="1"/>
  <c r="AC580" i="1"/>
  <c r="CP574" i="1"/>
  <c r="O574" i="1" s="1"/>
  <c r="CY577" i="1"/>
  <c r="X577" i="1" s="1"/>
  <c r="GM577" i="1" s="1"/>
  <c r="CZ577" i="1"/>
  <c r="Y577" i="1" s="1"/>
  <c r="F589" i="1"/>
  <c r="AP572" i="1"/>
  <c r="AD622" i="1"/>
  <c r="CY617" i="1"/>
  <c r="X617" i="1" s="1"/>
  <c r="CZ617" i="1"/>
  <c r="Y617" i="1" s="1"/>
  <c r="AT611" i="1"/>
  <c r="F640" i="1"/>
  <c r="V498" i="1"/>
  <c r="AI488" i="1"/>
  <c r="GN535" i="1"/>
  <c r="CB541" i="1" s="1"/>
  <c r="GM535" i="1"/>
  <c r="F474" i="1"/>
  <c r="AS450" i="1"/>
  <c r="CY496" i="1"/>
  <c r="X496" i="1" s="1"/>
  <c r="AK498" i="1" s="1"/>
  <c r="CY538" i="1"/>
  <c r="X538" i="1" s="1"/>
  <c r="GX539" i="1"/>
  <c r="CJ541" i="1" s="1"/>
  <c r="CZ615" i="1"/>
  <c r="Y615" i="1" s="1"/>
  <c r="GN615" i="1" s="1"/>
  <c r="AB655" i="1"/>
  <c r="GN662" i="1"/>
  <c r="GM662" i="1"/>
  <c r="AX669" i="1"/>
  <c r="CG653" i="1"/>
  <c r="AQ350" i="1"/>
  <c r="F400" i="1"/>
  <c r="AE498" i="1"/>
  <c r="AB578" i="1"/>
  <c r="CZ377" i="1"/>
  <c r="Y377" i="1" s="1"/>
  <c r="GO377" i="1" s="1"/>
  <c r="AF488" i="1"/>
  <c r="S498" i="1"/>
  <c r="F515" i="1"/>
  <c r="AS488" i="1"/>
  <c r="AE541" i="1"/>
  <c r="V539" i="1"/>
  <c r="GX618" i="1"/>
  <c r="CJ622" i="1" s="1"/>
  <c r="P618" i="1"/>
  <c r="AB619" i="1"/>
  <c r="AQ669" i="1"/>
  <c r="BZ653" i="1"/>
  <c r="AB659" i="1"/>
  <c r="V580" i="1"/>
  <c r="AI572" i="1"/>
  <c r="AK669" i="1"/>
  <c r="AL580" i="1"/>
  <c r="T618" i="1"/>
  <c r="AG622" i="1" s="1"/>
  <c r="S619" i="1"/>
  <c r="AL457" i="1"/>
  <c r="U572" i="1"/>
  <c r="F602" i="1"/>
  <c r="AG611" i="1" l="1"/>
  <c r="T622" i="1"/>
  <c r="Y498" i="1"/>
  <c r="AL488" i="1"/>
  <c r="AJ611" i="1"/>
  <c r="W622" i="1"/>
  <c r="AH83" i="1"/>
  <c r="U187" i="1"/>
  <c r="BA622" i="1"/>
  <c r="CJ611" i="1"/>
  <c r="AK488" i="1"/>
  <c r="X498" i="1"/>
  <c r="CJ83" i="1"/>
  <c r="BA187" i="1"/>
  <c r="BA390" i="1"/>
  <c r="CJ350" i="1"/>
  <c r="AG83" i="1"/>
  <c r="T187" i="1"/>
  <c r="U622" i="1"/>
  <c r="AH611" i="1"/>
  <c r="AJ83" i="1"/>
  <c r="W187" i="1"/>
  <c r="BA541" i="1"/>
  <c r="CJ529" i="1"/>
  <c r="GN182" i="1"/>
  <c r="GM182" i="1"/>
  <c r="AG30" i="1"/>
  <c r="T52" i="1"/>
  <c r="AJ529" i="1"/>
  <c r="W541" i="1"/>
  <c r="AG529" i="1"/>
  <c r="T541" i="1"/>
  <c r="Y669" i="1"/>
  <c r="AL653" i="1"/>
  <c r="V622" i="1"/>
  <c r="AI611" i="1"/>
  <c r="AH350" i="1"/>
  <c r="U390" i="1"/>
  <c r="F679" i="1"/>
  <c r="AQ653" i="1"/>
  <c r="F676" i="1"/>
  <c r="AX653" i="1"/>
  <c r="R541" i="1"/>
  <c r="AE529" i="1"/>
  <c r="Y580" i="1"/>
  <c r="AL572" i="1"/>
  <c r="CP618" i="1"/>
  <c r="O618" i="1" s="1"/>
  <c r="AC622" i="1"/>
  <c r="CH580" i="1"/>
  <c r="AC572" i="1"/>
  <c r="CE580" i="1"/>
  <c r="P580" i="1"/>
  <c r="CF580" i="1"/>
  <c r="W488" i="1"/>
  <c r="F522" i="1"/>
  <c r="AO247" i="1"/>
  <c r="F423" i="1"/>
  <c r="GO315" i="1"/>
  <c r="GM315" i="1"/>
  <c r="AF290" i="1"/>
  <c r="S319" i="1"/>
  <c r="GN170" i="1"/>
  <c r="GM170" i="1"/>
  <c r="GN118" i="1"/>
  <c r="GM118" i="1"/>
  <c r="GN112" i="1"/>
  <c r="GM112" i="1"/>
  <c r="CI30" i="1"/>
  <c r="AZ52" i="1"/>
  <c r="CJ30" i="1"/>
  <c r="BA52" i="1"/>
  <c r="GM32" i="1"/>
  <c r="GN32" i="1"/>
  <c r="AB52" i="1"/>
  <c r="S653" i="1"/>
  <c r="F684" i="1"/>
  <c r="AD457" i="1"/>
  <c r="CP453" i="1"/>
  <c r="O453" i="1" s="1"/>
  <c r="U450" i="1"/>
  <c r="F479" i="1"/>
  <c r="GN134" i="1"/>
  <c r="GM134" i="1"/>
  <c r="GN133" i="1"/>
  <c r="GM133" i="1"/>
  <c r="GN103" i="1"/>
  <c r="U488" i="1"/>
  <c r="F520" i="1"/>
  <c r="CY386" i="1"/>
  <c r="X386" i="1" s="1"/>
  <c r="CZ386" i="1"/>
  <c r="Y386" i="1" s="1"/>
  <c r="GM666" i="1"/>
  <c r="GN666" i="1"/>
  <c r="CH669" i="1"/>
  <c r="AC653" i="1"/>
  <c r="CE669" i="1"/>
  <c r="P669" i="1"/>
  <c r="CF669" i="1"/>
  <c r="CI450" i="1"/>
  <c r="AZ457" i="1"/>
  <c r="CZ537" i="1"/>
  <c r="Y537" i="1" s="1"/>
  <c r="AL541" i="1" s="1"/>
  <c r="CY537" i="1"/>
  <c r="X537" i="1" s="1"/>
  <c r="AK541" i="1" s="1"/>
  <c r="AF541" i="1"/>
  <c r="AG350" i="1"/>
  <c r="T390" i="1"/>
  <c r="GO382" i="1"/>
  <c r="GM355" i="1"/>
  <c r="GO355" i="1"/>
  <c r="GO360" i="1"/>
  <c r="GM371" i="1"/>
  <c r="GO316" i="1"/>
  <c r="GM303" i="1"/>
  <c r="CZ175" i="1"/>
  <c r="Y175" i="1" s="1"/>
  <c r="CY175" i="1"/>
  <c r="X175" i="1" s="1"/>
  <c r="GN175" i="1" s="1"/>
  <c r="CP140" i="1"/>
  <c r="O140" i="1" s="1"/>
  <c r="BC26" i="1"/>
  <c r="F232" i="1"/>
  <c r="BC698" i="1"/>
  <c r="AL52" i="1"/>
  <c r="AD52" i="1"/>
  <c r="GN41" i="1"/>
  <c r="GM41" i="1"/>
  <c r="AL622" i="1"/>
  <c r="AX572" i="1"/>
  <c r="F587" i="1"/>
  <c r="CP496" i="1"/>
  <c r="O496" i="1" s="1"/>
  <c r="AD498" i="1"/>
  <c r="AU290" i="1"/>
  <c r="F338" i="1"/>
  <c r="AK319" i="1"/>
  <c r="CZ119" i="1"/>
  <c r="Y119" i="1" s="1"/>
  <c r="X457" i="1"/>
  <c r="AK450" i="1"/>
  <c r="GN578" i="1"/>
  <c r="GM578" i="1"/>
  <c r="GM661" i="1"/>
  <c r="GN661" i="1"/>
  <c r="AZ572" i="1"/>
  <c r="F591" i="1"/>
  <c r="T572" i="1"/>
  <c r="F601" i="1"/>
  <c r="AH541" i="1"/>
  <c r="T450" i="1"/>
  <c r="F478" i="1"/>
  <c r="GM306" i="1"/>
  <c r="GO306" i="1"/>
  <c r="CI290" i="1"/>
  <c r="AZ319" i="1"/>
  <c r="GM377" i="1"/>
  <c r="GO354" i="1"/>
  <c r="AX319" i="1"/>
  <c r="CG290" i="1"/>
  <c r="GN183" i="1"/>
  <c r="CP176" i="1"/>
  <c r="O176" i="1" s="1"/>
  <c r="T488" i="1"/>
  <c r="F519" i="1"/>
  <c r="CH457" i="1"/>
  <c r="P457" i="1"/>
  <c r="CF457" i="1"/>
  <c r="AC450" i="1"/>
  <c r="CE457" i="1"/>
  <c r="GM298" i="1"/>
  <c r="CZ156" i="1"/>
  <c r="Y156" i="1" s="1"/>
  <c r="GN116" i="1"/>
  <c r="GM116" i="1"/>
  <c r="GM124" i="1"/>
  <c r="GM615" i="1"/>
  <c r="GM121" i="1"/>
  <c r="GM171" i="1"/>
  <c r="GN667" i="1"/>
  <c r="GN115" i="1"/>
  <c r="CZ619" i="1"/>
  <c r="Y619" i="1" s="1"/>
  <c r="CY619" i="1"/>
  <c r="X619" i="1" s="1"/>
  <c r="AK622" i="1" s="1"/>
  <c r="Y457" i="1"/>
  <c r="AL450" i="1"/>
  <c r="AK653" i="1"/>
  <c r="X669" i="1"/>
  <c r="V488" i="1"/>
  <c r="F521" i="1"/>
  <c r="BA290" i="1"/>
  <c r="F339" i="1"/>
  <c r="AQ247" i="1"/>
  <c r="F429" i="1"/>
  <c r="S251" i="1"/>
  <c r="F274" i="1"/>
  <c r="AC251" i="1"/>
  <c r="CE259" i="1"/>
  <c r="P259" i="1"/>
  <c r="CF259" i="1"/>
  <c r="CH259" i="1"/>
  <c r="AX83" i="1"/>
  <c r="F194" i="1"/>
  <c r="GM137" i="1"/>
  <c r="CZ140" i="1"/>
  <c r="Y140" i="1" s="1"/>
  <c r="CY140" i="1"/>
  <c r="X140" i="1" s="1"/>
  <c r="GM368" i="1"/>
  <c r="S450" i="1"/>
  <c r="F472" i="1"/>
  <c r="W450" i="1"/>
  <c r="F481" i="1"/>
  <c r="F692" i="1"/>
  <c r="V653" i="1"/>
  <c r="AC529" i="1"/>
  <c r="CH541" i="1"/>
  <c r="P541" i="1"/>
  <c r="CF541" i="1"/>
  <c r="CE541" i="1"/>
  <c r="AZ653" i="1"/>
  <c r="F680" i="1"/>
  <c r="CZ539" i="1"/>
  <c r="Y539" i="1" s="1"/>
  <c r="CY539" i="1"/>
  <c r="X539" i="1" s="1"/>
  <c r="GO539" i="1" s="1"/>
  <c r="F466" i="1"/>
  <c r="AP450" i="1"/>
  <c r="V450" i="1"/>
  <c r="F480" i="1"/>
  <c r="GN617" i="1"/>
  <c r="GM617" i="1"/>
  <c r="F560" i="1"/>
  <c r="AU529" i="1"/>
  <c r="GO388" i="1"/>
  <c r="GM388" i="1"/>
  <c r="AX450" i="1"/>
  <c r="F464" i="1"/>
  <c r="AD290" i="1"/>
  <c r="Q319" i="1"/>
  <c r="AO26" i="1"/>
  <c r="F220" i="1"/>
  <c r="AO698" i="1"/>
  <c r="GN174" i="1"/>
  <c r="GM174" i="1"/>
  <c r="GN129" i="1"/>
  <c r="GM129" i="1"/>
  <c r="GN125" i="1"/>
  <c r="GM125" i="1"/>
  <c r="GN135" i="1"/>
  <c r="GM135" i="1"/>
  <c r="AI187" i="1"/>
  <c r="GN34" i="1"/>
  <c r="GM34" i="1"/>
  <c r="AK52" i="1"/>
  <c r="CP537" i="1"/>
  <c r="O537" i="1" s="1"/>
  <c r="CH498" i="1"/>
  <c r="AC488" i="1"/>
  <c r="CE498" i="1"/>
  <c r="CF498" i="1"/>
  <c r="P498" i="1"/>
  <c r="F285" i="1"/>
  <c r="Y251" i="1"/>
  <c r="AQ26" i="1"/>
  <c r="F226" i="1"/>
  <c r="AQ698" i="1"/>
  <c r="AZ541" i="1"/>
  <c r="CI529" i="1"/>
  <c r="GO379" i="1"/>
  <c r="GM357" i="1"/>
  <c r="GO357" i="1"/>
  <c r="GM255" i="1"/>
  <c r="GN255" i="1"/>
  <c r="U251" i="1"/>
  <c r="F281" i="1"/>
  <c r="AQ290" i="1"/>
  <c r="F329" i="1"/>
  <c r="AU251" i="1"/>
  <c r="F278" i="1"/>
  <c r="AU419" i="1"/>
  <c r="CP119" i="1"/>
  <c r="O119" i="1" s="1"/>
  <c r="CZ128" i="1"/>
  <c r="Y128" i="1" s="1"/>
  <c r="CY128" i="1"/>
  <c r="X128" i="1" s="1"/>
  <c r="GN128" i="1" s="1"/>
  <c r="CP136" i="1"/>
  <c r="O136" i="1" s="1"/>
  <c r="CZ132" i="1"/>
  <c r="Y132" i="1" s="1"/>
  <c r="CY132" i="1"/>
  <c r="X132" i="1" s="1"/>
  <c r="GM132" i="1" s="1"/>
  <c r="GN109" i="1"/>
  <c r="GM109" i="1"/>
  <c r="GN126" i="1"/>
  <c r="GN108" i="1"/>
  <c r="GM108" i="1"/>
  <c r="AD187" i="1"/>
  <c r="U653" i="1"/>
  <c r="F691" i="1"/>
  <c r="CG611" i="1"/>
  <c r="AX622" i="1"/>
  <c r="GM452" i="1"/>
  <c r="AB457" i="1"/>
  <c r="GP452" i="1"/>
  <c r="Q653" i="1"/>
  <c r="F681" i="1"/>
  <c r="CY156" i="1"/>
  <c r="X156" i="1" s="1"/>
  <c r="GN156" i="1" s="1"/>
  <c r="T251" i="1"/>
  <c r="F280" i="1"/>
  <c r="GM88" i="1"/>
  <c r="AE30" i="1"/>
  <c r="R52" i="1"/>
  <c r="GN47" i="1"/>
  <c r="F477" i="1"/>
  <c r="BA450" i="1"/>
  <c r="GM383" i="1"/>
  <c r="W290" i="1"/>
  <c r="F343" i="1"/>
  <c r="GN144" i="1"/>
  <c r="GM98" i="1"/>
  <c r="GM296" i="1"/>
  <c r="CA319" i="1" s="1"/>
  <c r="W572" i="1"/>
  <c r="F604" i="1"/>
  <c r="S488" i="1"/>
  <c r="F513" i="1"/>
  <c r="Q622" i="1"/>
  <c r="AD611" i="1"/>
  <c r="AZ350" i="1"/>
  <c r="F401" i="1"/>
  <c r="GN384" i="1"/>
  <c r="CB390" i="1" s="1"/>
  <c r="GM384" i="1"/>
  <c r="GO313" i="1"/>
  <c r="GM313" i="1"/>
  <c r="AD350" i="1"/>
  <c r="Q390" i="1"/>
  <c r="GM304" i="1"/>
  <c r="GN304" i="1"/>
  <c r="CB319" i="1" s="1"/>
  <c r="AC350" i="1"/>
  <c r="P390" i="1"/>
  <c r="CH390" i="1"/>
  <c r="CE390" i="1"/>
  <c r="CF390" i="1"/>
  <c r="GN254" i="1"/>
  <c r="GM254" i="1"/>
  <c r="CA259" i="1" s="1"/>
  <c r="AH30" i="1"/>
  <c r="U52" i="1"/>
  <c r="GN105" i="1"/>
  <c r="AJ30" i="1"/>
  <c r="W52" i="1"/>
  <c r="CP619" i="1"/>
  <c r="O619" i="1" s="1"/>
  <c r="AB622" i="1" s="1"/>
  <c r="GM532" i="1"/>
  <c r="GO532" i="1"/>
  <c r="AI541" i="1"/>
  <c r="CH319" i="1"/>
  <c r="AC290" i="1"/>
  <c r="P319" i="1"/>
  <c r="CF319" i="1"/>
  <c r="CE319" i="1"/>
  <c r="AK390" i="1"/>
  <c r="GO364" i="1"/>
  <c r="GM364" i="1"/>
  <c r="AJ350" i="1"/>
  <c r="W390" i="1"/>
  <c r="W419" i="1" s="1"/>
  <c r="AT259" i="1"/>
  <c r="CC251" i="1"/>
  <c r="W251" i="1"/>
  <c r="F283" i="1"/>
  <c r="CZ157" i="1"/>
  <c r="Y157" i="1" s="1"/>
  <c r="CY157" i="1"/>
  <c r="X157" i="1" s="1"/>
  <c r="GN157" i="1" s="1"/>
  <c r="CZ137" i="1"/>
  <c r="Y137" i="1" s="1"/>
  <c r="CY137" i="1"/>
  <c r="X137" i="1" s="1"/>
  <c r="GN137" i="1" s="1"/>
  <c r="GN120" i="1"/>
  <c r="CZ110" i="1"/>
  <c r="Y110" i="1" s="1"/>
  <c r="CY110" i="1"/>
  <c r="X110" i="1" s="1"/>
  <c r="GN110" i="1" s="1"/>
  <c r="CZ141" i="1"/>
  <c r="Y141" i="1" s="1"/>
  <c r="CY141" i="1"/>
  <c r="X141" i="1" s="1"/>
  <c r="CY86" i="1"/>
  <c r="X86" i="1" s="1"/>
  <c r="CZ86" i="1"/>
  <c r="Y86" i="1" s="1"/>
  <c r="AF187" i="1"/>
  <c r="GN36" i="1"/>
  <c r="GM36" i="1"/>
  <c r="GN95" i="1"/>
  <c r="GM95" i="1"/>
  <c r="AI30" i="1"/>
  <c r="V52" i="1"/>
  <c r="AX350" i="1"/>
  <c r="F397" i="1"/>
  <c r="GO309" i="1"/>
  <c r="AZ488" i="1"/>
  <c r="F509" i="1"/>
  <c r="F551" i="1"/>
  <c r="AQ529" i="1"/>
  <c r="CP536" i="1"/>
  <c r="O536" i="1" s="1"/>
  <c r="AD541" i="1"/>
  <c r="R450" i="1"/>
  <c r="F471" i="1"/>
  <c r="GO538" i="1"/>
  <c r="GM538" i="1"/>
  <c r="CP386" i="1"/>
  <c r="O386" i="1" s="1"/>
  <c r="AX529" i="1"/>
  <c r="F548" i="1"/>
  <c r="AL390" i="1"/>
  <c r="AP290" i="1"/>
  <c r="F328" i="1"/>
  <c r="GO362" i="1"/>
  <c r="GM362" i="1"/>
  <c r="AE290" i="1"/>
  <c r="R319" i="1"/>
  <c r="GM300" i="1"/>
  <c r="BA251" i="1"/>
  <c r="F279" i="1"/>
  <c r="AZ83" i="1"/>
  <c r="F198" i="1"/>
  <c r="GN177" i="1"/>
  <c r="GN154" i="1"/>
  <c r="GM154" i="1"/>
  <c r="CZ131" i="1"/>
  <c r="Y131" i="1" s="1"/>
  <c r="CZ136" i="1"/>
  <c r="Y136" i="1" s="1"/>
  <c r="CY136" i="1"/>
  <c r="X136" i="1" s="1"/>
  <c r="AX30" i="1"/>
  <c r="F59" i="1"/>
  <c r="AX216" i="1"/>
  <c r="GN577" i="1"/>
  <c r="AZ622" i="1"/>
  <c r="CI611" i="1"/>
  <c r="GO359" i="1"/>
  <c r="AE350" i="1"/>
  <c r="R390" i="1"/>
  <c r="AB259" i="1"/>
  <c r="GN45" i="1"/>
  <c r="S572" i="1"/>
  <c r="F595" i="1"/>
  <c r="U290" i="1"/>
  <c r="F341" i="1"/>
  <c r="W653" i="1"/>
  <c r="F693" i="1"/>
  <c r="GN49" i="1"/>
  <c r="R498" i="1"/>
  <c r="AE488" i="1"/>
  <c r="F603" i="1"/>
  <c r="V572" i="1"/>
  <c r="AS541" i="1"/>
  <c r="CB529" i="1"/>
  <c r="GM574" i="1"/>
  <c r="CA580" i="1" s="1"/>
  <c r="AB580" i="1"/>
  <c r="GN574" i="1"/>
  <c r="F340" i="1"/>
  <c r="T290" i="1"/>
  <c r="AP247" i="1"/>
  <c r="F428" i="1"/>
  <c r="GO352" i="1"/>
  <c r="GM352" i="1"/>
  <c r="AB390" i="1"/>
  <c r="AT83" i="1"/>
  <c r="F205" i="1"/>
  <c r="GN158" i="1"/>
  <c r="GM158" i="1"/>
  <c r="GN139" i="1"/>
  <c r="GM139" i="1"/>
  <c r="GN87" i="1"/>
  <c r="GM87" i="1"/>
  <c r="AP30" i="1"/>
  <c r="F61" i="1"/>
  <c r="AP216" i="1"/>
  <c r="AC30" i="1"/>
  <c r="P52" i="1"/>
  <c r="CF52" i="1"/>
  <c r="CE52" i="1"/>
  <c r="CH52" i="1"/>
  <c r="GN33" i="1"/>
  <c r="GM33" i="1"/>
  <c r="GN145" i="1"/>
  <c r="GM145" i="1"/>
  <c r="AE187" i="1"/>
  <c r="GM659" i="1"/>
  <c r="GN659" i="1"/>
  <c r="GM655" i="1"/>
  <c r="CA669" i="1" s="1"/>
  <c r="AB669" i="1"/>
  <c r="GN655" i="1"/>
  <c r="T653" i="1"/>
  <c r="F690" i="1"/>
  <c r="F598" i="1"/>
  <c r="AT572" i="1"/>
  <c r="AB319" i="1"/>
  <c r="BB247" i="1"/>
  <c r="BB698" i="1"/>
  <c r="F432" i="1"/>
  <c r="CZ173" i="1"/>
  <c r="Y173" i="1" s="1"/>
  <c r="CY173" i="1"/>
  <c r="X173" i="1" s="1"/>
  <c r="GM173" i="1" s="1"/>
  <c r="GN122" i="1"/>
  <c r="GM122" i="1"/>
  <c r="GM90" i="1"/>
  <c r="GN90" i="1"/>
  <c r="AU26" i="1"/>
  <c r="F235" i="1"/>
  <c r="AF30" i="1"/>
  <c r="S52" i="1"/>
  <c r="GM38" i="1"/>
  <c r="GN38" i="1"/>
  <c r="GM37" i="1"/>
  <c r="GN37" i="1"/>
  <c r="AU653" i="1"/>
  <c r="F688" i="1"/>
  <c r="CZ120" i="1"/>
  <c r="Y120" i="1" s="1"/>
  <c r="CY120" i="1"/>
  <c r="X120" i="1" s="1"/>
  <c r="GM120" i="1" s="1"/>
  <c r="CY119" i="1"/>
  <c r="X119" i="1" s="1"/>
  <c r="AK580" i="1"/>
  <c r="R669" i="1"/>
  <c r="AE653" i="1"/>
  <c r="AF622" i="1"/>
  <c r="R580" i="1"/>
  <c r="AE572" i="1"/>
  <c r="Q572" i="1"/>
  <c r="F592" i="1"/>
  <c r="F505" i="1"/>
  <c r="AX488" i="1"/>
  <c r="V247" i="1"/>
  <c r="F442" i="1"/>
  <c r="GO305" i="1"/>
  <c r="CC319" i="1" s="1"/>
  <c r="GM305" i="1"/>
  <c r="AZ251" i="1"/>
  <c r="F270" i="1"/>
  <c r="AZ419" i="1"/>
  <c r="AL319" i="1"/>
  <c r="AF390" i="1"/>
  <c r="R251" i="1"/>
  <c r="F273" i="1"/>
  <c r="R419" i="1"/>
  <c r="X259" i="1"/>
  <c r="AK251" i="1"/>
  <c r="CY127" i="1"/>
  <c r="X127" i="1" s="1"/>
  <c r="GN127" i="1" s="1"/>
  <c r="CZ127" i="1"/>
  <c r="Y127" i="1" s="1"/>
  <c r="GN172" i="1"/>
  <c r="GM172" i="1"/>
  <c r="CY131" i="1"/>
  <c r="X131" i="1" s="1"/>
  <c r="GN131" i="1" s="1"/>
  <c r="CP141" i="1"/>
  <c r="O141" i="1" s="1"/>
  <c r="AT30" i="1"/>
  <c r="F70" i="1"/>
  <c r="AT216" i="1"/>
  <c r="CP86" i="1"/>
  <c r="O86" i="1" s="1"/>
  <c r="AC187" i="1"/>
  <c r="F632" i="1"/>
  <c r="AQ611" i="1"/>
  <c r="AU488" i="1"/>
  <c r="F517" i="1"/>
  <c r="CB259" i="1"/>
  <c r="R622" i="1"/>
  <c r="AE611" i="1"/>
  <c r="V290" i="1"/>
  <c r="F342" i="1"/>
  <c r="V350" i="1"/>
  <c r="F413" i="1"/>
  <c r="Q251" i="1"/>
  <c r="F271" i="1"/>
  <c r="Q419" i="1"/>
  <c r="AB611" i="1" l="1"/>
  <c r="O622" i="1"/>
  <c r="AK529" i="1"/>
  <c r="X541" i="1"/>
  <c r="CA290" i="1"/>
  <c r="AR319" i="1"/>
  <c r="CA251" i="1"/>
  <c r="AR259" i="1"/>
  <c r="AK611" i="1"/>
  <c r="X622" i="1"/>
  <c r="AT319" i="1"/>
  <c r="CC290" i="1"/>
  <c r="W247" i="1"/>
  <c r="F443" i="1"/>
  <c r="R611" i="1"/>
  <c r="F636" i="1"/>
  <c r="AK572" i="1"/>
  <c r="X580" i="1"/>
  <c r="CA653" i="1"/>
  <c r="AR669" i="1"/>
  <c r="CH30" i="1"/>
  <c r="AY52" i="1"/>
  <c r="AB572" i="1"/>
  <c r="O580" i="1"/>
  <c r="AX26" i="1"/>
  <c r="F223" i="1"/>
  <c r="GO386" i="1"/>
  <c r="CC390" i="1" s="1"/>
  <c r="GM386" i="1"/>
  <c r="CB290" i="1"/>
  <c r="AS319" i="1"/>
  <c r="AB450" i="1"/>
  <c r="O457" i="1"/>
  <c r="Y450" i="1"/>
  <c r="F483" i="1"/>
  <c r="AW457" i="1"/>
  <c r="CF450" i="1"/>
  <c r="GO496" i="1"/>
  <c r="CC498" i="1" s="1"/>
  <c r="GM496" i="1"/>
  <c r="CA498" i="1" s="1"/>
  <c r="AB498" i="1"/>
  <c r="T350" i="1"/>
  <c r="F411" i="1"/>
  <c r="P653" i="1"/>
  <c r="F672" i="1"/>
  <c r="CB52" i="1"/>
  <c r="U350" i="1"/>
  <c r="F412" i="1"/>
  <c r="F565" i="1"/>
  <c r="W529" i="1"/>
  <c r="BA529" i="1"/>
  <c r="F561" i="1"/>
  <c r="U611" i="1"/>
  <c r="F644" i="1"/>
  <c r="BA350" i="1"/>
  <c r="F410" i="1"/>
  <c r="BA611" i="1"/>
  <c r="F642" i="1"/>
  <c r="F646" i="1"/>
  <c r="W611" i="1"/>
  <c r="GM156" i="1"/>
  <c r="CB251" i="1"/>
  <c r="AS259" i="1"/>
  <c r="AF611" i="1"/>
  <c r="S622" i="1"/>
  <c r="O319" i="1"/>
  <c r="AB290" i="1"/>
  <c r="AV52" i="1"/>
  <c r="CE30" i="1"/>
  <c r="AP26" i="1"/>
  <c r="F225" i="1"/>
  <c r="AP698" i="1"/>
  <c r="CA390" i="1"/>
  <c r="CA572" i="1"/>
  <c r="AR580" i="1"/>
  <c r="AB251" i="1"/>
  <c r="O259" i="1"/>
  <c r="Y390" i="1"/>
  <c r="AL350" i="1"/>
  <c r="Q541" i="1"/>
  <c r="AD529" i="1"/>
  <c r="AF83" i="1"/>
  <c r="S187" i="1"/>
  <c r="GM157" i="1"/>
  <c r="F322" i="1"/>
  <c r="P290" i="1"/>
  <c r="CH350" i="1"/>
  <c r="AY390" i="1"/>
  <c r="T419" i="1"/>
  <c r="GN119" i="1"/>
  <c r="GM119" i="1"/>
  <c r="AZ529" i="1"/>
  <c r="F552" i="1"/>
  <c r="P488" i="1"/>
  <c r="F501" i="1"/>
  <c r="AY498" i="1"/>
  <c r="CH488" i="1"/>
  <c r="AW541" i="1"/>
  <c r="CF529" i="1"/>
  <c r="P251" i="1"/>
  <c r="F262" i="1"/>
  <c r="P419" i="1"/>
  <c r="X653" i="1"/>
  <c r="F694" i="1"/>
  <c r="P450" i="1"/>
  <c r="F460" i="1"/>
  <c r="GM131" i="1"/>
  <c r="F330" i="1"/>
  <c r="AZ290" i="1"/>
  <c r="AZ450" i="1"/>
  <c r="F468" i="1"/>
  <c r="CE653" i="1"/>
  <c r="AV669" i="1"/>
  <c r="CA52" i="1"/>
  <c r="F63" i="1"/>
  <c r="AZ30" i="1"/>
  <c r="AZ216" i="1"/>
  <c r="S290" i="1"/>
  <c r="F334" i="1"/>
  <c r="CF572" i="1"/>
  <c r="AW580" i="1"/>
  <c r="AY580" i="1"/>
  <c r="CH572" i="1"/>
  <c r="Y572" i="1"/>
  <c r="F606" i="1"/>
  <c r="Y653" i="1"/>
  <c r="F695" i="1"/>
  <c r="W83" i="1"/>
  <c r="F211" i="1"/>
  <c r="T83" i="1"/>
  <c r="F208" i="1"/>
  <c r="GM127" i="1"/>
  <c r="X488" i="1"/>
  <c r="F523" i="1"/>
  <c r="U83" i="1"/>
  <c r="F209" i="1"/>
  <c r="GN132" i="1"/>
  <c r="Y488" i="1"/>
  <c r="F524" i="1"/>
  <c r="AT26" i="1"/>
  <c r="F234" i="1"/>
  <c r="AZ247" i="1"/>
  <c r="F430" i="1"/>
  <c r="AK350" i="1"/>
  <c r="X390" i="1"/>
  <c r="CF290" i="1"/>
  <c r="AW319" i="1"/>
  <c r="W30" i="1"/>
  <c r="F76" i="1"/>
  <c r="W216" i="1"/>
  <c r="BC22" i="1"/>
  <c r="F714" i="1"/>
  <c r="BC730" i="1"/>
  <c r="Y541" i="1"/>
  <c r="AL529" i="1"/>
  <c r="GN173" i="1"/>
  <c r="Q457" i="1"/>
  <c r="AD450" i="1"/>
  <c r="AC83" i="1"/>
  <c r="CE187" i="1"/>
  <c r="P187" i="1"/>
  <c r="CF187" i="1"/>
  <c r="CH187" i="1"/>
  <c r="X251" i="1"/>
  <c r="F284" i="1"/>
  <c r="AF350" i="1"/>
  <c r="S390" i="1"/>
  <c r="CB669" i="1"/>
  <c r="AW52" i="1"/>
  <c r="CF30" i="1"/>
  <c r="R350" i="1"/>
  <c r="F404" i="1"/>
  <c r="AZ611" i="1"/>
  <c r="F633" i="1"/>
  <c r="GO536" i="1"/>
  <c r="GM536" i="1"/>
  <c r="AB541" i="1"/>
  <c r="AL187" i="1"/>
  <c r="AT251" i="1"/>
  <c r="F277" i="1"/>
  <c r="P350" i="1"/>
  <c r="F393" i="1"/>
  <c r="Q350" i="1"/>
  <c r="F402" i="1"/>
  <c r="R30" i="1"/>
  <c r="F66" i="1"/>
  <c r="AX611" i="1"/>
  <c r="F629" i="1"/>
  <c r="AD83" i="1"/>
  <c r="Q187" i="1"/>
  <c r="GN136" i="1"/>
  <c r="GM136" i="1"/>
  <c r="AU247" i="1"/>
  <c r="F438" i="1"/>
  <c r="AQ22" i="1"/>
  <c r="AQ730" i="1"/>
  <c r="F708" i="1"/>
  <c r="CF488" i="1"/>
  <c r="AW498" i="1"/>
  <c r="GO537" i="1"/>
  <c r="GM537" i="1"/>
  <c r="AI83" i="1"/>
  <c r="V187" i="1"/>
  <c r="Q290" i="1"/>
  <c r="F331" i="1"/>
  <c r="P529" i="1"/>
  <c r="F544" i="1"/>
  <c r="CE251" i="1"/>
  <c r="AV259" i="1"/>
  <c r="CE450" i="1"/>
  <c r="AV457" i="1"/>
  <c r="CH450" i="1"/>
  <c r="AY457" i="1"/>
  <c r="AX290" i="1"/>
  <c r="F326" i="1"/>
  <c r="AX419" i="1"/>
  <c r="AX698" i="1" s="1"/>
  <c r="X450" i="1"/>
  <c r="F482" i="1"/>
  <c r="AD30" i="1"/>
  <c r="Q52" i="1"/>
  <c r="GM175" i="1"/>
  <c r="AF529" i="1"/>
  <c r="S541" i="1"/>
  <c r="BA30" i="1"/>
  <c r="F72" i="1"/>
  <c r="BA216" i="1"/>
  <c r="P572" i="1"/>
  <c r="F583" i="1"/>
  <c r="AC611" i="1"/>
  <c r="CH622" i="1"/>
  <c r="P622" i="1"/>
  <c r="CF622" i="1"/>
  <c r="CE622" i="1"/>
  <c r="F562" i="1"/>
  <c r="T529" i="1"/>
  <c r="T30" i="1"/>
  <c r="F73" i="1"/>
  <c r="T216" i="1"/>
  <c r="GM110" i="1"/>
  <c r="GM539" i="1"/>
  <c r="GM128" i="1"/>
  <c r="F643" i="1"/>
  <c r="T611" i="1"/>
  <c r="F594" i="1"/>
  <c r="R572" i="1"/>
  <c r="AB350" i="1"/>
  <c r="O390" i="1"/>
  <c r="W350" i="1"/>
  <c r="F414" i="1"/>
  <c r="V541" i="1"/>
  <c r="AI529" i="1"/>
  <c r="CE350" i="1"/>
  <c r="AV390" i="1"/>
  <c r="AV541" i="1"/>
  <c r="CE529" i="1"/>
  <c r="CF251" i="1"/>
  <c r="AW259" i="1"/>
  <c r="AK290" i="1"/>
  <c r="X319" i="1"/>
  <c r="Q247" i="1"/>
  <c r="F431" i="1"/>
  <c r="GN86" i="1"/>
  <c r="GM86" i="1"/>
  <c r="CA187" i="1" s="1"/>
  <c r="AB187" i="1"/>
  <c r="GM141" i="1"/>
  <c r="GN141" i="1"/>
  <c r="R247" i="1"/>
  <c r="F433" i="1"/>
  <c r="AL290" i="1"/>
  <c r="Y319" i="1"/>
  <c r="F683" i="1"/>
  <c r="R653" i="1"/>
  <c r="F67" i="1"/>
  <c r="S30" i="1"/>
  <c r="S216" i="1"/>
  <c r="BB22" i="1"/>
  <c r="BB730" i="1"/>
  <c r="F711" i="1"/>
  <c r="AB653" i="1"/>
  <c r="O669" i="1"/>
  <c r="AE83" i="1"/>
  <c r="R187" i="1"/>
  <c r="F55" i="1"/>
  <c r="P30" i="1"/>
  <c r="P216" i="1"/>
  <c r="CB580" i="1"/>
  <c r="AS529" i="1"/>
  <c r="F558" i="1"/>
  <c r="F512" i="1"/>
  <c r="R488" i="1"/>
  <c r="BA419" i="1"/>
  <c r="R290" i="1"/>
  <c r="F333" i="1"/>
  <c r="V30" i="1"/>
  <c r="F75" i="1"/>
  <c r="AK187" i="1"/>
  <c r="CE290" i="1"/>
  <c r="AV319" i="1"/>
  <c r="CH290" i="1"/>
  <c r="AY319" i="1"/>
  <c r="GM619" i="1"/>
  <c r="GN619" i="1"/>
  <c r="U30" i="1"/>
  <c r="F74" i="1"/>
  <c r="U216" i="1"/>
  <c r="CF350" i="1"/>
  <c r="AW390" i="1"/>
  <c r="AS390" i="1"/>
  <c r="CB350" i="1"/>
  <c r="Q611" i="1"/>
  <c r="F634" i="1"/>
  <c r="CD457" i="1"/>
  <c r="U419" i="1"/>
  <c r="CE488" i="1"/>
  <c r="AV498" i="1"/>
  <c r="AK30" i="1"/>
  <c r="X52" i="1"/>
  <c r="AO22" i="1"/>
  <c r="F702" i="1"/>
  <c r="AO730" i="1"/>
  <c r="CH529" i="1"/>
  <c r="AY541" i="1"/>
  <c r="CH251" i="1"/>
  <c r="AY259" i="1"/>
  <c r="GM176" i="1"/>
  <c r="GN176" i="1"/>
  <c r="U541" i="1"/>
  <c r="AH529" i="1"/>
  <c r="Q498" i="1"/>
  <c r="AD488" i="1"/>
  <c r="Y622" i="1"/>
  <c r="AL611" i="1"/>
  <c r="AL30" i="1"/>
  <c r="Y52" i="1"/>
  <c r="GN140" i="1"/>
  <c r="GM140" i="1"/>
  <c r="CF653" i="1"/>
  <c r="AW669" i="1"/>
  <c r="AY669" i="1"/>
  <c r="CH653" i="1"/>
  <c r="GP453" i="1"/>
  <c r="GM453" i="1"/>
  <c r="CA457" i="1" s="1"/>
  <c r="AB30" i="1"/>
  <c r="O52" i="1"/>
  <c r="CE572" i="1"/>
  <c r="AV580" i="1"/>
  <c r="GN618" i="1"/>
  <c r="GM618" i="1"/>
  <c r="CA622" i="1" s="1"/>
  <c r="R529" i="1"/>
  <c r="F555" i="1"/>
  <c r="V611" i="1"/>
  <c r="F645" i="1"/>
  <c r="BA83" i="1"/>
  <c r="F207" i="1"/>
  <c r="CA450" i="1" l="1"/>
  <c r="AR457" i="1"/>
  <c r="CC350" i="1"/>
  <c r="AT390" i="1"/>
  <c r="AX22" i="1"/>
  <c r="AX730" i="1"/>
  <c r="F705" i="1"/>
  <c r="Y30" i="1"/>
  <c r="F78" i="1"/>
  <c r="F549" i="1"/>
  <c r="AY529" i="1"/>
  <c r="F324" i="1"/>
  <c r="AV290" i="1"/>
  <c r="BA247" i="1"/>
  <c r="F439" i="1"/>
  <c r="S26" i="1"/>
  <c r="F231" i="1"/>
  <c r="F344" i="1"/>
  <c r="X290" i="1"/>
  <c r="V83" i="1"/>
  <c r="F210" i="1"/>
  <c r="AB529" i="1"/>
  <c r="O541" i="1"/>
  <c r="CA350" i="1"/>
  <c r="AR390" i="1"/>
  <c r="AB488" i="1"/>
  <c r="O498" i="1"/>
  <c r="F582" i="1"/>
  <c r="O572" i="1"/>
  <c r="AR653" i="1"/>
  <c r="F696" i="1"/>
  <c r="AR251" i="1"/>
  <c r="F286" i="1"/>
  <c r="AR419" i="1"/>
  <c r="F566" i="1"/>
  <c r="X529" i="1"/>
  <c r="Q488" i="1"/>
  <c r="F510" i="1"/>
  <c r="F77" i="1"/>
  <c r="X30" i="1"/>
  <c r="U247" i="1"/>
  <c r="F441" i="1"/>
  <c r="U26" i="1"/>
  <c r="F238" i="1"/>
  <c r="U698" i="1"/>
  <c r="CB572" i="1"/>
  <c r="AS580" i="1"/>
  <c r="R83" i="1"/>
  <c r="F201" i="1"/>
  <c r="Y290" i="1"/>
  <c r="F345" i="1"/>
  <c r="Y419" i="1"/>
  <c r="CB187" i="1"/>
  <c r="F546" i="1"/>
  <c r="AV529" i="1"/>
  <c r="V529" i="1"/>
  <c r="F564" i="1"/>
  <c r="T26" i="1"/>
  <c r="F237" i="1"/>
  <c r="T698" i="1"/>
  <c r="CH611" i="1"/>
  <c r="AY622" i="1"/>
  <c r="BA26" i="1"/>
  <c r="F236" i="1"/>
  <c r="BA698" i="1"/>
  <c r="Q83" i="1"/>
  <c r="F199" i="1"/>
  <c r="R216" i="1"/>
  <c r="CA541" i="1"/>
  <c r="AW30" i="1"/>
  <c r="F58" i="1"/>
  <c r="X419" i="1"/>
  <c r="CF83" i="1"/>
  <c r="AW187" i="1"/>
  <c r="AW216" i="1" s="1"/>
  <c r="Y529" i="1"/>
  <c r="F567" i="1"/>
  <c r="W26" i="1"/>
  <c r="F240" i="1"/>
  <c r="W698" i="1"/>
  <c r="AY350" i="1"/>
  <c r="F398" i="1"/>
  <c r="Q529" i="1"/>
  <c r="F553" i="1"/>
  <c r="AP22" i="1"/>
  <c r="AP730" i="1"/>
  <c r="F707" i="1"/>
  <c r="G16" i="2" s="1"/>
  <c r="G18" i="2" s="1"/>
  <c r="AV30" i="1"/>
  <c r="F57" i="1"/>
  <c r="CA488" i="1"/>
  <c r="AR498" i="1"/>
  <c r="F336" i="1"/>
  <c r="AS290" i="1"/>
  <c r="AT290" i="1"/>
  <c r="F337" i="1"/>
  <c r="CA83" i="1"/>
  <c r="AR187" i="1"/>
  <c r="F556" i="1"/>
  <c r="S529" i="1"/>
  <c r="AY488" i="1"/>
  <c r="F506" i="1"/>
  <c r="T247" i="1"/>
  <c r="F440" i="1"/>
  <c r="O251" i="1"/>
  <c r="F261" i="1"/>
  <c r="O419" i="1"/>
  <c r="F637" i="1"/>
  <c r="S611" i="1"/>
  <c r="F463" i="1"/>
  <c r="AW450" i="1"/>
  <c r="AR622" i="1"/>
  <c r="CA611" i="1"/>
  <c r="O30" i="1"/>
  <c r="F54" i="1"/>
  <c r="AY251" i="1"/>
  <c r="AY419" i="1"/>
  <c r="F267" i="1"/>
  <c r="AO18" i="1"/>
  <c r="F734" i="1"/>
  <c r="CD450" i="1"/>
  <c r="AU457" i="1"/>
  <c r="AS350" i="1"/>
  <c r="F407" i="1"/>
  <c r="AY290" i="1"/>
  <c r="F327" i="1"/>
  <c r="AK83" i="1"/>
  <c r="X187" i="1"/>
  <c r="P26" i="1"/>
  <c r="F219" i="1"/>
  <c r="P698" i="1"/>
  <c r="BB18" i="1"/>
  <c r="F743" i="1"/>
  <c r="F265" i="1"/>
  <c r="AW251" i="1"/>
  <c r="AW419" i="1"/>
  <c r="AV350" i="1"/>
  <c r="F395" i="1"/>
  <c r="AV622" i="1"/>
  <c r="CE611" i="1"/>
  <c r="AY450" i="1"/>
  <c r="F465" i="1"/>
  <c r="AV251" i="1"/>
  <c r="F264" i="1"/>
  <c r="AV419" i="1"/>
  <c r="CC541" i="1"/>
  <c r="CB653" i="1"/>
  <c r="AS669" i="1"/>
  <c r="P83" i="1"/>
  <c r="F190" i="1"/>
  <c r="F469" i="1"/>
  <c r="Q450" i="1"/>
  <c r="BC18" i="1"/>
  <c r="F746" i="1"/>
  <c r="X350" i="1"/>
  <c r="F415" i="1"/>
  <c r="AY572" i="1"/>
  <c r="F588" i="1"/>
  <c r="CA30" i="1"/>
  <c r="AR52" i="1"/>
  <c r="P247" i="1"/>
  <c r="F422" i="1"/>
  <c r="AW529" i="1"/>
  <c r="F547" i="1"/>
  <c r="S83" i="1"/>
  <c r="F202" i="1"/>
  <c r="AR572" i="1"/>
  <c r="F607" i="1"/>
  <c r="F276" i="1"/>
  <c r="AS419" i="1"/>
  <c r="AS251" i="1"/>
  <c r="AT498" i="1"/>
  <c r="CC488" i="1"/>
  <c r="AY30" i="1"/>
  <c r="F60" i="1"/>
  <c r="AY216" i="1"/>
  <c r="X572" i="1"/>
  <c r="F605" i="1"/>
  <c r="F647" i="1"/>
  <c r="X611" i="1"/>
  <c r="F346" i="1"/>
  <c r="AR290" i="1"/>
  <c r="O611" i="1"/>
  <c r="F624" i="1"/>
  <c r="AV572" i="1"/>
  <c r="F585" i="1"/>
  <c r="AW653" i="1"/>
  <c r="F675" i="1"/>
  <c r="O350" i="1"/>
  <c r="F392" i="1"/>
  <c r="P611" i="1"/>
  <c r="F625" i="1"/>
  <c r="AV450" i="1"/>
  <c r="F462" i="1"/>
  <c r="AW488" i="1"/>
  <c r="F504" i="1"/>
  <c r="CH83" i="1"/>
  <c r="AY187" i="1"/>
  <c r="AW290" i="1"/>
  <c r="F325" i="1"/>
  <c r="CB622" i="1"/>
  <c r="AY653" i="1"/>
  <c r="F677" i="1"/>
  <c r="Y611" i="1"/>
  <c r="F648" i="1"/>
  <c r="U529" i="1"/>
  <c r="F563" i="1"/>
  <c r="AV488" i="1"/>
  <c r="F503" i="1"/>
  <c r="AW350" i="1"/>
  <c r="F396" i="1"/>
  <c r="V216" i="1"/>
  <c r="F671" i="1"/>
  <c r="O653" i="1"/>
  <c r="AB83" i="1"/>
  <c r="O187" i="1"/>
  <c r="O216" i="1" s="1"/>
  <c r="AW622" i="1"/>
  <c r="CF611" i="1"/>
  <c r="Q30" i="1"/>
  <c r="F64" i="1"/>
  <c r="Q216" i="1"/>
  <c r="AX247" i="1"/>
  <c r="F426" i="1"/>
  <c r="AQ18" i="1"/>
  <c r="F740" i="1"/>
  <c r="AL83" i="1"/>
  <c r="Y187" i="1"/>
  <c r="S350" i="1"/>
  <c r="F405" i="1"/>
  <c r="S419" i="1"/>
  <c r="S698" i="1" s="1"/>
  <c r="CE83" i="1"/>
  <c r="AV187" i="1"/>
  <c r="AW572" i="1"/>
  <c r="F586" i="1"/>
  <c r="AZ26" i="1"/>
  <c r="F227" i="1"/>
  <c r="AZ698" i="1"/>
  <c r="AV653" i="1"/>
  <c r="F674" i="1"/>
  <c r="Y350" i="1"/>
  <c r="F416" i="1"/>
  <c r="O290" i="1"/>
  <c r="F321" i="1"/>
  <c r="CB30" i="1"/>
  <c r="AS52" i="1"/>
  <c r="O450" i="1"/>
  <c r="F459" i="1"/>
  <c r="O26" i="1" l="1"/>
  <c r="F218" i="1"/>
  <c r="O698" i="1"/>
  <c r="AW26" i="1"/>
  <c r="F222" i="1"/>
  <c r="AW698" i="1"/>
  <c r="S22" i="1"/>
  <c r="S730" i="1"/>
  <c r="F713" i="1"/>
  <c r="J16" i="2" s="1"/>
  <c r="J18" i="2" s="1"/>
  <c r="AY26" i="1"/>
  <c r="F224" i="1"/>
  <c r="AY698" i="1"/>
  <c r="AW247" i="1"/>
  <c r="F425" i="1"/>
  <c r="X83" i="1"/>
  <c r="F212" i="1"/>
  <c r="X247" i="1"/>
  <c r="F444" i="1"/>
  <c r="AR541" i="1"/>
  <c r="CA529" i="1"/>
  <c r="BA22" i="1"/>
  <c r="F718" i="1"/>
  <c r="BA730" i="1"/>
  <c r="CB83" i="1"/>
  <c r="AS187" i="1"/>
  <c r="U22" i="1"/>
  <c r="F720" i="1"/>
  <c r="U730" i="1"/>
  <c r="AR247" i="1"/>
  <c r="F446" i="1"/>
  <c r="AT350" i="1"/>
  <c r="F408" i="1"/>
  <c r="AT419" i="1"/>
  <c r="V26" i="1"/>
  <c r="F239" i="1"/>
  <c r="V698" i="1"/>
  <c r="F516" i="1"/>
  <c r="AT488" i="1"/>
  <c r="F79" i="1"/>
  <c r="AR30" i="1"/>
  <c r="AR216" i="1"/>
  <c r="F686" i="1"/>
  <c r="AS653" i="1"/>
  <c r="Y83" i="1"/>
  <c r="F213" i="1"/>
  <c r="F627" i="1"/>
  <c r="AV611" i="1"/>
  <c r="P22" i="1"/>
  <c r="P730" i="1"/>
  <c r="F701" i="1"/>
  <c r="AR611" i="1"/>
  <c r="F649" i="1"/>
  <c r="AR488" i="1"/>
  <c r="F525" i="1"/>
  <c r="W22" i="1"/>
  <c r="F722" i="1"/>
  <c r="W730" i="1"/>
  <c r="R26" i="1"/>
  <c r="F230" i="1"/>
  <c r="R698" i="1"/>
  <c r="T22" i="1"/>
  <c r="F719" i="1"/>
  <c r="T730" i="1"/>
  <c r="Y247" i="1"/>
  <c r="F445" i="1"/>
  <c r="X216" i="1"/>
  <c r="AR350" i="1"/>
  <c r="F417" i="1"/>
  <c r="AV83" i="1"/>
  <c r="F192" i="1"/>
  <c r="O83" i="1"/>
  <c r="F189" i="1"/>
  <c r="AY83" i="1"/>
  <c r="F195" i="1"/>
  <c r="AS247" i="1"/>
  <c r="F436" i="1"/>
  <c r="CC529" i="1"/>
  <c r="AT541" i="1"/>
  <c r="AU450" i="1"/>
  <c r="F476" i="1"/>
  <c r="AU698" i="1"/>
  <c r="O247" i="1"/>
  <c r="F421" i="1"/>
  <c r="AW83" i="1"/>
  <c r="F193" i="1"/>
  <c r="F597" i="1"/>
  <c r="AS572" i="1"/>
  <c r="Y216" i="1"/>
  <c r="AX18" i="1"/>
  <c r="F737" i="1"/>
  <c r="AR450" i="1"/>
  <c r="F484" i="1"/>
  <c r="S247" i="1"/>
  <c r="F434" i="1"/>
  <c r="AS30" i="1"/>
  <c r="F69" i="1"/>
  <c r="AS216" i="1"/>
  <c r="AZ22" i="1"/>
  <c r="F709" i="1"/>
  <c r="AZ730" i="1"/>
  <c r="Q26" i="1"/>
  <c r="F228" i="1"/>
  <c r="Q698" i="1"/>
  <c r="AW611" i="1"/>
  <c r="F628" i="1"/>
  <c r="AS622" i="1"/>
  <c r="CB611" i="1"/>
  <c r="AV247" i="1"/>
  <c r="F424" i="1"/>
  <c r="AY247" i="1"/>
  <c r="F427" i="1"/>
  <c r="AR83" i="1"/>
  <c r="F214" i="1"/>
  <c r="AV216" i="1"/>
  <c r="AP18" i="1"/>
  <c r="F739" i="1"/>
  <c r="F630" i="1"/>
  <c r="AY611" i="1"/>
  <c r="F500" i="1"/>
  <c r="O488" i="1"/>
  <c r="F543" i="1"/>
  <c r="O529" i="1"/>
  <c r="U18" i="1" l="1"/>
  <c r="F752" i="1"/>
  <c r="AY22" i="1"/>
  <c r="F706" i="1"/>
  <c r="AY730" i="1"/>
  <c r="S18" i="1"/>
  <c r="F745" i="1"/>
  <c r="Q22" i="1"/>
  <c r="F710" i="1"/>
  <c r="Q730" i="1"/>
  <c r="T18" i="1"/>
  <c r="F751" i="1"/>
  <c r="BA18" i="1"/>
  <c r="F750" i="1"/>
  <c r="AR529" i="1"/>
  <c r="F568" i="1"/>
  <c r="O22" i="1"/>
  <c r="O730" i="1"/>
  <c r="F700" i="1"/>
  <c r="AV26" i="1"/>
  <c r="F221" i="1"/>
  <c r="AV698" i="1"/>
  <c r="AS611" i="1"/>
  <c r="F639" i="1"/>
  <c r="AT529" i="1"/>
  <c r="F559" i="1"/>
  <c r="X26" i="1"/>
  <c r="F241" i="1"/>
  <c r="X698" i="1"/>
  <c r="AW22" i="1"/>
  <c r="AW730" i="1"/>
  <c r="F704" i="1"/>
  <c r="AZ18" i="1"/>
  <c r="F741" i="1"/>
  <c r="Y26" i="1"/>
  <c r="F242" i="1"/>
  <c r="Y698" i="1"/>
  <c r="R22" i="1"/>
  <c r="R730" i="1"/>
  <c r="F712" i="1"/>
  <c r="V22" i="1"/>
  <c r="F721" i="1"/>
  <c r="V730" i="1"/>
  <c r="AS26" i="1"/>
  <c r="F233" i="1"/>
  <c r="AS698" i="1"/>
  <c r="AU22" i="1"/>
  <c r="AU730" i="1"/>
  <c r="F717" i="1"/>
  <c r="H16" i="2" s="1"/>
  <c r="H18" i="2" s="1"/>
  <c r="W18" i="1"/>
  <c r="F754" i="1"/>
  <c r="P18" i="1"/>
  <c r="F733" i="1"/>
  <c r="AR26" i="1"/>
  <c r="F243" i="1"/>
  <c r="AR698" i="1"/>
  <c r="AT247" i="1"/>
  <c r="F437" i="1"/>
  <c r="AT698" i="1"/>
  <c r="AS83" i="1"/>
  <c r="F204" i="1"/>
  <c r="V18" i="1" l="1"/>
  <c r="F753" i="1"/>
  <c r="AR22" i="1"/>
  <c r="F725" i="1"/>
  <c r="F726" i="1" s="1"/>
  <c r="AR730" i="1"/>
  <c r="AU18" i="1"/>
  <c r="F749" i="1"/>
  <c r="R18" i="1"/>
  <c r="F744" i="1"/>
  <c r="AS22" i="1"/>
  <c r="F715" i="1"/>
  <c r="E16" i="2" s="1"/>
  <c r="AS730" i="1"/>
  <c r="AV22" i="1"/>
  <c r="F703" i="1"/>
  <c r="AV730" i="1"/>
  <c r="O18" i="1"/>
  <c r="F732" i="1"/>
  <c r="Q18" i="1"/>
  <c r="F742" i="1"/>
  <c r="AT22" i="1"/>
  <c r="AT730" i="1"/>
  <c r="F716" i="1"/>
  <c r="F16" i="2" s="1"/>
  <c r="F18" i="2" s="1"/>
  <c r="AW18" i="1"/>
  <c r="F736" i="1"/>
  <c r="Y22" i="1"/>
  <c r="Y730" i="1"/>
  <c r="F724" i="1"/>
  <c r="X22" i="1"/>
  <c r="F723" i="1"/>
  <c r="X730" i="1"/>
  <c r="AY18" i="1"/>
  <c r="F738" i="1"/>
  <c r="F727" i="1" l="1"/>
  <c r="F728" i="1"/>
  <c r="AV18" i="1"/>
  <c r="F735" i="1"/>
  <c r="I16" i="2"/>
  <c r="I18" i="2" s="1"/>
  <c r="E18" i="2"/>
  <c r="AS18" i="1"/>
  <c r="F747" i="1"/>
  <c r="X18" i="1"/>
  <c r="F755" i="1"/>
  <c r="Y18" i="1"/>
  <c r="F756" i="1"/>
  <c r="AT18" i="1"/>
  <c r="F748" i="1"/>
  <c r="AR18" i="1"/>
  <c r="F757" i="1"/>
</calcChain>
</file>

<file path=xl/sharedStrings.xml><?xml version="1.0" encoding="utf-8"?>
<sst xmlns="http://schemas.openxmlformats.org/spreadsheetml/2006/main" count="22284" uniqueCount="1735">
  <si>
    <t>Smeta.RU  (495) 974-1589</t>
  </si>
  <si>
    <t>_PS_</t>
  </si>
  <si>
    <t>Smeta.RU</t>
  </si>
  <si>
    <t>НИЯУ МИФИ  Доп. раб. место  MCCS-0027251</t>
  </si>
  <si>
    <t>Новый объект_(Копия)</t>
  </si>
  <si>
    <t>на капитальный ремонт помещений №1,№2,№4,№5,№6,№8,№9,№10,№11,№13,№14,№15,№16,№17,№18 третьего этажа,помещений  №1,№2,№4,№5,№6, №7,№8,№9,№10,№11, №12,№13,№14,№15,№16 5-го  этажа  и  лестниц  А ,Б НИЯУ МИФИ по адресу: г.Москва,Каширское шоссе,д.64_(Копия)</t>
  </si>
  <si>
    <t/>
  </si>
  <si>
    <t>Сметные нормы списания</t>
  </si>
  <si>
    <t>Коды ценников</t>
  </si>
  <si>
    <t>ФЕР-2017</t>
  </si>
  <si>
    <t>ТР для Версии 10: Центральные регионы (с учетом п-ма 2536-ИП/12/ГС от 22.03.2017 г</t>
  </si>
  <si>
    <t>Поправки  для ГСН 2017 от 31.03.2017 г</t>
  </si>
  <si>
    <t>Новая локальная смета</t>
  </si>
  <si>
    <t>Новый раздел</t>
  </si>
  <si>
    <t>1 Общестроительные работы</t>
  </si>
  <si>
    <t>Новый подраздел</t>
  </si>
  <si>
    <t>1 Демонтаж</t>
  </si>
  <si>
    <t>1</t>
  </si>
  <si>
    <t>46-04-012-01</t>
  </si>
  <si>
    <t>Разборка деревянных заполнений проемов оконных с подоконными досками</t>
  </si>
  <si>
    <t>100 м2</t>
  </si>
  <si>
    <t>ФЕР-2001, 46-04-012-01, приказ Минстроя России №1039/пр от 30.12.2016г.</t>
  </si>
  <si>
    <t>Общестроительные работы</t>
  </si>
  <si>
    <t>Реконструкция зданий и сооружений</t>
  </si>
  <si>
    <t>ФЕР-46</t>
  </si>
  <si>
    <t>*0,9</t>
  </si>
  <si>
    <t>*0,85</t>
  </si>
  <si>
    <t>2</t>
  </si>
  <si>
    <t>46-04-012-02</t>
  </si>
  <si>
    <t>Разборка деревянных заполнений проемов оконных без подоконных досок (фрамуга остеклённая,витражное остекление))</t>
  </si>
  <si>
    <t>ФЕР-2001, 46-04-012-02, приказ Минстроя России №1039/пр от 30.12.2016г.</t>
  </si>
  <si>
    <t>3</t>
  </si>
  <si>
    <t>58-3-1</t>
  </si>
  <si>
    <t>Разборка мелких покрытий и обделок из листовой стали поясков, сандриков, желобов, отливов, свесов и т.п.</t>
  </si>
  <si>
    <t>100 м</t>
  </si>
  <si>
    <t>ФЕРр-2001, 58-3-1, приказ Минстроя России №1039/пр от 30.12.2016г.</t>
  </si>
  <si>
    <t>Ремонтно-строительные работы</t>
  </si>
  <si>
    <t>Крыши, кровля</t>
  </si>
  <si>
    <t>рФЕР-58</t>
  </si>
  <si>
    <t>4</t>
  </si>
  <si>
    <t>46-04-012-03</t>
  </si>
  <si>
    <t>Разборка деревянных заполнений проемов дверных и воротных</t>
  </si>
  <si>
    <t>ФЕР-2001, 46-04-012-03, приказ Минстроя России №1039/пр от 30.12.2016г.</t>
  </si>
  <si>
    <t>5</t>
  </si>
  <si>
    <t>65-33-1</t>
  </si>
  <si>
    <t>Смена жалюзийных решеток</t>
  </si>
  <si>
    <t>100 ШТ</t>
  </si>
  <si>
    <t>ФЕРр-2001, 65-33-1, приказ Минстроя России №1039/пр от 30.12.2016г.</t>
  </si>
  <si>
    <t>Внтуренниие с/техработы: смена труб</t>
  </si>
  <si>
    <t>рФЕР-65</t>
  </si>
  <si>
    <t>5,1</t>
  </si>
  <si>
    <t>19.2.03.07-0006</t>
  </si>
  <si>
    <t>Решетка вентиляционная пластмассовая размером 300х300 мм</t>
  </si>
  <si>
    <t>шт.</t>
  </si>
  <si>
    <t>ФССЦ-2001, 19.2.03.07-0006, приказ Минстроя России №1039/пр от 30.12.2016г.</t>
  </si>
  <si>
    <t>5,2</t>
  </si>
  <si>
    <t>19.2.03.09</t>
  </si>
  <si>
    <t>Решетки жалюзийные</t>
  </si>
  <si>
    <t>6</t>
  </si>
  <si>
    <t>57-3-1</t>
  </si>
  <si>
    <t>Разборка плинтусов деревянных и из пластмассовых материалов</t>
  </si>
  <si>
    <t>ФЕРр-2001, 57-3-1, приказ Минстроя России №1039/пр от 30.12.2016г.</t>
  </si>
  <si>
    <t>Полы</t>
  </si>
  <si>
    <t>рФЕР-57</t>
  </si>
  <si>
    <t>7</t>
  </si>
  <si>
    <t>57-2-1</t>
  </si>
  <si>
    <t>Разборка покрытий полов из линолеума и релина</t>
  </si>
  <si>
    <t>ФЕРр-2001, 57-2-1, приказ Минстроя России №1039/пр от 30.12.2016г.</t>
  </si>
  <si>
    <t>7,1</t>
  </si>
  <si>
    <t>01.7.07.07</t>
  </si>
  <si>
    <t>Строительный мусор</t>
  </si>
  <si>
    <t>т</t>
  </si>
  <si>
    <t>8</t>
  </si>
  <si>
    <t>57-1-3</t>
  </si>
  <si>
    <t>Разборка оснований покрытия полов простильных полов(деревянные,подиум)</t>
  </si>
  <si>
    <t>ФЕРр-2001, 57-1-3, приказ Минстроя России №1039/пр от 30.12.2016г.</t>
  </si>
  <si>
    <t>9</t>
  </si>
  <si>
    <t>57-2-3 прим.</t>
  </si>
  <si>
    <t>Разборка покрытий полов из керамических плиток (керамогранит)</t>
  </si>
  <si>
    <t>ФЕРр-2001, 57-2-3, приказ Минстроя России №1039/пр от 30.12.2016г.</t>
  </si>
  <si>
    <t>10</t>
  </si>
  <si>
    <t>63-7-5</t>
  </si>
  <si>
    <t>Разборка облицовки стен из керамических глазурованных плиток</t>
  </si>
  <si>
    <t>ФЕРр-2001, 63-7-5, приказ Минстроя России №1039/пр от 30.12.2016г.</t>
  </si>
  <si>
    <t>Стекольные, обойные, облицовочные работы</t>
  </si>
  <si>
    <t>рФЕР-63</t>
  </si>
  <si>
    <t>11</t>
  </si>
  <si>
    <t>09-04-012-01</t>
  </si>
  <si>
    <t>Демонтаж: Установка металлических дверных блоков в готовые проемы</t>
  </si>
  <si>
    <t>м2</t>
  </si>
  <si>
    <t>ФЕР-2001, 09-04-012-01, приказ Минстроя России №1039/пр от 30.12.2016г.</t>
  </si>
  <si>
    <t>Поправка: Прил. 9.3, п.5  Наименование: Разборка (демонтаж) металлических конструкций</t>
  </si>
  <si>
    <t>)*0</t>
  </si>
  <si>
    <t>)*0,7</t>
  </si>
  <si>
    <t>Металлические конструкции</t>
  </si>
  <si>
    <t>ФЕР-09</t>
  </si>
  <si>
    <t>Поправка: Прил. 9.3, п.5</t>
  </si>
  <si>
    <t>12</t>
  </si>
  <si>
    <t>65-1-1</t>
  </si>
  <si>
    <t>Разборка трубопроводов из водогазопроводных труб диаметром до 32 мм (карнизов)</t>
  </si>
  <si>
    <t>ФЕРр-2001, 65-1-1, приказ Минстроя России №1039/пр от 30.12.2016г.</t>
  </si>
  <si>
    <t>Внтуренниие с/техработы:  демонтаж, разборка, промывка</t>
  </si>
  <si>
    <t>12,1</t>
  </si>
  <si>
    <t>Строительный мусор и масса возвратных материалов</t>
  </si>
  <si>
    <t>13</t>
  </si>
  <si>
    <t>55-5-1</t>
  </si>
  <si>
    <t>Разборка кирпичных перегородок на отдельные кирпичи</t>
  </si>
  <si>
    <t>ФЕРр-2001, 55-5-1, приказ Минстроя России №1039/пр от 30.12.2016г.</t>
  </si>
  <si>
    <t>Перегородки</t>
  </si>
  <si>
    <t>рФЕР-55</t>
  </si>
  <si>
    <t>13,1</t>
  </si>
  <si>
    <t>14</t>
  </si>
  <si>
    <t>46-02-009-02</t>
  </si>
  <si>
    <t>Отбивка штукатурки с поверхностей стен  кирпичных</t>
  </si>
  <si>
    <t>ФЕР-2001, 46-02-009-02, приказ Минстроя России №1039/пр от 30.12.2016г.</t>
  </si>
  <si>
    <t>ПЗ</t>
  </si>
  <si>
    <t>Прямые затраты</t>
  </si>
  <si>
    <t>СтМатОб</t>
  </si>
  <si>
    <t>Стоимость материальных ресурсов (всего)</t>
  </si>
  <si>
    <t>СтМатОбЗак</t>
  </si>
  <si>
    <t>Стоимость материалов и оборудования заказчика</t>
  </si>
  <si>
    <t>СтМатОбПод</t>
  </si>
  <si>
    <t>Стоимость материалов и оборудования подрядчика</t>
  </si>
  <si>
    <t>СтМат</t>
  </si>
  <si>
    <t>Стоимость материалов (всего)</t>
  </si>
  <si>
    <t>СтМатЗак</t>
  </si>
  <si>
    <t>Стоимость материалов заказчика</t>
  </si>
  <si>
    <t>СтМатПод</t>
  </si>
  <si>
    <t>Стоимость материалов подрядчика</t>
  </si>
  <si>
    <t>Оборуд</t>
  </si>
  <si>
    <t>Стоимость оборудования (всего)</t>
  </si>
  <si>
    <t>ОборудЗак</t>
  </si>
  <si>
    <t>Стоимость оборудования заказчика</t>
  </si>
  <si>
    <t>ОборудПод</t>
  </si>
  <si>
    <t>Стоимость оборудования подрядчика</t>
  </si>
  <si>
    <t>ЭММ</t>
  </si>
  <si>
    <t>Эксплуатация машин</t>
  </si>
  <si>
    <t>ЭММсНРиСП</t>
  </si>
  <si>
    <t>Эксплуатация машин по ТСН-2001.16</t>
  </si>
  <si>
    <t>ЗПМ</t>
  </si>
  <si>
    <t>ЗП машинистов</t>
  </si>
  <si>
    <t>ОЗП</t>
  </si>
  <si>
    <t>Основная ЗП рабочих</t>
  </si>
  <si>
    <t>ОЗПсНРиСП</t>
  </si>
  <si>
    <t>Основная ЗП рабочих по ТСН-2001.16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</si>
  <si>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</si>
  <si>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</si>
  <si>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</si>
  <si>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</si>
  <si>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</si>
  <si>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</si>
  <si>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ПрочиеЗатр</t>
  </si>
  <si>
    <t>Прочие затраты по ТСН-2001.16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</si>
  <si>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</si>
  <si>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</si>
  <si>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</si>
  <si>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</si>
  <si>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</si>
  <si>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</si>
  <si>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</si>
  <si>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</si>
  <si>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</si>
  <si>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</si>
  <si>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</si>
  <si>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</si>
  <si>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</si>
  <si>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</si>
  <si>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2 Монтаж</t>
  </si>
  <si>
    <t>15</t>
  </si>
  <si>
    <t>10-01-034-06</t>
  </si>
  <si>
    <t>Установка в жилых и общественных зданиях оконных блоков из ПВХ профилей поворотных (откидных, поворотно-откидных) с площадью проема более 2 м2 двухстворчатых</t>
  </si>
  <si>
    <t>ФЕР-2001, 10-01-034-06, приказ Минстроя России №1039/пр от 30.12.2016г.</t>
  </si>
  <si>
    <t>)*1,25</t>
  </si>
  <si>
    <t>)*1,15</t>
  </si>
  <si>
    <t>Деревянные конструкции</t>
  </si>
  <si>
    <t>ФЕР-10</t>
  </si>
  <si>
    <t>Поправка: МДС 81-35.2004, п.4.7</t>
  </si>
  <si>
    <t>15,1</t>
  </si>
  <si>
    <t>11.3.02.01-0019</t>
  </si>
  <si>
    <t>Блок оконный пластиковый двустворчатый, с глухой и поворотно-откидной створкой, двухкамерным стеклопакетом (32 мм), площадью до 3,5 м2</t>
  </si>
  <si>
    <t>ФССЦ-2001, 11.3.02.01-0019, приказ Минстроя России №1039/пр от 30.12.2016г.</t>
  </si>
  <si>
    <t>15,2</t>
  </si>
  <si>
    <t>11.3.02.03</t>
  </si>
  <si>
    <t>Блоки оконные пластиковые</t>
  </si>
  <si>
    <t>16</t>
  </si>
  <si>
    <t>10-01-034-03</t>
  </si>
  <si>
    <t>Установка в жилых и общественных зданиях оконных блоков из ПВХ профилей поворотных (откидных, поворотно-откидных) с площадью проема до 2 м2 одностворчатых</t>
  </si>
  <si>
    <t>ФЕР-2001, 10-01-034-03, приказ Минстроя России №1039/пр от 30.12.2016г.</t>
  </si>
  <si>
    <t>16,1</t>
  </si>
  <si>
    <t>11.3.02.02-0012</t>
  </si>
  <si>
    <t>Блок оконный пластиковый одностворчатый, с поворотно-откидной створкой, двухкамерным стеклопакетом (32 мм), площадью до 1 м2</t>
  </si>
  <si>
    <t>ФССЦ-2001, 11.3.02.02-0012, приказ Минстроя России №1039/пр от 30.12.2016г.</t>
  </si>
  <si>
    <t>16,2</t>
  </si>
  <si>
    <t>17</t>
  </si>
  <si>
    <t>12-01-010-01</t>
  </si>
  <si>
    <t>Устройство мелких покрытий (брандмауэры, парапеты, свесы и т.п.) из листовой оцинкованной стали</t>
  </si>
  <si>
    <t>ФЕР-2001, 12-01-010-01, приказ Минстроя России №1039/пр от 30.12.2016г.</t>
  </si>
  <si>
    <t>Кровли</t>
  </si>
  <si>
    <t>ФЕР-12</t>
  </si>
  <si>
    <t>18</t>
  </si>
  <si>
    <t>10-01-035-01</t>
  </si>
  <si>
    <t>Установка подоконных досок из ПВХ в каменных стенах толщиной до 0,51 м</t>
  </si>
  <si>
    <t>ФЕР-2001, 10-01-035-01, приказ Минстроя России №1039/пр от 30.12.2016г.</t>
  </si>
  <si>
    <t>18,1</t>
  </si>
  <si>
    <t>11.3.03.01-0010</t>
  </si>
  <si>
    <t>Доски подоконные ПВХ, шириной 500 мм</t>
  </si>
  <si>
    <t>м</t>
  </si>
  <si>
    <t>ФССЦ-2001, 11.3.03.01-0010, приказ Минстроя России №1039/пр от 30.12.2016г.</t>
  </si>
  <si>
    <t>19</t>
  </si>
  <si>
    <t>15-02-031-01</t>
  </si>
  <si>
    <t>Штукатурка поверхностей оконных и дверных откосов по бетону и камню плоских</t>
  </si>
  <si>
    <t>ФЕР-2001, 15-02-031-01, приказ Минстроя России №1039/пр от 30.12.2016г.</t>
  </si>
  <si>
    <t>Отделочные работы</t>
  </si>
  <si>
    <t>ФЕР-15</t>
  </si>
  <si>
    <t>20</t>
  </si>
  <si>
    <t>15-04-005-03</t>
  </si>
  <si>
    <t>Окраска поливинилацетатными водоэмульсионными составами улучшенная по штукатурке стен (откосы)</t>
  </si>
  <si>
    <t>ФЕР-2001, 15-04-005-03, приказ Минстроя России №1039/пр от 30.12.2016г.</t>
  </si>
  <si>
    <t>20,1</t>
  </si>
  <si>
    <t>14.3.02.01-0208</t>
  </si>
  <si>
    <t>Краска водно-дисперсионная "БИРСС Интерьер-Колор", цвет белый</t>
  </si>
  <si>
    <t>ФССЦ-2001, 14.3.02.01-0208, приказ Минстроя России №1039/пр от 30.12.2016г.</t>
  </si>
  <si>
    <t>20,2</t>
  </si>
  <si>
    <t>14.3.02.01</t>
  </si>
  <si>
    <t>Краска водоэмульсионная</t>
  </si>
  <si>
    <t>21</t>
  </si>
  <si>
    <t>Установка металлических дверных блоков в готовые проемы</t>
  </si>
  <si>
    <t>21,1</t>
  </si>
  <si>
    <t>01.7.04.04-0012</t>
  </si>
  <si>
    <t>Замок врезной оцинкованный с цилиндровым механизмом из латуни</t>
  </si>
  <si>
    <t>компл.</t>
  </si>
  <si>
    <t>ФССЦ-2001, 01.7.04.04-0012, приказ Минстроя России №1039/пр от 30.12.2016г.</t>
  </si>
  <si>
    <t>21,2</t>
  </si>
  <si>
    <t>07.1.01.03-0002</t>
  </si>
  <si>
    <t>Блок дверной стальной наружный двупольный ДСН ДКН, площадь 2,73 м2 (ГОСТ 31173-2003)</t>
  </si>
  <si>
    <t>ФССЦ-2001, 07.1.01.03-0002, приказ Минстроя России №1039/пр от 30.12.2016г.</t>
  </si>
  <si>
    <t>21,3</t>
  </si>
  <si>
    <t>07.1.01.03</t>
  </si>
  <si>
    <t>Блоки дверные металлические</t>
  </si>
  <si>
    <t>22</t>
  </si>
  <si>
    <t>09-04-012-02</t>
  </si>
  <si>
    <t>Установка дверного доводчика к металлическим дверям</t>
  </si>
  <si>
    <t>ШТ</t>
  </si>
  <si>
    <t>ФЕР-2001, 09-04-012-02, приказ Минстроя России №1039/пр от 30.12.2016г.</t>
  </si>
  <si>
    <t>22,1</t>
  </si>
  <si>
    <t>01.7.04.01-0001</t>
  </si>
  <si>
    <t>Доводчик дверной DS 73 BC "Серия Premium", усилие закрывания EN2-5</t>
  </si>
  <si>
    <t>ФССЦ-2001, 01.7.04.01-0001, приказ Минстроя России №1039/пр от 30.12.2016г.</t>
  </si>
  <si>
    <t>23</t>
  </si>
  <si>
    <t>10-01-039-01</t>
  </si>
  <si>
    <t>Установка блоков в наружных и внутренних дверных проемах в каменных стенах, площадь проема до 3 м2</t>
  </si>
  <si>
    <t>ФЕР-2001, 10-01-039-01, приказ Минстроя России №1039/пр от 30.12.2016г.</t>
  </si>
  <si>
    <t>23,1</t>
  </si>
  <si>
    <t>11.2.02.01-0032</t>
  </si>
  <si>
    <t>Блоки дверные внутренние однопольные глухие шлифованные, из массива сосны, тонированные</t>
  </si>
  <si>
    <t>ФССЦ-2001, 11.2.02.01-0032, приказ Минстроя России №1039/пр от 30.12.2016г.</t>
  </si>
  <si>
    <t>23,2</t>
  </si>
  <si>
    <t>01.7.04.07-0003</t>
  </si>
  <si>
    <t>Скобяные изделия для блоков входных дверей в помещение однопольных</t>
  </si>
  <si>
    <t>ФССЦ-2001, 01.7.04.07-0003, приказ Минстроя России №1039/пр от 30.12.2016г.</t>
  </si>
  <si>
    <t>23,3</t>
  </si>
  <si>
    <t>11.2.02.01</t>
  </si>
  <si>
    <t>Блоки дверные</t>
  </si>
  <si>
    <t>24</t>
  </si>
  <si>
    <t>10-04-014-01</t>
  </si>
  <si>
    <t>Устройство сантехнических перегородок (стандартные туалетные кабины) на каркасе из алюминиевого профиля</t>
  </si>
  <si>
    <t>ФЕР-2001, 10-04-014-01, приказ Минстроя России №886/пр от 15.06.2017</t>
  </si>
  <si>
    <t>25</t>
  </si>
  <si>
    <t>61-7-1</t>
  </si>
  <si>
    <t>Ремонт штукатурки откосов внутри здания по камню и бетону цементно-известковым раствором прямолинейных</t>
  </si>
  <si>
    <t>ФЕРр-2001, 61-7-1, приказ Минстроя России №1039/пр от 30.12.2016г.</t>
  </si>
  <si>
    <t>Штукатрурные работы</t>
  </si>
  <si>
    <t>рФЕР-61</t>
  </si>
  <si>
    <t>25,1</t>
  </si>
  <si>
    <t>26</t>
  </si>
  <si>
    <t>53-25-1</t>
  </si>
  <si>
    <t>Устройство металлических перемычек в стенах существующих зданий</t>
  </si>
  <si>
    <t>ФЕРр-2001, 53-25-1, приказ Минстроя России №1039/пр от 30.12.2016г.</t>
  </si>
  <si>
    <t>Стены</t>
  </si>
  <si>
    <t>рФЕР-53</t>
  </si>
  <si>
    <t>26,1</t>
  </si>
  <si>
    <t>04.3.01.09-0014</t>
  </si>
  <si>
    <t>Раствор готовый кладочный цементный марки 100</t>
  </si>
  <si>
    <t>м3</t>
  </si>
  <si>
    <t>ФССЦ-2001, 04.3.01.09-0014, приказ Минстроя России №1039/пр от 30.12.2016г.</t>
  </si>
  <si>
    <t>26,2</t>
  </si>
  <si>
    <t>06.1.01.05-0036</t>
  </si>
  <si>
    <t>Кирпич керамический одинарный, размером 250х120х65 мм, марка 125</t>
  </si>
  <si>
    <t>1000 шт.</t>
  </si>
  <si>
    <t>ФССЦ-2001, 06.1.01.05-0036, приказ Минстроя России №1039/пр от 30.12.2016г.</t>
  </si>
  <si>
    <t>26,3</t>
  </si>
  <si>
    <t>08.3.08.02-0083</t>
  </si>
  <si>
    <t>Сталь угловая равнополочная, марка стали Ст3сп, размером 45х45 мм</t>
  </si>
  <si>
    <t>ФССЦ-2001, 08.3.08.02-0083, приказ Минстроя России №1039/пр от 30.12.2016г.</t>
  </si>
  <si>
    <t>26,4</t>
  </si>
  <si>
    <t>04.3.01.12</t>
  </si>
  <si>
    <t>Раствор цементно-известковый М50</t>
  </si>
  <si>
    <t>26,5</t>
  </si>
  <si>
    <t>06.1.01.05</t>
  </si>
  <si>
    <t>Кирпич</t>
  </si>
  <si>
    <t>26,6</t>
  </si>
  <si>
    <t>07.2.07.13</t>
  </si>
  <si>
    <t>Конструкции стальные</t>
  </si>
  <si>
    <t>27</t>
  </si>
  <si>
    <t>08-04-003-03</t>
  </si>
  <si>
    <t>Кладка перегородок из газобетонных блоков на клее толщиной 200 мм при высоте этажа до 4 м</t>
  </si>
  <si>
    <t>ФЕР-2001, 08-04-003-03, приказ Минстроя России №1039/пр от 30.12.2016г.</t>
  </si>
  <si>
    <t>Конструкции из кирпича и блоков</t>
  </si>
  <si>
    <t>ФЕР-08</t>
  </si>
  <si>
    <t>27,1</t>
  </si>
  <si>
    <t>05.2.02.07-0010</t>
  </si>
  <si>
    <t>Блок пенобетонный, размером 20х30х60, D500 (Пеноблок газоселикатный 600х250х100мм) прим.</t>
  </si>
  <si>
    <t>ФССЦ-2001, 05.2.02.07-0010, приказ Минстроя России №1039/пр от 30.12.2016г.</t>
  </si>
  <si>
    <t>27,2</t>
  </si>
  <si>
    <t>14.1.06.02-0001</t>
  </si>
  <si>
    <t>Клей для облицовочных работ водостойкий «Плюс» (сухая смесь)</t>
  </si>
  <si>
    <t>ФССЦ-2001, 14.1.06.02-0001, приказ Минстроя России №1039/пр от 30.12.2016г.</t>
  </si>
  <si>
    <t>27,3</t>
  </si>
  <si>
    <t>05.2.02.09</t>
  </si>
  <si>
    <t>Блоки из ячеистых бетонов стеновые</t>
  </si>
  <si>
    <t>27,4</t>
  </si>
  <si>
    <t>14.1.06.05</t>
  </si>
  <si>
    <t>Состав клеящий</t>
  </si>
  <si>
    <t>кг</t>
  </si>
  <si>
    <t>28</t>
  </si>
  <si>
    <t>46-02-007-01</t>
  </si>
  <si>
    <t>Кладка отдельных участков кирпичных стен и заделка проемов в кирпичных стенах при объеме кладки в одном месте до 5 м3</t>
  </si>
  <si>
    <t>ФЕР-2001, 46-02-007-01, приказ Минстроя России №1039/пр от 30.12.2016г.</t>
  </si>
  <si>
    <t>28,1</t>
  </si>
  <si>
    <t>06.1.01.09-0002</t>
  </si>
  <si>
    <t>Кирпич-половняк силикатный</t>
  </si>
  <si>
    <t>ФССЦ-2001, 06.1.01.09-0002, приказ Минстроя России №1039/пр от 30.12.2016г.</t>
  </si>
  <si>
    <t>28,2</t>
  </si>
  <si>
    <t>Кирпич глиняный обыкновенный</t>
  </si>
  <si>
    <t>29</t>
  </si>
  <si>
    <t>61-1-9</t>
  </si>
  <si>
    <t>Сплошное выравнивание внутренних поверхностей (однослойное оштукатуривание) из сухих растворных смесей толщиной до 10 мм для последующей окраски или оклейки обоями стен</t>
  </si>
  <si>
    <t>ФЕРр-2001, 61-1-9, приказ Минстроя России №1039/пр от 30.12.2016г.</t>
  </si>
  <si>
    <t>29,1</t>
  </si>
  <si>
    <t>04.3.02.05-0002</t>
  </si>
  <si>
    <t>Смесь штукатурная «Ротбанд», КНАУФ</t>
  </si>
  <si>
    <t>ФССЦ-2001, 04.3.02.05-0002, приказ Минстроя России №1039/пр от 30.12.2016г.</t>
  </si>
  <si>
    <t>29,2</t>
  </si>
  <si>
    <t>04.3.02.09</t>
  </si>
  <si>
    <t>Смеси на цементной основе</t>
  </si>
  <si>
    <t>30</t>
  </si>
  <si>
    <t>15-02-016-03</t>
  </si>
  <si>
    <t>Штукатурка поверхностей внутри здания цементно-известковым или цементным раствором по камню и бетону улучшенная стен</t>
  </si>
  <si>
    <t>ФЕР-2001, 15-02-016-03, приказ Минстроя России №1039/пр от 30.12.2016г.</t>
  </si>
  <si>
    <t>31</t>
  </si>
  <si>
    <t>62-16-3</t>
  </si>
  <si>
    <t>Окрашивание водоэмульсионными составами поверхностей стен, ранее окрашенных водоэмульсионной краской с расчисткой старой краски до 35%</t>
  </si>
  <si>
    <t>ФЕРр-2001, 62-16-3, приказ Минстроя России №1039/пр от 30.12.2016г.</t>
  </si>
  <si>
    <t>Малярные работы</t>
  </si>
  <si>
    <t>рФЕР-62</t>
  </si>
  <si>
    <t>31,1</t>
  </si>
  <si>
    <t>14.3.02.01-0026</t>
  </si>
  <si>
    <t>Краска акриловая АКВА ВД-АК-11</t>
  </si>
  <si>
    <t>ФССЦ-2001, 14.3.02.01-0026, приказ Минстроя России №1039/пр от 30.12.2016г.</t>
  </si>
  <si>
    <t>31,2</t>
  </si>
  <si>
    <t>32</t>
  </si>
  <si>
    <t>15-06-001-01</t>
  </si>
  <si>
    <t>Оклейка обоями стен по монолитной штукатурке и бетону простыми и средней плотности</t>
  </si>
  <si>
    <t>ФЕР-2001, 15-06-001-01, приказ Минстроя России №1039/пр от 30.12.2016г.</t>
  </si>
  <si>
    <t>32,1</t>
  </si>
  <si>
    <t>01.6.02.01</t>
  </si>
  <si>
    <t>Обои</t>
  </si>
  <si>
    <t>33</t>
  </si>
  <si>
    <t>15-06-004-01</t>
  </si>
  <si>
    <t>Вторая окраска стен, оклееных стеклообоями, красками</t>
  </si>
  <si>
    <t>ФЕР-2001, 15-06-004-01, приказ Минстроя России №1039/пр от 30.12.2016г.</t>
  </si>
  <si>
    <t>33,1</t>
  </si>
  <si>
    <t>33,2</t>
  </si>
  <si>
    <t>14.4.02.09</t>
  </si>
  <si>
    <t>Краска</t>
  </si>
  <si>
    <t>34</t>
  </si>
  <si>
    <t>15-02-041-02 прим.</t>
  </si>
  <si>
    <t>Устройство металлического каркаса из направляющих профилей под облицовку различными материалами перегородок (канализационные стояки)</t>
  </si>
  <si>
    <t>ФЕР-2001, 15-02-041-02, приказ Минстроя России №886/пр от 15.06.2017</t>
  </si>
  <si>
    <t>35</t>
  </si>
  <si>
    <t>10-01-012-02 прим.</t>
  </si>
  <si>
    <t>Обшивка каркасных стен плитами древесноволокнистыми твердыми 5 мм (канализационные стояки)</t>
  </si>
  <si>
    <t>ФЕР-2001, 10-01-012-02, приказ Минстроя России №1039/пр от 30.12.2016г.</t>
  </si>
  <si>
    <t>35,1</t>
  </si>
  <si>
    <t>01.6.01.02-0008</t>
  </si>
  <si>
    <t>Листы гипсокартонные ГКЛВ 12,5 мм</t>
  </si>
  <si>
    <t>ФССЦ-2001, 01.6.01.02-0008, приказ Минстроя России №1039/пр от 30.12.2016г.</t>
  </si>
  <si>
    <t>35,2</t>
  </si>
  <si>
    <t>11.2.08.02-0010</t>
  </si>
  <si>
    <t>Плиты древесноволокнистые сухого способа производства группы А, твердые марки ТС-400 толщиной 5 мм</t>
  </si>
  <si>
    <t>1000 м2</t>
  </si>
  <si>
    <t>ФССЦ-2001, 11.2.08.02-0010, приказ Минстроя России №1039/пр от 30.12.2016г.</t>
  </si>
  <si>
    <t>36</t>
  </si>
  <si>
    <t>15-01-019-05</t>
  </si>
  <si>
    <t>Гладкая облицовка стен, столбов, пилястр и откосов (без карнизных, плинтусных и угловых плиток) без установки плиток туалетного гарнитура на клее из сухих смесей по кирпичу и бетону</t>
  </si>
  <si>
    <t>ФЕР-2001, 15-01-019-05, приказ Минстроя России №1039/пр от 30.12.2016г.</t>
  </si>
  <si>
    <t>36,1</t>
  </si>
  <si>
    <t>Смесь сухая для заделки швов</t>
  </si>
  <si>
    <t>36,2</t>
  </si>
  <si>
    <t>04.3.02.09-0741</t>
  </si>
  <si>
    <t>Смесь сухая (фуга) АТЛАС разных цветов для заделки швов водостойкая</t>
  </si>
  <si>
    <t>ФССЦ-2001, 04.3.02.09-0741, приказ Минстроя России №1039/пр от 30.12.2016г.</t>
  </si>
  <si>
    <t>36,3</t>
  </si>
  <si>
    <t>06.2.01.02-0012</t>
  </si>
  <si>
    <t>Плитки керамические глазурованные для внутренней облицовки стен гладкие без завала цветные (однотонные)</t>
  </si>
  <si>
    <t>ФССЦ-2001, 06.2.01.02-0012, приказ Минстроя России №1039/пр от 30.12.2016г.</t>
  </si>
  <si>
    <t>36,4</t>
  </si>
  <si>
    <t>14.1.06.02-0006</t>
  </si>
  <si>
    <t>Клей для плитки Ветонит "Renovation FIX" (сухая смесь)</t>
  </si>
  <si>
    <t>ФССЦ-2001, 14.1.06.02-0006, приказ Минстроя России №1039/пр от 30.12.2016г.</t>
  </si>
  <si>
    <t>36,5</t>
  </si>
  <si>
    <t>06.2.05.04</t>
  </si>
  <si>
    <t>Плитки рядовые</t>
  </si>
  <si>
    <t>36,6</t>
  </si>
  <si>
    <t>14.1.06.02</t>
  </si>
  <si>
    <t>Клей для облицовочных работ (сухая смесь)</t>
  </si>
  <si>
    <t>37</t>
  </si>
  <si>
    <t>20-02-017-07 прим.</t>
  </si>
  <si>
    <t>Установка люков герметических (лючки ревизионные)</t>
  </si>
  <si>
    <t>ФЕР-2001, 20-02-017-07, приказ Минстроя России №1039/пр от 30.12.2016г.</t>
  </si>
  <si>
    <t>Вентиляция и кондиционирование</t>
  </si>
  <si>
    <t>ФЕР-20</t>
  </si>
  <si>
    <t>37,1</t>
  </si>
  <si>
    <t>24.3.05.12-0002</t>
  </si>
  <si>
    <t>Ревизия полиэтиленовая с крышкой размером 100х50 мм (Ревизионные лючки ПВХ  размером 400х300мм) прим.</t>
  </si>
  <si>
    <t>ФССЦ-2001, 24.3.05.12-0002, приказ Минстроя России №1039/пр от 30.12.2016г.</t>
  </si>
  <si>
    <t>37,2</t>
  </si>
  <si>
    <t>22.2.02.10</t>
  </si>
  <si>
    <t>Люки герметические</t>
  </si>
  <si>
    <t>38</t>
  </si>
  <si>
    <t>11-01-011-03</t>
  </si>
  <si>
    <t>Устройство стяжек бетонных толщиной 20 мм</t>
  </si>
  <si>
    <t>ФЕР-2001, 11-01-011-03, приказ Минстроя России №1039/пр от 30.12.2016г.</t>
  </si>
  <si>
    <t>ФЕР-11</t>
  </si>
  <si>
    <t>38,1</t>
  </si>
  <si>
    <t>04.1.02.01-0008</t>
  </si>
  <si>
    <t>Бетон мелкозернистый, класс В22,5 (М300)</t>
  </si>
  <si>
    <t>ФССЦ-2001, 04.1.02.01-0008, приказ Минстроя России №1039/пр от 30.12.2016г.</t>
  </si>
  <si>
    <t>38,2</t>
  </si>
  <si>
    <t>04.1.02.06</t>
  </si>
  <si>
    <t>Бетон тяжелый</t>
  </si>
  <si>
    <t>39</t>
  </si>
  <si>
    <t>11-01-011-04</t>
  </si>
  <si>
    <t>Устройство стяжек на каждые 5 мм изменения толщины стяжки добавлять или исключать к расценке 11-01-011-03 (тол.30мм)</t>
  </si>
  <si>
    <t>ФЕР-2001, 11-01-011-04, приказ Минстроя России №1039/пр от 30.12.2016г.</t>
  </si>
  <si>
    <t>*6</t>
  </si>
  <si>
    <t>)*1,25*6</t>
  </si>
  <si>
    <t>)*1,15*6</t>
  </si>
  <si>
    <t>39,1</t>
  </si>
  <si>
    <t>39,2</t>
  </si>
  <si>
    <t>40</t>
  </si>
  <si>
    <t>11-01-011-08</t>
  </si>
  <si>
    <t>Устройство стяжек из выравнивающей смеси типа "Ветонит" 5000, толщиной 5 мм</t>
  </si>
  <si>
    <t>ФЕР-2001, 11-01-011-08, приказ Минстроя России №1039/пр от 30.12.2016г.</t>
  </si>
  <si>
    <t>41</t>
  </si>
  <si>
    <t>11-01-011-10</t>
  </si>
  <si>
    <t>Устройство стяжек на каждый последующий слой толщиной 1 мм добавлять к расценке 11-01-011-08 (тол.5мм)</t>
  </si>
  <si>
    <t>ФЕР-2001, 11-01-011-10, приказ Минстроя России №1039/пр от 30.12.2016г.</t>
  </si>
  <si>
    <t>*5</t>
  </si>
  <si>
    <t>)*1,25*5</t>
  </si>
  <si>
    <t>)*1,15*5</t>
  </si>
  <si>
    <t>42</t>
  </si>
  <si>
    <t>11-01-015-07 прим.</t>
  </si>
  <si>
    <t>Шлифовка бетонных или металлоцементных покрытий (из мрамора)</t>
  </si>
  <si>
    <t>ФЕР-2001, 11-01-015-07, приказ Минстроя России №1039/пр от 30.12.2016г.</t>
  </si>
  <si>
    <t>43</t>
  </si>
  <si>
    <t>11-01-047-01</t>
  </si>
  <si>
    <t>Устройство покрытий из плит керамогранитных размером 40х40 см</t>
  </si>
  <si>
    <t>ФЕР-2001, 11-01-047-01, приказ Минстроя России №1039/пр от 30.12.2016г.</t>
  </si>
  <si>
    <t>43,1</t>
  </si>
  <si>
    <t>06.2.05.03-0003</t>
  </si>
  <si>
    <t>Гранит керамический многоцветный неполированный, размером 400х400х9 мм</t>
  </si>
  <si>
    <t>ФССЦ-2001, 06.2.05.03-0003, приказ Минстроя России №1039/пр от 30.12.2016г.</t>
  </si>
  <si>
    <t>43,2</t>
  </si>
  <si>
    <t>06.2.05.03-0021</t>
  </si>
  <si>
    <t>Плитка керамогранитная неполированная Керабуд (коллекция "Грес" К001) размером 300х300 мм</t>
  </si>
  <si>
    <t>ФССЦ-2001, 06.2.05.03-0021, приказ Минстроя России №1039/пр от 30.12.2016г.</t>
  </si>
  <si>
    <t>44</t>
  </si>
  <si>
    <t>11-01-004-05</t>
  </si>
  <si>
    <t>Устройство гидроизоляции обмазочной в один слой толщиной 2 мм</t>
  </si>
  <si>
    <t>ФЕР-2001, 11-01-004-05, приказ Минстроя России №1039/пр от 30.12.2016г.</t>
  </si>
  <si>
    <t>45</t>
  </si>
  <si>
    <t>11-01-034-04</t>
  </si>
  <si>
    <t>Устройство покрытий из досок ламинированных замковым способом</t>
  </si>
  <si>
    <t>ФЕР-2001, 11-01-034-04, приказ Минстроя России №1039/пр от 30.12.2016г.</t>
  </si>
  <si>
    <t>45,1</t>
  </si>
  <si>
    <t>11.2.03.02-0008</t>
  </si>
  <si>
    <t>Ламинат "TARKETT " (33 класс, размер 1292х194 мм, толщина 8 мм) прим.</t>
  </si>
  <si>
    <t>ФССЦ-2001, 11.2.03.02-0008, приказ Минстроя России №1039/пр от 30.12.2016г.</t>
  </si>
  <si>
    <t>45,2</t>
  </si>
  <si>
    <t>11.2.03.02</t>
  </si>
  <si>
    <t>Покрытие напольное ламинированное (ламинат)</t>
  </si>
  <si>
    <t>46</t>
  </si>
  <si>
    <t>11-01-040-01</t>
  </si>
  <si>
    <t>Устройство плинтусов поливинилхлоридных на клее КН-2</t>
  </si>
  <si>
    <t>ФЕР-2001, 11-01-040-01, приказ Минстроя России №1039/пр от 30.12.2016г.</t>
  </si>
  <si>
    <t>46,1</t>
  </si>
  <si>
    <t>11.3.03.06-0002</t>
  </si>
  <si>
    <t>Плинтуса для полов с кабель-каналом пластиковые, 22х49 мм</t>
  </si>
  <si>
    <t>ФССЦ-2001, 11.3.03.06-0002, приказ Минстроя России №1039/пр от 30.12.2016г.</t>
  </si>
  <si>
    <t>46,2</t>
  </si>
  <si>
    <t>11.3.03.06</t>
  </si>
  <si>
    <t>Плинтуса для полов пластиковые</t>
  </si>
  <si>
    <t>47</t>
  </si>
  <si>
    <t>11-01-039-04</t>
  </si>
  <si>
    <t>Устройство плинтусов из плиток керамических</t>
  </si>
  <si>
    <t>ФЕР-2001, 11-01-039-04, приказ Минстроя России №1039/пр от 30.12.2016г.</t>
  </si>
  <si>
    <t>47,1</t>
  </si>
  <si>
    <t>06.2.05.03-0031</t>
  </si>
  <si>
    <t>Плитки керамические плинтусные прямые</t>
  </si>
  <si>
    <t>ФССЦ-2001, 06.2.05.03-0031, приказ Минстроя России №1039/пр от 30.12.2016г.</t>
  </si>
  <si>
    <t>47,2</t>
  </si>
  <si>
    <t>06.2.05.03</t>
  </si>
  <si>
    <t>Плитки керамические плинтусные</t>
  </si>
  <si>
    <t>48</t>
  </si>
  <si>
    <t>11-01-049-01</t>
  </si>
  <si>
    <t>Укладка металлического накладного профиля (порога)</t>
  </si>
  <si>
    <t>ФЕР-2001, 11-01-049-01, приказ Минстроя России №1039/пр от 30.12.2016г.</t>
  </si>
  <si>
    <t>48,1</t>
  </si>
  <si>
    <t>09.2.03.02-0001</t>
  </si>
  <si>
    <t>Профили стыкоперекрывающие из алюминиевых сплавов (порожки) с покрытием и антискользящей вставкой, шириной 39 мм, длиной 0,9 м</t>
  </si>
  <si>
    <t>ФССЦ-2001, 09.2.03.02-0001, приказ Минстроя России №1039/пр от 30.12.2016г.</t>
  </si>
  <si>
    <t>48,2</t>
  </si>
  <si>
    <t>09.2.03.02-0002</t>
  </si>
  <si>
    <t>Профили стыкоперекрывающие из алюминиевых сплавов (порожки) с покрытием и антискользящей вставкой, шириной 39 мм, длиной 1,8 м</t>
  </si>
  <si>
    <t>ФССЦ-2001, 09.2.03.02-0002, приказ Минстроя России №1039/пр от 30.12.2016г.</t>
  </si>
  <si>
    <t>48,3</t>
  </si>
  <si>
    <t>09.2.03.02</t>
  </si>
  <si>
    <t>Профили стыкоперекрывающие из алюминиевых сплавов (порожки) с покрытием</t>
  </si>
  <si>
    <t>49</t>
  </si>
  <si>
    <t>15-01-047-15</t>
  </si>
  <si>
    <t>Устройство подвесных потолков типа &lt;Армстронг&gt; по каркасу из оцинкованного профиля</t>
  </si>
  <si>
    <t>ФЕР-2001, 15-01-047-15, приказ Минстроя России №1039/пр от 30.12.2016г.</t>
  </si>
  <si>
    <t>50</t>
  </si>
  <si>
    <t>15-01-047-16</t>
  </si>
  <si>
    <t>Устройство потолков реечных алюминиевых прим.</t>
  </si>
  <si>
    <t>ФЕР-2001, 15-01-047-16, приказ Минстроя России №1039/пр от 30.12.2016г.</t>
  </si>
  <si>
    <t>50,1</t>
  </si>
  <si>
    <t>09.2.01.05-0091</t>
  </si>
  <si>
    <t>Уголок декоративный (пристенный)</t>
  </si>
  <si>
    <t>ФССЦ-2001, 09.2.01.05-0091, приказ Минстроя России №1039/пр от 30.12.2016г.</t>
  </si>
  <si>
    <t>50,2</t>
  </si>
  <si>
    <t>09.2.02.02-0011</t>
  </si>
  <si>
    <t>Рейка алюминиевая потолочная 100 мм</t>
  </si>
  <si>
    <t>ФССЦ-2001, 09.2.02.02-0011, приказ Минстроя России №1039/пр от 30.12.2016г.</t>
  </si>
  <si>
    <t>50,3</t>
  </si>
  <si>
    <t>09.2.02.02-0010</t>
  </si>
  <si>
    <t>Комплекты элементов потолков реечных "Албест" АР 600А 6/45  прим.</t>
  </si>
  <si>
    <t>ФССЦ-2001, 09.2.02.02-0010, приказ Минстроя России №1039/пр от 30.12.2016г.</t>
  </si>
  <si>
    <t>51</t>
  </si>
  <si>
    <t>69-15-1</t>
  </si>
  <si>
    <t>Затаривание строительного мусора в мешки</t>
  </si>
  <si>
    <t>ФЕРр-2001, 69-15-1, приказ Минстроя России №1039/пр от 30.12.2016г.</t>
  </si>
  <si>
    <t>Прочие ремонтно-строительные работы</t>
  </si>
  <si>
    <t>рФЕР-69</t>
  </si>
  <si>
    <t>52</t>
  </si>
  <si>
    <t>т01-01-01-041</t>
  </si>
  <si>
    <t>Погрузочные работы при автомобильных перевозках мусора строительного с погрузкой вручную</t>
  </si>
  <si>
    <t>1 Т ГРУЗА</t>
  </si>
  <si>
    <t>ФССЦпг-2001, т01-01-01-041, приказ Минстроя России №1039/пр от 30.12.2016г.</t>
  </si>
  <si>
    <t>Погрузочно-разгрузочные работы</t>
  </si>
  <si>
    <t>Перевозка грузов , (ФССЦпр 2011-изм. № 4-6, раздел 1):  погрузочно-разгрузочные работы  (НР и СП в прям. затратах )</t>
  </si>
  <si>
    <t>ФССЦпр  пог. а/п (2011,изм. 4-6)</t>
  </si>
  <si>
    <t>53</t>
  </si>
  <si>
    <t>т03-01-01-035</t>
  </si>
  <si>
    <t>Перевозка грузов I класса автомобилями бортовыми грузоподъемностью до 15 т на расстояние до 35 км</t>
  </si>
  <si>
    <t>ФССЦпг-2001, т03-01-01-035, приказ Минстроя России №1039/пр от 30.12.2016г.</t>
  </si>
  <si>
    <t>Перевозка грузов авто/транспортом</t>
  </si>
  <si>
    <t>Перевозкуа грузов (ФССЦпр-2011 - изм. 7, разделы 1-4) - по сметной стоимости</t>
  </si>
  <si>
    <t>ФССЦпр , изм. 7</t>
  </si>
  <si>
    <t>2 Электромонтажные работы</t>
  </si>
  <si>
    <t>1Демонтаж</t>
  </si>
  <si>
    <t>54</t>
  </si>
  <si>
    <t>67-4-5</t>
  </si>
  <si>
    <t>Демонтаж светильников для люминесцентных ламп</t>
  </si>
  <si>
    <t>ФЕРр-2001, 67-4-5, приказ Минстроя России №1039/пр от 30.12.2016г.</t>
  </si>
  <si>
    <t>Электромонтажные работы</t>
  </si>
  <si>
    <t>рФЕР-67</t>
  </si>
  <si>
    <t>55</t>
  </si>
  <si>
    <t>67-3-1</t>
  </si>
  <si>
    <t>Демонтаж кабеля</t>
  </si>
  <si>
    <t>ФЕРр-2001, 67-3-1, приказ Минстроя России №1039/пр от 30.12.2016г.</t>
  </si>
  <si>
    <t>56</t>
  </si>
  <si>
    <t>67-4-1</t>
  </si>
  <si>
    <t>Демонтаж выключателей, розеток</t>
  </si>
  <si>
    <t>ФЕРр-2001, 67-4-1, приказ Минстроя России №1039/пр от 30.12.2016г.</t>
  </si>
  <si>
    <t>57</t>
  </si>
  <si>
    <t>м08-02-390-01</t>
  </si>
  <si>
    <t>Демонтаж:Короба пластмассовые шириной до 40 мм</t>
  </si>
  <si>
    <t>ФЕРм-2001, м08-02-390-01, приказ Минстроя России №1039/пр от 30.12.2016г.</t>
  </si>
  <si>
    <t>)*0,3</t>
  </si>
  <si>
    <t>Монтажные работы</t>
  </si>
  <si>
    <t>Электромонтажные работы ,  отдел 01-03 : ( на АЭС  НР = 110% ) - (работы по упр. авиа.- движением:  СП=55% (  {АВИА}=1; обычные работы : СП=65 - {AВИА}=0), при работе на АЭС СП= 68% )</t>
  </si>
  <si>
    <t>мФЕР-08</t>
  </si>
  <si>
    <t>Поправка: МДС 81-37.2004, п.3.2.1.4</t>
  </si>
  <si>
    <t>58</t>
  </si>
  <si>
    <t>м08-02-370-02</t>
  </si>
  <si>
    <t>Демонтаж:Щиток до трех групп, устанавливаемый в нише цоколя</t>
  </si>
  <si>
    <t>ФЕРм-2001, м08-02-370-02, приказ Минстроя России №1039/пр от 30.12.2016г.</t>
  </si>
  <si>
    <t>2 Монтаж освещения</t>
  </si>
  <si>
    <t>59</t>
  </si>
  <si>
    <t>м08-03-593-19</t>
  </si>
  <si>
    <t>Светильник в подвесных потолках</t>
  </si>
  <si>
    <t>ФЕРм-2001, м08-03-593-19, приказ Минстроя России №1039/пр от 30.12.2016г.</t>
  </si>
  <si>
    <t>59,1</t>
  </si>
  <si>
    <t>20.3.03.04-0044</t>
  </si>
  <si>
    <t>Светильник светодиодный,накладной мощностью 40W,цветовой температурой К4000,размером 595х595х40мм,IP40 прим.</t>
  </si>
  <si>
    <t>ФССЦ-2001, 20.3.03.04-0044, приказ Минстроя России №1039/пр от 30.12.2016г.</t>
  </si>
  <si>
    <t>60</t>
  </si>
  <si>
    <t>м08-03-591-04</t>
  </si>
  <si>
    <t>Выключатель двухклавишный неутопленного типа при открытой проводке</t>
  </si>
  <si>
    <t>ФЕРм-2001, м08-03-591-04, приказ Минстроя России №1039/пр от 30.12.2016г.</t>
  </si>
  <si>
    <t>60,1</t>
  </si>
  <si>
    <t>20.4.01.01-0001</t>
  </si>
  <si>
    <t>Выключатель двухклавишный для открытой проводки</t>
  </si>
  <si>
    <t>10 шт.</t>
  </si>
  <si>
    <t>ФССЦ-2001, 20.4.01.01-0001, приказ Минстроя России №1039/пр от 30.12.2016г.</t>
  </si>
  <si>
    <t>61</t>
  </si>
  <si>
    <t>м08-03-591-01</t>
  </si>
  <si>
    <t>Выключатель одноклавишный неутопленного типа при открытой проводке</t>
  </si>
  <si>
    <t>ФЕРм-2001, м08-03-591-01, приказ Минстроя России №1039/пр от 30.12.2016г.</t>
  </si>
  <si>
    <t>61,1</t>
  </si>
  <si>
    <t>20.4.01.01-0044</t>
  </si>
  <si>
    <t>Выключатель одноклавишный для открытой проводки серии "Прима", марка А16-051, цвет белый</t>
  </si>
  <si>
    <t>ФССЦ-2001, 20.4.01.01-0044, приказ Минстроя России №1039/пр от 30.12.2016г.</t>
  </si>
  <si>
    <t>62</t>
  </si>
  <si>
    <t>м08-10-010-01</t>
  </si>
  <si>
    <t>Прокладка труб гофрированных ПВХ для защиты проводов и кабелей</t>
  </si>
  <si>
    <t>ФЕРм-2001, м08-10-010-01, приказ Минстроя России №1039/пр от 30.12.2016г.</t>
  </si>
  <si>
    <t>62,1</t>
  </si>
  <si>
    <t>24.3.01.02-0021</t>
  </si>
  <si>
    <t>Трубы гибкие гофрированные легкие из самозатухающего ПВХ (IP55) серии FL, с зондом, диаметром 16 мм</t>
  </si>
  <si>
    <t>10 м</t>
  </si>
  <si>
    <t>ФССЦ-2001, 24.3.01.02-0021, приказ Минстроя России №1039/пр от 30.12.2016г.</t>
  </si>
  <si>
    <t>63</t>
  </si>
  <si>
    <t>м08-02-412-02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</si>
  <si>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 до 6 мм2</t>
  </si>
  <si>
    <t>ФЕРм-2001, м08-02-412-02, приказ Минстроя России №1039/пр от 30.12.2016г.</t>
  </si>
  <si>
    <t>63,1</t>
  </si>
  <si>
    <t>21.1.06.10-0375</t>
  </si>
  <si>
    <t>Кабель силовой с медными жилами с изоляцией и оболочкой из ПВХ, не распространяющий горение, с низким дымо- и газовыделением, напряжением 1,0 кВ (ГОСТ Р 53769-2010), марки ВВГнг(A)-LS 3х1,5ок(N,РЕ)</t>
  </si>
  <si>
    <t>1000 м</t>
  </si>
  <si>
    <t>ФССЦ-2001, 21.1.06.10-0375, приказ Минстроя России №1039/пр от 30.12.2016г.</t>
  </si>
  <si>
    <t>1000 М</t>
  </si>
  <si>
    <t>64</t>
  </si>
  <si>
    <t>м10-08-019-01</t>
  </si>
  <si>
    <t>Коробка ответвительная на стене</t>
  </si>
  <si>
    <t>ФЕРм-2001, м10-08-019-01, приказ Минстроя России №1039/пр от 30.12.2016г.</t>
  </si>
  <si>
    <t>Связь: пожарно-охранная сигнализация и пром. телевиз. установки  ( отделы 8 и 9 ) (при устройстве средств посадки самолетов : НР=95%, СП=55% - {АВИА}=1)</t>
  </si>
  <si>
    <t>мФЕР-10</t>
  </si>
  <si>
    <t>64,1</t>
  </si>
  <si>
    <t>20.5.02.07-0003</t>
  </si>
  <si>
    <t>Коробка распаечная ,наружная 75х75мм прим.</t>
  </si>
  <si>
    <t>ФССЦ-2001, 20.5.02.07-0003, приказ Минстроя России №1039/пр от 30.12.2016г.</t>
  </si>
  <si>
    <t>65</t>
  </si>
  <si>
    <t>69-2-1 прим.</t>
  </si>
  <si>
    <t>Сверление отверстий в кирпичных стенах электроперфоратором диаметром до 20 мм, толщина стен 0,5 кирпича</t>
  </si>
  <si>
    <t>ФЕРр-2001, 69-2-1, приказ Минстроя России №1039/пр от 30.12.2016г.</t>
  </si>
  <si>
    <t>66</t>
  </si>
  <si>
    <t>м08-02-410-02</t>
  </si>
  <si>
    <t>Труба полиэтиленовая по основанию пола, диаметр до 50 мм (гильзы) прим.</t>
  </si>
  <si>
    <t>ФЕРм-2001, м08-02-410-02, приказ Минстроя России №1039/пр от 30.12.2016г.</t>
  </si>
  <si>
    <t>66,1</t>
  </si>
  <si>
    <t>24.3.01.03-0014</t>
  </si>
  <si>
    <t>Трубы жесткие гладкие легкие из самозатухающего ПВХ (IP55) серии RIG, диаметром 32 мм</t>
  </si>
  <si>
    <t>ФССЦ-2001, 24.3.01.03-0014, приказ Минстроя России №1039/пр от 30.12.2016г.</t>
  </si>
  <si>
    <t>67</t>
  </si>
  <si>
    <t>Щиток до трех групп, устанавливаемый в нише цоколя</t>
  </si>
  <si>
    <t>67,1</t>
  </si>
  <si>
    <t>62.1.02.17-0012</t>
  </si>
  <si>
    <t>Щитки распределительные этажные  EKF ЩРВ-36(з) прим.</t>
  </si>
  <si>
    <t>ФССЦ-2001, 62.1.02.17-0012, приказ Минстроя России №1039/пр от 30.12.2016г.</t>
  </si>
  <si>
    <t>68</t>
  </si>
  <si>
    <t>м08-03-526-06</t>
  </si>
  <si>
    <t>Автомат одно-, двух-, трехполюсный, устанавливаемый на конструкции на полу, на ток до 25 А</t>
  </si>
  <si>
    <t>ФЕРм-2001, м08-03-526-06, приказ Минстроя России №1039/пр от 30.12.2016г.</t>
  </si>
  <si>
    <t>68,1</t>
  </si>
  <si>
    <t>62.1.01.09-0048</t>
  </si>
  <si>
    <t>Выключатели автоматические АВВ 1Р 6А прим.</t>
  </si>
  <si>
    <t>ФССЦ-2001, 62.1.01.09-0048, приказ Минстроя России №1039/пр от 30.12.2016г.</t>
  </si>
  <si>
    <t>69</t>
  </si>
  <si>
    <t>м08-03-575-01</t>
  </si>
  <si>
    <t>Прибор или аппарат</t>
  </si>
  <si>
    <t>ФЕРм-2001, м08-03-575-01, приказ Минстроя России №1039/пр от 30.12.2016г.</t>
  </si>
  <si>
    <t>69,1</t>
  </si>
  <si>
    <t>62.1.01.09-0070</t>
  </si>
  <si>
    <t>Автомат вводной в щит освещения OptimaMat E100L050-УХЛЗ -50А/3Р/380В 10кА прим.</t>
  </si>
  <si>
    <t>ФССЦ-2001, 62.1.01.09-0070, приказ Минстроя России №1039/пр от 30.12.2016г.</t>
  </si>
  <si>
    <t>69,2</t>
  </si>
  <si>
    <t>62.1.01.09-0071</t>
  </si>
  <si>
    <t>Автомат ВА57ф35-340019  63А-630/3Р/400В/10кА В ВРУ прим.</t>
  </si>
  <si>
    <t>ФССЦ-2001, 62.1.01.09-0071, приказ Минстроя России №1039/пр от 30.12.2016г.</t>
  </si>
  <si>
    <t>70</t>
  </si>
  <si>
    <t>м08-02-397-01 прим.</t>
  </si>
  <si>
    <t>Профиль перфорированный монтажный длиной 2 м (Лоток оцинкованный перфорированый)</t>
  </si>
  <si>
    <t>ФЕРм-2001, м08-02-397-01, приказ Минстроя России №1039/пр от 30.12.2016г.</t>
  </si>
  <si>
    <t>70,1</t>
  </si>
  <si>
    <t>20.2.07.02-0009</t>
  </si>
  <si>
    <t>Лоток кабельный оцинкованный замковый перфорированный PNK 300-300х50 мм, длина 2,5 м</t>
  </si>
  <si>
    <t>ФССЦ-2001, 20.2.07.02-0009, приказ Минстроя России №1039/пр от 30.12.2016г.</t>
  </si>
  <si>
    <t>71</t>
  </si>
  <si>
    <t>м08-02-146-02</t>
  </si>
  <si>
    <t>Кабель до 35 кВ с креплением накладными скобами, масса 1 м кабеля до 1 кг</t>
  </si>
  <si>
    <t>ФЕРм-2001, м08-02-146-02, приказ Минстроя России №1039/пр от 30.12.2016г.</t>
  </si>
  <si>
    <t>71,1</t>
  </si>
  <si>
    <t>21.1.06.10-0408</t>
  </si>
  <si>
    <t>Кабель силовой с медными жилами с изоляцией и оболочкой из ПВХ, не распространяющий горение, с низким дымо- и газовыделением, напряжением 1,0 кВ (ГОСТ Р 53769-2010), марки ВВГнг(A)-LS 5х4ок(N,РЕ)</t>
  </si>
  <si>
    <t>ФССЦ-2001, 21.1.06.10-0408, приказ Минстроя России №1039/пр от 30.12.2016г.</t>
  </si>
  <si>
    <t>3 Монтаж силовой части</t>
  </si>
  <si>
    <t>72</t>
  </si>
  <si>
    <t>м08-02-390-03</t>
  </si>
  <si>
    <t>Короба пластмассовые шириной до 120 мм</t>
  </si>
  <si>
    <t>ФЕРм-2001, м08-02-390-03, приказ Минстроя России №1039/пр от 30.12.2016г.</t>
  </si>
  <si>
    <t>72,1</t>
  </si>
  <si>
    <t>20.2.05.04-0034</t>
  </si>
  <si>
    <t>Кабель-канал (короб) "Efapel " 110x50 мм прим.</t>
  </si>
  <si>
    <t>ФССЦ-2001, 20.2.05.04-0034, приказ Минстроя России №1039/пр от 30.12.2016г.</t>
  </si>
  <si>
    <t>73</t>
  </si>
  <si>
    <t>м08-03-591-08</t>
  </si>
  <si>
    <t>Розетка штепсельная неутопленного типа при открытой проводке</t>
  </si>
  <si>
    <t>ФЕРм-2001, м08-03-591-08, приказ Минстроя России №1039/пр от 30.12.2016г.</t>
  </si>
  <si>
    <t>73,1</t>
  </si>
  <si>
    <t>20.4.03.05-0001</t>
  </si>
  <si>
    <t>Розетка открытой проводки в кабель-канал "Efapel" с супортом 220В 45х45мм прим.</t>
  </si>
  <si>
    <t>100 шт.</t>
  </si>
  <si>
    <t>ФССЦ-2001, 20.4.03.05-0001, приказ Минстроя России №1039/пр от 30.12.2016г.</t>
  </si>
  <si>
    <t>74</t>
  </si>
  <si>
    <t>м08-03-591-10</t>
  </si>
  <si>
    <t>Розетка штепсельная полугерметическая и герметическая</t>
  </si>
  <si>
    <t>ФЕРм-2001, м08-03-591-10, приказ Минстроя России №1039/пр от 30.12.2016г.</t>
  </si>
  <si>
    <t>74,1</t>
  </si>
  <si>
    <t>20.4.03.07-0020</t>
  </si>
  <si>
    <t>Розетка влагозащищённая скрытой проводки SCHNEIDER ELEKTRIK  PC16-0446 Этюд 220В,IP44 прим.</t>
  </si>
  <si>
    <t>ФССЦ-2001, 20.4.03.07-0020, приказ Минстроя России №1039/пр от 30.12.2016г.</t>
  </si>
  <si>
    <t>75</t>
  </si>
  <si>
    <t>м08-02-399-02</t>
  </si>
  <si>
    <t>Провод в коробах, сечением до 35 мм2</t>
  </si>
  <si>
    <t>ФЕРм-2001, м08-02-399-02, приказ Минстроя России №1039/пр от 30.12.2016г.</t>
  </si>
  <si>
    <t>75,1</t>
  </si>
  <si>
    <t>21.1.06.09-0152</t>
  </si>
  <si>
    <t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2,5 мм2</t>
  </si>
  <si>
    <t>ФССЦ-2001, 21.1.06.09-0152, приказ Минстроя России №1039/пр от 30.12.2016г.</t>
  </si>
  <si>
    <t>76</t>
  </si>
  <si>
    <t>76,1</t>
  </si>
  <si>
    <t>77</t>
  </si>
  <si>
    <t>м08-02-412-03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</si>
  <si>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 до 16 мм2</t>
  </si>
  <si>
    <t>ФЕРм-2001, м08-02-412-03, приказ Минстроя России №1039/пр от 30.12.2016г.</t>
  </si>
  <si>
    <t>77,1</t>
  </si>
  <si>
    <t>78</t>
  </si>
  <si>
    <t>78,1</t>
  </si>
  <si>
    <t>79</t>
  </si>
  <si>
    <t>м08-02-398-02</t>
  </si>
  <si>
    <t>Провод в лотках, сечением до 35 мм2</t>
  </si>
  <si>
    <t>ФЕРм-2001, м08-02-398-02, приказ Минстроя России №1039/пр от 30.12.2016г.</t>
  </si>
  <si>
    <t>79,1</t>
  </si>
  <si>
    <t>21.1.06.09-0177</t>
  </si>
  <si>
    <t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- 5 и сечением 4 мм2</t>
  </si>
  <si>
    <t>ФССЦ-2001, 21.1.06.09-0177, приказ Минстроя России №1039/пр от 30.12.2016г.</t>
  </si>
  <si>
    <t>80</t>
  </si>
  <si>
    <t>м08-02-398-05</t>
  </si>
  <si>
    <t>Провод в лотках, сечением до 185 мм2</t>
  </si>
  <si>
    <t>ФЕРм-2001, м08-02-398-05, приказ Минстроя России №1039/пр от 30.12.2016г.</t>
  </si>
  <si>
    <t>80,1</t>
  </si>
  <si>
    <t>21.1.06.09-0184</t>
  </si>
  <si>
    <t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- 5 и сечением 70 мм2</t>
  </si>
  <si>
    <t>ФССЦ-2001, 21.1.06.09-0184, приказ Минстроя России №1039/пр от 30.12.2016г.</t>
  </si>
  <si>
    <t>80,2</t>
  </si>
  <si>
    <t>21.1.06.09-0181</t>
  </si>
  <si>
    <t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- 5 и сечением 25 мм2</t>
  </si>
  <si>
    <t>ФССЦ-2001, 21.1.06.09-0181, приказ Минстроя России №1039/пр от 30.12.2016г.</t>
  </si>
  <si>
    <t>81</t>
  </si>
  <si>
    <t>м08-03-599-09 прим.</t>
  </si>
  <si>
    <t>Щитки осветительные, устанавливаемые на стене распорными дюбелями, масса щитка до 6 кг (Боксы АВВ)</t>
  </si>
  <si>
    <t>ФЕРм-2001, м08-03-599-09, приказ Минстроя России №1039/пр от 30.12.2016г.</t>
  </si>
  <si>
    <t>81,1</t>
  </si>
  <si>
    <t>22.1.01.01-0014</t>
  </si>
  <si>
    <t>Бокс настенный  пластиковый АВВ " Mistral 41"с прозрачной дверцей на 36 модулей,с клеммами в 2 ряда прим.</t>
  </si>
  <si>
    <t>ФССЦ-2001, 22.1.01.01-0014, приказ Минстроя России №1039/пр от 30.12.2016г.</t>
  </si>
  <si>
    <t>82</t>
  </si>
  <si>
    <t>82,1</t>
  </si>
  <si>
    <t>83</t>
  </si>
  <si>
    <t>м08-03-526-01</t>
  </si>
  <si>
    <t>Автомат одно-, двух-, трехполюсный, устанавливаемый на конструкции на стене или колонне, на ток до 25 А</t>
  </si>
  <si>
    <t>ФЕРм-2001, м08-03-526-01, приказ Минстроя России №1039/пр от 30.12.2016г.</t>
  </si>
  <si>
    <t>83,1</t>
  </si>
  <si>
    <t>62.1.01.02-0002</t>
  </si>
  <si>
    <t>Автоматы дифференциальные двухполюсные 10A, 30MA тип АВВ DS901L в щите прим.</t>
  </si>
  <si>
    <t>ФССЦ-2001, 62.1.01.02-0002, приказ Минстроя России №1039/пр от 30.12.2016г.</t>
  </si>
  <si>
    <t>83,2</t>
  </si>
  <si>
    <t>62.1.01.09-0050</t>
  </si>
  <si>
    <t>Выключатели автоматические АВВ 1Р 16А прим.</t>
  </si>
  <si>
    <t>ФССЦ-2001, 62.1.01.09-0050, приказ Минстроя России №1039/пр от 30.12.2016г.</t>
  </si>
  <si>
    <t>83,3</t>
  </si>
  <si>
    <t>62.1.01.09-0066</t>
  </si>
  <si>
    <t>Выключатели автоматические АВВ  3Р 16А прим.</t>
  </si>
  <si>
    <t>ФССЦ-2001, 62.1.01.09-0066, приказ Минстроя России №1039/пр от 30.12.2016г.</t>
  </si>
  <si>
    <t>83,4</t>
  </si>
  <si>
    <t>62.1.01.09-0065</t>
  </si>
  <si>
    <t>Выключатели автоматические АВВ  3Р 10А</t>
  </si>
  <si>
    <t>ФССЦ-2001, 62.1.01.09-0065, приказ Минстроя России №1039/пр от 30.12.2016г.</t>
  </si>
  <si>
    <t>84</t>
  </si>
  <si>
    <t>84,1</t>
  </si>
  <si>
    <t>62.1.01.09-0068</t>
  </si>
  <si>
    <t>Выключатели автоматические АВВ 3Р 40А</t>
  </si>
  <si>
    <t>ФССЦ-2001, 62.1.01.09-0068, приказ Минстроя России №1039/пр от 30.12.2016г.</t>
  </si>
  <si>
    <t>84,2</t>
  </si>
  <si>
    <t>Выключатели автоматические АВВ 3Р 50А</t>
  </si>
  <si>
    <t>84,3</t>
  </si>
  <si>
    <t>62.1.01.09-0102</t>
  </si>
  <si>
    <t>Автоматический выключатель  серии ПРО ВА 04-35 160А с регулировкой ЩР прим. в щитовой</t>
  </si>
  <si>
    <t>ФССЦ-2001, 62.1.01.09-0102, приказ Минстроя России №1039/пр от 30.12.2016г.</t>
  </si>
  <si>
    <t>85</t>
  </si>
  <si>
    <t>86</t>
  </si>
  <si>
    <t>86,1</t>
  </si>
  <si>
    <t>87</t>
  </si>
  <si>
    <t>м08-02-159-01</t>
  </si>
  <si>
    <t>Заделка концевая в резиновой перчатке для 3-5-жильного кабеля напряжением до 1 кВ, сечение одной жилы до 35 мм2</t>
  </si>
  <si>
    <t>ФЕРм-2001, м08-02-159-01, приказ Минстроя России №1039/пр от 30.12.2016г.</t>
  </si>
  <si>
    <t>87,1</t>
  </si>
  <si>
    <t>20.2.02.07-0021</t>
  </si>
  <si>
    <t>Перчатка термоусаживаемая</t>
  </si>
  <si>
    <t>ФССЦ-2001, 20.2.02.07-0021, приказ Минстроя России №1039/пр от 30.12.2016г.</t>
  </si>
  <si>
    <t>3 Пусконаладочные работы</t>
  </si>
  <si>
    <t>88</t>
  </si>
  <si>
    <t>п01-11-028-01</t>
  </si>
  <si>
    <t>Измерение сопротивления изоляции (на линию) мегаомметром кабельных и других линий напряжением до 1 кВ, предназначенных для передачи электроэнергии к распределительным устройствам, щитам, шкафам, коммутационным аппаратам и электропотребителям</t>
  </si>
  <si>
    <t>ФЕРп-2001, п01-11-028-01, приказ Минстроя России №1039/пр от 30.12.2016г.</t>
  </si>
  <si>
    <t>Поправка: МДС 81-40.2006, п.2.7  Наименование: В случае, если монтажные и пусконаладочные работы по какому-либо оборудованию выполняются одним и тем же звеном (бригадой),</t>
  </si>
  <si>
    <t>)*0,8</t>
  </si>
  <si>
    <t>Пусконаладочные работы</t>
  </si>
  <si>
    <t>Пусконаладочные работы : все сборники, отдел 05 ( диагностика лифтов ) и отдел 06 ( техническое освидетельствование ) сборника мрФЕР-01</t>
  </si>
  <si>
    <t>пФЕРп</t>
  </si>
  <si>
    <t>Поправка: МДС 81-40.2006, п.2.7</t>
  </si>
  <si>
    <t>89</t>
  </si>
  <si>
    <t>п01-11-013-01</t>
  </si>
  <si>
    <t>Замер полного сопротивления цепи "фаза-нуль"</t>
  </si>
  <si>
    <t>ФЕРп-2001, п01-11-013-01, приказ Минстроя России №1039/пр от 30.12.2016г.</t>
  </si>
  <si>
    <t>90</t>
  </si>
  <si>
    <t>п01-11-011-01</t>
  </si>
  <si>
    <t>Проверка наличия цепи между заземлителями и заземленными элементами</t>
  </si>
  <si>
    <t>100 измерений</t>
  </si>
  <si>
    <t>ФЕРп-2001, п01-11-011-01, приказ Минстроя России №1039/пр от 30.12.2016г.</t>
  </si>
  <si>
    <t>91</t>
  </si>
  <si>
    <t>п01-12-021-01</t>
  </si>
  <si>
    <t>Испытание аппарата коммутационного напряжением до 1 кВ (силовых цепей) (автоматы)</t>
  </si>
  <si>
    <t>испытание</t>
  </si>
  <si>
    <t>ФЕРп-2001, п01-12-021-01, приказ Минстроя России №1039/пр от 30.12.2016г.</t>
  </si>
  <si>
    <t>4 Пожарная сигнализация</t>
  </si>
  <si>
    <t>92</t>
  </si>
  <si>
    <t>м10-08-002-02</t>
  </si>
  <si>
    <t>Извещатель ПС автоматический дымовой, фотоэлектрический, радиоизотопный, световой в нормальном исполнении</t>
  </si>
  <si>
    <t>ФЕРм-2001, м10-08-002-02, приказ Минстроя России №1039/пр от 30.12.2016г.</t>
  </si>
  <si>
    <t>92,1</t>
  </si>
  <si>
    <t>61.2.02.01-0019</t>
  </si>
  <si>
    <t>Извещатель пожарный дымовой ДИП-34А</t>
  </si>
  <si>
    <t>ФССЦ-2001, 61.2.02.01-0019, приказ Минстроя России №1039/пр от 30.12.2016г.</t>
  </si>
  <si>
    <t>93</t>
  </si>
  <si>
    <t>93,1</t>
  </si>
  <si>
    <t>94</t>
  </si>
  <si>
    <t>94,1</t>
  </si>
  <si>
    <t>21.1.08.01-0131</t>
  </si>
  <si>
    <t>ФССЦ-2001, 21.1.08.01-0131, приказ Минстроя России №1039/пр от 30.12.2016г.</t>
  </si>
  <si>
    <t>95</t>
  </si>
  <si>
    <t>м10-02-041-01</t>
  </si>
  <si>
    <t>Электрическая проверка и настройка устройства центрального управляющего</t>
  </si>
  <si>
    <t>КОМПЛ</t>
  </si>
  <si>
    <t>ФЕРм-2001, м10-02-041-01, приказ Минстроя России №1039/пр от 30.12.2016г.</t>
  </si>
  <si>
    <t>Связь:  городская, местная, междугородняя проводная телефонная связь ( отделы 1, 2, 3 ) - ( при уст-ве средств посадки самолетов:  {AВИА}=1 - НР=95%, СП=55% )</t>
  </si>
  <si>
    <t>5 Сети СКС</t>
  </si>
  <si>
    <t>96</t>
  </si>
  <si>
    <t>96,1</t>
  </si>
  <si>
    <t>Розетка открытой проводки RJ-45(45х45мм)</t>
  </si>
  <si>
    <t>97</t>
  </si>
  <si>
    <t>м10-01-053-01</t>
  </si>
  <si>
    <t>Прокладка кабеля или провода питания на провододержателях сечением 6 мм2</t>
  </si>
  <si>
    <t>ФЕРм-2001, м10-01-053-01, приказ Минстроя России №1039/пр от 30.12.2016г.</t>
  </si>
  <si>
    <t>97,1</t>
  </si>
  <si>
    <t>21.1.04.01-0004</t>
  </si>
  <si>
    <t>Кабель (витая пара) UTP 4x2x0,52 категория 5е</t>
  </si>
  <si>
    <t>ФССЦ-2001, 21.1.04.01-0004, приказ Минстроя России №1039/пр от 30.12.2016г.</t>
  </si>
  <si>
    <t>98</t>
  </si>
  <si>
    <t>99</t>
  </si>
  <si>
    <t>99,1</t>
  </si>
  <si>
    <t>100</t>
  </si>
  <si>
    <t>100,1</t>
  </si>
  <si>
    <t>20.2.07.06-0001</t>
  </si>
  <si>
    <t>Лоток кабельный проволочный оцинкованный размером 60х30 х3000мм прим.</t>
  </si>
  <si>
    <t>ФССЦ-2001, 20.2.07.06-0001, приказ Минстроя России №1039/пр от 30.12.2016г.</t>
  </si>
  <si>
    <t>6 Отопление</t>
  </si>
  <si>
    <t>101</t>
  </si>
  <si>
    <t>65-19-1</t>
  </si>
  <si>
    <t>Демонтаж радиаторов весом до 80 кг</t>
  </si>
  <si>
    <t>ФЕРр-2001, 65-19-1, приказ Минстроя России №1039/пр от 30.12.2016г.</t>
  </si>
  <si>
    <t>102</t>
  </si>
  <si>
    <t>18-03-001-02</t>
  </si>
  <si>
    <t>Установка радиаторов стальных</t>
  </si>
  <si>
    <t>100 квт</t>
  </si>
  <si>
    <t>ФЕР-2001, 18-03-001-02, приказ Минстроя России №1039/пр от 30.12.2016г.</t>
  </si>
  <si>
    <t>Отопление - внутренние устройства</t>
  </si>
  <si>
    <t>ФЕР-18</t>
  </si>
  <si>
    <t>102,1</t>
  </si>
  <si>
    <t>18.5.10.05-0008</t>
  </si>
  <si>
    <t>Радиаторы биметаллические, марка «Rifar-Монолит A 500», количество секций 10, мощность 1650 Втприм.</t>
  </si>
  <si>
    <t>ФССЦ-2001, 18.5.10.05-0008, приказ Минстроя России №1039/пр от 30.12.2016г.</t>
  </si>
  <si>
    <t>102,2</t>
  </si>
  <si>
    <t>18.1.09.08-0276</t>
  </si>
  <si>
    <t>Краны шаровые BUGATTI для воды и пара стандартные ВВ с размером резьбы 3/4"</t>
  </si>
  <si>
    <t>ФССЦ-2001, 18.1.09.08-0276, приказ Минстроя России №1039/пр от 30.12.2016г.</t>
  </si>
  <si>
    <t>Трубопроводы внутренние</t>
  </si>
  <si>
    <t>ФЕР-16</t>
  </si>
  <si>
    <t>102,3</t>
  </si>
  <si>
    <t>18.5.10.06</t>
  </si>
  <si>
    <t>Радиаторы</t>
  </si>
  <si>
    <t>квт</t>
  </si>
  <si>
    <t>7 Система горячего и холодного водоснабжения</t>
  </si>
  <si>
    <t>103</t>
  </si>
  <si>
    <t>65-4-1</t>
  </si>
  <si>
    <t>Демонтаж умывальников и раковин</t>
  </si>
  <si>
    <t>ФЕРр-2001, 65-4-1, приказ Минстроя России №1039/пр от 30.12.2016г.</t>
  </si>
  <si>
    <t>104</t>
  </si>
  <si>
    <t>16-05-001-01</t>
  </si>
  <si>
    <t>Установка вентилей, задвижек, затворов, клапанов обратных, кранов проходных на трубопроводах из стальных труб диаметром до 25 мм</t>
  </si>
  <si>
    <t>ФЕР-2001, 16-05-001-01, приказ Минстроя России №1039/пр от 30.12.2016г.</t>
  </si>
  <si>
    <t>104,1</t>
  </si>
  <si>
    <t>Краны шаровые BUGATTI New Jerseyдля воды и пара стандартные ВВ с размером резьбы 3/4" прим.</t>
  </si>
  <si>
    <t>105</t>
  </si>
  <si>
    <t>17-01-005-04</t>
  </si>
  <si>
    <t>Установка раковин</t>
  </si>
  <si>
    <t>10 компл</t>
  </si>
  <si>
    <t>ФЕР-2001, 17-01-005-04, приказ Минстроя России №1039/пр от 30.12.2016г.</t>
  </si>
  <si>
    <t>Водопровод и канализация - внутренние устройства</t>
  </si>
  <si>
    <t>ФЕР-17</t>
  </si>
  <si>
    <t>105,1</t>
  </si>
  <si>
    <t>18.2.06.12-0021</t>
  </si>
  <si>
    <t>Пьедесталы для раковины Santek Бореаль WH110591 прим.</t>
  </si>
  <si>
    <t>ФССЦ-2001, 18.2.06.12-0021, приказ Минстроя России №1039/пр от 30.12.2016г.</t>
  </si>
  <si>
    <t>105,2</t>
  </si>
  <si>
    <t>18.2.01.05-0189</t>
  </si>
  <si>
    <t>Раковины Santek Бореаль 60 с смесителем  Bravat Fit F 1233188 CPс нижней камерой смешивания, кронштейнами, сифоном  для раковины Alkaplast A41 Flexi латунным и выпуском  прим.</t>
  </si>
  <si>
    <t>ФССЦ-2001, 18.2.01.05-0189, приказ Минстроя России №1039/пр от 30.12.2016г.</t>
  </si>
  <si>
    <t>105,3</t>
  </si>
  <si>
    <t>18.2.06.08-0016</t>
  </si>
  <si>
    <t>Подводка гибкая армированная резиновая 1000 мм</t>
  </si>
  <si>
    <t>ФССЦ-2001, 18.2.06.08-0016, приказ Минстроя России №1039/пр от 30.12.2016г.</t>
  </si>
  <si>
    <t>106</t>
  </si>
  <si>
    <t>17-01-002-03</t>
  </si>
  <si>
    <t>Установка смесителей (без стоимости материалов)</t>
  </si>
  <si>
    <t>10 ШТ</t>
  </si>
  <si>
    <t>ФЕР-2001, 17-01-002-03, приказ Минстроя России №1039/пр от 30.12.2016г.</t>
  </si>
  <si>
    <t>8 Канализация</t>
  </si>
  <si>
    <t>107</t>
  </si>
  <si>
    <t>17-01-001-23</t>
  </si>
  <si>
    <t>Демонтаж: Установка трапов диаметром 100 мм</t>
  </si>
  <si>
    <t>ФЕР-2001, 17-01-001-23, приказ Минстроя России №1039/пр от 30.12.2016г.</t>
  </si>
  <si>
    <t>Поправка: МДС 81-36.2004, п.3.3.1.в  Наименование: При демонтаже внутренних санитарно-технических устройств (водопровода, газопровода, канализации, водостоков, отопления, вентиляции)</t>
  </si>
  <si>
    <t>)*0,4</t>
  </si>
  <si>
    <t>Поправка: МДС 81-36.2004, п.3.3.1.в</t>
  </si>
  <si>
    <t>108</t>
  </si>
  <si>
    <t>65-4-2</t>
  </si>
  <si>
    <t>Демонтаж унитазов и писсуаров</t>
  </si>
  <si>
    <t>ФЕРр-2001, 65-4-2, приказ Минстроя России №1039/пр от 30.12.2016г.</t>
  </si>
  <si>
    <t>109</t>
  </si>
  <si>
    <t>17-01-003-01</t>
  </si>
  <si>
    <t>Установка унитазов с бачком непосредственно присоединенным</t>
  </si>
  <si>
    <t>ФЕР-2001, 17-01-003-01, приказ Минстроя России №1039/пр от 30.12.2016г.</t>
  </si>
  <si>
    <t>109,1</t>
  </si>
  <si>
    <t>109,2</t>
  </si>
  <si>
    <t>18.2.01.06-0001</t>
  </si>
  <si>
    <t>Унитаз-компакт Santek Бореаль WH302143</t>
  </si>
  <si>
    <t>ФССЦ-2001, 18.2.01.06-0001, приказ Минстроя России №1039/пр от 30.12.2016г.</t>
  </si>
  <si>
    <t>110</t>
  </si>
  <si>
    <t>Установка трапов диаметром 100 мм</t>
  </si>
  <si>
    <t>110,1</t>
  </si>
  <si>
    <t>18.2.06.10-0023</t>
  </si>
  <si>
    <t>Трапы чугунные эмалированные с прямым отводом, с решеткой и резиновой пробкой Т-100М размером 355х200х142 мм (в экспортном исполнении), малые (Трапы AlcaPlast APV1) прим.</t>
  </si>
  <si>
    <t>ФССЦ-2001, 18.2.06.10-0023, приказ Минстроя России №1039/пр от 30.12.2016г.</t>
  </si>
  <si>
    <t>111</t>
  </si>
  <si>
    <t>16-04-001-02</t>
  </si>
  <si>
    <t>Прокладка трубопроводов канализации из полиэтиленовых труб высокой плотности диаметром 110 мм</t>
  </si>
  <si>
    <t>ФЕР-2001, 16-04-001-02, приказ Минстроя России №1039/пр от 30.12.2016г.</t>
  </si>
  <si>
    <t>111,1</t>
  </si>
  <si>
    <t>24.1.02.01-0112</t>
  </si>
  <si>
    <t>Хомуты для крепления канализационных и водосточных пластмассовых трубопроводов, диаметром 100 мм</t>
  </si>
  <si>
    <t>ФССЦ-2001, 24.1.02.01-0112, приказ Минстроя России №1039/пр от 30.12.2016г.</t>
  </si>
  <si>
    <t>111,2</t>
  </si>
  <si>
    <t>24.3.01.06-0012</t>
  </si>
  <si>
    <t>Трубопроводы для внутренней канализации из поливинилхлоридных труб диаметром 100 мм</t>
  </si>
  <si>
    <t>ФССЦ-2001, 24.3.01.06-0012, приказ Минстроя России №1039/пр от 30.12.2016г.</t>
  </si>
  <si>
    <t>112</t>
  </si>
  <si>
    <t>16-04-001-01</t>
  </si>
  <si>
    <t>Прокладка трубопроводов канализации из полиэтиленовых труб высокой плотности диаметром 50 мм</t>
  </si>
  <si>
    <t>ФЕР-2001, 16-04-001-01, приказ Минстроя России №1039/пр от 30.12.2016г.</t>
  </si>
  <si>
    <t>112,1</t>
  </si>
  <si>
    <t>24.3.01.06-0011</t>
  </si>
  <si>
    <t>Трубопроводы для внутренней канализации из поливинилхлоридных труб диаметром 50 мм</t>
  </si>
  <si>
    <t>ФССЦ-2001, 24.3.01.06-0011, приказ Минстроя России №1039/пр от 30.12.2016г.</t>
  </si>
  <si>
    <t>112,2</t>
  </si>
  <si>
    <t>24.1.02.01-0111</t>
  </si>
  <si>
    <t>Хомуты для крепления канализационных и водосточных пластмассовых трубопроводов, диаметром 50 мм</t>
  </si>
  <si>
    <t>ФССЦ-2001, 24.1.02.01-0111, приказ Минстроя России №1039/пр от 30.12.2016г.</t>
  </si>
  <si>
    <t>и1</t>
  </si>
  <si>
    <t>Итого</t>
  </si>
  <si>
    <t>и2</t>
  </si>
  <si>
    <t>НДС 18%</t>
  </si>
  <si>
    <t>и3</t>
  </si>
  <si>
    <t>СТР_РЕК</t>
  </si>
  <si>
    <t>СТРОИТЕЛЬСТВО и РЕКОНСТРУКЦИЯ  зданий и сооружений всех назначений</t>
  </si>
  <si>
    <t>РЕМ_ЖИЛ</t>
  </si>
  <si>
    <t>КАП. РЕМ. ЖИЛЫХ И ОБЩЕСТВЕННЫХ ЗДАНИЙ</t>
  </si>
  <si>
    <t>РЕМ_ПР</t>
  </si>
  <si>
    <t>КАП. РЕМ. ПРОИЗВОДСТВЕННЫХ ЗД, и СООРУЖЕНИЙ,  НАРУЖНЫХ ИНЖЕНЕРНЫХ СЕТЕЙ, УЛИЦ И ДОРОГ МЕСТНОГО ЗНАЧЕНИЯ, МОСТОВ И ПУТЕПРОВОДОВ</t>
  </si>
  <si>
    <t>УПР</t>
  </si>
  <si>
    <t>{вкл} - УПРОЩЕННОЕ НАЛОГООБЛОЖЕНИЕ</t>
  </si>
  <si>
    <t>Для всех  расценок. (  при применении упрощенной системы налогообложения)  · {УПР} - ( вкл.)    -  при упрощенной системе   ;  к = 0,9 к СП ( к= 0,7 к НР отменен с 1.01.11)  · {УПР} - ( выкл.) -  при  обычной системе налогообложения</t>
  </si>
  <si>
    <t>ХОЗ</t>
  </si>
  <si>
    <t>{вкл} - ХОЗЯЙСТВЕННЫЙ СПОСОБ</t>
  </si>
  <si>
    <t>Для всех  расценок. (  при хозяйственном способе производства работ):  · {ХОЗ} - ( вкл.)    -  при  хоз. способе (к=0,6 к НР )  · {ХОЗ} - ( выкл.) -  при обычном способе производства работ</t>
  </si>
  <si>
    <t>СЛЖ</t>
  </si>
  <si>
    <t>{вкл} -  При  РЕКОНСТРУКЦИИ сложных объектов, РЕКОНСТРУКЦИИ и КАП. РЕМОНТЕ объектов с дейст. яд. реакторами</t>
  </si>
  <si>
    <t>Для сборников ФЕР ( при производстве работ на технически сложных объектах ):  ·  { СЛЖ } - (вкл.)    - работа на сложных объектах  (к=1,2 к НР)           ·  { СЛЖ } - (выкл.) - работа на обычных объектах</t>
  </si>
  <si>
    <t>М/Т/Я</t>
  </si>
  <si>
    <t>Работы по строительству мостов, тоннелей, метрополитенов, атомных станций, объектов с ядерным топливом и радиокативными отходами ( письмо Госстроя РФ № 2536-ИП/12/ГС от 27.11.12), коэффициенты к НР =0,85 и к СП-0,8 не назначаются</t>
  </si>
  <si>
    <t>ОПТ/В</t>
  </si>
  <si>
    <t>{вкл}    - Прокладка  МЕЖДУГОРОДНИХ  ВОЛОКОННО-ОПТИЧЕСКИХ ЛИНИЙ (для ФЕРм10, отд. 6 разд.3)  {выкл} - Прокладка  ГОРОДСКИХ               ВОЛОКОННО-ОПТИТЕСКИХ ЛИНИЙ  (для ФЕРм10, отд. 6 разд.3)</t>
  </si>
  <si>
    <t>Для сборников ФЕРм-10  ( волоконно-оптические линии связи ): ·  {М_ГОР_опт} -  ( вкл.)  - междугородные сети связи ( НР=120% , СП=70% )           ·  {М_ГОР_опт} - ( выкл.) - городские сети связи  ( НР=100%; СП=65%)</t>
  </si>
  <si>
    <t>ЗАКР</t>
  </si>
  <si>
    <t>{вкл}   -  Обслуживающие и сопутстующие работы в тоннелях при  производве работ ЗАКРЫТЫМ СПОСОБОМ   {выкл} - Обслуживающие и сопутстующие работы в тоннелях при  производве работ  ОТКРЫТЫМ                       (ФЕР-29, разд.04 )</t>
  </si>
  <si>
    <t>Для сборника ФЕР -29 ( сопутствующие работы в тоннелях и метро. ): ·  {ЗАКР} - (вкл.)     -  при выполнении работ в тоннелях  и метро закрытым способом  (НР=145% , СП=75%); ·                {ЗАКР} - (выкл.) -   при выполнении работ в тоннелях и метро  отк</t>
  </si>
  <si>
    <t>АВИ</t>
  </si>
  <si>
    <t>(вкл)   -  При работах по ДИСПЕТЧЕРЕЗАЦИИ управления движением АВИАТРАНСПОРТОМ {вкл}  (монтажные работы )</t>
  </si>
  <si>
    <t>Для сборников ФЕРм 08;10;11 :    · {мАВИА} -  (вкл.)     -  производство монтажных  работы по диспетчеризации управления  движением авиатранспортном (НР=95%, СП=55%) ;    ·            {мАВИА} -  (выкл. ) -  при производстве работ на прочих объектах , кром</t>
  </si>
  <si>
    <t>АЭС</t>
  </si>
  <si>
    <t>(вкл)  -  Производство эл./монт. работ на АЭС ( ФЕРм -08 , отдел 01-03 ),  и контроль свар. швов  на АЭС {вкл}  (ФЕРм-39, отд. 02 и 03 )  (вык) -  Произовдство эл./монт. работ  и и контроль свар. швов на ОБЫЧНЫХ СООРУЖ,</t>
  </si>
  <si>
    <t>Для сборника ФЕРм -39  и ФЕРМ-08  ( при работах по контролю сварных соединений) :    {мАЭС} - ( вкл.)  -     при выполнении работ по на АЭС  (HР=101%; СП= 68%;             {мАЭС} - (выкл.) -  при выполнении работ  на обычных объектах</t>
  </si>
  <si>
    <t>Инд_исп.Сводный</t>
  </si>
  <si>
    <t>Используется Индекс "по сводному"</t>
  </si>
  <si>
    <t>К_НР_РЕМ</t>
  </si>
  <si>
    <t>при ремонте жилых и общественных зданий если  ( если {РЕМ_ЖИЛ}= [вкл.]</t>
  </si>
  <si>
    <t>Для сборников  ФЕР и  ФЕРмр :  · Значение {_МДСрем_НР}= 0,90 -  при ремонте зданий жилого и гражданского назначений ( 0,90 к НР) ;  · Значение {_МДСрем_НР}= 1,00  - при строительстве  и реконструкции  объектов всех назначений</t>
  </si>
  <si>
    <t>К_СП_РЕМ</t>
  </si>
  <si>
    <t>к нормам СП при капитальном ремонте зданий и сооружений всех назначений ( если или {РЕМ_ЖИЛ}=[вкл] , или (РЕМ_ПР}=[вкл] )</t>
  </si>
  <si>
    <t>Для сборников  ФЕР и  ФЕРмр :   · Значение {_МДСрем_СП} = 0.85  -  при ремонте зданий всех назначений ( 0,85 к СП);   · Значение {_МДСрем_СП} = 1,00 -  при строительстве  и реконструкции  объектов всех назначений</t>
  </si>
  <si>
    <t>К_НР_05</t>
  </si>
  <si>
    <t>К нормам НР  с 1.01.2005 по 1.01.2011</t>
  </si>
  <si>
    <t>Для норм НР с 1.01.2011 года:  · {_ТЕК_НР} = 0.85  -  Коэффициент   учитывающий изменение нормы страховых взносов с  1.01.1 - (при расчете в текущем уровне цен  индексами по статьям затрат )  · {_ТЕК_НР} = 1,00  -  при расчет в текущем уровне цен и при уп</t>
  </si>
  <si>
    <t>К_НР_11</t>
  </si>
  <si>
    <t>Коэфф.  к НР для текущего уровня цен с 01.01.2011  при обычном и упрощенном налогообложении  при постатейной индексации</t>
  </si>
  <si>
    <t>К_СП_11</t>
  </si>
  <si>
    <t>Коэф. к  СП в текущем уровне цен  с 01.01.2011</t>
  </si>
  <si>
    <t>Для норм СП с 1.01.2011 года:  · {_ТЕК_СП} = 0.80  -  Коэффициент   учитывающий изменение нормы страховых взносов с  1.01.11 - (при расчете в текущем уровне цен  индексами по статьям затрат )  · {_ТЕК_СП} = 1,00  -  без учета</t>
  </si>
  <si>
    <t>К_НР_12</t>
  </si>
  <si>
    <t>Корректировка НР с 03.12.12   если (М/Т/Я) = {выкл.}</t>
  </si>
  <si>
    <t>К_СП_12</t>
  </si>
  <si>
    <t>Корректировка СП с 03.12.12  в текущем уровне цен по письму  2536-ИП/12/ГС от 27.11.12  ( если (М/Т/Я) = {выкл.} )</t>
  </si>
  <si>
    <t>К_НР_УПР</t>
  </si>
  <si>
    <t>Коэф. к  НР при упрощенном налогообложении    ( если {УПР} = [вкл] )</t>
  </si>
  <si>
    <t>К_СП_УПР</t>
  </si>
  <si>
    <t>Коэф. к СП при упрощенном налогообложении    ( если {УПР} = [вкл] )</t>
  </si>
  <si>
    <t>К_НР_ХОЗ</t>
  </si>
  <si>
    <t>Коэф. к НР при хозяйственном способе производства работ   ( если {ХОЗ}= {вкл} )</t>
  </si>
  <si>
    <t>К_НР_СЛЖ</t>
  </si>
  <si>
    <t>Коэф.  при реконструкции сложных объектов  и  кап. ремонте объектов с яд. реакторами   ( если {СЛЖ} = [вкл] )</t>
  </si>
  <si>
    <t>Р_ОКР</t>
  </si>
  <si>
    <t>Разрядность округления результата расчета НР и СП  ( с 01.01.2011 - до целых )</t>
  </si>
  <si>
    <t>К_НР_УПР_ПУ</t>
  </si>
  <si>
    <t>Коэф. к НР при упрощенном налогообложении ( если {УПР} = [вкл] ) для расценок на изготовление материалов, полуфабрикатов, а также металлических и трубопроводных заготовок, изготовляемых в построечных условиях</t>
  </si>
  <si>
    <t>Уровень цен</t>
  </si>
  <si>
    <t>Индексы за итогом</t>
  </si>
  <si>
    <t>_OBSM_</t>
  </si>
  <si>
    <t>1-100-30</t>
  </si>
  <si>
    <t>Рабочий среднего разряда 3</t>
  </si>
  <si>
    <t>чел.-ч.</t>
  </si>
  <si>
    <t>4-100-00</t>
  </si>
  <si>
    <t>Затраты труда машинистов</t>
  </si>
  <si>
    <t>91.06.06-048</t>
  </si>
  <si>
    <t>ФСЭМ-2001, 91.06.06-048, приказ Минстроя России №1039/пр от 30.12.2016г.</t>
  </si>
  <si>
    <t>Подъемники одномачтовые, грузоподъемность до 500 кг, высота подъема 45 м</t>
  </si>
  <si>
    <t>маш.-ч</t>
  </si>
  <si>
    <t>01.7.03.01-0001</t>
  </si>
  <si>
    <t>ФССЦ-2001, 01.7.03.01-0001, приказ Минстроя России №1039/пр от 30.12.2016г.</t>
  </si>
  <si>
    <t>Вода</t>
  </si>
  <si>
    <t>03.1.01.01-0002</t>
  </si>
  <si>
    <t>ФССЦ-2001, 03.1.01.01-0002, приказ Минстроя России №1039/пр от 30.12.2016г.</t>
  </si>
  <si>
    <t>Гипсовые вяжущие, марка Г3</t>
  </si>
  <si>
    <t>1-100-20</t>
  </si>
  <si>
    <t>Рабочий среднего разряда 2</t>
  </si>
  <si>
    <t>1-100-21</t>
  </si>
  <si>
    <t>Рабочий среднего разряда 2.1</t>
  </si>
  <si>
    <t>91.18.01-012</t>
  </si>
  <si>
    <t>ФСЭМ-2001, 91.18.01-012, приказ Минстроя России №1039/пр от 30.12.2016г.</t>
  </si>
  <si>
    <t>Компрессоры передвижные с электродвигателем давлением 600 кПа (6 ат), производительность до 3,5 м3/мин</t>
  </si>
  <si>
    <t>91.21.10-003</t>
  </si>
  <si>
    <t>ФСЭМ-2001, 91.21.10-003, приказ Минстроя России №1039/пр от 30.12.2016г.</t>
  </si>
  <si>
    <t>Молотки при работе от передвижных компрессорных станций отбойные пневматические</t>
  </si>
  <si>
    <t>1-100-42</t>
  </si>
  <si>
    <t>Рабочий среднего разряда 4.2</t>
  </si>
  <si>
    <t>91.14.02-001</t>
  </si>
  <si>
    <t>ФСЭМ-2001, 91.14.02-001, приказ Минстроя России №1039/пр от 30.12.2016г.</t>
  </si>
  <si>
    <t>Автомобили бортовые, грузоподъемность до 5 т</t>
  </si>
  <si>
    <t>91.17.04-233</t>
  </si>
  <si>
    <t>ФСЭМ-2001, 91.17.04-233, приказ Минстроя России №1039/пр от 30.12.2016г.</t>
  </si>
  <si>
    <t>Установки для сварки ручной дуговой (постоянного тока)</t>
  </si>
  <si>
    <t>01.7.11.07-0032</t>
  </si>
  <si>
    <t>ФССЦ-2001, 01.7.11.07-0032, приказ Минстроя России №1039/пр от 30.12.2016г.</t>
  </si>
  <si>
    <t>Электроды диаметром 4 мм Э42</t>
  </si>
  <si>
    <t>08.4.01.02-0011</t>
  </si>
  <si>
    <t>ФССЦ-2001, 08.4.01.02-0011, приказ Минстроя России №1039/пр от 30.12.2016г.</t>
  </si>
  <si>
    <t>Детали закладные и накладные изготовленные без применения сварки, гнутья, сверления (пробивки) отверстий поставляемые отдельно</t>
  </si>
  <si>
    <t>14.5.01.10-0025</t>
  </si>
  <si>
    <t>ФССЦ-2001, 14.5.01.10-0025, приказ Минстроя России №1039/пр от 30.12.2016г.</t>
  </si>
  <si>
    <t>Пена монтажная для герметизации стыков в баллончике емкостью 0,85 л</t>
  </si>
  <si>
    <t>1-100-27</t>
  </si>
  <si>
    <t>Рабочий среднего разряда 2.7</t>
  </si>
  <si>
    <t>91.17.04-042</t>
  </si>
  <si>
    <t>ФСЭМ-2001, 91.17.04-042, приказ Минстроя России №1039/пр от 30.12.2016г.</t>
  </si>
  <si>
    <t>Аппарат для газовой сварки и резки</t>
  </si>
  <si>
    <t>01.3.02.03-0001</t>
  </si>
  <si>
    <t>ФССЦ-2001, 01.3.02.03-0001, приказ Минстроя России №1039/пр от 30.12.2016г.</t>
  </si>
  <si>
    <t>Ацетилен газообразный технический</t>
  </si>
  <si>
    <t>01.3.02.08-0001</t>
  </si>
  <si>
    <t>ФССЦ-2001, 01.3.02.08-0001, приказ Минстроя России №1039/пр от 30.12.2016г.</t>
  </si>
  <si>
    <t>Кислород технический газообразный</t>
  </si>
  <si>
    <t>1-100-32</t>
  </si>
  <si>
    <t>Рабочий среднего разряда 3.2</t>
  </si>
  <si>
    <t>01.7.06.02-0001</t>
  </si>
  <si>
    <t>ФССЦ-2001, 01.7.06.02-0001, приказ Минстроя России №1039/пр от 30.12.2016г.</t>
  </si>
  <si>
    <t>Лента бутиловая</t>
  </si>
  <si>
    <t>01.7.06.02-0002</t>
  </si>
  <si>
    <t>ФССЦ-2001, 01.7.06.02-0002, приказ Минстроя России №1039/пр от 30.12.2016г.</t>
  </si>
  <si>
    <t>Лента бутиловая диффузионная</t>
  </si>
  <si>
    <t>01.7.06.11-0001</t>
  </si>
  <si>
    <t>ФССЦ-2001, 01.7.06.11-0001, приказ Минстроя России №1039/пр от 30.12.2016г.</t>
  </si>
  <si>
    <t>Лента ПСУЛ</t>
  </si>
  <si>
    <t>01.7.15.07-0005</t>
  </si>
  <si>
    <t>ФССЦ-2001, 01.7.15.07-0005, приказ Минстроя России №1039/пр от 30.12.2016г.</t>
  </si>
  <si>
    <t>Дюбели монтажные 10х130 (10х132, 10х150) мм</t>
  </si>
  <si>
    <t>11.3.03.15-0021</t>
  </si>
  <si>
    <t>ФССЦ-2001, 11.3.03.15-0021, приказ Минстроя России №1039/пр от 30.12.2016г.</t>
  </si>
  <si>
    <t>Клинья пластиковые монтажные</t>
  </si>
  <si>
    <t>14.5.01.05-0001</t>
  </si>
  <si>
    <t>ФССЦ-2001, 14.5.01.05-0001, приказ Минстроя России №1039/пр от 30.12.2016г.</t>
  </si>
  <si>
    <t>Герметик пенополиуретановый (пена монтажная) типа Makrofleks, Soudal в баллонах по 750 мл</t>
  </si>
  <si>
    <t>91.05.01-017</t>
  </si>
  <si>
    <t>ФСЭМ-2001, 91.05.01-017, приказ Минстроя России №1039/пр от 30.12.2016г.</t>
  </si>
  <si>
    <t>Краны башенные, грузоподъемность 8 т</t>
  </si>
  <si>
    <t>01.7.15.06-0146</t>
  </si>
  <si>
    <t>ФССЦ-2001, 01.7.15.06-0146, приказ Минстроя России №1039/пр от 30.12.2016г.</t>
  </si>
  <si>
    <t>Гвозди толевые круглые 3,0х40 мм</t>
  </si>
  <si>
    <t>08.3.03.05-0002</t>
  </si>
  <si>
    <t>ФССЦ-2001, 08.3.03.05-0002, приказ Минстроя России №1039/пр от 30.12.2016г.</t>
  </si>
  <si>
    <t>Проволока канатная оцинкованная, диаметром 3 мм</t>
  </si>
  <si>
    <t>08.3.05.05-0053</t>
  </si>
  <si>
    <t>ФССЦ-2001, 08.3.05.05-0053, приказ Минстроя России №1039/пр от 30.12.2016г.</t>
  </si>
  <si>
    <t>Сталь листовая оцинкованная толщиной листа 0,7 мм</t>
  </si>
  <si>
    <t>1-100-37</t>
  </si>
  <si>
    <t>Рабочий среднего разряда 3.7</t>
  </si>
  <si>
    <t>04.3.01.07-0012</t>
  </si>
  <si>
    <t>ФССЦ-2001, 04.3.01.07-0012, приказ Минстроя России №1039/пр от 30.12.2016г.</t>
  </si>
  <si>
    <t>Раствор готовый отделочный тяжелый, известковый 1:2,5</t>
  </si>
  <si>
    <t>04.3.01.12-0111</t>
  </si>
  <si>
    <t>ФССЦ-2001, 04.3.01.12-0111, приказ Минстроя России №1039/пр от 30.12.2016г.</t>
  </si>
  <si>
    <t>Раствор готовый отделочный тяжелый, цементно-известковый 1:1:6</t>
  </si>
  <si>
    <t>1-100-34</t>
  </si>
  <si>
    <t>Рабочий среднего разряда 3.4</t>
  </si>
  <si>
    <t>01.7.17.11-0011</t>
  </si>
  <si>
    <t>ФССЦ-2001, 01.7.17.11-0011, приказ Минстроя России №1039/пр от 30.12.2016г.</t>
  </si>
  <si>
    <t>Шкурка шлифовальная двухслойная с зернистостью 40-25</t>
  </si>
  <si>
    <t>01.7.20.08-0051</t>
  </si>
  <si>
    <t>ФССЦ-2001, 01.7.20.08-0051, приказ Минстроя России №1039/пр от 30.12.2016г.</t>
  </si>
  <si>
    <t>Ветошь</t>
  </si>
  <si>
    <t>14.5.11.01-0001</t>
  </si>
  <si>
    <t>ФССЦ-2001, 14.5.11.01-0001, приказ Минстроя России №1039/пр от 30.12.2016г.</t>
  </si>
  <si>
    <t>Шпатлевка клеевая</t>
  </si>
  <si>
    <t>01.7.15.04-0056</t>
  </si>
  <si>
    <t>ФССЦ-2001, 01.7.15.04-0056, приказ Минстроя России №1039/пр от 30.12.2016г.</t>
  </si>
  <si>
    <t>Винты самонарезающие с уплотнительной прокладкой 4,8х35 мм</t>
  </si>
  <si>
    <t>1-100-36</t>
  </si>
  <si>
    <t>Рабочий среднего разряда 3.6</t>
  </si>
  <si>
    <t>01.7.15.06-0111</t>
  </si>
  <si>
    <t>ФССЦ-2001, 01.7.15.06-0111, приказ Минстроя России №1039/пр от 30.12.2016г.</t>
  </si>
  <si>
    <t>Гвозди строительные</t>
  </si>
  <si>
    <t>04.3.01.07-0011</t>
  </si>
  <si>
    <t>ФССЦ-2001, 04.3.01.07-0011, приказ Минстроя России №1039/пр от 30.12.2016г.</t>
  </si>
  <si>
    <t>Раствор готовый отделочный тяжелый, известковый 1:2,0</t>
  </si>
  <si>
    <t>11.1.03.06-0087</t>
  </si>
  <si>
    <t>ФССЦ-2001, 11.1.03.06-0087, приказ Минстроя России №1039/пр от 30.12.2016г.</t>
  </si>
  <si>
    <t>Доски обрезные хвойных пород длиной 4-6,5 м, шириной 75-150 мм, толщиной 25 мм, III сорта</t>
  </si>
  <si>
    <t>14.5.01.10-0003</t>
  </si>
  <si>
    <t>ФССЦ-2001, 14.5.01.10-0003, приказ Минстроя России №1039/пр от 30.12.2016г.</t>
  </si>
  <si>
    <t>Пена монтажная</t>
  </si>
  <si>
    <t>л</t>
  </si>
  <si>
    <t>09.3.04.03-0001</t>
  </si>
  <si>
    <t>ФССЦ-2001, 09.3.04.03-0001, приказ Минстроя России №1039/пр от 30.12.2016г.</t>
  </si>
  <si>
    <t>Перегородки на алюминиевом каркасе комбинированные (стекло прозрачное 5 мм и ГКЛ с виниловым покрытием)</t>
  </si>
  <si>
    <t>1-100-31</t>
  </si>
  <si>
    <t>Рабочий среднего разряда 3.1</t>
  </si>
  <si>
    <t>91.06.03-060</t>
  </si>
  <si>
    <t>ФСЭМ-2001, 91.06.03-060, приказ Минстроя России №1039/пр от 30.12.2016г.</t>
  </si>
  <si>
    <t>Лебедки электрические тяговым усилием до 5,79 кН (0,59 т)</t>
  </si>
  <si>
    <t>91.18.01-007</t>
  </si>
  <si>
    <t>ФСЭМ-2001, 91.18.01-007, приказ Минстроя России №1039/пр от 30.12.2016г.</t>
  </si>
  <si>
    <t>Компрессоры передвижные с двигателем внутреннего сгорания, давлением до 686 кПа (7ат), производительность до 5мЗ/мин</t>
  </si>
  <si>
    <t>01.7.11.07-0054</t>
  </si>
  <si>
    <t>ФССЦ-2001, 01.7.11.07-0054, приказ Минстроя России №1039/пр от 30.12.2016г.</t>
  </si>
  <si>
    <t>Электроды диаметром 6 мм Э42</t>
  </si>
  <si>
    <t>1-100-29</t>
  </si>
  <si>
    <t>Рабочий среднего разряда 2.9</t>
  </si>
  <si>
    <t>91.05.01-016</t>
  </si>
  <si>
    <t>ФСЭМ-2001, 91.05.01-016, приказ Минстроя России №1039/пр от 30.12.2016г.</t>
  </si>
  <si>
    <t>Краны башенные, грузоподъемность 5 т</t>
  </si>
  <si>
    <t>91.05.05-014</t>
  </si>
  <si>
    <t>ФСЭМ-2001, 91.05.05-014, приказ Минстроя России №1039/пр от 30.12.2016г.</t>
  </si>
  <si>
    <t>Краны на автомобильном ходу, грузоподъемность 10 т</t>
  </si>
  <si>
    <t>08.4.03.03-0031</t>
  </si>
  <si>
    <t>ФССЦ-2001, 08.4.03.03-0031, приказ Минстроя России №1039/пр от 30.12.2016г.</t>
  </si>
  <si>
    <t>Горячекатаная арматурная сталь периодического профиля класса А-III, диаметром 10 мм</t>
  </si>
  <si>
    <t>14.4.01.01-0003</t>
  </si>
  <si>
    <t>ФССЦ-2001, 14.4.01.01-0003, приказ Минстроя России №1039/пр от 30.12.2016г.</t>
  </si>
  <si>
    <t>Грунтовка ГФ-021 красно-коричневая</t>
  </si>
  <si>
    <t>1-100-25</t>
  </si>
  <si>
    <t>Рабочий среднего разряда 2.5</t>
  </si>
  <si>
    <t>91.06.03-055</t>
  </si>
  <si>
    <t>ФСЭМ-2001, 91.06.03-055, приказ Минстроя России №1039/пр от 30.12.2016г.</t>
  </si>
  <si>
    <t>Лебедки электрические тяговым усилием 19,62 кН (2 т)</t>
  </si>
  <si>
    <t>04.3.01.12-0003</t>
  </si>
  <si>
    <t>ФССЦ-2001, 04.3.01.12-0003, приказ Минстроя России №1039/пр от 30.12.2016г.</t>
  </si>
  <si>
    <t>Раствор готовый кладочный цементно-известковый марки 50</t>
  </si>
  <si>
    <t>91.06.05-011</t>
  </si>
  <si>
    <t>ФСЭМ-2001, 91.06.05-011, приказ Минстроя России №1039/пр от 30.12.2016г.</t>
  </si>
  <si>
    <t>Погрузчик, грузоподъемность 5 т</t>
  </si>
  <si>
    <t>91.07.08-024</t>
  </si>
  <si>
    <t>ФСЭМ-2001, 91.07.08-024, приказ Минстроя России №1039/пр от 30.12.2016г.</t>
  </si>
  <si>
    <t>Растворосмесители передвижные 65 л</t>
  </si>
  <si>
    <t>1-100-38</t>
  </si>
  <si>
    <t>Рабочий среднего разряда 3.8</t>
  </si>
  <si>
    <t>91.07.07-041</t>
  </si>
  <si>
    <t>ФСЭМ-2001, 91.07.07-041, приказ Минстроя России №1039/пр от 30.12.2016г.</t>
  </si>
  <si>
    <t>Растворонасосы 1 м3/ч</t>
  </si>
  <si>
    <t>01.7.15.06-0121</t>
  </si>
  <si>
    <t>ФССЦ-2001, 01.7.15.06-0121, приказ Минстроя России №1039/пр от 30.12.2016г.</t>
  </si>
  <si>
    <t>Гвозди строительные с плоской головкой 1,6x50 мм</t>
  </si>
  <si>
    <t>08.1.02.17-0161</t>
  </si>
  <si>
    <t>ФССЦ-2001, 08.1.02.17-0161, приказ Минстроя России №1039/пр от 30.12.2016г.</t>
  </si>
  <si>
    <t>Сетка тканая с квадратными ячейками № 05 без покрытия</t>
  </si>
  <si>
    <t>01.7.07.08-0003</t>
  </si>
  <si>
    <t>ФССЦ-2001, 01.7.07.08-0003, приказ Минстроя России №1039/пр от 30.12.2016г.</t>
  </si>
  <si>
    <t>Мыло твердое хозяйственное 72%</t>
  </si>
  <si>
    <t>01.7.08.04-0003</t>
  </si>
  <si>
    <t>ФССЦ-2001, 01.7.08.04-0003, приказ Минстроя России №1039/пр от 30.12.2016г.</t>
  </si>
  <si>
    <t>Мел природный молотый</t>
  </si>
  <si>
    <t>02.4.03.02-0001</t>
  </si>
  <si>
    <t>ФССЦ-2001, 02.4.03.02-0001, приказ Минстроя России №1039/пр от 30.12.2016г.</t>
  </si>
  <si>
    <t>Пемза шлаковая (щебень пористый из металлургического шлака), марка 600, фракция 5-10 мм</t>
  </si>
  <si>
    <t>14.1.03.02-0201</t>
  </si>
  <si>
    <t>ФССЦ-2001, 14.1.03.02-0201, приказ Минстроя России №1039/пр от 30.12.2016г.</t>
  </si>
  <si>
    <t>Клей малярный жидкий</t>
  </si>
  <si>
    <t>1-100-33</t>
  </si>
  <si>
    <t>Рабочий среднего разряда 3.3</t>
  </si>
  <si>
    <t>01.7.02.10-0005</t>
  </si>
  <si>
    <t>ФССЦ-2001, 01.7.02.10-0005, приказ Минстроя России №1039/пр от 30.12.2016г.</t>
  </si>
  <si>
    <t>Бумага ролевая</t>
  </si>
  <si>
    <t>14.1.03.01-0001</t>
  </si>
  <si>
    <t>ФССЦ-2001, 14.1.03.01-0001, приказ Минстроя России №1039/пр от 30.12.2016г.</t>
  </si>
  <si>
    <t>Клей для обоев КМЦ</t>
  </si>
  <si>
    <t>1-100-40</t>
  </si>
  <si>
    <t>Рабочий среднего разряда 4</t>
  </si>
  <si>
    <t>01.7.15.07-0082</t>
  </si>
  <si>
    <t>ФССЦ-2001, 01.7.15.07-0082, приказ Минстроя России №1039/пр от 30.12.2016г.</t>
  </si>
  <si>
    <t>Дюбель-гвоздь 6/39 мм</t>
  </si>
  <si>
    <t>07.2.06.03-0112</t>
  </si>
  <si>
    <t>ФССЦ-2001, 07.2.06.03-0112, приказ Минстроя России №1039/пр от 30.12.2016г.</t>
  </si>
  <si>
    <t>Профиль направляющий ПН-2 50/40/0,6</t>
  </si>
  <si>
    <t>07.2.06.03-0195</t>
  </si>
  <si>
    <t>ФССЦ-2001, 07.2.06.03-0195, приказ Минстроя России №1039/пр от 30.12.2016г.</t>
  </si>
  <si>
    <t>Профиль стоечный ПС-2 50/50/0,6</t>
  </si>
  <si>
    <t>11.1.03.01-0001</t>
  </si>
  <si>
    <t>ФССЦ-2001, 11.1.03.01-0001, приказ Минстроя России №1039/пр от 30.12.2016г.</t>
  </si>
  <si>
    <t>Бруски деревянные 50*50 мм</t>
  </si>
  <si>
    <t>1-100-26</t>
  </si>
  <si>
    <t>Рабочий среднего разряда 2.6</t>
  </si>
  <si>
    <t>01.7.15.06-0123</t>
  </si>
  <si>
    <t>ФССЦ-2001, 01.7.15.06-0123, приказ Минстроя России №1039/пр от 30.12.2016г.</t>
  </si>
  <si>
    <t>Гвозди строительные с плоской головкой 1,8х60 мм</t>
  </si>
  <si>
    <t>1-100-44</t>
  </si>
  <si>
    <t>Рабочий среднего разряда 4.4</t>
  </si>
  <si>
    <t>01.7.11.07-0045</t>
  </si>
  <si>
    <t>ФССЦ-2001, 01.7.11.07-0045, приказ Минстроя России №1039/пр от 30.12.2016г.</t>
  </si>
  <si>
    <t>Электроды диаметром 5 мм Э42А</t>
  </si>
  <si>
    <t>01.7.15.03-0041</t>
  </si>
  <si>
    <t>ФССЦ-2001, 01.7.15.03-0041, приказ Минстроя России №1039/пр от 30.12.2016г.</t>
  </si>
  <si>
    <t>Болты с гайками и шайбами строительные</t>
  </si>
  <si>
    <t>91.07.04-002</t>
  </si>
  <si>
    <t>ФСЭМ-2001, 91.07.04-002, приказ Минстроя России №1039/пр от 30.12.2016г.</t>
  </si>
  <si>
    <t>Вибратор поверхностный</t>
  </si>
  <si>
    <t>91.06.06-046</t>
  </si>
  <si>
    <t>ФСЭМ-2001, 91.06.06-046, приказ Минстроя России №1039/пр от 30.12.2016г.</t>
  </si>
  <si>
    <t>Подъемники одномачтовые, грузоподъемность до 500 кг, высота подъема 25 м</t>
  </si>
  <si>
    <t>04.3.02.01-0415</t>
  </si>
  <si>
    <t>ФССЦ-2001, 04.3.02.01-0415, приказ Минстроя России №1039/пр от 30.12.2016г.</t>
  </si>
  <si>
    <t>Смеси сухие для наливных полов, марка «Ветонит» 5000</t>
  </si>
  <si>
    <t>14.4.01.02-0113</t>
  </si>
  <si>
    <t>ФССЦ-2001, 14.4.01.02-0113, приказ Минстроя России №1039/пр от 30.12.2016г.</t>
  </si>
  <si>
    <t>Грунтовка акриловая НОРТЕКС-ГРУНТ</t>
  </si>
  <si>
    <t>1-100-35</t>
  </si>
  <si>
    <t>Рабочий среднего разряда 3.5</t>
  </si>
  <si>
    <t>91.21.07-011</t>
  </si>
  <si>
    <t>ФСЭМ-2001, 91.21.07-011, приказ Минстроя России №1039/пр от 30.12.2016г.</t>
  </si>
  <si>
    <t>Машины мозаично-шлифовальные</t>
  </si>
  <si>
    <t>01.7.17.05-0021</t>
  </si>
  <si>
    <t>ФССЦ-2001, 01.7.17.05-0021, приказ Минстроя России №1039/пр от 30.12.2016г.</t>
  </si>
  <si>
    <t>Карборунд</t>
  </si>
  <si>
    <t>91.05.05-013</t>
  </si>
  <si>
    <t>ФСЭМ-2001, 91.05.05-013, приказ Минстроя России №1039/пр от 30.12.2016г.</t>
  </si>
  <si>
    <t>Краны на автомобильном ходу, грузоподъемность 6,3 т</t>
  </si>
  <si>
    <t>04.3.02.09-0102</t>
  </si>
  <si>
    <t>ФССЦ-2001, 04.3.02.09-0102, приказ Минстроя России №1039/пр от 30.12.2016г.</t>
  </si>
  <si>
    <t>Затирка «Старатели» (разной цветности)</t>
  </si>
  <si>
    <t>14.1.06.02-0044</t>
  </si>
  <si>
    <t>ФССЦ-2001, 14.1.06.02-0044, приказ Минстроя России №1039/пр от 30.12.2016г.</t>
  </si>
  <si>
    <t>Клей плиточный «Юнис Гранит»</t>
  </si>
  <si>
    <t>1-100-49</t>
  </si>
  <si>
    <t>Рабочий среднего разряда 4.9</t>
  </si>
  <si>
    <t>91.08.04-021</t>
  </si>
  <si>
    <t>ФСЭМ-2001, 91.08.04-021, приказ Минстроя России №1039/пр от 30.12.2016г.</t>
  </si>
  <si>
    <t>Котлы битумные передвижные 400 л</t>
  </si>
  <si>
    <t>91.21.22-421</t>
  </si>
  <si>
    <t>ФСЭМ-2001, 91.21.22-421, приказ Минстроя России №1039/пр от 30.12.2016г.</t>
  </si>
  <si>
    <t>Термос 100 л</t>
  </si>
  <si>
    <t>01.1.02.10-0021</t>
  </si>
  <si>
    <t>ФССЦ-2001, 01.1.02.10-0021, приказ Минстроя России №1039/пр от 30.12.2016г.</t>
  </si>
  <si>
    <t>Асбест хризотиловый марки К-6-30</t>
  </si>
  <si>
    <t>01.2.01.02-0052</t>
  </si>
  <si>
    <t>ФССЦ-2001, 01.2.01.02-0052, приказ Минстроя России №1039/пр от 30.12.2016г.</t>
  </si>
  <si>
    <t>Битумы нефтяные строительные марки БН-70/30</t>
  </si>
  <si>
    <t>01.2.01.02-0054</t>
  </si>
  <si>
    <t>ФССЦ-2001, 01.2.01.02-0054, приказ Минстроя России №1039/пр от 30.12.2016г.</t>
  </si>
  <si>
    <t>Битумы нефтяные строительные марки БН-90/10</t>
  </si>
  <si>
    <t>01.3.01.01-0009</t>
  </si>
  <si>
    <t>ФССЦ-2001, 01.3.01.01-0009, приказ Минстроя России №1039/пр от 30.12.2016г.</t>
  </si>
  <si>
    <t>Бензин растворитель</t>
  </si>
  <si>
    <t>01.7.07.13-0001</t>
  </si>
  <si>
    <t>ФССЦ-2001, 01.7.07.13-0001, приказ Минстроя России №1039/пр от 30.12.2016г.</t>
  </si>
  <si>
    <t>Мука андезитовая кислотоупорная, марка А</t>
  </si>
  <si>
    <t>11.3.03.08-0004</t>
  </si>
  <si>
    <t>ФССЦ-2001, 11.3.03.08-0004, приказ Минстроя России №1039/пр от 30.12.2016г.</t>
  </si>
  <si>
    <t>Подложка под паркет и ламинат "Порилекс НПЭ", толщина 2 мм</t>
  </si>
  <si>
    <t>10 м2</t>
  </si>
  <si>
    <t>1-100-41</t>
  </si>
  <si>
    <t>Рабочий среднего разряда 4.1</t>
  </si>
  <si>
    <t>14.5.04.03-0104</t>
  </si>
  <si>
    <t>ФССЦ-2001, 14.5.04.03-0104, приказ Минстроя России №1039/пр от 30.12.2016г.</t>
  </si>
  <si>
    <t>Мастика клеящая каучуковая, марки КН-2</t>
  </si>
  <si>
    <t>1-100-39</t>
  </si>
  <si>
    <t>Рабочий среднего разряда 3.9</t>
  </si>
  <si>
    <t>01.7.15.04-0048</t>
  </si>
  <si>
    <t>ФССЦ-2001, 01.7.15.04-0048, приказ Минстроя России №1039/пр от 30.12.2016г.</t>
  </si>
  <si>
    <t>Винты самонарезающие остроконечные длиной 35 мм</t>
  </si>
  <si>
    <t>01.6.04.02-0011</t>
  </si>
  <si>
    <t>ФССЦ-2001, 01.6.04.02-0011, приказ Минстроя России №1039/пр от 30.12.2016г.</t>
  </si>
  <si>
    <t>Панели потолочные с комплектующими «Армстронг»</t>
  </si>
  <si>
    <t>91.06.03-062</t>
  </si>
  <si>
    <t>ФСЭМ-2001, 91.06.03-062, приказ Минстроя России №1039/пр от 30.12.2016г.</t>
  </si>
  <si>
    <t>Лебедки электрические тяговым усилием до 31,39 кН (3,2 т)</t>
  </si>
  <si>
    <t>09.2.01.05-0001</t>
  </si>
  <si>
    <t>ФССЦ-2001, 09.2.01.05-0001, приказ Минстроя России №1039/пр от 30.12.2016г.</t>
  </si>
  <si>
    <t>Гребенка несущая</t>
  </si>
  <si>
    <t>09.2.01.05-0051</t>
  </si>
  <si>
    <t>ФССЦ-2001, 09.2.01.05-0051, приказ Минстроя России №1039/пр от 30.12.2016г.</t>
  </si>
  <si>
    <t>Подвес в комплекте</t>
  </si>
  <si>
    <t>1-100-10</t>
  </si>
  <si>
    <t>Рабочий среднего разряда 1</t>
  </si>
  <si>
    <t>01.7.20.03-0003</t>
  </si>
  <si>
    <t>ФССЦ-2001, 01.7.20.03-0003, приказ Минстроя России №1039/пр от 30.12.2016г.</t>
  </si>
  <si>
    <t>Мешки полипропиленовые (50 кг)</t>
  </si>
  <si>
    <t>1-100-23</t>
  </si>
  <si>
    <t>Рабочий среднего разряда 2.3</t>
  </si>
  <si>
    <t>01.7.15.07-0022</t>
  </si>
  <si>
    <t>ФССЦ-2001, 01.7.15.07-0022, приказ Минстроя России №1039/пр от 30.12.2016г.</t>
  </si>
  <si>
    <t>Дюбели распорные полиэтиленовые 6х40 мм</t>
  </si>
  <si>
    <t>01.7.15.14-0165</t>
  </si>
  <si>
    <t>ФССЦ-2001, 01.7.15.14-0165, приказ Минстроя России №1039/пр от 30.12.2016г.</t>
  </si>
  <si>
    <t>Шурупы с полукруглой головкой 4x40 мм</t>
  </si>
  <si>
    <t>999-9950</t>
  </si>
  <si>
    <t>Вспомогательные ненормируемые материалы (2% от ОЗП)</t>
  </si>
  <si>
    <t>РУБ</t>
  </si>
  <si>
    <t>1-100-46</t>
  </si>
  <si>
    <t>Рабочий среднего разряда 4.6</t>
  </si>
  <si>
    <t>01.7.06.05-0041</t>
  </si>
  <si>
    <t>ФССЦ-2001, 01.7.06.05-0041, приказ Минстроя России №1039/пр от 30.12.2016г.</t>
  </si>
  <si>
    <t>Лента изоляционная прорезиненная односторонняя ширина 20 мм, толщина 0,25-0,35 мм</t>
  </si>
  <si>
    <t>01.7.15.03-0042</t>
  </si>
  <si>
    <t>ФССЦ-2001, 01.7.15.03-0042, приказ Минстроя России №1039/пр от 30.12.2016г.</t>
  </si>
  <si>
    <t>08.3.07.01-0076</t>
  </si>
  <si>
    <t>ФССЦ-2001, 08.3.07.01-0076, приказ Минстроя России №1039/пр от 30.12.2016г.</t>
  </si>
  <si>
    <t>Сталь полосовая, марка стали Ст3сп шириной 50-200 мм толщиной 4-5 мм</t>
  </si>
  <si>
    <t>20.5.04.10-0011</t>
  </si>
  <si>
    <t>ФССЦ-2001, 20.5.04.10-0011, приказ Минстроя России №1039/пр от 30.12.2016г.</t>
  </si>
  <si>
    <t>Сжимы соединительные</t>
  </si>
  <si>
    <t>01.7.15.07-0014</t>
  </si>
  <si>
    <t>ФССЦ-2001, 01.7.15.07-0014, приказ Минстроя России №1039/пр от 30.12.2016г.</t>
  </si>
  <si>
    <t>Дюбели распорные полипропиленовые</t>
  </si>
  <si>
    <t>01.7.15.14-0161</t>
  </si>
  <si>
    <t>ФССЦ-2001, 01.7.15.14-0161, приказ Минстроя России №1039/пр от 30.12.2016г.</t>
  </si>
  <si>
    <t>Шурупы с полукруглой головкой 2,5х20 мм</t>
  </si>
  <si>
    <t>01.7.15.07-0152</t>
  </si>
  <si>
    <t>ФССЦ-2001, 01.7.15.07-0152, приказ Минстроя России №1039/пр от 30.12.2016г.</t>
  </si>
  <si>
    <t>Дюбель с шурупом 6/35 мм</t>
  </si>
  <si>
    <t>01.7.07.20-0002</t>
  </si>
  <si>
    <t>ФССЦ-2001, 01.7.07.20-0002, приказ Минстроя России №1039/пр от 30.12.2016г.</t>
  </si>
  <si>
    <t>Тальк молотый, сорт I</t>
  </si>
  <si>
    <t>14.4.02.09-0001</t>
  </si>
  <si>
    <t>ФССЦ-2001, 14.4.02.09-0001, приказ Минстроя России №1039/пр от 30.12.2016г.</t>
  </si>
  <si>
    <t>20.2.01.05-0003</t>
  </si>
  <si>
    <t>ФССЦ-2001, 20.2.01.05-0003, приказ Минстроя России №1039/пр от 30.12.2016г.</t>
  </si>
  <si>
    <t>Гильза кабельная медная ГМ 6</t>
  </si>
  <si>
    <t>20.2.02.01-0012</t>
  </si>
  <si>
    <t>ФССЦ-2001, 20.2.02.01-0012, приказ Минстроя России №1039/пр от 30.12.2016г.</t>
  </si>
  <si>
    <t>Втулки В22</t>
  </si>
  <si>
    <t>08.3.03.05-0013</t>
  </si>
  <si>
    <t>ФССЦ-2001, 08.3.03.05-0013, приказ Минстроя России №1039/пр от 30.12.2016г.</t>
  </si>
  <si>
    <t>Проволока стальная низкоуглеродистая разного назначения оцинкованная диаметром 1,6 мм</t>
  </si>
  <si>
    <t>04.3.01.09-0016</t>
  </si>
  <si>
    <t>ФССЦ-2001, 04.3.01.09-0016, приказ Минстроя России №1039/пр от 30.12.2016г.</t>
  </si>
  <si>
    <t>Раствор готовый кладочный цементный марки 200</t>
  </si>
  <si>
    <t>14.1.02.01-0002</t>
  </si>
  <si>
    <t>ФССЦ-2001, 14.1.02.01-0002, приказ Минстроя России №1039/пр от 30.12.2016г.</t>
  </si>
  <si>
    <t>Клей БМК-5к</t>
  </si>
  <si>
    <t>20.2.02.01-0019</t>
  </si>
  <si>
    <t>ФССЦ-2001, 20.2.02.01-0019, приказ Минстроя России №1039/пр от 30.12.2016г.</t>
  </si>
  <si>
    <t>Втулки изолирующие</t>
  </si>
  <si>
    <t>20.2.02.02-0011</t>
  </si>
  <si>
    <t>ФССЦ-2001, 20.2.02.02-0011, приказ Минстроя России №1039/пр от 30.12.2016г.</t>
  </si>
  <si>
    <t>Заглушки</t>
  </si>
  <si>
    <t>20.2.08.05-0017</t>
  </si>
  <si>
    <t>ФССЦ-2001, 20.2.08.05-0017, приказ Минстроя России №1039/пр от 30.12.2016г.</t>
  </si>
  <si>
    <t>Профиль монтажный</t>
  </si>
  <si>
    <t>01.3.01.02-0002</t>
  </si>
  <si>
    <t>ФССЦ-2001, 01.3.01.02-0002, приказ Минстроя России №1039/пр от 30.12.2016г.</t>
  </si>
  <si>
    <t>Вазелин технический</t>
  </si>
  <si>
    <t>01.7.02.09-0002</t>
  </si>
  <si>
    <t>ФССЦ-2001, 01.7.02.09-0002, приказ Минстроя России №1039/пр от 30.12.2016г.</t>
  </si>
  <si>
    <t>Шпагат бумажный</t>
  </si>
  <si>
    <t>01.7.11.07-0034</t>
  </si>
  <si>
    <t>ФССЦ-2001, 01.7.11.07-0034, приказ Минстроя России №1039/пр от 30.12.2016г.</t>
  </si>
  <si>
    <t>Электроды диаметром 4 мм Э42А</t>
  </si>
  <si>
    <t>01.7.20.04-0005</t>
  </si>
  <si>
    <t>ФССЦ-2001, 01.7.20.04-0005, приказ Минстроя России №1039/пр от 30.12.2016г.</t>
  </si>
  <si>
    <t>Нитки швейные</t>
  </si>
  <si>
    <t>07.2.07.04-0007</t>
  </si>
  <si>
    <t>ФССЦ-2001, 07.2.07.04-0007, приказ Минстроя России №1039/пр от 30.12.2016г.</t>
  </si>
  <si>
    <t>Конструкции стальные индивидуальные решетчатые сварные массой до 0,1 т</t>
  </si>
  <si>
    <t>14.4.03.17-0011</t>
  </si>
  <si>
    <t>ФССЦ-2001, 14.4.03.17-0011, приказ Минстроя России №1039/пр от 30.12.2016г.</t>
  </si>
  <si>
    <t>Лак электроизоляционный 318</t>
  </si>
  <si>
    <t>20.1.02.23-0082</t>
  </si>
  <si>
    <t>ФССЦ-2001, 20.1.02.23-0082, приказ Минстроя России №1039/пр от 30.12.2016г.</t>
  </si>
  <si>
    <t>Перемычки гибкие, тип ПГС-50</t>
  </si>
  <si>
    <t>91.06.06-042</t>
  </si>
  <si>
    <t>ФСЭМ-2001, 91.06.06-042, приказ Минстроя России №1039/пр от 30.12.2016г.</t>
  </si>
  <si>
    <t>Подъемники гидравлические высотой подъема: 10 м</t>
  </si>
  <si>
    <t>20.1.02.14-0001</t>
  </si>
  <si>
    <t>ФССЦ-2001, 20.1.02.14-0001, приказ Минстроя России №1039/пр от 30.12.2016г.</t>
  </si>
  <si>
    <t>Серьга</t>
  </si>
  <si>
    <t>20.2.09.13-0011</t>
  </si>
  <si>
    <t>ФССЦ-2001, 20.2.09.13-0011, приказ Минстроя России №1039/пр от 30.12.2016г.</t>
  </si>
  <si>
    <t>Муфта</t>
  </si>
  <si>
    <t>91.06.01-003</t>
  </si>
  <si>
    <t>ФСЭМ-2001, 91.06.01-003, приказ Минстроя России №1039/пр от 30.12.2016г.</t>
  </si>
  <si>
    <t>Домкраты гидравлические, грузоподъемность 63-100 т</t>
  </si>
  <si>
    <t>91.06.03-061</t>
  </si>
  <si>
    <t>ФСЭМ-2001, 91.06.03-061, приказ Минстроя России №1039/пр от 30.12.2016г.</t>
  </si>
  <si>
    <t>Лебедки электрические тяговым усилием до 12,26 кН (1,25 т)</t>
  </si>
  <si>
    <t>91.06.09-001</t>
  </si>
  <si>
    <t>ФСЭМ-2001, 91.06.09-001, приказ Минстроя России №1039/пр от 30.12.2016г.</t>
  </si>
  <si>
    <t>Вышка телескопическая 25 м</t>
  </si>
  <si>
    <t>01.7.06.07-0001</t>
  </si>
  <si>
    <t>ФССЦ-2001, 01.7.06.07-0001, приказ Минстроя России №1039/пр от 30.12.2016г.</t>
  </si>
  <si>
    <t>Лента К226</t>
  </si>
  <si>
    <t>10.3.02.03-0011</t>
  </si>
  <si>
    <t>ФССЦ-2001, 10.3.02.03-0011, приказ Минстроя России №1039/пр от 30.12.2016г.</t>
  </si>
  <si>
    <t>Припои оловянно-свинцовые бессурьмянистые марки ПОС30</t>
  </si>
  <si>
    <t>14.4.03.03-0002</t>
  </si>
  <si>
    <t>ФССЦ-2001, 14.4.03.03-0002, приказ Минстроя России №1039/пр от 30.12.2016г.</t>
  </si>
  <si>
    <t>Лак битумный БТ-123</t>
  </si>
  <si>
    <t>20.2.01.05-0005</t>
  </si>
  <si>
    <t>ФССЦ-2001, 20.2.01.05-0005, приказ Минстроя России №1039/пр от 30.12.2016г.</t>
  </si>
  <si>
    <t>Гильза кабельная медная ГМ 16</t>
  </si>
  <si>
    <t>20.2.02.01-0013</t>
  </si>
  <si>
    <t>ФССЦ-2001, 20.2.02.01-0013, приказ Минстроя России №1039/пр от 30.12.2016г.</t>
  </si>
  <si>
    <t>Втулки В28</t>
  </si>
  <si>
    <t>20.5.04.09-0001</t>
  </si>
  <si>
    <t>ФССЦ-2001, 20.5.04.09-0001, приказ Минстроя России №1039/пр от 30.12.2016г.</t>
  </si>
  <si>
    <t>Сжимы ответвительные</t>
  </si>
  <si>
    <t>24.3.01.01-0002</t>
  </si>
  <si>
    <t>ФССЦ-2001, 24.3.01.01-0002, приказ Минстроя России №1039/пр от 30.12.2016г.</t>
  </si>
  <si>
    <t>Трубка полихлорвиниловая</t>
  </si>
  <si>
    <t>01.3.01.01-0001</t>
  </si>
  <si>
    <t>ФССЦ-2001, 01.3.01.01-0001, приказ Минстроя России №1039/пр от 30.12.2016г.</t>
  </si>
  <si>
    <t>Бензин авиационный Б-70</t>
  </si>
  <si>
    <t>01.3.01.05-0009</t>
  </si>
  <si>
    <t>ФССЦ-2001, 01.3.01.05-0009, приказ Минстроя России №1039/пр от 30.12.2016г.</t>
  </si>
  <si>
    <t>Парафины нефтяные твердые марки Т-1</t>
  </si>
  <si>
    <t>01.3.02.09-0022</t>
  </si>
  <si>
    <t>ФССЦ-2001, 01.3.02.09-0022, приказ Минстроя России №1039/пр от 30.12.2016г.</t>
  </si>
  <si>
    <t>Пропан-бутан, смесь техническая</t>
  </si>
  <si>
    <t>2-200-60</t>
  </si>
  <si>
    <t>Электромонтажник-наладчик, разряд VI</t>
  </si>
  <si>
    <t>2-400-30</t>
  </si>
  <si>
    <t>Инженер по наладке и испытаниям, категория III</t>
  </si>
  <si>
    <t>2-300-20</t>
  </si>
  <si>
    <t>Техник по наладке и испытаниям, категория II</t>
  </si>
  <si>
    <t>2-400-20</t>
  </si>
  <si>
    <t>Инженер по наладке и испытаниям, категория II</t>
  </si>
  <si>
    <t>01.3.05.17-0002</t>
  </si>
  <si>
    <t>ФССЦ-2001, 01.3.05.17-0002, приказ Минстроя России №1039/пр от 30.12.2016г.</t>
  </si>
  <si>
    <t>Канифоль сосновая</t>
  </si>
  <si>
    <t>01.7.15.07-0012</t>
  </si>
  <si>
    <t>ФССЦ-2001, 01.7.15.07-0012, приказ Минстроя России №1039/пр от 30.12.2016г.</t>
  </si>
  <si>
    <t>Дюбели пластмассовые с шурупами 12х70 мм</t>
  </si>
  <si>
    <t>10.3.02.03-0012</t>
  </si>
  <si>
    <t>ФССЦ-2001, 10.3.02.03-0012, приказ Минстроя России №1039/пр от 30.12.2016г.</t>
  </si>
  <si>
    <t>Припои оловянно-свинцовые бессурьмянистые марки ПОС40</t>
  </si>
  <si>
    <t>1-100-60</t>
  </si>
  <si>
    <t>Рабочий среднего разряда 6</t>
  </si>
  <si>
    <t>14.4.02.04-0221</t>
  </si>
  <si>
    <t>ФССЦ-2001, 14.4.02.04-0221, приказ Минстроя России №1039/пр от 30.12.2016г.</t>
  </si>
  <si>
    <t>Краски масляные и алкидные, готовые к применению белила цинковые МА-15</t>
  </si>
  <si>
    <t>14.5.05.02-0001</t>
  </si>
  <si>
    <t>ФССЦ-2001, 14.5.05.02-0001, приказ Минстроя России №1039/пр от 30.12.2016г.</t>
  </si>
  <si>
    <t>Олифа натуральная</t>
  </si>
  <si>
    <t>91.10.09-011</t>
  </si>
  <si>
    <t>ФСЭМ-2001, 91.10.09-011, приказ Минстроя России №1039/пр от 30.12.2016г.</t>
  </si>
  <si>
    <t>Установки для гидравлических испытаний трубопроводов, давление нагнетания низкое 0,1 МПа (1 кгс/см2), высокое 10 МПа (100 кгс/см2)</t>
  </si>
  <si>
    <t>01.3.05.38-0031</t>
  </si>
  <si>
    <t>ФССЦ-2001, 01.3.05.38-0031, приказ Минстроя России №1039/пр от 30.12.2016г.</t>
  </si>
  <si>
    <t>Водный раствор нитрата и карбоната</t>
  </si>
  <si>
    <t>18.5.08.05-0031</t>
  </si>
  <si>
    <t>ФССЦ-2001, 18.5.08.05-0031, приказ Минстроя России №1039/пр от 30.12.2016г.</t>
  </si>
  <si>
    <t>Кронштейны для радиаторов стальных спаренных марки КР1-РС</t>
  </si>
  <si>
    <t>01.1.02.08-0001</t>
  </si>
  <si>
    <t>ФССЦ-2001, 01.1.02.08-0001, приказ Минстроя России №1039/пр от 30.12.2016г.</t>
  </si>
  <si>
    <t>Прокладки из паронита марки ПМБ, толщиной 1 мм, диаметром 50 мм</t>
  </si>
  <si>
    <t>01.7.15.03-0013</t>
  </si>
  <si>
    <t>ФССЦ-2001, 01.7.15.03-0013, приказ Минстроя России №1039/пр от 30.12.2016г.</t>
  </si>
  <si>
    <t>Болты с гайками и шайбами для санитарно-технических работ диаметром 12 мм</t>
  </si>
  <si>
    <t>01.7.07.29-0031</t>
  </si>
  <si>
    <t>ФССЦ-2001, 01.7.07.29-0031, приказ Минстроя России №1039/пр от 30.12.2016г.</t>
  </si>
  <si>
    <t>Каболка</t>
  </si>
  <si>
    <t>01.7.07.29-0101</t>
  </si>
  <si>
    <t>ФССЦ-2001, 01.7.07.29-0101, приказ Минстроя России №1039/пр от 30.12.2016г.</t>
  </si>
  <si>
    <t>Очес льняной</t>
  </si>
  <si>
    <t>03.2.02.08-0001</t>
  </si>
  <si>
    <t>ФССЦ-2001, 03.2.02.08-0001, приказ Минстроя России №1039/пр от 30.12.2016г.</t>
  </si>
  <si>
    <t>Цемент гипсоглиноземистый расширяющийся</t>
  </si>
  <si>
    <t>14.4.02.04-0141</t>
  </si>
  <si>
    <t>ФССЦ-2001, 14.4.02.04-0141, приказ Минстроя России №1039/пр от 30.12.2016г.</t>
  </si>
  <si>
    <t>Краски масляные земляные марки МА-0115 мумия, сурик железный</t>
  </si>
  <si>
    <t>14.5.05.01-0012</t>
  </si>
  <si>
    <t>ФССЦ-2001, 14.5.05.01-0012, приказ Минстроя России №1039/пр от 30.12.2016г.</t>
  </si>
  <si>
    <t>Олифа комбинированная, марки К-3</t>
  </si>
  <si>
    <t>01.7.15.10-0057</t>
  </si>
  <si>
    <t>ФССЦ-2001, 01.7.15.10-0057, приказ Минстроя России №1039/пр от 30.12.2016г.</t>
  </si>
  <si>
    <t>Скобы скрепляющие и для подвеса</t>
  </si>
  <si>
    <t>01.7.19.04-0002</t>
  </si>
  <si>
    <t>ФССЦ-2001, 01.7.19.04-0002, приказ Минстроя России №1039/пр от 30.12.2016г.</t>
  </si>
  <si>
    <t>Пластина резиновая рулонная вулканизированная</t>
  </si>
  <si>
    <t>14.1.05.03-0012</t>
  </si>
  <si>
    <t>ФССЦ-2001, 14.1.05.03-0012, приказ Минстроя России №1039/пр от 30.12.2016г.</t>
  </si>
  <si>
    <t>Клей фенолполивинилацетатный марки БФ-2, сорт I</t>
  </si>
  <si>
    <t>01.7.15.03-0014</t>
  </si>
  <si>
    <t>ФССЦ-2001, 01.7.15.03-0014, приказ Минстроя России №1039/пр от 30.12.2016г.</t>
  </si>
  <si>
    <t>Болты с гайками и шайбами для санитарно-технических работ диаметром 16 мм</t>
  </si>
  <si>
    <t>01.7.19.02-0041</t>
  </si>
  <si>
    <t>ФССЦ-2001, 01.7.19.02-0041, приказ Минстроя России №1039/пр от 30.12.2016г.</t>
  </si>
  <si>
    <t>Кольца резиновые для: чугунных напорных труб диаметром 50-300 мм</t>
  </si>
  <si>
    <t>01.7.04.11</t>
  </si>
  <si>
    <t>Скобяные изделия</t>
  </si>
  <si>
    <t>11.3.03.01</t>
  </si>
  <si>
    <t>Доски подоконные ПВХ</t>
  </si>
  <si>
    <t>08.1.02.25</t>
  </si>
  <si>
    <t>Ерши металлические</t>
  </si>
  <si>
    <t>14.4.01.21</t>
  </si>
  <si>
    <t>Грунтовка</t>
  </si>
  <si>
    <t>11.2.04.05</t>
  </si>
  <si>
    <t>Рейки деревянные</t>
  </si>
  <si>
    <t>04.3.01.09</t>
  </si>
  <si>
    <t>Раствор готовый кладочный тяжелый цементный</t>
  </si>
  <si>
    <t>01.7.15.07</t>
  </si>
  <si>
    <t>Дюбели распорные полиэтиленовые</t>
  </si>
  <si>
    <t>01.7.15.14</t>
  </si>
  <si>
    <t>Шурупы строительные</t>
  </si>
  <si>
    <t>18.1.01.01</t>
  </si>
  <si>
    <t>Арматура трубопроводная фланцевая</t>
  </si>
  <si>
    <t>23.8.03.12</t>
  </si>
  <si>
    <t>Фланцы стальные</t>
  </si>
  <si>
    <t>14.5.02.02</t>
  </si>
  <si>
    <t>Замазка суриковая</t>
  </si>
  <si>
    <t>18.2.06.12</t>
  </si>
  <si>
    <t>Приборы санитарно-технические</t>
  </si>
  <si>
    <t>18.1.10.10</t>
  </si>
  <si>
    <t>Смесители</t>
  </si>
  <si>
    <t>18.1.02.03</t>
  </si>
  <si>
    <t>Задвижки</t>
  </si>
  <si>
    <t>19.1.01.11</t>
  </si>
  <si>
    <t>Крепления</t>
  </si>
  <si>
    <t>24.3.03.02</t>
  </si>
  <si>
    <t>Трубопроводы канализации из полиэтиленовых труб высокой плотности с гильзами, диаметром 110 мм</t>
  </si>
  <si>
    <t>Трубопроводы канализации из полиэтиленовых труб высокой плотности с гильзами, диаметром 50 мм</t>
  </si>
  <si>
    <t>Поправка: МДС 81-35.2004, п.4.7  Наименование: Работы, выполняемые при реконструкции зданий и сооружений работы, аналогичные технологическим процессам в новом строительстве (в том числе возведение новых конструктивных элементов) стоимость которых определена по соответствующим сборникам ФЕР, кроме сборника № 46 «Работы при реконструкции зданий и сооружений»</t>
  </si>
  <si>
    <t>Поправка: МДС 81-37.2004, п.3.2.1.4  Наименование: Для оборудования легковесного, габаритного, поступающего на стройку в собранном виде, при монтаже которого отсутствуют работы по сварке, демонтаж при условии что оборудование не подлежит дальнейшему использованию (предназначено в лом)  без разборки и резки</t>
  </si>
  <si>
    <t>Кабели парной скрутки огнестойкие для систем пожарной сигнализации с однопроволочными медными жилами, изоляцией из кремнийорганической резины, оболочкой из безгалогенной полимерной композиции, не распространяющий горение, с низким дымо- и газовыделением, марки КПСнг(А)-FRHF 1х2х0,5</t>
  </si>
  <si>
    <t>базовая цена</t>
  </si>
  <si>
    <t>текущая цена</t>
  </si>
  <si>
    <t>Сметная стоимость</t>
  </si>
  <si>
    <t>тыс. руб.</t>
  </si>
  <si>
    <t xml:space="preserve">     Строительные работы</t>
  </si>
  <si>
    <t xml:space="preserve">     Монтажные работы</t>
  </si>
  <si>
    <t xml:space="preserve">     Оборудование</t>
  </si>
  <si>
    <t xml:space="preserve">     Прочие работы</t>
  </si>
  <si>
    <t>Нормативная трудоемкость</t>
  </si>
  <si>
    <t>чел. -ч.</t>
  </si>
  <si>
    <t>Средства на оплату труда</t>
  </si>
  <si>
    <t>№ п/п</t>
  </si>
  <si>
    <t>Шифр расценки и коды ресурсов</t>
  </si>
  <si>
    <t>Наименование работ и затрат</t>
  </si>
  <si>
    <t>Ед. изм.</t>
  </si>
  <si>
    <t>Кол-во единиц</t>
  </si>
  <si>
    <t>Цена на ед. изм.</t>
  </si>
  <si>
    <t>Попра-вочные коэфф.</t>
  </si>
  <si>
    <t>Стоимость в ценах 2001г.</t>
  </si>
  <si>
    <t>Пункт коэфф. пересчета</t>
  </si>
  <si>
    <t>Коэфф. пересчета</t>
  </si>
  <si>
    <t>Стоимость в текущих ценах</t>
  </si>
  <si>
    <t>ЗТР всего чел.-час</t>
  </si>
  <si>
    <t>Составлена в ценах II квартал 2018 года</t>
  </si>
  <si>
    <t>Зарплата</t>
  </si>
  <si>
    <t>в т.ч. зарплата машинистов</t>
  </si>
  <si>
    <t>НР от ФОТ</t>
  </si>
  <si>
    <t>%</t>
  </si>
  <si>
    <t>СП от ФОТ</t>
  </si>
  <si>
    <t>Затраты труда</t>
  </si>
  <si>
    <t>чел-ч</t>
  </si>
  <si>
    <t>Материальные ресурсы</t>
  </si>
  <si>
    <t>к нр *6</t>
  </si>
  <si>
    <t>Унифицированная форма № КС-2</t>
  </si>
  <si>
    <t>Утверждена постановлением Госкомстата России</t>
  </si>
  <si>
    <t>от 11.11.99. № 100</t>
  </si>
  <si>
    <t>Код</t>
  </si>
  <si>
    <t>Форма по ОКУД</t>
  </si>
  <si>
    <t>0322005</t>
  </si>
  <si>
    <t>Инвестор</t>
  </si>
  <si>
    <t>по ОКПО</t>
  </si>
  <si>
    <t>организация, адрес, телефон, факс</t>
  </si>
  <si>
    <t>Заказчик</t>
  </si>
  <si>
    <t>Подрядчик</t>
  </si>
  <si>
    <t>Стройка</t>
  </si>
  <si>
    <t>наименование, адрес</t>
  </si>
  <si>
    <t>Объект</t>
  </si>
  <si>
    <t>наименование</t>
  </si>
  <si>
    <t xml:space="preserve">Вид деятельности по ОКДП  </t>
  </si>
  <si>
    <t xml:space="preserve">Договор подряда  </t>
  </si>
  <si>
    <t>номер</t>
  </si>
  <si>
    <t>дата</t>
  </si>
  <si>
    <t xml:space="preserve">Вид операции  </t>
  </si>
  <si>
    <t>Номер документа</t>
  </si>
  <si>
    <t>Дата составления</t>
  </si>
  <si>
    <t>Отчетный период</t>
  </si>
  <si>
    <t>с</t>
  </si>
  <si>
    <t>по</t>
  </si>
  <si>
    <t>AKT</t>
  </si>
  <si>
    <t>О ПРИЕМКЕ ВЫПОЛНЕННЫХ РАБОТ</t>
  </si>
  <si>
    <t>Сметная (договорная) стоимость в соответствии с договором подряда (субподряда)</t>
  </si>
  <si>
    <t xml:space="preserve"> тыс.руб</t>
  </si>
  <si>
    <t>Номер</t>
  </si>
  <si>
    <t>Наименование работ</t>
  </si>
  <si>
    <t>Номер единичной расценки</t>
  </si>
  <si>
    <t>Единица измерения</t>
  </si>
  <si>
    <t>Выполнено работ</t>
  </si>
  <si>
    <t>по порядку</t>
  </si>
  <si>
    <t>поз. по смете</t>
  </si>
  <si>
    <t>Количество</t>
  </si>
  <si>
    <t>цена за единицу, руб</t>
  </si>
  <si>
    <t>стоимость, руб</t>
  </si>
  <si>
    <t>Коэфф. к ОЗП</t>
  </si>
  <si>
    <t>Коэфф. к эксплуатации машин</t>
  </si>
  <si>
    <t>Коэфф. к материалам</t>
  </si>
  <si>
    <t>Коэфф. к ЗПМ</t>
  </si>
  <si>
    <t>% НР</t>
  </si>
  <si>
    <t>% НР с поправкой</t>
  </si>
  <si>
    <t>% СП</t>
  </si>
  <si>
    <t>СП с поправкой</t>
  </si>
  <si>
    <t xml:space="preserve">Итого с НР и СП </t>
  </si>
  <si>
    <t xml:space="preserve">Стоимость материалов </t>
  </si>
  <si>
    <t xml:space="preserve">Эксплуатация машин </t>
  </si>
  <si>
    <t xml:space="preserve">Оплата труда машинистов </t>
  </si>
  <si>
    <t xml:space="preserve">Оплата труда рабочих </t>
  </si>
  <si>
    <t xml:space="preserve">Затраты труда рабочих </t>
  </si>
  <si>
    <t xml:space="preserve">Затраты труда машинистов </t>
  </si>
  <si>
    <t>Исключен
Плиты древесноволокнистые сухого способа производства группы А, твердые марки ТС-400 толщиной 5 мм</t>
  </si>
  <si>
    <t>Исключен
Гранит керамический многоцветный неполированный, размером 400х400х9 мм</t>
  </si>
  <si>
    <t>Исключен
Рейка алюминиевая потолочная 100 мм</t>
  </si>
  <si>
    <t>Коэфф. к сметной цене</t>
  </si>
  <si>
    <t xml:space="preserve">Сдал </t>
  </si>
  <si>
    <t>должность</t>
  </si>
  <si>
    <t>подпись</t>
  </si>
  <si>
    <t>расшифровка подпись</t>
  </si>
  <si>
    <t>М.П.</t>
  </si>
  <si>
    <t xml:space="preserve">Принял </t>
  </si>
  <si>
    <t>Унифицированная форма № КС-3</t>
  </si>
  <si>
    <t>Коды</t>
  </si>
  <si>
    <t xml:space="preserve">Инвестор </t>
  </si>
  <si>
    <t xml:space="preserve">Заказчик (генподрядчик) </t>
  </si>
  <si>
    <t xml:space="preserve">Подрядчик (субподрядчик) </t>
  </si>
  <si>
    <t xml:space="preserve">Стройка </t>
  </si>
  <si>
    <t>Вид деятельности  по ОКДП</t>
  </si>
  <si>
    <t xml:space="preserve">Договор подряда (контракт) </t>
  </si>
  <si>
    <t>Вид операции</t>
  </si>
  <si>
    <t>СПРАВКА</t>
  </si>
  <si>
    <t>СТОИМОСТИ ВЫПОЛНЕННЫХ РАБОТ И ЗАТРАТ</t>
  </si>
  <si>
    <t>Наименование пусковых комплексов, объектов, видов работ, оборудования, затрат</t>
  </si>
  <si>
    <t>Стоимость выполненных работ и затрат</t>
  </si>
  <si>
    <t>с начала проведения работ</t>
  </si>
  <si>
    <t>с начала года по отчетный период включительно</t>
  </si>
  <si>
    <t>в том числе за отчетный месяц</t>
  </si>
  <si>
    <t>Всего работ и затрат, включаемых в стоимость</t>
  </si>
  <si>
    <t>В том числе:</t>
  </si>
  <si>
    <t xml:space="preserve">Сумма НДС </t>
  </si>
  <si>
    <t xml:space="preserve">Всего с учетом НДС </t>
  </si>
  <si>
    <t>МП</t>
  </si>
  <si>
    <t>СМЕТА</t>
  </si>
  <si>
    <t>Блок оконный пластиковый двустворчатый, с глухой и поворотно-откидной створкой, двухкамерным стеклопакетом (42 мм), площадью до 3,5 м2</t>
  </si>
  <si>
    <t>Блок оконный пластиковый одностворчатый, с поворотно-откидной створкой, двухкамерным стеклопакетом (42 мм), площадью до 1 м2</t>
  </si>
  <si>
    <t>Капитальный ремонт помещений №9(18), №10(19),№11(7), №13(5а), №14(5б),№18(6) пятого этажа НИЯУ МИФИ по адресу: г.Москва, Каширское шоссе, д.64,к.1</t>
  </si>
  <si>
    <t>Приложение 1 к форме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</si>
</sst>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\-\ #,##0.00"/>
  </numFmts>
  <fonts count="19" x14ac:knownFonts="1">
    <font>
      <sz val="10"/>
      <name val="Arial"/>
      <charset val="204"/>
    </font>
    <font>
      <b/>
      <sz val="10"/>
      <color indexed="12"/>
      <name val="Arial"/>
      <charset val="204"/>
    </font>
    <font>
      <b/>
      <sz val="10"/>
      <color indexed="16"/>
      <name val="Arial"/>
      <charset val="204"/>
    </font>
    <font>
      <b/>
      <sz val="10"/>
      <color indexed="20"/>
      <name val="Arial"/>
      <charset val="204"/>
    </font>
    <font>
      <b/>
      <sz val="10"/>
      <color indexed="17"/>
      <name val="Arial"/>
      <charset val="204"/>
    </font>
    <font>
      <sz val="10"/>
      <color indexed="17"/>
      <name val="Arial"/>
      <charset val="204"/>
    </font>
    <font>
      <sz val="10"/>
      <color indexed="12"/>
      <name val="Arial"/>
      <charset val="204"/>
    </font>
    <font>
      <sz val="10"/>
      <color indexed="14"/>
      <name val="Arial"/>
      <charset val="204"/>
    </font>
    <font>
      <b/>
      <sz val="10"/>
      <color indexed="14"/>
      <name val="Arial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11"/>
      <name val="Arial"/>
      <family val="2"/>
      <charset val="204"/>
    </font>
    <font>
      <b/>
      <sz val="13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Arial"/>
      <family val="2"/>
      <charset val="204"/>
    </font>
    <font>
      <b/>
      <sz val="14"/>
      <name val="Arial"/>
      <family val="2"/>
      <charset val="204"/>
    </font>
    <font>
      <b/>
      <sz val="9"/>
      <name val="Arial"/>
      <family val="2"/>
      <charset val="204"/>
    </font>
    <font>
      <i/>
      <sz val="11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 applyAlignment="1">
      <alignment horizontal="right"/>
    </xf>
    <xf numFmtId="0" fontId="11" fillId="0" borderId="0" xfId="0" applyFont="1"/>
    <xf numFmtId="0" fontId="11" fillId="0" borderId="0" xfId="0" applyFont="1" applyAlignment="1">
      <alignment horizontal="left"/>
    </xf>
    <xf numFmtId="0" fontId="11" fillId="0" borderId="0" xfId="0" applyFont="1" applyBorder="1" applyAlignment="1">
      <alignment wrapText="1"/>
    </xf>
    <xf numFmtId="0" fontId="14" fillId="0" borderId="0" xfId="0" applyFont="1" applyAlignment="1">
      <alignment vertical="center" wrapText="1"/>
    </xf>
    <xf numFmtId="0" fontId="13" fillId="0" borderId="0" xfId="0" applyFont="1" applyBorder="1" applyAlignment="1">
      <alignment horizontal="center" wrapText="1"/>
    </xf>
    <xf numFmtId="0" fontId="14" fillId="0" borderId="0" xfId="0" applyFont="1" applyBorder="1" applyAlignment="1">
      <alignment wrapText="1"/>
    </xf>
    <xf numFmtId="0" fontId="11" fillId="0" borderId="0" xfId="0" applyFont="1" applyAlignment="1">
      <alignment horizontal="center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164" fontId="11" fillId="0" borderId="0" xfId="0" applyNumberFormat="1" applyFont="1"/>
    <xf numFmtId="0" fontId="9" fillId="0" borderId="0" xfId="0" applyFont="1" applyAlignment="1">
      <alignment wrapText="1"/>
    </xf>
    <xf numFmtId="164" fontId="0" fillId="0" borderId="0" xfId="0" applyNumberFormat="1"/>
    <xf numFmtId="0" fontId="11" fillId="0" borderId="2" xfId="0" applyFont="1" applyBorder="1"/>
    <xf numFmtId="0" fontId="14" fillId="0" borderId="0" xfId="0" applyFont="1"/>
    <xf numFmtId="0" fontId="11" fillId="0" borderId="0" xfId="0" applyFont="1" applyAlignment="1">
      <alignment horizontal="left" wrapText="1"/>
    </xf>
    <xf numFmtId="0" fontId="11" fillId="0" borderId="2" xfId="0" applyFont="1" applyBorder="1" applyAlignment="1">
      <alignment horizontal="left" wrapText="1"/>
    </xf>
    <xf numFmtId="0" fontId="17" fillId="0" borderId="0" xfId="0" applyFont="1" applyAlignment="1">
      <alignment horizontal="right" wrapText="1"/>
    </xf>
    <xf numFmtId="164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right" wrapText="1"/>
    </xf>
    <xf numFmtId="0" fontId="10" fillId="0" borderId="0" xfId="0" applyFont="1" applyAlignment="1">
      <alignment horizontal="right"/>
    </xf>
    <xf numFmtId="164" fontId="17" fillId="0" borderId="0" xfId="0" applyNumberFormat="1" applyFont="1" applyAlignment="1">
      <alignment horizontal="right"/>
    </xf>
    <xf numFmtId="0" fontId="9" fillId="0" borderId="0" xfId="0" applyFont="1" applyAlignment="1">
      <alignment horizontal="right" wrapText="1"/>
    </xf>
    <xf numFmtId="0" fontId="17" fillId="0" borderId="2" xfId="0" applyFont="1" applyBorder="1" applyAlignment="1">
      <alignment horizontal="right" wrapText="1"/>
    </xf>
    <xf numFmtId="0" fontId="11" fillId="0" borderId="2" xfId="0" applyFont="1" applyBorder="1" applyAlignment="1">
      <alignment horizontal="right"/>
    </xf>
    <xf numFmtId="164" fontId="11" fillId="0" borderId="2" xfId="0" applyNumberFormat="1" applyFont="1" applyBorder="1" applyAlignment="1">
      <alignment horizontal="right"/>
    </xf>
    <xf numFmtId="0" fontId="11" fillId="0" borderId="2" xfId="0" applyFont="1" applyBorder="1" applyAlignment="1">
      <alignment horizontal="right" wrapText="1"/>
    </xf>
    <xf numFmtId="164" fontId="10" fillId="0" borderId="2" xfId="0" applyNumberFormat="1" applyFont="1" applyBorder="1" applyAlignment="1">
      <alignment horizontal="right"/>
    </xf>
    <xf numFmtId="164" fontId="16" fillId="0" borderId="0" xfId="0" applyNumberFormat="1" applyFont="1" applyAlignment="1">
      <alignment horizontal="right"/>
    </xf>
    <xf numFmtId="164" fontId="10" fillId="0" borderId="0" xfId="0" applyNumberFormat="1" applyFont="1" applyAlignment="1">
      <alignment horizontal="right"/>
    </xf>
    <xf numFmtId="0" fontId="11" fillId="0" borderId="0" xfId="0" quotePrefix="1" applyFont="1" applyAlignment="1">
      <alignment horizontal="right" wrapText="1"/>
    </xf>
    <xf numFmtId="0" fontId="11" fillId="0" borderId="2" xfId="0" quotePrefix="1" applyFont="1" applyBorder="1" applyAlignment="1">
      <alignment horizontal="right" wrapText="1"/>
    </xf>
    <xf numFmtId="0" fontId="10" fillId="0" borderId="2" xfId="0" applyFont="1" applyBorder="1" applyAlignment="1">
      <alignment horizontal="right"/>
    </xf>
    <xf numFmtId="0" fontId="11" fillId="0" borderId="0" xfId="0" applyFont="1" applyAlignment="1">
      <alignment horizontal="left" vertical="top"/>
    </xf>
    <xf numFmtId="0" fontId="11" fillId="0" borderId="0" xfId="0" applyFont="1" applyAlignment="1">
      <alignment horizontal="left" vertical="top" wrapText="1"/>
    </xf>
    <xf numFmtId="0" fontId="11" fillId="0" borderId="2" xfId="0" applyFont="1" applyBorder="1" applyAlignment="1">
      <alignment horizontal="left" vertical="top"/>
    </xf>
    <xf numFmtId="0" fontId="11" fillId="0" borderId="2" xfId="0" applyFont="1" applyBorder="1" applyAlignment="1">
      <alignment horizontal="left" vertical="top" wrapText="1"/>
    </xf>
    <xf numFmtId="164" fontId="9" fillId="0" borderId="0" xfId="0" applyNumberFormat="1" applyFont="1" applyAlignment="1">
      <alignment horizontal="left"/>
    </xf>
    <xf numFmtId="0" fontId="15" fillId="0" borderId="2" xfId="0" applyFont="1" applyBorder="1" applyAlignment="1">
      <alignment horizontal="center" wrapText="1"/>
    </xf>
    <xf numFmtId="0" fontId="14" fillId="0" borderId="0" xfId="0" applyFont="1" applyAlignment="1">
      <alignment horizontal="left" wrapText="1"/>
    </xf>
    <xf numFmtId="0" fontId="11" fillId="0" borderId="5" xfId="0" applyFont="1" applyBorder="1" applyAlignment="1">
      <alignment horizontal="center"/>
    </xf>
    <xf numFmtId="0" fontId="9" fillId="0" borderId="5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/>
    </xf>
    <xf numFmtId="14" fontId="9" fillId="0" borderId="4" xfId="0" applyNumberFormat="1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164" fontId="9" fillId="0" borderId="0" xfId="0" applyNumberFormat="1" applyFont="1" applyAlignment="1">
      <alignment horizontal="right" wrapText="1"/>
    </xf>
    <xf numFmtId="0" fontId="14" fillId="0" borderId="0" xfId="0" applyFont="1" applyAlignment="1">
      <alignment horizontal="right"/>
    </xf>
    <xf numFmtId="164" fontId="14" fillId="0" borderId="0" xfId="0" applyNumberFormat="1" applyFont="1" applyAlignment="1">
      <alignment horizontal="right"/>
    </xf>
    <xf numFmtId="0" fontId="11" fillId="0" borderId="14" xfId="0" applyFont="1" applyBorder="1" applyAlignment="1">
      <alignment horizontal="left" vertical="center" shrinkToFit="1"/>
    </xf>
    <xf numFmtId="0" fontId="11" fillId="0" borderId="14" xfId="0" applyFont="1" applyBorder="1" applyAlignment="1">
      <alignment horizontal="center" vertical="center" shrinkToFit="1"/>
    </xf>
    <xf numFmtId="0" fontId="10" fillId="0" borderId="0" xfId="0" applyFont="1" applyAlignment="1">
      <alignment horizontal="center" vertical="top" shrinkToFit="1"/>
    </xf>
    <xf numFmtId="0" fontId="11" fillId="0" borderId="6" xfId="0" applyFont="1" applyBorder="1" applyAlignment="1">
      <alignment horizontal="center"/>
    </xf>
    <xf numFmtId="14" fontId="11" fillId="0" borderId="0" xfId="0" applyNumberFormat="1" applyFont="1"/>
    <xf numFmtId="0" fontId="11" fillId="0" borderId="5" xfId="0" applyFont="1" applyBorder="1" applyAlignment="1">
      <alignment horizontal="center" vertical="center" wrapText="1" shrinkToFit="1"/>
    </xf>
    <xf numFmtId="0" fontId="11" fillId="0" borderId="5" xfId="0" applyFont="1" applyBorder="1" applyAlignment="1">
      <alignment horizontal="center" wrapText="1" shrinkToFit="1"/>
    </xf>
    <xf numFmtId="0" fontId="11" fillId="0" borderId="4" xfId="0" applyFont="1" applyBorder="1" applyAlignment="1">
      <alignment horizontal="center" vertical="center" wrapText="1" shrinkToFit="1"/>
    </xf>
    <xf numFmtId="0" fontId="18" fillId="0" borderId="0" xfId="0" applyFont="1"/>
    <xf numFmtId="164" fontId="14" fillId="0" borderId="1" xfId="0" applyNumberFormat="1" applyFont="1" applyBorder="1" applyAlignment="1">
      <alignment horizontal="right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right" wrapText="1"/>
    </xf>
    <xf numFmtId="164" fontId="14" fillId="0" borderId="0" xfId="0" applyNumberFormat="1" applyFont="1" applyAlignment="1">
      <alignment horizontal="right"/>
    </xf>
    <xf numFmtId="0" fontId="14" fillId="0" borderId="0" xfId="0" applyFont="1" applyAlignment="1">
      <alignment horizontal="left" wrapText="1"/>
    </xf>
    <xf numFmtId="0" fontId="12" fillId="0" borderId="0" xfId="0" applyFont="1" applyAlignment="1">
      <alignment horizontal="center" wrapText="1"/>
    </xf>
    <xf numFmtId="0" fontId="14" fillId="0" borderId="0" xfId="0" applyFont="1" applyAlignment="1">
      <alignment horizontal="right"/>
    </xf>
    <xf numFmtId="164" fontId="11" fillId="0" borderId="0" xfId="0" applyNumberFormat="1" applyFont="1" applyAlignment="1">
      <alignment horizontal="right"/>
    </xf>
    <xf numFmtId="0" fontId="11" fillId="0" borderId="0" xfId="0" applyFont="1"/>
    <xf numFmtId="0" fontId="11" fillId="0" borderId="2" xfId="0" applyFont="1" applyBorder="1" applyAlignment="1">
      <alignment horizontal="left"/>
    </xf>
    <xf numFmtId="0" fontId="11" fillId="0" borderId="0" xfId="0" applyFont="1" applyAlignment="1">
      <alignment horizontal="right"/>
    </xf>
    <xf numFmtId="0" fontId="13" fillId="0" borderId="0" xfId="0" applyFont="1" applyBorder="1" applyAlignment="1">
      <alignment horizontal="center" wrapText="1"/>
    </xf>
    <xf numFmtId="0" fontId="15" fillId="0" borderId="0" xfId="0" applyFont="1" applyBorder="1" applyAlignment="1">
      <alignment horizontal="center" wrapText="1"/>
    </xf>
    <xf numFmtId="0" fontId="10" fillId="0" borderId="0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/>
    </xf>
    <xf numFmtId="0" fontId="10" fillId="0" borderId="15" xfId="0" applyFont="1" applyBorder="1" applyAlignment="1">
      <alignment horizontal="center" vertical="top" shrinkToFit="1"/>
    </xf>
    <xf numFmtId="0" fontId="11" fillId="0" borderId="0" xfId="0" applyFont="1" applyAlignment="1">
      <alignment horizontal="right" vertical="center" shrinkToFit="1"/>
    </xf>
    <xf numFmtId="0" fontId="11" fillId="0" borderId="14" xfId="0" applyFont="1" applyBorder="1" applyAlignment="1">
      <alignment horizontal="left" vertical="center" shrinkToFit="1"/>
    </xf>
    <xf numFmtId="0" fontId="11" fillId="0" borderId="0" xfId="0" applyFont="1" applyAlignment="1">
      <alignment horizontal="left" wrapText="1"/>
    </xf>
    <xf numFmtId="0" fontId="9" fillId="0" borderId="0" xfId="0" quotePrefix="1" applyFont="1" applyAlignment="1">
      <alignment wrapText="1"/>
    </xf>
    <xf numFmtId="164" fontId="14" fillId="0" borderId="2" xfId="0" applyNumberFormat="1" applyFont="1" applyBorder="1" applyAlignment="1">
      <alignment horizontal="right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0" fillId="0" borderId="1" xfId="0" applyFont="1" applyBorder="1" applyAlignment="1">
      <alignment horizontal="center"/>
    </xf>
    <xf numFmtId="0" fontId="11" fillId="0" borderId="8" xfId="0" applyFont="1" applyBorder="1" applyAlignment="1">
      <alignment horizontal="right"/>
    </xf>
    <xf numFmtId="0" fontId="11" fillId="0" borderId="5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14" fontId="11" fillId="0" borderId="5" xfId="0" applyNumberFormat="1" applyFont="1" applyBorder="1" applyAlignment="1">
      <alignment horizontal="center"/>
    </xf>
    <xf numFmtId="14" fontId="11" fillId="0" borderId="6" xfId="0" applyNumberFormat="1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2" xfId="0" applyFont="1" applyBorder="1" applyAlignment="1">
      <alignment horizontal="left" wrapText="1"/>
    </xf>
    <xf numFmtId="0" fontId="11" fillId="0" borderId="7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10" fillId="0" borderId="0" xfId="0" applyFont="1" applyAlignment="1">
      <alignment horizontal="right"/>
    </xf>
    <xf numFmtId="0" fontId="11" fillId="0" borderId="5" xfId="0" quotePrefix="1" applyFont="1" applyBorder="1" applyAlignment="1">
      <alignment horizontal="center"/>
    </xf>
    <xf numFmtId="0" fontId="11" fillId="0" borderId="2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top" shrinkToFit="1"/>
    </xf>
    <xf numFmtId="0" fontId="11" fillId="0" borderId="0" xfId="0" applyFont="1" applyAlignment="1">
      <alignment horizontal="right" vertical="center" wrapText="1" shrinkToFit="1"/>
    </xf>
    <xf numFmtId="164" fontId="11" fillId="0" borderId="4" xfId="0" applyNumberFormat="1" applyFont="1" applyBorder="1" applyAlignment="1">
      <alignment horizontal="right" vertical="center" wrapText="1" shrinkToFit="1"/>
    </xf>
    <xf numFmtId="0" fontId="11" fillId="0" borderId="11" xfId="0" applyFont="1" applyBorder="1" applyAlignment="1">
      <alignment horizontal="right" vertical="center" wrapText="1" shrinkToFit="1"/>
    </xf>
    <xf numFmtId="0" fontId="11" fillId="0" borderId="1" xfId="0" applyFont="1" applyBorder="1" applyAlignment="1">
      <alignment horizontal="center"/>
    </xf>
    <xf numFmtId="0" fontId="11" fillId="0" borderId="5" xfId="0" applyFont="1" applyBorder="1" applyAlignment="1">
      <alignment horizontal="justify" vertical="top" wrapText="1" shrinkToFit="1"/>
    </xf>
    <xf numFmtId="0" fontId="11" fillId="0" borderId="1" xfId="0" applyFont="1" applyBorder="1" applyAlignment="1">
      <alignment horizontal="justify" vertical="top" wrapText="1" shrinkToFit="1"/>
    </xf>
    <xf numFmtId="164" fontId="11" fillId="0" borderId="5" xfId="0" applyNumberFormat="1" applyFont="1" applyBorder="1" applyAlignment="1">
      <alignment horizontal="right" wrapText="1" shrinkToFit="1"/>
    </xf>
    <xf numFmtId="0" fontId="11" fillId="0" borderId="1" xfId="0" applyFont="1" applyBorder="1" applyAlignment="1">
      <alignment horizontal="right" wrapText="1" shrinkToFit="1"/>
    </xf>
    <xf numFmtId="0" fontId="11" fillId="0" borderId="6" xfId="0" applyFont="1" applyBorder="1" applyAlignment="1">
      <alignment horizontal="right" wrapText="1" shrinkToFit="1"/>
    </xf>
    <xf numFmtId="0" fontId="11" fillId="0" borderId="4" xfId="0" applyFont="1" applyBorder="1" applyAlignment="1">
      <alignment horizontal="justify" vertical="top" wrapText="1" shrinkToFit="1"/>
    </xf>
    <xf numFmtId="0" fontId="11" fillId="0" borderId="16" xfId="0" applyFont="1" applyBorder="1" applyAlignment="1">
      <alignment horizontal="justify" vertical="top" wrapText="1" shrinkToFit="1"/>
    </xf>
    <xf numFmtId="0" fontId="11" fillId="0" borderId="6" xfId="0" applyFont="1" applyBorder="1" applyAlignment="1">
      <alignment horizontal="justify" vertical="top" wrapText="1" shrinkToFit="1"/>
    </xf>
    <xf numFmtId="0" fontId="11" fillId="0" borderId="1" xfId="0" applyFont="1" applyBorder="1" applyAlignment="1">
      <alignment horizontal="right"/>
    </xf>
    <xf numFmtId="0" fontId="11" fillId="0" borderId="6" xfId="0" applyFont="1" applyBorder="1" applyAlignment="1">
      <alignment horizontal="right"/>
    </xf>
    <xf numFmtId="164" fontId="11" fillId="0" borderId="5" xfId="0" applyNumberFormat="1" applyFont="1" applyBorder="1" applyAlignment="1">
      <alignment horizontal="right"/>
    </xf>
    <xf numFmtId="164" fontId="11" fillId="0" borderId="5" xfId="0" applyNumberFormat="1" applyFont="1" applyBorder="1" applyAlignment="1">
      <alignment horizontal="right" vertical="center" wrapText="1" shrinkToFit="1"/>
    </xf>
    <xf numFmtId="0" fontId="11" fillId="0" borderId="6" xfId="0" applyFont="1" applyBorder="1" applyAlignment="1">
      <alignment horizontal="right" vertical="center" wrapText="1" shrinkToFit="1"/>
    </xf>
    <xf numFmtId="0" fontId="11" fillId="0" borderId="5" xfId="0" applyFont="1" applyBorder="1" applyAlignment="1">
      <alignment horizontal="center" vertical="center" wrapText="1" shrinkToFit="1"/>
    </xf>
    <xf numFmtId="0" fontId="11" fillId="0" borderId="7" xfId="0" applyFont="1" applyBorder="1" applyAlignment="1">
      <alignment horizontal="center" vertical="center" wrapText="1" shrinkToFit="1"/>
    </xf>
    <xf numFmtId="0" fontId="11" fillId="0" borderId="1" xfId="0" applyFont="1" applyBorder="1" applyAlignment="1">
      <alignment horizontal="center" vertical="center" wrapText="1" shrinkToFit="1"/>
    </xf>
    <xf numFmtId="0" fontId="11" fillId="0" borderId="0" xfId="0" applyFont="1" applyBorder="1" applyAlignment="1">
      <alignment horizontal="center" vertical="center" wrapText="1" shrinkToFit="1"/>
    </xf>
    <xf numFmtId="0" fontId="11" fillId="0" borderId="6" xfId="0" applyFont="1" applyBorder="1" applyAlignment="1">
      <alignment horizontal="center" vertical="center" wrapText="1" shrinkToFit="1"/>
    </xf>
    <xf numFmtId="0" fontId="11" fillId="0" borderId="8" xfId="0" applyFont="1" applyBorder="1" applyAlignment="1">
      <alignment horizontal="center" vertical="center" wrapText="1" shrinkToFit="1"/>
    </xf>
    <xf numFmtId="0" fontId="11" fillId="0" borderId="4" xfId="0" applyFont="1" applyBorder="1" applyAlignment="1">
      <alignment horizontal="right"/>
    </xf>
    <xf numFmtId="0" fontId="11" fillId="0" borderId="16" xfId="0" applyFont="1" applyBorder="1" applyAlignment="1">
      <alignment horizontal="right"/>
    </xf>
    <xf numFmtId="0" fontId="11" fillId="0" borderId="4" xfId="0" applyFont="1" applyBorder="1"/>
    <xf numFmtId="0" fontId="11" fillId="0" borderId="11" xfId="0" applyFont="1" applyBorder="1"/>
    <xf numFmtId="0" fontId="11" fillId="0" borderId="5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/>
    </xf>
    <xf numFmtId="14" fontId="11" fillId="0" borderId="4" xfId="0" applyNumberFormat="1" applyFont="1" applyBorder="1" applyAlignment="1">
      <alignment horizontal="center"/>
    </xf>
    <xf numFmtId="14" fontId="11" fillId="0" borderId="11" xfId="0" applyNumberFormat="1" applyFont="1" applyBorder="1" applyAlignment="1">
      <alignment horizontal="center"/>
    </xf>
    <xf numFmtId="14" fontId="11" fillId="0" borderId="16" xfId="0" applyNumberFormat="1" applyFont="1" applyBorder="1" applyAlignment="1">
      <alignment horizontal="center"/>
    </xf>
    <xf numFmtId="0" fontId="11" fillId="0" borderId="5" xfId="0" applyFont="1" applyBorder="1" applyAlignment="1">
      <alignment horizontal="right"/>
    </xf>
    <xf numFmtId="0" fontId="11" fillId="0" borderId="2" xfId="0" applyFont="1" applyBorder="1"/>
    <xf numFmtId="0" fontId="10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188"/>
  <sheetViews>
    <sheetView tabSelected="1" zoomScale="70" zoomScaleNormal="70" workbookViewId="0">
      <selection activeCell="I1" sqref="I1"/>
    </sheetView>
  </sheetViews>
  <sheetFormatPr defaultRowHeight="12.75" x14ac:dyDescent="0.2"/>
  <cols>
    <col min="1" max="1" width="5.7109375" customWidth="1"/>
    <col min="2" max="2" width="11.7109375" customWidth="1"/>
    <col min="3" max="3" width="40.7109375" customWidth="1"/>
    <col min="4" max="5" width="10.7109375" customWidth="1"/>
    <col min="6" max="8" width="12.7109375" customWidth="1"/>
    <col min="9" max="9" width="17.7109375" customWidth="1"/>
    <col min="10" max="10" width="8.7109375" customWidth="1"/>
    <col min="11" max="11" width="12.7109375" customWidth="1"/>
    <col min="12" max="12" width="8.7109375" customWidth="1"/>
    <col min="15" max="29" width="0" hidden="1" customWidth="1"/>
    <col min="30" max="30" width="147.7109375" hidden="1" customWidth="1"/>
    <col min="31" max="31" width="0" hidden="1" customWidth="1"/>
    <col min="32" max="32" width="91.7109375" hidden="1" customWidth="1"/>
    <col min="33" max="36" width="0" hidden="1" customWidth="1"/>
  </cols>
  <sheetData>
    <row r="1" spans="1:30" x14ac:dyDescent="0.2">
      <c r="A1" s="10" t="str">
        <f>Source!B1</f>
        <v>Smeta.RU  (495) 974-1589</v>
      </c>
      <c r="I1" t="s">
        <v>1734</v>
      </c>
    </row>
    <row r="2" spans="1:30" ht="14.25" x14ac:dyDescent="0.2">
      <c r="A2" s="11"/>
      <c r="B2" s="11"/>
      <c r="C2" s="11"/>
      <c r="D2" s="11"/>
      <c r="E2" s="11"/>
      <c r="F2" s="11"/>
      <c r="G2" s="11"/>
      <c r="H2" s="11"/>
      <c r="I2" s="11"/>
      <c r="J2" s="11"/>
      <c r="K2" s="12"/>
      <c r="L2" s="12"/>
    </row>
    <row r="5" spans="1:30" ht="14.25" x14ac:dyDescent="0.2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</row>
    <row r="6" spans="1:30" ht="15.75" x14ac:dyDescent="0.25">
      <c r="A6" s="15"/>
      <c r="B6" s="81" t="s">
        <v>1730</v>
      </c>
      <c r="C6" s="81"/>
      <c r="D6" s="81"/>
      <c r="E6" s="81"/>
      <c r="F6" s="81"/>
      <c r="G6" s="81"/>
      <c r="H6" s="81"/>
      <c r="I6" s="81"/>
      <c r="J6" s="81"/>
      <c r="K6" s="81"/>
      <c r="L6" s="15"/>
    </row>
    <row r="7" spans="1:30" ht="15.75" x14ac:dyDescent="0.25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5"/>
    </row>
    <row r="8" spans="1:30" ht="18" hidden="1" x14ac:dyDescent="0.25">
      <c r="A8" s="15"/>
      <c r="B8" s="82" t="str">
        <f>IF(Source!G20&lt;&gt;"Новая локальная смета", Source!G20, "")</f>
        <v/>
      </c>
      <c r="C8" s="82"/>
      <c r="D8" s="82"/>
      <c r="E8" s="82"/>
      <c r="F8" s="82"/>
      <c r="G8" s="82"/>
      <c r="H8" s="82"/>
      <c r="I8" s="82"/>
      <c r="J8" s="82"/>
      <c r="K8" s="82"/>
      <c r="L8" s="15"/>
    </row>
    <row r="9" spans="1:30" ht="14.25" hidden="1" x14ac:dyDescent="0.2">
      <c r="A9" s="12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</row>
    <row r="10" spans="1:30" ht="54" x14ac:dyDescent="0.25">
      <c r="A10" s="12"/>
      <c r="B10" s="82" t="s">
        <v>1733</v>
      </c>
      <c r="C10" s="82"/>
      <c r="D10" s="82"/>
      <c r="E10" s="82"/>
      <c r="F10" s="82"/>
      <c r="G10" s="82"/>
      <c r="H10" s="82"/>
      <c r="I10" s="82"/>
      <c r="J10" s="82"/>
      <c r="K10" s="82"/>
      <c r="L10" s="17"/>
      <c r="AD10" s="50" t="str">
        <f>IF(Source!G12&lt;&gt;"Новый объект", Source!G12, "")</f>
        <v>на капитальный ремонт помещений №1,№2,№4,№5,№6,№8,№9,№10,№11,№13,№14,№15,№16,№17,№18 третьего этажа,помещений  №1,№2,№4,№5,№6, №7,№8,№9,№10,№11, №12,№13,№14,№15,№16 5-го  этажа  и  лестниц  А ,Б НИЯУ МИФИ по адресу: г.Москва,Каширское шоссе,д.64_(Копия)</v>
      </c>
    </row>
    <row r="11" spans="1:30" ht="14.25" x14ac:dyDescent="0.2">
      <c r="A11" s="12"/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14"/>
    </row>
    <row r="12" spans="1:30" ht="14.25" x14ac:dyDescent="0.2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</row>
    <row r="13" spans="1:30" ht="14.25" x14ac:dyDescent="0.2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</row>
    <row r="14" spans="1:30" ht="14.25" x14ac:dyDescent="0.2">
      <c r="A14" s="12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</row>
    <row r="15" spans="1:30" ht="14.25" x14ac:dyDescent="0.2">
      <c r="A15" s="12"/>
      <c r="B15" s="12"/>
      <c r="C15" s="12"/>
      <c r="D15" s="12"/>
      <c r="E15" s="18"/>
      <c r="F15" s="18"/>
      <c r="G15" s="84" t="s">
        <v>1612</v>
      </c>
      <c r="H15" s="84"/>
      <c r="I15" s="84" t="s">
        <v>1613</v>
      </c>
      <c r="J15" s="84"/>
      <c r="K15" s="12"/>
      <c r="L15" s="12"/>
    </row>
    <row r="16" spans="1:30" ht="15" x14ac:dyDescent="0.25">
      <c r="A16" s="12"/>
      <c r="B16" s="12"/>
      <c r="C16" s="76" t="s">
        <v>1614</v>
      </c>
      <c r="D16" s="76"/>
      <c r="E16" s="76"/>
      <c r="F16" s="76"/>
      <c r="G16" s="77">
        <f>SUM(O27:O1184)/1000</f>
        <v>329.22893000000022</v>
      </c>
      <c r="H16" s="77"/>
      <c r="I16" s="77">
        <f>(Source!F728/1000)</f>
        <v>2617.8313499999999</v>
      </c>
      <c r="J16" s="77"/>
      <c r="K16" s="78" t="s">
        <v>1615</v>
      </c>
      <c r="L16" s="78"/>
    </row>
    <row r="17" spans="1:22" ht="14.25" x14ac:dyDescent="0.2">
      <c r="A17" s="12"/>
      <c r="B17" s="12"/>
      <c r="C17" s="80" t="s">
        <v>1616</v>
      </c>
      <c r="D17" s="80"/>
      <c r="E17" s="80"/>
      <c r="F17" s="80"/>
      <c r="G17" s="77">
        <f>SUM(W27:W1184)/1000</f>
        <v>234.74435999999992</v>
      </c>
      <c r="H17" s="77"/>
      <c r="I17" s="77">
        <f>(Source!F715)/1000</f>
        <v>1540.2587900000001</v>
      </c>
      <c r="J17" s="77"/>
      <c r="K17" s="78" t="s">
        <v>1615</v>
      </c>
      <c r="L17" s="78"/>
    </row>
    <row r="18" spans="1:22" ht="14.25" x14ac:dyDescent="0.2">
      <c r="A18" s="12"/>
      <c r="B18" s="12"/>
      <c r="C18" s="80" t="s">
        <v>1617</v>
      </c>
      <c r="D18" s="80"/>
      <c r="E18" s="80"/>
      <c r="F18" s="80"/>
      <c r="G18" s="77">
        <f>SUM(X27:X1184)/1000</f>
        <v>89.765330000000063</v>
      </c>
      <c r="H18" s="77"/>
      <c r="I18" s="77">
        <f>(Source!F716)/1000</f>
        <v>588.86032</v>
      </c>
      <c r="J18" s="77"/>
      <c r="K18" s="78" t="s">
        <v>1615</v>
      </c>
      <c r="L18" s="78"/>
    </row>
    <row r="19" spans="1:22" ht="14.25" x14ac:dyDescent="0.2">
      <c r="A19" s="12"/>
      <c r="B19" s="12"/>
      <c r="C19" s="80" t="s">
        <v>1618</v>
      </c>
      <c r="D19" s="80"/>
      <c r="E19" s="80"/>
      <c r="F19" s="80"/>
      <c r="G19" s="77">
        <f>SUM(Y27:Y1184)/1000</f>
        <v>0</v>
      </c>
      <c r="H19" s="77"/>
      <c r="I19" s="77">
        <f>(Source!F707)/1000</f>
        <v>0</v>
      </c>
      <c r="J19" s="77"/>
      <c r="K19" s="78" t="s">
        <v>1615</v>
      </c>
      <c r="L19" s="78"/>
    </row>
    <row r="20" spans="1:22" ht="14.25" x14ac:dyDescent="0.2">
      <c r="A20" s="12"/>
      <c r="B20" s="12"/>
      <c r="C20" s="80" t="s">
        <v>1619</v>
      </c>
      <c r="D20" s="80"/>
      <c r="E20" s="80"/>
      <c r="F20" s="80"/>
      <c r="G20" s="77">
        <f>SUM(Z27:Z1184)/1000</f>
        <v>4.7192400000000001</v>
      </c>
      <c r="H20" s="77"/>
      <c r="I20" s="77">
        <f>(Source!F717+Source!F718)/1000</f>
        <v>89.38203</v>
      </c>
      <c r="J20" s="77"/>
      <c r="K20" s="78" t="s">
        <v>1615</v>
      </c>
      <c r="L20" s="78"/>
    </row>
    <row r="21" spans="1:22" ht="15" x14ac:dyDescent="0.25">
      <c r="A21" s="12"/>
      <c r="B21" s="12"/>
      <c r="C21" s="76" t="s">
        <v>1620</v>
      </c>
      <c r="D21" s="76"/>
      <c r="E21" s="76"/>
      <c r="F21" s="76"/>
      <c r="G21" s="77">
        <f>I21</f>
        <v>2302.69564175</v>
      </c>
      <c r="H21" s="77"/>
      <c r="I21" s="77">
        <f>(Source!F720+Source!F721)</f>
        <v>2302.69564175</v>
      </c>
      <c r="J21" s="77"/>
      <c r="K21" s="78" t="s">
        <v>1621</v>
      </c>
      <c r="L21" s="78"/>
    </row>
    <row r="22" spans="1:22" ht="15" x14ac:dyDescent="0.25">
      <c r="A22" s="12"/>
      <c r="B22" s="12"/>
      <c r="C22" s="76" t="s">
        <v>1622</v>
      </c>
      <c r="D22" s="76"/>
      <c r="E22" s="76"/>
      <c r="F22" s="76"/>
      <c r="G22" s="77">
        <f>SUM(R27:R1184)/1000</f>
        <v>22.490390000000001</v>
      </c>
      <c r="H22" s="77"/>
      <c r="I22" s="77">
        <f>(Source!F713+ Source!F712)/1000</f>
        <v>176.03587999999996</v>
      </c>
      <c r="J22" s="77"/>
      <c r="K22" s="78" t="s">
        <v>1615</v>
      </c>
      <c r="L22" s="78"/>
    </row>
    <row r="23" spans="1:22" ht="14.25" x14ac:dyDescent="0.2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</row>
    <row r="24" spans="1:22" ht="14.25" x14ac:dyDescent="0.2">
      <c r="A24" s="79" t="s">
        <v>1635</v>
      </c>
      <c r="B24" s="79"/>
      <c r="C24" s="79"/>
      <c r="D24" s="79"/>
      <c r="E24" s="79"/>
      <c r="F24" s="79"/>
      <c r="G24" s="79"/>
      <c r="H24" s="79"/>
      <c r="I24" s="79"/>
      <c r="J24" s="79"/>
      <c r="K24" s="79"/>
      <c r="L24" s="79"/>
    </row>
    <row r="25" spans="1:22" ht="57" x14ac:dyDescent="0.2">
      <c r="A25" s="19" t="s">
        <v>1623</v>
      </c>
      <c r="B25" s="19" t="s">
        <v>1624</v>
      </c>
      <c r="C25" s="19" t="s">
        <v>1625</v>
      </c>
      <c r="D25" s="19" t="s">
        <v>1626</v>
      </c>
      <c r="E25" s="19" t="s">
        <v>1627</v>
      </c>
      <c r="F25" s="19" t="s">
        <v>1628</v>
      </c>
      <c r="G25" s="19" t="s">
        <v>1629</v>
      </c>
      <c r="H25" s="19" t="s">
        <v>1630</v>
      </c>
      <c r="I25" s="19" t="s">
        <v>1631</v>
      </c>
      <c r="J25" s="19" t="s">
        <v>1632</v>
      </c>
      <c r="K25" s="19" t="s">
        <v>1633</v>
      </c>
      <c r="L25" s="19" t="s">
        <v>1634</v>
      </c>
    </row>
    <row r="26" spans="1:22" ht="14.25" x14ac:dyDescent="0.2">
      <c r="A26" s="20">
        <v>1</v>
      </c>
      <c r="B26" s="20">
        <v>2</v>
      </c>
      <c r="C26" s="20">
        <v>3</v>
      </c>
      <c r="D26" s="20">
        <v>4</v>
      </c>
      <c r="E26" s="20">
        <v>5</v>
      </c>
      <c r="F26" s="20">
        <v>6</v>
      </c>
      <c r="G26" s="20">
        <v>7</v>
      </c>
      <c r="H26" s="20">
        <v>8</v>
      </c>
      <c r="I26" s="20">
        <v>9</v>
      </c>
      <c r="J26" s="20">
        <v>10</v>
      </c>
      <c r="K26" s="20">
        <v>11</v>
      </c>
      <c r="L26" s="21">
        <v>12</v>
      </c>
    </row>
    <row r="27" spans="1:22" ht="16.5" x14ac:dyDescent="0.25">
      <c r="A27" s="75" t="str">
        <f>CONCATENATE("Раздел: ",IF(Source!G24&lt;&gt;"Новый раздел", Source!G24, ""))</f>
        <v>Раздел: 1 Общестроительные работы</v>
      </c>
      <c r="B27" s="75"/>
      <c r="C27" s="75"/>
      <c r="D27" s="75"/>
      <c r="E27" s="75"/>
      <c r="F27" s="75"/>
      <c r="G27" s="75"/>
      <c r="H27" s="75"/>
      <c r="I27" s="75"/>
      <c r="J27" s="75"/>
      <c r="K27" s="75"/>
      <c r="L27" s="75"/>
    </row>
    <row r="28" spans="1:22" ht="16.5" x14ac:dyDescent="0.25">
      <c r="A28" s="75" t="str">
        <f>CONCATENATE("Подраздел: ",IF(Source!G28&lt;&gt;"Новый подраздел", Source!G28, ""))</f>
        <v>Подраздел: 1 Демонтаж</v>
      </c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</row>
    <row r="29" spans="1:22" ht="42.75" x14ac:dyDescent="0.2">
      <c r="A29" s="45" t="str">
        <f>Source!E32</f>
        <v>1</v>
      </c>
      <c r="B29" s="46" t="str">
        <f>Source!F32</f>
        <v>46-04-012-01</v>
      </c>
      <c r="C29" s="46" t="str">
        <f>Source!G32</f>
        <v>Разборка деревянных заполнений проемов оконных с подоконными досками</v>
      </c>
      <c r="D29" s="29" t="str">
        <f>Source!H32</f>
        <v>100 м2</v>
      </c>
      <c r="E29" s="11">
        <f>Source!I32</f>
        <v>0.246</v>
      </c>
      <c r="F29" s="30">
        <f>Source!AL32+Source!AM32+Source!AO32</f>
        <v>1767.24</v>
      </c>
      <c r="G29" s="31"/>
      <c r="H29" s="30"/>
      <c r="I29" s="31" t="str">
        <f>Source!BO32</f>
        <v/>
      </c>
      <c r="J29" s="31"/>
      <c r="K29" s="30"/>
      <c r="L29" s="32"/>
      <c r="S29">
        <f>ROUND((Source!FX32/100)*((ROUND(Source!AF32*Source!I32, 2)+ROUND(Source!AE32*Source!I32, 2))), 2)</f>
        <v>396.91</v>
      </c>
      <c r="T29">
        <f>Source!X32</f>
        <v>2603.77</v>
      </c>
      <c r="U29">
        <f>ROUND((Source!FY32/100)*((ROUND(Source!AF32*Source!I32, 2)+ROUND(Source!AE32*Source!I32, 2))), 2)</f>
        <v>238.55</v>
      </c>
      <c r="V29">
        <f>Source!Y32</f>
        <v>1578.04</v>
      </c>
    </row>
    <row r="30" spans="1:22" x14ac:dyDescent="0.2">
      <c r="C30" s="23" t="str">
        <f>"Объем: "&amp;Source!I32&amp;"=24,6/"&amp;"100"</f>
        <v>Объем: 0,246=24,6/100</v>
      </c>
    </row>
    <row r="31" spans="1:22" ht="14.25" x14ac:dyDescent="0.2">
      <c r="A31" s="45"/>
      <c r="B31" s="46"/>
      <c r="C31" s="46" t="s">
        <v>1636</v>
      </c>
      <c r="D31" s="29"/>
      <c r="E31" s="11"/>
      <c r="F31" s="30">
        <f>Source!AO32</f>
        <v>1525.29</v>
      </c>
      <c r="G31" s="31" t="str">
        <f>Source!DG32</f>
        <v/>
      </c>
      <c r="H31" s="30">
        <f>ROUND(Source!AF32*Source!I32, 2)</f>
        <v>375.22</v>
      </c>
      <c r="I31" s="31"/>
      <c r="J31" s="31">
        <f>IF(Source!BA32&lt;&gt; 0, Source!BA32, 1)</f>
        <v>6.56</v>
      </c>
      <c r="K31" s="30">
        <f>Source!S32</f>
        <v>2461.4499999999998</v>
      </c>
      <c r="L31" s="32"/>
      <c r="R31">
        <f>H31</f>
        <v>375.22</v>
      </c>
    </row>
    <row r="32" spans="1:22" ht="14.25" x14ac:dyDescent="0.2">
      <c r="A32" s="45"/>
      <c r="B32" s="46"/>
      <c r="C32" s="46" t="s">
        <v>136</v>
      </c>
      <c r="D32" s="29"/>
      <c r="E32" s="11"/>
      <c r="F32" s="30">
        <f>Source!AM32</f>
        <v>241.95</v>
      </c>
      <c r="G32" s="31" t="str">
        <f>Source!DE32</f>
        <v/>
      </c>
      <c r="H32" s="30">
        <f>ROUND(Source!AD32*Source!I32, 2)</f>
        <v>59.52</v>
      </c>
      <c r="I32" s="31"/>
      <c r="J32" s="31">
        <f>IF(Source!BB32&lt;&gt; 0, Source!BB32, 1)</f>
        <v>6.56</v>
      </c>
      <c r="K32" s="30">
        <f>Source!Q32</f>
        <v>390.45</v>
      </c>
      <c r="L32" s="32"/>
    </row>
    <row r="33" spans="1:26" ht="14.25" x14ac:dyDescent="0.2">
      <c r="A33" s="45"/>
      <c r="B33" s="46"/>
      <c r="C33" s="46" t="s">
        <v>1637</v>
      </c>
      <c r="D33" s="29"/>
      <c r="E33" s="11"/>
      <c r="F33" s="30">
        <f>Source!AN32</f>
        <v>104.49</v>
      </c>
      <c r="G33" s="31" t="str">
        <f>Source!DF32</f>
        <v/>
      </c>
      <c r="H33" s="33">
        <f>ROUND(Source!AE32*Source!I32, 2)</f>
        <v>25.7</v>
      </c>
      <c r="I33" s="31"/>
      <c r="J33" s="31">
        <f>IF(Source!BS32&lt;&gt; 0, Source!BS32, 1)</f>
        <v>6.56</v>
      </c>
      <c r="K33" s="33">
        <f>Source!R32</f>
        <v>168.62</v>
      </c>
      <c r="L33" s="32"/>
      <c r="R33">
        <f>H33</f>
        <v>25.7</v>
      </c>
    </row>
    <row r="34" spans="1:26" ht="14.25" x14ac:dyDescent="0.2">
      <c r="A34" s="45"/>
      <c r="B34" s="46"/>
      <c r="C34" s="46" t="s">
        <v>1638</v>
      </c>
      <c r="D34" s="29" t="s">
        <v>1639</v>
      </c>
      <c r="E34" s="11">
        <f>Source!BZ32</f>
        <v>110</v>
      </c>
      <c r="F34" s="71" t="str">
        <f>CONCATENATE(" )", Source!DL32, Source!FT32, "=", Source!FX32)</f>
        <v xml:space="preserve"> )*0,9=99</v>
      </c>
      <c r="G34" s="72"/>
      <c r="H34" s="30">
        <f>SUM(S29:S36)</f>
        <v>396.91</v>
      </c>
      <c r="I34" s="34"/>
      <c r="J34" s="27">
        <f>Source!AT32</f>
        <v>99</v>
      </c>
      <c r="K34" s="30">
        <f>SUM(T29:T36)</f>
        <v>2603.77</v>
      </c>
      <c r="L34" s="32"/>
    </row>
    <row r="35" spans="1:26" ht="14.25" x14ac:dyDescent="0.2">
      <c r="A35" s="45"/>
      <c r="B35" s="46"/>
      <c r="C35" s="46" t="s">
        <v>1640</v>
      </c>
      <c r="D35" s="29" t="s">
        <v>1639</v>
      </c>
      <c r="E35" s="11">
        <f>Source!CA32</f>
        <v>70</v>
      </c>
      <c r="F35" s="71" t="str">
        <f>CONCATENATE(" )", Source!DM32, Source!FU32, "=", Source!FY32)</f>
        <v xml:space="preserve"> )*0,85=59,5</v>
      </c>
      <c r="G35" s="72"/>
      <c r="H35" s="30">
        <f>SUM(U29:U36)</f>
        <v>238.55</v>
      </c>
      <c r="I35" s="34"/>
      <c r="J35" s="27">
        <f>Source!AU32</f>
        <v>60</v>
      </c>
      <c r="K35" s="30">
        <f>SUM(V29:V36)</f>
        <v>1578.04</v>
      </c>
      <c r="L35" s="32"/>
    </row>
    <row r="36" spans="1:26" ht="14.25" x14ac:dyDescent="0.2">
      <c r="A36" s="47"/>
      <c r="B36" s="48"/>
      <c r="C36" s="48" t="s">
        <v>1641</v>
      </c>
      <c r="D36" s="35" t="s">
        <v>1642</v>
      </c>
      <c r="E36" s="36">
        <f>Source!AQ32</f>
        <v>188.54</v>
      </c>
      <c r="F36" s="37"/>
      <c r="G36" s="38" t="str">
        <f>Source!DI32</f>
        <v/>
      </c>
      <c r="H36" s="37"/>
      <c r="I36" s="38"/>
      <c r="J36" s="38"/>
      <c r="K36" s="37"/>
      <c r="L36" s="39">
        <f>Source!U32</f>
        <v>46.380839999999999</v>
      </c>
    </row>
    <row r="37" spans="1:26" ht="15" x14ac:dyDescent="0.25">
      <c r="G37" s="70">
        <f>H31+H32+H34+H35</f>
        <v>1070.2</v>
      </c>
      <c r="H37" s="70"/>
      <c r="J37" s="70">
        <f>K31+K32+K34+K35</f>
        <v>7033.71</v>
      </c>
      <c r="K37" s="70"/>
      <c r="L37" s="40">
        <f>Source!U32</f>
        <v>46.380839999999999</v>
      </c>
      <c r="O37" s="24">
        <f>G37</f>
        <v>1070.2</v>
      </c>
      <c r="P37" s="24">
        <f>J37</f>
        <v>7033.71</v>
      </c>
      <c r="Q37" s="24">
        <f>L37</f>
        <v>46.380839999999999</v>
      </c>
      <c r="W37">
        <f>IF(Source!BI32&lt;=1,H31+H32+H34+H35, 0)</f>
        <v>1070.2</v>
      </c>
      <c r="X37">
        <f>IF(Source!BI32=2,H31+H32+H34+H35, 0)</f>
        <v>0</v>
      </c>
      <c r="Y37">
        <f>IF(Source!BI32=3,H31+H32+H34+H35, 0)</f>
        <v>0</v>
      </c>
      <c r="Z37">
        <f>IF(Source!BI32=4,H31+H32+H34+H35, 0)</f>
        <v>0</v>
      </c>
    </row>
    <row r="38" spans="1:26" ht="57" x14ac:dyDescent="0.2">
      <c r="A38" s="45" t="str">
        <f>Source!E33</f>
        <v>2</v>
      </c>
      <c r="B38" s="46" t="str">
        <f>Source!F33</f>
        <v>46-04-012-02</v>
      </c>
      <c r="C38" s="46" t="str">
        <f>Source!G33</f>
        <v>Разборка деревянных заполнений проемов оконных без подоконных досок (фрамуга остеклённая,витражное остекление))</v>
      </c>
      <c r="D38" s="29" t="str">
        <f>Source!H33</f>
        <v>100 м2</v>
      </c>
      <c r="E38" s="11">
        <f>Source!I33</f>
        <v>8.0999999999999996E-3</v>
      </c>
      <c r="F38" s="30">
        <f>Source!AL33+Source!AM33+Source!AO33</f>
        <v>1639.5800000000002</v>
      </c>
      <c r="G38" s="31"/>
      <c r="H38" s="30"/>
      <c r="I38" s="31" t="str">
        <f>Source!BO33</f>
        <v/>
      </c>
      <c r="J38" s="31"/>
      <c r="K38" s="30"/>
      <c r="L38" s="32"/>
      <c r="S38">
        <f>ROUND((Source!FX33/100)*((ROUND(Source!AF33*Source!I33, 2)+ROUND(Source!AE33*Source!I33, 2))), 2)</f>
        <v>12.05</v>
      </c>
      <c r="T38">
        <f>Source!X33</f>
        <v>79.010000000000005</v>
      </c>
      <c r="U38">
        <f>ROUND((Source!FY33/100)*((ROUND(Source!AF33*Source!I33, 2)+ROUND(Source!AE33*Source!I33, 2))), 2)</f>
        <v>7.24</v>
      </c>
      <c r="V38">
        <f>Source!Y33</f>
        <v>47.89</v>
      </c>
    </row>
    <row r="39" spans="1:26" x14ac:dyDescent="0.2">
      <c r="C39" s="23" t="str">
        <f>"Объем: "&amp;Source!I33&amp;"=0,81/"&amp;"100"</f>
        <v>Объем: 0,0081=0,81/100</v>
      </c>
    </row>
    <row r="40" spans="1:26" ht="14.25" x14ac:dyDescent="0.2">
      <c r="A40" s="45"/>
      <c r="B40" s="46"/>
      <c r="C40" s="46" t="s">
        <v>1636</v>
      </c>
      <c r="D40" s="29"/>
      <c r="E40" s="11"/>
      <c r="F40" s="30">
        <f>Source!AO33</f>
        <v>1397.63</v>
      </c>
      <c r="G40" s="31" t="str">
        <f>Source!DG33</f>
        <v/>
      </c>
      <c r="H40" s="30">
        <f>ROUND(Source!AF33*Source!I33, 2)</f>
        <v>11.32</v>
      </c>
      <c r="I40" s="31"/>
      <c r="J40" s="31">
        <f>IF(Source!BA33&lt;&gt; 0, Source!BA33, 1)</f>
        <v>6.56</v>
      </c>
      <c r="K40" s="30">
        <f>Source!S33</f>
        <v>74.260000000000005</v>
      </c>
      <c r="L40" s="32"/>
      <c r="R40">
        <f>H40</f>
        <v>11.32</v>
      </c>
    </row>
    <row r="41" spans="1:26" ht="14.25" x14ac:dyDescent="0.2">
      <c r="A41" s="45"/>
      <c r="B41" s="46"/>
      <c r="C41" s="46" t="s">
        <v>136</v>
      </c>
      <c r="D41" s="29"/>
      <c r="E41" s="11"/>
      <c r="F41" s="30">
        <f>Source!AM33</f>
        <v>241.95</v>
      </c>
      <c r="G41" s="31" t="str">
        <f>Source!DE33</f>
        <v/>
      </c>
      <c r="H41" s="30">
        <f>ROUND(Source!AD33*Source!I33, 2)</f>
        <v>1.96</v>
      </c>
      <c r="I41" s="31"/>
      <c r="J41" s="31">
        <f>IF(Source!BB33&lt;&gt; 0, Source!BB33, 1)</f>
        <v>6.56</v>
      </c>
      <c r="K41" s="30">
        <f>Source!Q33</f>
        <v>12.86</v>
      </c>
      <c r="L41" s="32"/>
    </row>
    <row r="42" spans="1:26" ht="14.25" x14ac:dyDescent="0.2">
      <c r="A42" s="45"/>
      <c r="B42" s="46"/>
      <c r="C42" s="46" t="s">
        <v>1637</v>
      </c>
      <c r="D42" s="29"/>
      <c r="E42" s="11"/>
      <c r="F42" s="30">
        <f>Source!AN33</f>
        <v>104.49</v>
      </c>
      <c r="G42" s="31" t="str">
        <f>Source!DF33</f>
        <v/>
      </c>
      <c r="H42" s="33">
        <f>ROUND(Source!AE33*Source!I33, 2)</f>
        <v>0.85</v>
      </c>
      <c r="I42" s="31"/>
      <c r="J42" s="31">
        <f>IF(Source!BS33&lt;&gt; 0, Source!BS33, 1)</f>
        <v>6.56</v>
      </c>
      <c r="K42" s="33">
        <f>Source!R33</f>
        <v>5.55</v>
      </c>
      <c r="L42" s="32"/>
      <c r="R42">
        <f>H42</f>
        <v>0.85</v>
      </c>
    </row>
    <row r="43" spans="1:26" ht="14.25" x14ac:dyDescent="0.2">
      <c r="A43" s="45"/>
      <c r="B43" s="46"/>
      <c r="C43" s="46" t="s">
        <v>1638</v>
      </c>
      <c r="D43" s="29" t="s">
        <v>1639</v>
      </c>
      <c r="E43" s="11">
        <f>Source!BZ33</f>
        <v>110</v>
      </c>
      <c r="F43" s="71" t="str">
        <f>CONCATENATE(" )", Source!DL33, Source!FT33, "=", Source!FX33)</f>
        <v xml:space="preserve"> )*0,9=99</v>
      </c>
      <c r="G43" s="72"/>
      <c r="H43" s="30">
        <f>SUM(S38:S45)</f>
        <v>12.05</v>
      </c>
      <c r="I43" s="34"/>
      <c r="J43" s="27">
        <f>Source!AT33</f>
        <v>99</v>
      </c>
      <c r="K43" s="30">
        <f>SUM(T38:T45)</f>
        <v>79.010000000000005</v>
      </c>
      <c r="L43" s="32"/>
    </row>
    <row r="44" spans="1:26" ht="14.25" x14ac:dyDescent="0.2">
      <c r="A44" s="45"/>
      <c r="B44" s="46"/>
      <c r="C44" s="46" t="s">
        <v>1640</v>
      </c>
      <c r="D44" s="29" t="s">
        <v>1639</v>
      </c>
      <c r="E44" s="11">
        <f>Source!CA33</f>
        <v>70</v>
      </c>
      <c r="F44" s="71" t="str">
        <f>CONCATENATE(" )", Source!DM33, Source!FU33, "=", Source!FY33)</f>
        <v xml:space="preserve"> )*0,85=59,5</v>
      </c>
      <c r="G44" s="72"/>
      <c r="H44" s="30">
        <f>SUM(U38:U45)</f>
        <v>7.24</v>
      </c>
      <c r="I44" s="34"/>
      <c r="J44" s="27">
        <f>Source!AU33</f>
        <v>60</v>
      </c>
      <c r="K44" s="30">
        <f>SUM(V38:V45)</f>
        <v>47.89</v>
      </c>
      <c r="L44" s="32"/>
    </row>
    <row r="45" spans="1:26" ht="14.25" x14ac:dyDescent="0.2">
      <c r="A45" s="47"/>
      <c r="B45" s="48"/>
      <c r="C45" s="48" t="s">
        <v>1641</v>
      </c>
      <c r="D45" s="35" t="s">
        <v>1642</v>
      </c>
      <c r="E45" s="36">
        <f>Source!AQ33</f>
        <v>172.76</v>
      </c>
      <c r="F45" s="37"/>
      <c r="G45" s="38" t="str">
        <f>Source!DI33</f>
        <v/>
      </c>
      <c r="H45" s="37"/>
      <c r="I45" s="38"/>
      <c r="J45" s="38"/>
      <c r="K45" s="37"/>
      <c r="L45" s="39">
        <f>Source!U33</f>
        <v>1.3993559999999998</v>
      </c>
    </row>
    <row r="46" spans="1:26" ht="15" x14ac:dyDescent="0.25">
      <c r="G46" s="70">
        <f>H40+H41+H43+H44</f>
        <v>32.57</v>
      </c>
      <c r="H46" s="70"/>
      <c r="J46" s="70">
        <f>K40+K41+K43+K44</f>
        <v>214.01999999999998</v>
      </c>
      <c r="K46" s="70"/>
      <c r="L46" s="40">
        <f>Source!U33</f>
        <v>1.3993559999999998</v>
      </c>
      <c r="O46" s="24">
        <f>G46</f>
        <v>32.57</v>
      </c>
      <c r="P46" s="24">
        <f>J46</f>
        <v>214.01999999999998</v>
      </c>
      <c r="Q46" s="24">
        <f>L46</f>
        <v>1.3993559999999998</v>
      </c>
      <c r="W46">
        <f>IF(Source!BI33&lt;=1,H40+H41+H43+H44, 0)</f>
        <v>32.57</v>
      </c>
      <c r="X46">
        <f>IF(Source!BI33=2,H40+H41+H43+H44, 0)</f>
        <v>0</v>
      </c>
      <c r="Y46">
        <f>IF(Source!BI33=3,H40+H41+H43+H44, 0)</f>
        <v>0</v>
      </c>
      <c r="Z46">
        <f>IF(Source!BI33=4,H40+H41+H43+H44, 0)</f>
        <v>0</v>
      </c>
    </row>
    <row r="47" spans="1:26" ht="42.75" x14ac:dyDescent="0.2">
      <c r="A47" s="45" t="str">
        <f>Source!E34</f>
        <v>3</v>
      </c>
      <c r="B47" s="46" t="str">
        <f>Source!F34</f>
        <v>58-3-1</v>
      </c>
      <c r="C47" s="46" t="str">
        <f>Source!G34</f>
        <v>Разборка мелких покрытий и обделок из листовой стали поясков, сандриков, желобов, отливов, свесов и т.п.</v>
      </c>
      <c r="D47" s="29" t="str">
        <f>Source!H34</f>
        <v>100 м</v>
      </c>
      <c r="E47" s="11">
        <f>Source!I34</f>
        <v>0.1</v>
      </c>
      <c r="F47" s="30">
        <f>Source!AL34+Source!AM34+Source!AO34</f>
        <v>71.180000000000007</v>
      </c>
      <c r="G47" s="31"/>
      <c r="H47" s="30"/>
      <c r="I47" s="31" t="str">
        <f>Source!BO34</f>
        <v/>
      </c>
      <c r="J47" s="31"/>
      <c r="K47" s="30"/>
      <c r="L47" s="32"/>
      <c r="S47">
        <f>ROUND((Source!FX34/100)*((ROUND(Source!AF34*Source!I34, 2)+ROUND(Source!AE34*Source!I34, 2))), 2)</f>
        <v>5.89</v>
      </c>
      <c r="T47">
        <f>Source!X34</f>
        <v>38.64</v>
      </c>
      <c r="U47">
        <f>ROUND((Source!FY34/100)*((ROUND(Source!AF34*Source!I34, 2)+ROUND(Source!AE34*Source!I34, 2))), 2)</f>
        <v>4.62</v>
      </c>
      <c r="V47">
        <f>Source!Y34</f>
        <v>30.26</v>
      </c>
    </row>
    <row r="48" spans="1:26" x14ac:dyDescent="0.2">
      <c r="C48" s="23" t="str">
        <f>"Объем: "&amp;Source!I34&amp;"=10/"&amp;"100"</f>
        <v>Объем: 0,1=10/100</v>
      </c>
    </row>
    <row r="49" spans="1:26" ht="14.25" x14ac:dyDescent="0.2">
      <c r="A49" s="45"/>
      <c r="B49" s="46"/>
      <c r="C49" s="46" t="s">
        <v>1636</v>
      </c>
      <c r="D49" s="29"/>
      <c r="E49" s="11"/>
      <c r="F49" s="30">
        <f>Source!AO34</f>
        <v>70.98</v>
      </c>
      <c r="G49" s="31" t="str">
        <f>Source!DG34</f>
        <v/>
      </c>
      <c r="H49" s="30">
        <f>ROUND(Source!AF34*Source!I34, 2)</f>
        <v>7.1</v>
      </c>
      <c r="I49" s="31"/>
      <c r="J49" s="31">
        <f>IF(Source!BA34&lt;&gt; 0, Source!BA34, 1)</f>
        <v>6.56</v>
      </c>
      <c r="K49" s="30">
        <f>Source!S34</f>
        <v>46.56</v>
      </c>
      <c r="L49" s="32"/>
      <c r="R49">
        <f>H49</f>
        <v>7.1</v>
      </c>
    </row>
    <row r="50" spans="1:26" ht="14.25" x14ac:dyDescent="0.2">
      <c r="A50" s="45"/>
      <c r="B50" s="46"/>
      <c r="C50" s="46" t="s">
        <v>136</v>
      </c>
      <c r="D50" s="29"/>
      <c r="E50" s="11"/>
      <c r="F50" s="30">
        <f>Source!AM34</f>
        <v>0.2</v>
      </c>
      <c r="G50" s="31" t="str">
        <f>Source!DE34</f>
        <v/>
      </c>
      <c r="H50" s="30">
        <f>ROUND(Source!AD34*Source!I34, 2)</f>
        <v>0.02</v>
      </c>
      <c r="I50" s="31"/>
      <c r="J50" s="31">
        <f>IF(Source!BB34&lt;&gt; 0, Source!BB34, 1)</f>
        <v>6.56</v>
      </c>
      <c r="K50" s="30">
        <f>Source!Q34</f>
        <v>0.13</v>
      </c>
      <c r="L50" s="32"/>
    </row>
    <row r="51" spans="1:26" ht="14.25" x14ac:dyDescent="0.2">
      <c r="A51" s="45"/>
      <c r="B51" s="46"/>
      <c r="C51" s="46" t="s">
        <v>1638</v>
      </c>
      <c r="D51" s="29" t="s">
        <v>1639</v>
      </c>
      <c r="E51" s="11">
        <f>Source!BZ34</f>
        <v>83</v>
      </c>
      <c r="F51" s="49"/>
      <c r="G51" s="31"/>
      <c r="H51" s="30">
        <f>SUM(S47:S53)</f>
        <v>5.89</v>
      </c>
      <c r="I51" s="34"/>
      <c r="J51" s="27">
        <f>Source!AT34</f>
        <v>83</v>
      </c>
      <c r="K51" s="30">
        <f>SUM(T47:T53)</f>
        <v>38.64</v>
      </c>
      <c r="L51" s="32"/>
    </row>
    <row r="52" spans="1:26" ht="14.25" x14ac:dyDescent="0.2">
      <c r="A52" s="45"/>
      <c r="B52" s="46"/>
      <c r="C52" s="46" t="s">
        <v>1640</v>
      </c>
      <c r="D52" s="29" t="s">
        <v>1639</v>
      </c>
      <c r="E52" s="11">
        <f>Source!CA34</f>
        <v>65</v>
      </c>
      <c r="F52" s="49"/>
      <c r="G52" s="31"/>
      <c r="H52" s="30">
        <f>SUM(U47:U53)</f>
        <v>4.62</v>
      </c>
      <c r="I52" s="34"/>
      <c r="J52" s="27">
        <f>Source!AU34</f>
        <v>65</v>
      </c>
      <c r="K52" s="30">
        <f>SUM(V47:V53)</f>
        <v>30.26</v>
      </c>
      <c r="L52" s="32"/>
    </row>
    <row r="53" spans="1:26" ht="14.25" x14ac:dyDescent="0.2">
      <c r="A53" s="47"/>
      <c r="B53" s="48"/>
      <c r="C53" s="48" t="s">
        <v>1641</v>
      </c>
      <c r="D53" s="35" t="s">
        <v>1642</v>
      </c>
      <c r="E53" s="36">
        <f>Source!AQ34</f>
        <v>9.1</v>
      </c>
      <c r="F53" s="37"/>
      <c r="G53" s="38" t="str">
        <f>Source!DI34</f>
        <v/>
      </c>
      <c r="H53" s="37"/>
      <c r="I53" s="38"/>
      <c r="J53" s="38"/>
      <c r="K53" s="37"/>
      <c r="L53" s="39">
        <f>Source!U34</f>
        <v>0.91</v>
      </c>
    </row>
    <row r="54" spans="1:26" ht="15" x14ac:dyDescent="0.25">
      <c r="G54" s="70">
        <f>H49+H50+H51+H52</f>
        <v>17.63</v>
      </c>
      <c r="H54" s="70"/>
      <c r="J54" s="70">
        <f>K49+K50+K51+K52</f>
        <v>115.59000000000002</v>
      </c>
      <c r="K54" s="70"/>
      <c r="L54" s="40">
        <f>Source!U34</f>
        <v>0.91</v>
      </c>
      <c r="O54" s="24">
        <f>G54</f>
        <v>17.63</v>
      </c>
      <c r="P54" s="24">
        <f>J54</f>
        <v>115.59000000000002</v>
      </c>
      <c r="Q54" s="24">
        <f>L54</f>
        <v>0.91</v>
      </c>
      <c r="W54">
        <f>IF(Source!BI34&lt;=1,H49+H50+H51+H52, 0)</f>
        <v>17.63</v>
      </c>
      <c r="X54">
        <f>IF(Source!BI34=2,H49+H50+H51+H52, 0)</f>
        <v>0</v>
      </c>
      <c r="Y54">
        <f>IF(Source!BI34=3,H49+H50+H51+H52, 0)</f>
        <v>0</v>
      </c>
      <c r="Z54">
        <f>IF(Source!BI34=4,H49+H50+H51+H52, 0)</f>
        <v>0</v>
      </c>
    </row>
    <row r="55" spans="1:26" ht="28.5" x14ac:dyDescent="0.2">
      <c r="A55" s="45" t="str">
        <f>Source!E35</f>
        <v>4</v>
      </c>
      <c r="B55" s="46" t="str">
        <f>Source!F35</f>
        <v>46-04-012-03</v>
      </c>
      <c r="C55" s="46" t="str">
        <f>Source!G35</f>
        <v>Разборка деревянных заполнений проемов дверных и воротных</v>
      </c>
      <c r="D55" s="29" t="str">
        <f>Source!H35</f>
        <v>100 м2</v>
      </c>
      <c r="E55" s="11">
        <f>Source!I35</f>
        <v>7.5200000000000003E-2</v>
      </c>
      <c r="F55" s="30">
        <f>Source!AL35+Source!AM35+Source!AO35</f>
        <v>1082.58</v>
      </c>
      <c r="G55" s="31"/>
      <c r="H55" s="30"/>
      <c r="I55" s="31" t="str">
        <f>Source!BO35</f>
        <v/>
      </c>
      <c r="J55" s="31"/>
      <c r="K55" s="30"/>
      <c r="L55" s="32"/>
      <c r="S55">
        <f>ROUND((Source!FX35/100)*((ROUND(Source!AF35*Source!I35, 2)+ROUND(Source!AE35*Source!I35, 2))), 2)</f>
        <v>70.37</v>
      </c>
      <c r="T55">
        <f>Source!X35</f>
        <v>461.58</v>
      </c>
      <c r="U55">
        <f>ROUND((Source!FY35/100)*((ROUND(Source!AF35*Source!I35, 2)+ROUND(Source!AE35*Source!I35, 2))), 2)</f>
        <v>42.29</v>
      </c>
      <c r="V55">
        <f>Source!Y35</f>
        <v>279.74</v>
      </c>
    </row>
    <row r="56" spans="1:26" x14ac:dyDescent="0.2">
      <c r="C56" s="23" t="str">
        <f>"Объем: "&amp;Source!I35&amp;"=7,52/"&amp;"100"</f>
        <v>Объем: 0,0752=7,52/100</v>
      </c>
    </row>
    <row r="57" spans="1:26" ht="14.25" x14ac:dyDescent="0.2">
      <c r="A57" s="45"/>
      <c r="B57" s="46"/>
      <c r="C57" s="46" t="s">
        <v>1636</v>
      </c>
      <c r="D57" s="29"/>
      <c r="E57" s="11"/>
      <c r="F57" s="30">
        <f>Source!AO35</f>
        <v>840.63</v>
      </c>
      <c r="G57" s="31" t="str">
        <f>Source!DG35</f>
        <v/>
      </c>
      <c r="H57" s="30">
        <f>ROUND(Source!AF35*Source!I35, 2)</f>
        <v>63.22</v>
      </c>
      <c r="I57" s="31"/>
      <c r="J57" s="31">
        <f>IF(Source!BA35&lt;&gt; 0, Source!BA35, 1)</f>
        <v>6.56</v>
      </c>
      <c r="K57" s="30">
        <f>Source!S35</f>
        <v>414.69</v>
      </c>
      <c r="L57" s="32"/>
      <c r="R57">
        <f>H57</f>
        <v>63.22</v>
      </c>
    </row>
    <row r="58" spans="1:26" ht="14.25" x14ac:dyDescent="0.2">
      <c r="A58" s="45"/>
      <c r="B58" s="46"/>
      <c r="C58" s="46" t="s">
        <v>136</v>
      </c>
      <c r="D58" s="29"/>
      <c r="E58" s="11"/>
      <c r="F58" s="30">
        <f>Source!AM35</f>
        <v>241.95</v>
      </c>
      <c r="G58" s="31" t="str">
        <f>Source!DE35</f>
        <v/>
      </c>
      <c r="H58" s="30">
        <f>ROUND(Source!AD35*Source!I35, 2)</f>
        <v>18.190000000000001</v>
      </c>
      <c r="I58" s="31"/>
      <c r="J58" s="31">
        <f>IF(Source!BB35&lt;&gt; 0, Source!BB35, 1)</f>
        <v>6.56</v>
      </c>
      <c r="K58" s="30">
        <f>Source!Q35</f>
        <v>119.36</v>
      </c>
      <c r="L58" s="32"/>
    </row>
    <row r="59" spans="1:26" ht="14.25" x14ac:dyDescent="0.2">
      <c r="A59" s="45"/>
      <c r="B59" s="46"/>
      <c r="C59" s="46" t="s">
        <v>1637</v>
      </c>
      <c r="D59" s="29"/>
      <c r="E59" s="11"/>
      <c r="F59" s="30">
        <f>Source!AN35</f>
        <v>104.49</v>
      </c>
      <c r="G59" s="31" t="str">
        <f>Source!DF35</f>
        <v/>
      </c>
      <c r="H59" s="33">
        <f>ROUND(Source!AE35*Source!I35, 2)</f>
        <v>7.86</v>
      </c>
      <c r="I59" s="31"/>
      <c r="J59" s="31">
        <f>IF(Source!BS35&lt;&gt; 0, Source!BS35, 1)</f>
        <v>6.56</v>
      </c>
      <c r="K59" s="33">
        <f>Source!R35</f>
        <v>51.55</v>
      </c>
      <c r="L59" s="32"/>
      <c r="R59">
        <f>H59</f>
        <v>7.86</v>
      </c>
    </row>
    <row r="60" spans="1:26" ht="14.25" x14ac:dyDescent="0.2">
      <c r="A60" s="45"/>
      <c r="B60" s="46"/>
      <c r="C60" s="46" t="s">
        <v>1638</v>
      </c>
      <c r="D60" s="29" t="s">
        <v>1639</v>
      </c>
      <c r="E60" s="11">
        <f>Source!BZ35</f>
        <v>110</v>
      </c>
      <c r="F60" s="71" t="str">
        <f>CONCATENATE(" )", Source!DL35, Source!FT35, "=", Source!FX35)</f>
        <v xml:space="preserve"> )*0,9=99</v>
      </c>
      <c r="G60" s="72"/>
      <c r="H60" s="30">
        <f>SUM(S55:S62)</f>
        <v>70.37</v>
      </c>
      <c r="I60" s="34"/>
      <c r="J60" s="27">
        <f>Source!AT35</f>
        <v>99</v>
      </c>
      <c r="K60" s="30">
        <f>SUM(T55:T62)</f>
        <v>461.58</v>
      </c>
      <c r="L60" s="32"/>
    </row>
    <row r="61" spans="1:26" ht="14.25" x14ac:dyDescent="0.2">
      <c r="A61" s="45"/>
      <c r="B61" s="46"/>
      <c r="C61" s="46" t="s">
        <v>1640</v>
      </c>
      <c r="D61" s="29" t="s">
        <v>1639</v>
      </c>
      <c r="E61" s="11">
        <f>Source!CA35</f>
        <v>70</v>
      </c>
      <c r="F61" s="71" t="str">
        <f>CONCATENATE(" )", Source!DM35, Source!FU35, "=", Source!FY35)</f>
        <v xml:space="preserve"> )*0,85=59,5</v>
      </c>
      <c r="G61" s="72"/>
      <c r="H61" s="30">
        <f>SUM(U55:U62)</f>
        <v>42.29</v>
      </c>
      <c r="I61" s="34"/>
      <c r="J61" s="27">
        <f>Source!AU35</f>
        <v>60</v>
      </c>
      <c r="K61" s="30">
        <f>SUM(V55:V62)</f>
        <v>279.74</v>
      </c>
      <c r="L61" s="32"/>
    </row>
    <row r="62" spans="1:26" ht="14.25" x14ac:dyDescent="0.2">
      <c r="A62" s="47"/>
      <c r="B62" s="48"/>
      <c r="C62" s="48" t="s">
        <v>1641</v>
      </c>
      <c r="D62" s="35" t="s">
        <v>1642</v>
      </c>
      <c r="E62" s="36">
        <f>Source!AQ35</f>
        <v>103.91</v>
      </c>
      <c r="F62" s="37"/>
      <c r="G62" s="38" t="str">
        <f>Source!DI35</f>
        <v/>
      </c>
      <c r="H62" s="37"/>
      <c r="I62" s="38"/>
      <c r="J62" s="38"/>
      <c r="K62" s="37"/>
      <c r="L62" s="39">
        <f>Source!U35</f>
        <v>7.8140320000000001</v>
      </c>
    </row>
    <row r="63" spans="1:26" ht="15" x14ac:dyDescent="0.25">
      <c r="G63" s="70">
        <f>H57+H58+H60+H61</f>
        <v>194.07</v>
      </c>
      <c r="H63" s="70"/>
      <c r="J63" s="70">
        <f>K57+K58+K60+K61</f>
        <v>1275.3699999999999</v>
      </c>
      <c r="K63" s="70"/>
      <c r="L63" s="40">
        <f>Source!U35</f>
        <v>7.8140320000000001</v>
      </c>
      <c r="O63" s="24">
        <f>G63</f>
        <v>194.07</v>
      </c>
      <c r="P63" s="24">
        <f>J63</f>
        <v>1275.3699999999999</v>
      </c>
      <c r="Q63" s="24">
        <f>L63</f>
        <v>7.8140320000000001</v>
      </c>
      <c r="W63">
        <f>IF(Source!BI35&lt;=1,H57+H58+H60+H61, 0)</f>
        <v>194.07</v>
      </c>
      <c r="X63">
        <f>IF(Source!BI35=2,H57+H58+H60+H61, 0)</f>
        <v>0</v>
      </c>
      <c r="Y63">
        <f>IF(Source!BI35=3,H57+H58+H60+H61, 0)</f>
        <v>0</v>
      </c>
      <c r="Z63">
        <f>IF(Source!BI35=4,H57+H58+H60+H61, 0)</f>
        <v>0</v>
      </c>
    </row>
    <row r="64" spans="1:26" ht="14.25" x14ac:dyDescent="0.2">
      <c r="A64" s="45" t="str">
        <f>Source!E36</f>
        <v>5</v>
      </c>
      <c r="B64" s="46" t="str">
        <f>Source!F36</f>
        <v>65-33-1</v>
      </c>
      <c r="C64" s="46" t="str">
        <f>Source!G36</f>
        <v>Смена жалюзийных решеток</v>
      </c>
      <c r="D64" s="29" t="str">
        <f>Source!H36</f>
        <v>100 ШТ</v>
      </c>
      <c r="E64" s="11">
        <f>Source!I36</f>
        <v>0.06</v>
      </c>
      <c r="F64" s="30">
        <f>Source!AL36+Source!AM36+Source!AO36</f>
        <v>430.86</v>
      </c>
      <c r="G64" s="31"/>
      <c r="H64" s="30"/>
      <c r="I64" s="31" t="str">
        <f>Source!BO36</f>
        <v/>
      </c>
      <c r="J64" s="31"/>
      <c r="K64" s="30"/>
      <c r="L64" s="32"/>
      <c r="S64">
        <f>ROUND((Source!FX36/100)*((ROUND(Source!AF36*Source!I36, 2)+ROUND(Source!AE36*Source!I36, 2))), 2)</f>
        <v>24.36</v>
      </c>
      <c r="T64">
        <f>Source!X36</f>
        <v>159.79</v>
      </c>
      <c r="U64">
        <f>ROUND((Source!FY36/100)*((ROUND(Source!AF36*Source!I36, 2)+ROUND(Source!AE36*Source!I36, 2))), 2)</f>
        <v>14.19</v>
      </c>
      <c r="V64">
        <f>Source!Y36</f>
        <v>93.08</v>
      </c>
    </row>
    <row r="65" spans="1:26" x14ac:dyDescent="0.2">
      <c r="C65" s="23" t="str">
        <f>"Объем: "&amp;Source!I36&amp;"=6/"&amp;"100"</f>
        <v>Объем: 0,06=6/100</v>
      </c>
    </row>
    <row r="66" spans="1:26" ht="14.25" x14ac:dyDescent="0.2">
      <c r="A66" s="45"/>
      <c r="B66" s="46"/>
      <c r="C66" s="46" t="s">
        <v>1636</v>
      </c>
      <c r="D66" s="29"/>
      <c r="E66" s="11"/>
      <c r="F66" s="30">
        <f>Source!AO36</f>
        <v>394</v>
      </c>
      <c r="G66" s="31" t="str">
        <f>Source!DG36</f>
        <v/>
      </c>
      <c r="H66" s="30">
        <f>ROUND(Source!AF36*Source!I36, 2)</f>
        <v>23.64</v>
      </c>
      <c r="I66" s="31"/>
      <c r="J66" s="31">
        <f>IF(Source!BA36&lt;&gt; 0, Source!BA36, 1)</f>
        <v>6.56</v>
      </c>
      <c r="K66" s="30">
        <f>Source!S36</f>
        <v>155.08000000000001</v>
      </c>
      <c r="L66" s="32"/>
      <c r="R66">
        <f>H66</f>
        <v>23.64</v>
      </c>
    </row>
    <row r="67" spans="1:26" ht="14.25" x14ac:dyDescent="0.2">
      <c r="A67" s="45"/>
      <c r="B67" s="46"/>
      <c r="C67" s="46" t="s">
        <v>136</v>
      </c>
      <c r="D67" s="29"/>
      <c r="E67" s="11"/>
      <c r="F67" s="30">
        <f>Source!AM36</f>
        <v>0.31</v>
      </c>
      <c r="G67" s="31" t="str">
        <f>Source!DE36</f>
        <v/>
      </c>
      <c r="H67" s="30">
        <f>ROUND(Source!AD36*Source!I36, 2)</f>
        <v>0.02</v>
      </c>
      <c r="I67" s="31"/>
      <c r="J67" s="31">
        <f>IF(Source!BB36&lt;&gt; 0, Source!BB36, 1)</f>
        <v>6.56</v>
      </c>
      <c r="K67" s="30">
        <f>Source!Q36</f>
        <v>0.12</v>
      </c>
      <c r="L67" s="32"/>
    </row>
    <row r="68" spans="1:26" ht="14.25" x14ac:dyDescent="0.2">
      <c r="A68" s="45"/>
      <c r="B68" s="46"/>
      <c r="C68" s="46" t="s">
        <v>1637</v>
      </c>
      <c r="D68" s="29"/>
      <c r="E68" s="11"/>
      <c r="F68" s="30">
        <f>Source!AN36</f>
        <v>0.14000000000000001</v>
      </c>
      <c r="G68" s="31" t="str">
        <f>Source!DF36</f>
        <v/>
      </c>
      <c r="H68" s="33">
        <f>ROUND(Source!AE36*Source!I36, 2)</f>
        <v>0.01</v>
      </c>
      <c r="I68" s="31"/>
      <c r="J68" s="31">
        <f>IF(Source!BS36&lt;&gt; 0, Source!BS36, 1)</f>
        <v>6.56</v>
      </c>
      <c r="K68" s="33">
        <f>Source!R36</f>
        <v>0.06</v>
      </c>
      <c r="L68" s="32"/>
      <c r="R68">
        <f>H68</f>
        <v>0.01</v>
      </c>
    </row>
    <row r="69" spans="1:26" ht="14.25" x14ac:dyDescent="0.2">
      <c r="A69" s="45"/>
      <c r="B69" s="46"/>
      <c r="C69" s="46" t="s">
        <v>1643</v>
      </c>
      <c r="D69" s="29"/>
      <c r="E69" s="11"/>
      <c r="F69" s="30">
        <f>Source!AL36</f>
        <v>36.549999999999997</v>
      </c>
      <c r="G69" s="31" t="str">
        <f>Source!DD36</f>
        <v/>
      </c>
      <c r="H69" s="30">
        <f>ROUND(Source!AC36*Source!I36, 2)</f>
        <v>2.19</v>
      </c>
      <c r="I69" s="31"/>
      <c r="J69" s="31">
        <f>IF(Source!BC36&lt;&gt; 0, Source!BC36, 1)</f>
        <v>6.56</v>
      </c>
      <c r="K69" s="30">
        <f>Source!P36</f>
        <v>14.39</v>
      </c>
      <c r="L69" s="32"/>
    </row>
    <row r="70" spans="1:26" ht="14.25" x14ac:dyDescent="0.2">
      <c r="A70" s="45"/>
      <c r="B70" s="46"/>
      <c r="C70" s="46" t="s">
        <v>1638</v>
      </c>
      <c r="D70" s="29" t="s">
        <v>1639</v>
      </c>
      <c r="E70" s="11">
        <f>Source!BZ36</f>
        <v>103</v>
      </c>
      <c r="F70" s="49"/>
      <c r="G70" s="31"/>
      <c r="H70" s="30">
        <f>SUM(S64:S74)</f>
        <v>24.36</v>
      </c>
      <c r="I70" s="34"/>
      <c r="J70" s="27">
        <f>Source!AT36</f>
        <v>103</v>
      </c>
      <c r="K70" s="30">
        <f>SUM(T64:T74)</f>
        <v>159.79</v>
      </c>
      <c r="L70" s="32"/>
    </row>
    <row r="71" spans="1:26" ht="14.25" x14ac:dyDescent="0.2">
      <c r="A71" s="45"/>
      <c r="B71" s="46"/>
      <c r="C71" s="46" t="s">
        <v>1640</v>
      </c>
      <c r="D71" s="29" t="s">
        <v>1639</v>
      </c>
      <c r="E71" s="11">
        <f>Source!CA36</f>
        <v>60</v>
      </c>
      <c r="F71" s="49"/>
      <c r="G71" s="31"/>
      <c r="H71" s="30">
        <f>SUM(U64:U74)</f>
        <v>14.19</v>
      </c>
      <c r="I71" s="34"/>
      <c r="J71" s="27">
        <f>Source!AU36</f>
        <v>60</v>
      </c>
      <c r="K71" s="30">
        <f>SUM(V64:V74)</f>
        <v>93.08</v>
      </c>
      <c r="L71" s="32"/>
    </row>
    <row r="72" spans="1:26" ht="14.25" x14ac:dyDescent="0.2">
      <c r="A72" s="45"/>
      <c r="B72" s="46"/>
      <c r="C72" s="46" t="s">
        <v>1641</v>
      </c>
      <c r="D72" s="29" t="s">
        <v>1642</v>
      </c>
      <c r="E72" s="11">
        <f>Source!AQ36</f>
        <v>46.19</v>
      </c>
      <c r="F72" s="30"/>
      <c r="G72" s="31" t="str">
        <f>Source!DI36</f>
        <v/>
      </c>
      <c r="H72" s="30"/>
      <c r="I72" s="31"/>
      <c r="J72" s="31"/>
      <c r="K72" s="30"/>
      <c r="L72" s="41">
        <f>Source!U36</f>
        <v>2.7713999999999999</v>
      </c>
    </row>
    <row r="73" spans="1:26" ht="28.5" x14ac:dyDescent="0.2">
      <c r="A73" s="45" t="str">
        <f>Source!E37</f>
        <v>5,1</v>
      </c>
      <c r="B73" s="46" t="str">
        <f>Source!F37</f>
        <v>19.2.03.07-0006</v>
      </c>
      <c r="C73" s="46" t="str">
        <f>Source!G37</f>
        <v>Решетка вентиляционная пластмассовая размером 300х300 мм</v>
      </c>
      <c r="D73" s="29" t="str">
        <f>Source!H37</f>
        <v>шт.</v>
      </c>
      <c r="E73" s="11">
        <f>Source!I37</f>
        <v>6</v>
      </c>
      <c r="F73" s="30">
        <f>Source!AL37+Source!AM37+Source!AO37</f>
        <v>18.670000000000002</v>
      </c>
      <c r="G73" s="42" t="s">
        <v>6</v>
      </c>
      <c r="H73" s="30">
        <f>ROUND(Source!AC37*Source!I37, 2)+ROUND(Source!AD37*Source!I37, 2)+ROUND(Source!AF37*Source!I37, 2)</f>
        <v>112.02</v>
      </c>
      <c r="I73" s="31"/>
      <c r="J73" s="31">
        <f>IF(Source!BC37&lt;&gt; 0, Source!BC37, 1)</f>
        <v>6.56</v>
      </c>
      <c r="K73" s="30">
        <f>Source!O37</f>
        <v>734.85</v>
      </c>
      <c r="L73" s="32"/>
      <c r="S73">
        <f>ROUND((Source!FX37/100)*((ROUND(Source!AF37*Source!I37, 2)+ROUND(Source!AE37*Source!I37, 2))), 2)</f>
        <v>0</v>
      </c>
      <c r="T73">
        <f>Source!X37</f>
        <v>0</v>
      </c>
      <c r="U73">
        <f>ROUND((Source!FY37/100)*((ROUND(Source!AF37*Source!I37, 2)+ROUND(Source!AE37*Source!I37, 2))), 2)</f>
        <v>0</v>
      </c>
      <c r="V73">
        <f>Source!Y37</f>
        <v>0</v>
      </c>
      <c r="W73">
        <f>IF(Source!BI37&lt;=1,H73, 0)</f>
        <v>112.02</v>
      </c>
      <c r="X73">
        <f>IF(Source!BI37=2,H73, 0)</f>
        <v>0</v>
      </c>
      <c r="Y73">
        <f>IF(Source!BI37=3,H73, 0)</f>
        <v>0</v>
      </c>
      <c r="Z73">
        <f>IF(Source!BI37=4,H73, 0)</f>
        <v>0</v>
      </c>
    </row>
    <row r="74" spans="1:26" ht="14.25" x14ac:dyDescent="0.2">
      <c r="A74" s="47" t="str">
        <f>Source!E38</f>
        <v>5,2</v>
      </c>
      <c r="B74" s="48" t="str">
        <f>Source!F38</f>
        <v>19.2.03.09</v>
      </c>
      <c r="C74" s="48" t="str">
        <f>Source!G38</f>
        <v>Решетки жалюзийные</v>
      </c>
      <c r="D74" s="35" t="str">
        <f>Source!H38</f>
        <v>шт.</v>
      </c>
      <c r="E74" s="36">
        <f>Source!I38</f>
        <v>6</v>
      </c>
      <c r="F74" s="37">
        <f>Source!AL38+Source!AM38+Source!AO38</f>
        <v>0</v>
      </c>
      <c r="G74" s="43" t="s">
        <v>6</v>
      </c>
      <c r="H74" s="37">
        <f>ROUND(Source!AC38*Source!I38, 2)+ROUND(Source!AD38*Source!I38, 2)+ROUND(Source!AF38*Source!I38, 2)</f>
        <v>0</v>
      </c>
      <c r="I74" s="38"/>
      <c r="J74" s="38">
        <f>IF(Source!BC38&lt;&gt; 0, Source!BC38, 1)</f>
        <v>6.56</v>
      </c>
      <c r="K74" s="37">
        <f>Source!O38</f>
        <v>0</v>
      </c>
      <c r="L74" s="44"/>
      <c r="S74">
        <f>ROUND((Source!FX38/100)*((ROUND(Source!AF38*Source!I38, 2)+ROUND(Source!AE38*Source!I38, 2))), 2)</f>
        <v>0</v>
      </c>
      <c r="T74">
        <f>Source!X38</f>
        <v>0</v>
      </c>
      <c r="U74">
        <f>ROUND((Source!FY38/100)*((ROUND(Source!AF38*Source!I38, 2)+ROUND(Source!AE38*Source!I38, 2))), 2)</f>
        <v>0</v>
      </c>
      <c r="V74">
        <f>Source!Y38</f>
        <v>0</v>
      </c>
      <c r="W74">
        <f>IF(Source!BI38&lt;=1,H74, 0)</f>
        <v>0</v>
      </c>
      <c r="X74">
        <f>IF(Source!BI38=2,H74, 0)</f>
        <v>0</v>
      </c>
      <c r="Y74">
        <f>IF(Source!BI38=3,H74, 0)</f>
        <v>0</v>
      </c>
      <c r="Z74">
        <f>IF(Source!BI38=4,H74, 0)</f>
        <v>0</v>
      </c>
    </row>
    <row r="75" spans="1:26" ht="15" x14ac:dyDescent="0.25">
      <c r="G75" s="70">
        <f>H66+H67+H69+H70+H71+SUM(H73:H74)</f>
        <v>176.42000000000002</v>
      </c>
      <c r="H75" s="70"/>
      <c r="J75" s="70">
        <f>K66+K67+K69+K70+K71+SUM(K73:K74)</f>
        <v>1157.31</v>
      </c>
      <c r="K75" s="70"/>
      <c r="L75" s="40">
        <f>Source!U36</f>
        <v>2.7713999999999999</v>
      </c>
      <c r="O75" s="24">
        <f>G75</f>
        <v>176.42000000000002</v>
      </c>
      <c r="P75" s="24">
        <f>J75</f>
        <v>1157.31</v>
      </c>
      <c r="Q75" s="24">
        <f>L75</f>
        <v>2.7713999999999999</v>
      </c>
      <c r="W75">
        <f>IF(Source!BI36&lt;=1,H66+H67+H69+H70+H71, 0)</f>
        <v>64.400000000000006</v>
      </c>
      <c r="X75">
        <f>IF(Source!BI36=2,H66+H67+H69+H70+H71, 0)</f>
        <v>0</v>
      </c>
      <c r="Y75">
        <f>IF(Source!BI36=3,H66+H67+H69+H70+H71, 0)</f>
        <v>0</v>
      </c>
      <c r="Z75">
        <f>IF(Source!BI36=4,H66+H67+H69+H70+H71, 0)</f>
        <v>0</v>
      </c>
    </row>
    <row r="76" spans="1:26" ht="28.5" x14ac:dyDescent="0.2">
      <c r="A76" s="45" t="str">
        <f>Source!E39</f>
        <v>6</v>
      </c>
      <c r="B76" s="46" t="str">
        <f>Source!F39</f>
        <v>57-3-1</v>
      </c>
      <c r="C76" s="46" t="str">
        <f>Source!G39</f>
        <v>Разборка плинтусов деревянных и из пластмассовых материалов</v>
      </c>
      <c r="D76" s="29" t="str">
        <f>Source!H39</f>
        <v>100 м</v>
      </c>
      <c r="E76" s="11">
        <f>Source!I39</f>
        <v>0.54279999999999995</v>
      </c>
      <c r="F76" s="30">
        <f>Source!AL39+Source!AM39+Source!AO39</f>
        <v>29.41</v>
      </c>
      <c r="G76" s="31"/>
      <c r="H76" s="30"/>
      <c r="I76" s="31" t="str">
        <f>Source!BO39</f>
        <v/>
      </c>
      <c r="J76" s="31"/>
      <c r="K76" s="30"/>
      <c r="L76" s="32"/>
      <c r="S76">
        <f>ROUND((Source!FX39/100)*((ROUND(Source!AF39*Source!I39, 2)+ROUND(Source!AE39*Source!I39, 2))), 2)</f>
        <v>12.77</v>
      </c>
      <c r="T76">
        <f>Source!X39</f>
        <v>83.78</v>
      </c>
      <c r="U76">
        <f>ROUND((Source!FY39/100)*((ROUND(Source!AF39*Source!I39, 2)+ROUND(Source!AE39*Source!I39, 2))), 2)</f>
        <v>10.85</v>
      </c>
      <c r="V76">
        <f>Source!Y39</f>
        <v>71.209999999999994</v>
      </c>
    </row>
    <row r="77" spans="1:26" x14ac:dyDescent="0.2">
      <c r="C77" s="23" t="str">
        <f>"Объем: "&amp;Source!I39&amp;"=54,28/"&amp;"100"</f>
        <v>Объем: 0,5428=54,28/100</v>
      </c>
    </row>
    <row r="78" spans="1:26" ht="14.25" x14ac:dyDescent="0.2">
      <c r="A78" s="45"/>
      <c r="B78" s="46"/>
      <c r="C78" s="46" t="s">
        <v>1636</v>
      </c>
      <c r="D78" s="29"/>
      <c r="E78" s="11"/>
      <c r="F78" s="30">
        <f>Source!AO39</f>
        <v>29.41</v>
      </c>
      <c r="G78" s="31" t="str">
        <f>Source!DG39</f>
        <v/>
      </c>
      <c r="H78" s="30">
        <f>ROUND(Source!AF39*Source!I39, 2)</f>
        <v>15.96</v>
      </c>
      <c r="I78" s="31"/>
      <c r="J78" s="31">
        <f>IF(Source!BA39&lt;&gt; 0, Source!BA39, 1)</f>
        <v>6.56</v>
      </c>
      <c r="K78" s="30">
        <f>Source!S39</f>
        <v>104.72</v>
      </c>
      <c r="L78" s="32"/>
      <c r="R78">
        <f>H78</f>
        <v>15.96</v>
      </c>
    </row>
    <row r="79" spans="1:26" ht="14.25" x14ac:dyDescent="0.2">
      <c r="A79" s="45"/>
      <c r="B79" s="46"/>
      <c r="C79" s="46" t="s">
        <v>1638</v>
      </c>
      <c r="D79" s="29" t="s">
        <v>1639</v>
      </c>
      <c r="E79" s="11">
        <f>Source!BZ39</f>
        <v>80</v>
      </c>
      <c r="F79" s="49"/>
      <c r="G79" s="31"/>
      <c r="H79" s="30">
        <f>SUM(S76:S81)</f>
        <v>12.77</v>
      </c>
      <c r="I79" s="34"/>
      <c r="J79" s="27">
        <f>Source!AT39</f>
        <v>80</v>
      </c>
      <c r="K79" s="30">
        <f>SUM(T76:T81)</f>
        <v>83.78</v>
      </c>
      <c r="L79" s="32"/>
    </row>
    <row r="80" spans="1:26" ht="14.25" x14ac:dyDescent="0.2">
      <c r="A80" s="45"/>
      <c r="B80" s="46"/>
      <c r="C80" s="46" t="s">
        <v>1640</v>
      </c>
      <c r="D80" s="29" t="s">
        <v>1639</v>
      </c>
      <c r="E80" s="11">
        <f>Source!CA39</f>
        <v>68</v>
      </c>
      <c r="F80" s="49"/>
      <c r="G80" s="31"/>
      <c r="H80" s="30">
        <f>SUM(U76:U81)</f>
        <v>10.85</v>
      </c>
      <c r="I80" s="34"/>
      <c r="J80" s="27">
        <f>Source!AU39</f>
        <v>68</v>
      </c>
      <c r="K80" s="30">
        <f>SUM(V76:V81)</f>
        <v>71.209999999999994</v>
      </c>
      <c r="L80" s="32"/>
    </row>
    <row r="81" spans="1:26" ht="14.25" x14ac:dyDescent="0.2">
      <c r="A81" s="47"/>
      <c r="B81" s="48"/>
      <c r="C81" s="48" t="s">
        <v>1641</v>
      </c>
      <c r="D81" s="35" t="s">
        <v>1642</v>
      </c>
      <c r="E81" s="36">
        <f>Source!AQ39</f>
        <v>3.77</v>
      </c>
      <c r="F81" s="37"/>
      <c r="G81" s="38" t="str">
        <f>Source!DI39</f>
        <v/>
      </c>
      <c r="H81" s="37"/>
      <c r="I81" s="38"/>
      <c r="J81" s="38"/>
      <c r="K81" s="37"/>
      <c r="L81" s="39">
        <f>Source!U39</f>
        <v>2.0463559999999998</v>
      </c>
    </row>
    <row r="82" spans="1:26" ht="15" x14ac:dyDescent="0.25">
      <c r="G82" s="70">
        <f>H78+H79+H80</f>
        <v>39.58</v>
      </c>
      <c r="H82" s="70"/>
      <c r="J82" s="70">
        <f>K78+K79+K80</f>
        <v>259.70999999999998</v>
      </c>
      <c r="K82" s="70"/>
      <c r="L82" s="40">
        <f>Source!U39</f>
        <v>2.0463559999999998</v>
      </c>
      <c r="O82" s="24">
        <f>G82</f>
        <v>39.58</v>
      </c>
      <c r="P82" s="24">
        <f>J82</f>
        <v>259.70999999999998</v>
      </c>
      <c r="Q82" s="24">
        <f>L82</f>
        <v>2.0463559999999998</v>
      </c>
      <c r="W82">
        <f>IF(Source!BI39&lt;=1,H78+H79+H80, 0)</f>
        <v>39.58</v>
      </c>
      <c r="X82">
        <f>IF(Source!BI39=2,H78+H79+H80, 0)</f>
        <v>0</v>
      </c>
      <c r="Y82">
        <f>IF(Source!BI39=3,H78+H79+H80, 0)</f>
        <v>0</v>
      </c>
      <c r="Z82">
        <f>IF(Source!BI39=4,H78+H79+H80, 0)</f>
        <v>0</v>
      </c>
    </row>
    <row r="83" spans="1:26" ht="28.5" x14ac:dyDescent="0.2">
      <c r="A83" s="45" t="str">
        <f>Source!E40</f>
        <v>7</v>
      </c>
      <c r="B83" s="46" t="str">
        <f>Source!F40</f>
        <v>57-2-1</v>
      </c>
      <c r="C83" s="46" t="str">
        <f>Source!G40</f>
        <v>Разборка покрытий полов из линолеума и релина</v>
      </c>
      <c r="D83" s="29" t="str">
        <f>Source!H40</f>
        <v>100 м2</v>
      </c>
      <c r="E83" s="11">
        <f>Source!I40</f>
        <v>1.0109999999999999</v>
      </c>
      <c r="F83" s="30">
        <f>Source!AL40+Source!AM40+Source!AO40</f>
        <v>92.9</v>
      </c>
      <c r="G83" s="31"/>
      <c r="H83" s="30"/>
      <c r="I83" s="31" t="str">
        <f>Source!BO40</f>
        <v/>
      </c>
      <c r="J83" s="31"/>
      <c r="K83" s="30"/>
      <c r="L83" s="32"/>
      <c r="S83">
        <f>ROUND((Source!FX40/100)*((ROUND(Source!AF40*Source!I40, 2)+ROUND(Source!AE40*Source!I40, 2))), 2)</f>
        <v>73.28</v>
      </c>
      <c r="T83">
        <f>Source!X40</f>
        <v>480.7</v>
      </c>
      <c r="U83">
        <f>ROUND((Source!FY40/100)*((ROUND(Source!AF40*Source!I40, 2)+ROUND(Source!AE40*Source!I40, 2))), 2)</f>
        <v>62.29</v>
      </c>
      <c r="V83">
        <f>Source!Y40</f>
        <v>408.59</v>
      </c>
    </row>
    <row r="84" spans="1:26" x14ac:dyDescent="0.2">
      <c r="C84" s="23" t="str">
        <f>"Объем: "&amp;Source!I40&amp;"=101,1/"&amp;"100"</f>
        <v>Объем: 1,011=101,1/100</v>
      </c>
    </row>
    <row r="85" spans="1:26" ht="14.25" x14ac:dyDescent="0.2">
      <c r="A85" s="45"/>
      <c r="B85" s="46"/>
      <c r="C85" s="46" t="s">
        <v>1636</v>
      </c>
      <c r="D85" s="29"/>
      <c r="E85" s="11"/>
      <c r="F85" s="30">
        <f>Source!AO40</f>
        <v>88.84</v>
      </c>
      <c r="G85" s="31" t="str">
        <f>Source!DG40</f>
        <v/>
      </c>
      <c r="H85" s="30">
        <f>ROUND(Source!AF40*Source!I40, 2)</f>
        <v>89.82</v>
      </c>
      <c r="I85" s="31"/>
      <c r="J85" s="31">
        <f>IF(Source!BA40&lt;&gt; 0, Source!BA40, 1)</f>
        <v>6.56</v>
      </c>
      <c r="K85" s="30">
        <f>Source!S40</f>
        <v>589.20000000000005</v>
      </c>
      <c r="L85" s="32"/>
      <c r="R85">
        <f>H85</f>
        <v>89.82</v>
      </c>
    </row>
    <row r="86" spans="1:26" ht="14.25" x14ac:dyDescent="0.2">
      <c r="A86" s="45"/>
      <c r="B86" s="46"/>
      <c r="C86" s="46" t="s">
        <v>136</v>
      </c>
      <c r="D86" s="29"/>
      <c r="E86" s="11"/>
      <c r="F86" s="30">
        <f>Source!AM40</f>
        <v>4.0599999999999996</v>
      </c>
      <c r="G86" s="31" t="str">
        <f>Source!DE40</f>
        <v/>
      </c>
      <c r="H86" s="30">
        <f>ROUND(Source!AD40*Source!I40, 2)</f>
        <v>4.0999999999999996</v>
      </c>
      <c r="I86" s="31"/>
      <c r="J86" s="31">
        <f>IF(Source!BB40&lt;&gt; 0, Source!BB40, 1)</f>
        <v>6.56</v>
      </c>
      <c r="K86" s="30">
        <f>Source!Q40</f>
        <v>26.93</v>
      </c>
      <c r="L86" s="32"/>
    </row>
    <row r="87" spans="1:26" ht="14.25" x14ac:dyDescent="0.2">
      <c r="A87" s="45"/>
      <c r="B87" s="46"/>
      <c r="C87" s="46" t="s">
        <v>1637</v>
      </c>
      <c r="D87" s="29"/>
      <c r="E87" s="11"/>
      <c r="F87" s="30">
        <f>Source!AN40</f>
        <v>1.76</v>
      </c>
      <c r="G87" s="31" t="str">
        <f>Source!DF40</f>
        <v/>
      </c>
      <c r="H87" s="33">
        <f>ROUND(Source!AE40*Source!I40, 2)</f>
        <v>1.78</v>
      </c>
      <c r="I87" s="31"/>
      <c r="J87" s="31">
        <f>IF(Source!BS40&lt;&gt; 0, Source!BS40, 1)</f>
        <v>6.56</v>
      </c>
      <c r="K87" s="33">
        <f>Source!R40</f>
        <v>11.67</v>
      </c>
      <c r="L87" s="32"/>
      <c r="R87">
        <f>H87</f>
        <v>1.78</v>
      </c>
    </row>
    <row r="88" spans="1:26" ht="14.25" x14ac:dyDescent="0.2">
      <c r="A88" s="45"/>
      <c r="B88" s="46"/>
      <c r="C88" s="46" t="s">
        <v>1638</v>
      </c>
      <c r="D88" s="29" t="s">
        <v>1639</v>
      </c>
      <c r="E88" s="11">
        <f>Source!BZ40</f>
        <v>80</v>
      </c>
      <c r="F88" s="49"/>
      <c r="G88" s="31"/>
      <c r="H88" s="30">
        <f>SUM(S83:S91)</f>
        <v>73.28</v>
      </c>
      <c r="I88" s="34"/>
      <c r="J88" s="27">
        <f>Source!AT40</f>
        <v>80</v>
      </c>
      <c r="K88" s="30">
        <f>SUM(T83:T91)</f>
        <v>480.7</v>
      </c>
      <c r="L88" s="32"/>
    </row>
    <row r="89" spans="1:26" ht="14.25" x14ac:dyDescent="0.2">
      <c r="A89" s="45"/>
      <c r="B89" s="46"/>
      <c r="C89" s="46" t="s">
        <v>1640</v>
      </c>
      <c r="D89" s="29" t="s">
        <v>1639</v>
      </c>
      <c r="E89" s="11">
        <f>Source!CA40</f>
        <v>68</v>
      </c>
      <c r="F89" s="49"/>
      <c r="G89" s="31"/>
      <c r="H89" s="30">
        <f>SUM(U83:U91)</f>
        <v>62.29</v>
      </c>
      <c r="I89" s="34"/>
      <c r="J89" s="27">
        <f>Source!AU40</f>
        <v>68</v>
      </c>
      <c r="K89" s="30">
        <f>SUM(V83:V91)</f>
        <v>408.59</v>
      </c>
      <c r="L89" s="32"/>
    </row>
    <row r="90" spans="1:26" ht="14.25" x14ac:dyDescent="0.2">
      <c r="A90" s="45"/>
      <c r="B90" s="46"/>
      <c r="C90" s="46" t="s">
        <v>1641</v>
      </c>
      <c r="D90" s="29" t="s">
        <v>1642</v>
      </c>
      <c r="E90" s="11">
        <f>Source!AQ40</f>
        <v>11.39</v>
      </c>
      <c r="F90" s="30"/>
      <c r="G90" s="31" t="str">
        <f>Source!DI40</f>
        <v/>
      </c>
      <c r="H90" s="30"/>
      <c r="I90" s="31"/>
      <c r="J90" s="31"/>
      <c r="K90" s="30"/>
      <c r="L90" s="41">
        <f>Source!U40</f>
        <v>11.51529</v>
      </c>
    </row>
    <row r="91" spans="1:26" ht="14.25" x14ac:dyDescent="0.2">
      <c r="A91" s="47" t="str">
        <f>Source!E41</f>
        <v>7,1</v>
      </c>
      <c r="B91" s="48" t="str">
        <f>Source!F41</f>
        <v>01.7.07.07</v>
      </c>
      <c r="C91" s="48" t="str">
        <f>Source!G41</f>
        <v>Строительный мусор</v>
      </c>
      <c r="D91" s="35" t="str">
        <f>Source!H41</f>
        <v>т</v>
      </c>
      <c r="E91" s="36">
        <f>Source!I41</f>
        <v>0.47516999999999998</v>
      </c>
      <c r="F91" s="37">
        <f>Source!AL41+Source!AM41+Source!AO41</f>
        <v>0</v>
      </c>
      <c r="G91" s="43" t="s">
        <v>6</v>
      </c>
      <c r="H91" s="37">
        <f>ROUND(Source!AC41*Source!I41, 2)+ROUND(Source!AD41*Source!I41, 2)+ROUND(Source!AF41*Source!I41, 2)</f>
        <v>0</v>
      </c>
      <c r="I91" s="38"/>
      <c r="J91" s="38">
        <f>IF(Source!BC41&lt;&gt; 0, Source!BC41, 1)</f>
        <v>6.56</v>
      </c>
      <c r="K91" s="37">
        <f>Source!O41</f>
        <v>0</v>
      </c>
      <c r="L91" s="44"/>
      <c r="S91">
        <f>ROUND((Source!FX41/100)*((ROUND(Source!AF41*Source!I41, 2)+ROUND(Source!AE41*Source!I41, 2))), 2)</f>
        <v>0</v>
      </c>
      <c r="T91">
        <f>Source!X41</f>
        <v>0</v>
      </c>
      <c r="U91">
        <f>ROUND((Source!FY41/100)*((ROUND(Source!AF41*Source!I41, 2)+ROUND(Source!AE41*Source!I41, 2))), 2)</f>
        <v>0</v>
      </c>
      <c r="V91">
        <f>Source!Y41</f>
        <v>0</v>
      </c>
      <c r="W91">
        <f>IF(Source!BI41&lt;=1,H91, 0)</f>
        <v>0</v>
      </c>
      <c r="X91">
        <f>IF(Source!BI41=2,H91, 0)</f>
        <v>0</v>
      </c>
      <c r="Y91">
        <f>IF(Source!BI41=3,H91, 0)</f>
        <v>0</v>
      </c>
      <c r="Z91">
        <f>IF(Source!BI41=4,H91, 0)</f>
        <v>0</v>
      </c>
    </row>
    <row r="92" spans="1:26" ht="15" x14ac:dyDescent="0.25">
      <c r="G92" s="70">
        <f>H85+H86+H88+H89+SUM(H91:H91)</f>
        <v>229.48999999999998</v>
      </c>
      <c r="H92" s="70"/>
      <c r="J92" s="70">
        <f>K85+K86+K88+K89+SUM(K91:K91)</f>
        <v>1505.4199999999998</v>
      </c>
      <c r="K92" s="70"/>
      <c r="L92" s="40">
        <f>Source!U40</f>
        <v>11.51529</v>
      </c>
      <c r="O92" s="24">
        <f>G92</f>
        <v>229.48999999999998</v>
      </c>
      <c r="P92" s="24">
        <f>J92</f>
        <v>1505.4199999999998</v>
      </c>
      <c r="Q92" s="24">
        <f>L92</f>
        <v>11.51529</v>
      </c>
      <c r="W92">
        <f>IF(Source!BI40&lt;=1,H85+H86+H88+H89, 0)</f>
        <v>229.48999999999998</v>
      </c>
      <c r="X92">
        <f>IF(Source!BI40=2,H85+H86+H88+H89, 0)</f>
        <v>0</v>
      </c>
      <c r="Y92">
        <f>IF(Source!BI40=3,H85+H86+H88+H89, 0)</f>
        <v>0</v>
      </c>
      <c r="Z92">
        <f>IF(Source!BI40=4,H85+H86+H88+H89, 0)</f>
        <v>0</v>
      </c>
    </row>
    <row r="93" spans="1:26" ht="42.75" x14ac:dyDescent="0.2">
      <c r="A93" s="45" t="str">
        <f>Source!E42</f>
        <v>8</v>
      </c>
      <c r="B93" s="46" t="str">
        <f>Source!F42</f>
        <v>57-1-3</v>
      </c>
      <c r="C93" s="46" t="str">
        <f>Source!G42</f>
        <v>Разборка оснований покрытия полов простильных полов(деревянные,подиум)</v>
      </c>
      <c r="D93" s="29" t="str">
        <f>Source!H42</f>
        <v>100 м2</v>
      </c>
      <c r="E93" s="11">
        <f>Source!I42</f>
        <v>1.1116999999999999</v>
      </c>
      <c r="F93" s="30">
        <f>Source!AL42+Source!AM42+Source!AO42</f>
        <v>136.03</v>
      </c>
      <c r="G93" s="31"/>
      <c r="H93" s="30"/>
      <c r="I93" s="31" t="str">
        <f>Source!BO42</f>
        <v/>
      </c>
      <c r="J93" s="31"/>
      <c r="K93" s="30"/>
      <c r="L93" s="32"/>
      <c r="S93">
        <f>ROUND((Source!FX42/100)*((ROUND(Source!AF42*Source!I42, 2)+ROUND(Source!AE42*Source!I42, 2))), 2)</f>
        <v>120.98</v>
      </c>
      <c r="T93">
        <f>Source!X42</f>
        <v>793.62</v>
      </c>
      <c r="U93">
        <f>ROUND((Source!FY42/100)*((ROUND(Source!AF42*Source!I42, 2)+ROUND(Source!AE42*Source!I42, 2))), 2)</f>
        <v>102.83</v>
      </c>
      <c r="V93">
        <f>Source!Y42</f>
        <v>674.58</v>
      </c>
    </row>
    <row r="94" spans="1:26" x14ac:dyDescent="0.2">
      <c r="C94" s="23" t="str">
        <f>"Объем: "&amp;Source!I42&amp;"=111,17/"&amp;"100"</f>
        <v>Объем: 1,1117=111,17/100</v>
      </c>
    </row>
    <row r="95" spans="1:26" ht="14.25" x14ac:dyDescent="0.2">
      <c r="A95" s="45"/>
      <c r="B95" s="46"/>
      <c r="C95" s="46" t="s">
        <v>1636</v>
      </c>
      <c r="D95" s="29"/>
      <c r="E95" s="11"/>
      <c r="F95" s="30">
        <f>Source!AO42</f>
        <v>136.03</v>
      </c>
      <c r="G95" s="31" t="str">
        <f>Source!DG42</f>
        <v/>
      </c>
      <c r="H95" s="30">
        <f>ROUND(Source!AF42*Source!I42, 2)</f>
        <v>151.22</v>
      </c>
      <c r="I95" s="31"/>
      <c r="J95" s="31">
        <f>IF(Source!BA42&lt;&gt; 0, Source!BA42, 1)</f>
        <v>6.56</v>
      </c>
      <c r="K95" s="30">
        <f>Source!S42</f>
        <v>992.03</v>
      </c>
      <c r="L95" s="32"/>
      <c r="R95">
        <f>H95</f>
        <v>151.22</v>
      </c>
    </row>
    <row r="96" spans="1:26" ht="14.25" x14ac:dyDescent="0.2">
      <c r="A96" s="45"/>
      <c r="B96" s="46"/>
      <c r="C96" s="46" t="s">
        <v>1638</v>
      </c>
      <c r="D96" s="29" t="s">
        <v>1639</v>
      </c>
      <c r="E96" s="11">
        <f>Source!BZ42</f>
        <v>80</v>
      </c>
      <c r="F96" s="49"/>
      <c r="G96" s="31"/>
      <c r="H96" s="30">
        <f>SUM(S93:S98)</f>
        <v>120.98</v>
      </c>
      <c r="I96" s="34"/>
      <c r="J96" s="27">
        <f>Source!AT42</f>
        <v>80</v>
      </c>
      <c r="K96" s="30">
        <f>SUM(T93:T98)</f>
        <v>793.62</v>
      </c>
      <c r="L96" s="32"/>
    </row>
    <row r="97" spans="1:26" ht="14.25" x14ac:dyDescent="0.2">
      <c r="A97" s="45"/>
      <c r="B97" s="46"/>
      <c r="C97" s="46" t="s">
        <v>1640</v>
      </c>
      <c r="D97" s="29" t="s">
        <v>1639</v>
      </c>
      <c r="E97" s="11">
        <f>Source!CA42</f>
        <v>68</v>
      </c>
      <c r="F97" s="49"/>
      <c r="G97" s="31"/>
      <c r="H97" s="30">
        <f>SUM(U93:U98)</f>
        <v>102.83</v>
      </c>
      <c r="I97" s="34"/>
      <c r="J97" s="27">
        <f>Source!AU42</f>
        <v>68</v>
      </c>
      <c r="K97" s="30">
        <f>SUM(V93:V98)</f>
        <v>674.58</v>
      </c>
      <c r="L97" s="32"/>
    </row>
    <row r="98" spans="1:26" ht="14.25" x14ac:dyDescent="0.2">
      <c r="A98" s="47"/>
      <c r="B98" s="48"/>
      <c r="C98" s="48" t="s">
        <v>1641</v>
      </c>
      <c r="D98" s="35" t="s">
        <v>1642</v>
      </c>
      <c r="E98" s="36">
        <f>Source!AQ42</f>
        <v>17.440000000000001</v>
      </c>
      <c r="F98" s="37"/>
      <c r="G98" s="38" t="str">
        <f>Source!DI42</f>
        <v/>
      </c>
      <c r="H98" s="37"/>
      <c r="I98" s="38"/>
      <c r="J98" s="38"/>
      <c r="K98" s="37"/>
      <c r="L98" s="39">
        <f>Source!U42</f>
        <v>19.388048000000001</v>
      </c>
    </row>
    <row r="99" spans="1:26" ht="15" x14ac:dyDescent="0.25">
      <c r="G99" s="70">
        <f>H95+H96+H97</f>
        <v>375.03</v>
      </c>
      <c r="H99" s="70"/>
      <c r="J99" s="70">
        <f>K95+K96+K97</f>
        <v>2460.23</v>
      </c>
      <c r="K99" s="70"/>
      <c r="L99" s="40">
        <f>Source!U42</f>
        <v>19.388048000000001</v>
      </c>
      <c r="O99" s="24">
        <f>G99</f>
        <v>375.03</v>
      </c>
      <c r="P99" s="24">
        <f>J99</f>
        <v>2460.23</v>
      </c>
      <c r="Q99" s="24">
        <f>L99</f>
        <v>19.388048000000001</v>
      </c>
      <c r="W99">
        <f>IF(Source!BI42&lt;=1,H95+H96+H97, 0)</f>
        <v>375.03</v>
      </c>
      <c r="X99">
        <f>IF(Source!BI42=2,H95+H96+H97, 0)</f>
        <v>0</v>
      </c>
      <c r="Y99">
        <f>IF(Source!BI42=3,H95+H96+H97, 0)</f>
        <v>0</v>
      </c>
      <c r="Z99">
        <f>IF(Source!BI42=4,H95+H96+H97, 0)</f>
        <v>0</v>
      </c>
    </row>
    <row r="100" spans="1:26" ht="28.5" x14ac:dyDescent="0.2">
      <c r="A100" s="45" t="str">
        <f>Source!E43</f>
        <v>9</v>
      </c>
      <c r="B100" s="46" t="str">
        <f>Source!F43</f>
        <v>57-2-3 прим.</v>
      </c>
      <c r="C100" s="46" t="str">
        <f>Source!G43</f>
        <v>Разборка покрытий полов из керамических плиток (керамогранит)</v>
      </c>
      <c r="D100" s="29" t="str">
        <f>Source!H43</f>
        <v>100 м2</v>
      </c>
      <c r="E100" s="11">
        <f>Source!I43</f>
        <v>0.111</v>
      </c>
      <c r="F100" s="30">
        <f>Source!AL43+Source!AM43+Source!AO43</f>
        <v>641</v>
      </c>
      <c r="G100" s="31"/>
      <c r="H100" s="30"/>
      <c r="I100" s="31" t="str">
        <f>Source!BO43</f>
        <v/>
      </c>
      <c r="J100" s="31"/>
      <c r="K100" s="30"/>
      <c r="L100" s="32"/>
      <c r="S100">
        <f>ROUND((Source!FX43/100)*((ROUND(Source!AF43*Source!I43, 2)+ROUND(Source!AE43*Source!I43, 2))), 2)</f>
        <v>54.65</v>
      </c>
      <c r="T100">
        <f>Source!X43</f>
        <v>358.51</v>
      </c>
      <c r="U100">
        <f>ROUND((Source!FY43/100)*((ROUND(Source!AF43*Source!I43, 2)+ROUND(Source!AE43*Source!I43, 2))), 2)</f>
        <v>46.45</v>
      </c>
      <c r="V100">
        <f>Source!Y43</f>
        <v>304.74</v>
      </c>
    </row>
    <row r="101" spans="1:26" x14ac:dyDescent="0.2">
      <c r="C101" s="23" t="str">
        <f>"Объем: "&amp;Source!I43&amp;"=11,1/"&amp;"100"</f>
        <v>Объем: 0,111=11,1/100</v>
      </c>
    </row>
    <row r="102" spans="1:26" ht="14.25" x14ac:dyDescent="0.2">
      <c r="A102" s="45"/>
      <c r="B102" s="46"/>
      <c r="C102" s="46" t="s">
        <v>1636</v>
      </c>
      <c r="D102" s="29"/>
      <c r="E102" s="11"/>
      <c r="F102" s="30">
        <f>Source!AO43</f>
        <v>595.99</v>
      </c>
      <c r="G102" s="31" t="str">
        <f>Source!DG43</f>
        <v/>
      </c>
      <c r="H102" s="30">
        <f>ROUND(Source!AF43*Source!I43, 2)</f>
        <v>66.150000000000006</v>
      </c>
      <c r="I102" s="31"/>
      <c r="J102" s="31">
        <f>IF(Source!BA43&lt;&gt; 0, Source!BA43, 1)</f>
        <v>6.56</v>
      </c>
      <c r="K102" s="30">
        <f>Source!S43</f>
        <v>433.98</v>
      </c>
      <c r="L102" s="32"/>
      <c r="R102">
        <f>H102</f>
        <v>66.150000000000006</v>
      </c>
    </row>
    <row r="103" spans="1:26" ht="14.25" x14ac:dyDescent="0.2">
      <c r="A103" s="45"/>
      <c r="B103" s="46"/>
      <c r="C103" s="46" t="s">
        <v>136</v>
      </c>
      <c r="D103" s="29"/>
      <c r="E103" s="11"/>
      <c r="F103" s="30">
        <f>Source!AM43</f>
        <v>45.01</v>
      </c>
      <c r="G103" s="31" t="str">
        <f>Source!DE43</f>
        <v/>
      </c>
      <c r="H103" s="30">
        <f>ROUND(Source!AD43*Source!I43, 2)</f>
        <v>5</v>
      </c>
      <c r="I103" s="31"/>
      <c r="J103" s="31">
        <f>IF(Source!BB43&lt;&gt; 0, Source!BB43, 1)</f>
        <v>6.56</v>
      </c>
      <c r="K103" s="30">
        <f>Source!Q43</f>
        <v>32.770000000000003</v>
      </c>
      <c r="L103" s="32"/>
    </row>
    <row r="104" spans="1:26" ht="14.25" x14ac:dyDescent="0.2">
      <c r="A104" s="45"/>
      <c r="B104" s="46"/>
      <c r="C104" s="46" t="s">
        <v>1637</v>
      </c>
      <c r="D104" s="29"/>
      <c r="E104" s="11"/>
      <c r="F104" s="30">
        <f>Source!AN43</f>
        <v>19.440000000000001</v>
      </c>
      <c r="G104" s="31" t="str">
        <f>Source!DF43</f>
        <v/>
      </c>
      <c r="H104" s="33">
        <f>ROUND(Source!AE43*Source!I43, 2)</f>
        <v>2.16</v>
      </c>
      <c r="I104" s="31"/>
      <c r="J104" s="31">
        <f>IF(Source!BS43&lt;&gt; 0, Source!BS43, 1)</f>
        <v>6.56</v>
      </c>
      <c r="K104" s="33">
        <f>Source!R43</f>
        <v>14.16</v>
      </c>
      <c r="L104" s="32"/>
      <c r="R104">
        <f>H104</f>
        <v>2.16</v>
      </c>
    </row>
    <row r="105" spans="1:26" ht="14.25" x14ac:dyDescent="0.2">
      <c r="A105" s="45"/>
      <c r="B105" s="46"/>
      <c r="C105" s="46" t="s">
        <v>1638</v>
      </c>
      <c r="D105" s="29" t="s">
        <v>1639</v>
      </c>
      <c r="E105" s="11">
        <f>Source!BZ43</f>
        <v>80</v>
      </c>
      <c r="F105" s="49"/>
      <c r="G105" s="31"/>
      <c r="H105" s="30">
        <f>SUM(S100:S107)</f>
        <v>54.65</v>
      </c>
      <c r="I105" s="34"/>
      <c r="J105" s="27">
        <f>Source!AT43</f>
        <v>80</v>
      </c>
      <c r="K105" s="30">
        <f>SUM(T100:T107)</f>
        <v>358.51</v>
      </c>
      <c r="L105" s="32"/>
    </row>
    <row r="106" spans="1:26" ht="14.25" x14ac:dyDescent="0.2">
      <c r="A106" s="45"/>
      <c r="B106" s="46"/>
      <c r="C106" s="46" t="s">
        <v>1640</v>
      </c>
      <c r="D106" s="29" t="s">
        <v>1639</v>
      </c>
      <c r="E106" s="11">
        <f>Source!CA43</f>
        <v>68</v>
      </c>
      <c r="F106" s="49"/>
      <c r="G106" s="31"/>
      <c r="H106" s="30">
        <f>SUM(U100:U107)</f>
        <v>46.45</v>
      </c>
      <c r="I106" s="34"/>
      <c r="J106" s="27">
        <f>Source!AU43</f>
        <v>68</v>
      </c>
      <c r="K106" s="30">
        <f>SUM(V100:V107)</f>
        <v>304.74</v>
      </c>
      <c r="L106" s="32"/>
    </row>
    <row r="107" spans="1:26" ht="14.25" x14ac:dyDescent="0.2">
      <c r="A107" s="47"/>
      <c r="B107" s="48"/>
      <c r="C107" s="48" t="s">
        <v>1641</v>
      </c>
      <c r="D107" s="35" t="s">
        <v>1642</v>
      </c>
      <c r="E107" s="36">
        <f>Source!AQ43</f>
        <v>69.87</v>
      </c>
      <c r="F107" s="37"/>
      <c r="G107" s="38" t="str">
        <f>Source!DI43</f>
        <v/>
      </c>
      <c r="H107" s="37"/>
      <c r="I107" s="38"/>
      <c r="J107" s="38"/>
      <c r="K107" s="37"/>
      <c r="L107" s="39">
        <f>Source!U43</f>
        <v>7.7555700000000005</v>
      </c>
    </row>
    <row r="108" spans="1:26" ht="15" x14ac:dyDescent="0.25">
      <c r="G108" s="70">
        <f>H102+H103+H105+H106</f>
        <v>172.25</v>
      </c>
      <c r="H108" s="70"/>
      <c r="J108" s="70">
        <f>K102+K103+K105+K106</f>
        <v>1130</v>
      </c>
      <c r="K108" s="70"/>
      <c r="L108" s="40">
        <f>Source!U43</f>
        <v>7.7555700000000005</v>
      </c>
      <c r="O108" s="24">
        <f>G108</f>
        <v>172.25</v>
      </c>
      <c r="P108" s="24">
        <f>J108</f>
        <v>1130</v>
      </c>
      <c r="Q108" s="24">
        <f>L108</f>
        <v>7.7555700000000005</v>
      </c>
      <c r="W108">
        <f>IF(Source!BI43&lt;=1,H102+H103+H105+H106, 0)</f>
        <v>172.25</v>
      </c>
      <c r="X108">
        <f>IF(Source!BI43=2,H102+H103+H105+H106, 0)</f>
        <v>0</v>
      </c>
      <c r="Y108">
        <f>IF(Source!BI43=3,H102+H103+H105+H106, 0)</f>
        <v>0</v>
      </c>
      <c r="Z108">
        <f>IF(Source!BI43=4,H102+H103+H105+H106, 0)</f>
        <v>0</v>
      </c>
    </row>
    <row r="109" spans="1:26" ht="28.5" x14ac:dyDescent="0.2">
      <c r="A109" s="45" t="str">
        <f>Source!E44</f>
        <v>10</v>
      </c>
      <c r="B109" s="46" t="str">
        <f>Source!F44</f>
        <v>63-7-5</v>
      </c>
      <c r="C109" s="46" t="str">
        <f>Source!G44</f>
        <v>Разборка облицовки стен из керамических глазурованных плиток</v>
      </c>
      <c r="D109" s="29" t="str">
        <f>Source!H44</f>
        <v>100 м2</v>
      </c>
      <c r="E109" s="11">
        <f>Source!I44</f>
        <v>0.50600000000000001</v>
      </c>
      <c r="F109" s="30">
        <f>Source!AL44+Source!AM44+Source!AO44</f>
        <v>654</v>
      </c>
      <c r="G109" s="31"/>
      <c r="H109" s="30"/>
      <c r="I109" s="31" t="str">
        <f>Source!BO44</f>
        <v/>
      </c>
      <c r="J109" s="31"/>
      <c r="K109" s="30"/>
      <c r="L109" s="32"/>
      <c r="S109">
        <f>ROUND((Source!FX44/100)*((ROUND(Source!AF44*Source!I44, 2)+ROUND(Source!AE44*Source!I44, 2))), 2)</f>
        <v>229.67</v>
      </c>
      <c r="T109">
        <f>Source!X44</f>
        <v>1506.63</v>
      </c>
      <c r="U109">
        <f>ROUND((Source!FY44/100)*((ROUND(Source!AF44*Source!I44, 2)+ROUND(Source!AE44*Source!I44, 2))), 2)</f>
        <v>149.13999999999999</v>
      </c>
      <c r="V109">
        <f>Source!Y44</f>
        <v>978.33</v>
      </c>
    </row>
    <row r="110" spans="1:26" x14ac:dyDescent="0.2">
      <c r="C110" s="23" t="str">
        <f>"Объем: "&amp;Source!I44&amp;"=50,6/"&amp;"100"</f>
        <v>Объем: 0,506=50,6/100</v>
      </c>
    </row>
    <row r="111" spans="1:26" ht="14.25" x14ac:dyDescent="0.2">
      <c r="A111" s="45"/>
      <c r="B111" s="46"/>
      <c r="C111" s="46" t="s">
        <v>1636</v>
      </c>
      <c r="D111" s="29"/>
      <c r="E111" s="11"/>
      <c r="F111" s="30">
        <f>Source!AO44</f>
        <v>584.74</v>
      </c>
      <c r="G111" s="31" t="str">
        <f>Source!DG44</f>
        <v/>
      </c>
      <c r="H111" s="30">
        <f>ROUND(Source!AF44*Source!I44, 2)</f>
        <v>295.88</v>
      </c>
      <c r="I111" s="31"/>
      <c r="J111" s="31">
        <f>IF(Source!BA44&lt;&gt; 0, Source!BA44, 1)</f>
        <v>6.56</v>
      </c>
      <c r="K111" s="30">
        <f>Source!S44</f>
        <v>1940.96</v>
      </c>
      <c r="L111" s="32"/>
      <c r="R111">
        <f>H111</f>
        <v>295.88</v>
      </c>
    </row>
    <row r="112" spans="1:26" ht="14.25" x14ac:dyDescent="0.2">
      <c r="A112" s="45"/>
      <c r="B112" s="46"/>
      <c r="C112" s="46" t="s">
        <v>136</v>
      </c>
      <c r="D112" s="29"/>
      <c r="E112" s="11"/>
      <c r="F112" s="30">
        <f>Source!AM44</f>
        <v>69.260000000000005</v>
      </c>
      <c r="G112" s="31" t="str">
        <f>Source!DE44</f>
        <v/>
      </c>
      <c r="H112" s="30">
        <f>ROUND(Source!AD44*Source!I44, 2)</f>
        <v>35.049999999999997</v>
      </c>
      <c r="I112" s="31"/>
      <c r="J112" s="31">
        <f>IF(Source!BB44&lt;&gt; 0, Source!BB44, 1)</f>
        <v>6.56</v>
      </c>
      <c r="K112" s="30">
        <f>Source!Q44</f>
        <v>229.9</v>
      </c>
      <c r="L112" s="32"/>
    </row>
    <row r="113" spans="1:26" ht="14.25" x14ac:dyDescent="0.2">
      <c r="A113" s="45"/>
      <c r="B113" s="46"/>
      <c r="C113" s="46" t="s">
        <v>1637</v>
      </c>
      <c r="D113" s="29"/>
      <c r="E113" s="11"/>
      <c r="F113" s="30">
        <f>Source!AN44</f>
        <v>4.7300000000000004</v>
      </c>
      <c r="G113" s="31" t="str">
        <f>Source!DF44</f>
        <v/>
      </c>
      <c r="H113" s="33">
        <f>ROUND(Source!AE44*Source!I44, 2)</f>
        <v>2.39</v>
      </c>
      <c r="I113" s="31"/>
      <c r="J113" s="31">
        <f>IF(Source!BS44&lt;&gt; 0, Source!BS44, 1)</f>
        <v>6.56</v>
      </c>
      <c r="K113" s="33">
        <f>Source!R44</f>
        <v>15.7</v>
      </c>
      <c r="L113" s="32"/>
      <c r="R113">
        <f>H113</f>
        <v>2.39</v>
      </c>
    </row>
    <row r="114" spans="1:26" ht="14.25" x14ac:dyDescent="0.2">
      <c r="A114" s="45"/>
      <c r="B114" s="46"/>
      <c r="C114" s="46" t="s">
        <v>1638</v>
      </c>
      <c r="D114" s="29" t="s">
        <v>1639</v>
      </c>
      <c r="E114" s="11">
        <f>Source!BZ44</f>
        <v>77</v>
      </c>
      <c r="F114" s="49"/>
      <c r="G114" s="31"/>
      <c r="H114" s="30">
        <f>SUM(S109:S116)</f>
        <v>229.67</v>
      </c>
      <c r="I114" s="34"/>
      <c r="J114" s="27">
        <f>Source!AT44</f>
        <v>77</v>
      </c>
      <c r="K114" s="30">
        <f>SUM(T109:T116)</f>
        <v>1506.63</v>
      </c>
      <c r="L114" s="32"/>
    </row>
    <row r="115" spans="1:26" ht="14.25" x14ac:dyDescent="0.2">
      <c r="A115" s="45"/>
      <c r="B115" s="46"/>
      <c r="C115" s="46" t="s">
        <v>1640</v>
      </c>
      <c r="D115" s="29" t="s">
        <v>1639</v>
      </c>
      <c r="E115" s="11">
        <f>Source!CA44</f>
        <v>50</v>
      </c>
      <c r="F115" s="49"/>
      <c r="G115" s="31"/>
      <c r="H115" s="30">
        <f>SUM(U109:U116)</f>
        <v>149.13999999999999</v>
      </c>
      <c r="I115" s="34"/>
      <c r="J115" s="27">
        <f>Source!AU44</f>
        <v>50</v>
      </c>
      <c r="K115" s="30">
        <f>SUM(V109:V116)</f>
        <v>978.33</v>
      </c>
      <c r="L115" s="32"/>
    </row>
    <row r="116" spans="1:26" ht="14.25" x14ac:dyDescent="0.2">
      <c r="A116" s="47"/>
      <c r="B116" s="48"/>
      <c r="C116" s="48" t="s">
        <v>1641</v>
      </c>
      <c r="D116" s="35" t="s">
        <v>1642</v>
      </c>
      <c r="E116" s="36">
        <f>Source!AQ44</f>
        <v>74.3</v>
      </c>
      <c r="F116" s="37"/>
      <c r="G116" s="38" t="str">
        <f>Source!DI44</f>
        <v/>
      </c>
      <c r="H116" s="37"/>
      <c r="I116" s="38"/>
      <c r="J116" s="38"/>
      <c r="K116" s="37"/>
      <c r="L116" s="39">
        <f>Source!U44</f>
        <v>37.595799999999997</v>
      </c>
    </row>
    <row r="117" spans="1:26" ht="15" x14ac:dyDescent="0.25">
      <c r="G117" s="70">
        <f>H111+H112+H114+H115</f>
        <v>709.74</v>
      </c>
      <c r="H117" s="70"/>
      <c r="J117" s="70">
        <f>K111+K112+K114+K115</f>
        <v>4655.8200000000006</v>
      </c>
      <c r="K117" s="70"/>
      <c r="L117" s="40">
        <f>Source!U44</f>
        <v>37.595799999999997</v>
      </c>
      <c r="O117" s="24">
        <f>G117</f>
        <v>709.74</v>
      </c>
      <c r="P117" s="24">
        <f>J117</f>
        <v>4655.8200000000006</v>
      </c>
      <c r="Q117" s="24">
        <f>L117</f>
        <v>37.595799999999997</v>
      </c>
      <c r="W117">
        <f>IF(Source!BI44&lt;=1,H111+H112+H114+H115, 0)</f>
        <v>709.74</v>
      </c>
      <c r="X117">
        <f>IF(Source!BI44=2,H111+H112+H114+H115, 0)</f>
        <v>0</v>
      </c>
      <c r="Y117">
        <f>IF(Source!BI44=3,H111+H112+H114+H115, 0)</f>
        <v>0</v>
      </c>
      <c r="Z117">
        <f>IF(Source!BI44=4,H111+H112+H114+H115, 0)</f>
        <v>0</v>
      </c>
    </row>
    <row r="118" spans="1:26" ht="28.5" x14ac:dyDescent="0.2">
      <c r="A118" s="45" t="str">
        <f>Source!E45</f>
        <v>11</v>
      </c>
      <c r="B118" s="46" t="str">
        <f>Source!F45</f>
        <v>09-04-012-01</v>
      </c>
      <c r="C118" s="46" t="str">
        <f>Source!G45</f>
        <v>Демонтаж: Установка металлических дверных блоков в готовые проемы</v>
      </c>
      <c r="D118" s="29" t="str">
        <f>Source!H45</f>
        <v>м2</v>
      </c>
      <c r="E118" s="11">
        <f>Source!I45</f>
        <v>9.2200000000000006</v>
      </c>
      <c r="F118" s="30">
        <f>Source!AL45+Source!AM45+Source!AO45</f>
        <v>63.94</v>
      </c>
      <c r="G118" s="31"/>
      <c r="H118" s="30"/>
      <c r="I118" s="31" t="str">
        <f>Source!BO45</f>
        <v/>
      </c>
      <c r="J118" s="31"/>
      <c r="K118" s="30"/>
      <c r="L118" s="32"/>
      <c r="S118">
        <f>ROUND((Source!FX45/100)*((ROUND(Source!AF45*Source!I45, 2)+ROUND(Source!AE45*Source!I45, 2))), 2)</f>
        <v>134.80000000000001</v>
      </c>
      <c r="T118">
        <f>Source!X45</f>
        <v>884.29</v>
      </c>
      <c r="U118">
        <f>ROUND((Source!FY45/100)*((ROUND(Source!AF45*Source!I45, 2)+ROUND(Source!AE45*Source!I45, 2))), 2)</f>
        <v>120.24</v>
      </c>
      <c r="V118">
        <f>Source!Y45</f>
        <v>786.04</v>
      </c>
    </row>
    <row r="119" spans="1:26" ht="14.25" x14ac:dyDescent="0.2">
      <c r="A119" s="45"/>
      <c r="B119" s="46"/>
      <c r="C119" s="46" t="s">
        <v>1636</v>
      </c>
      <c r="D119" s="29"/>
      <c r="E119" s="11"/>
      <c r="F119" s="30">
        <f>Source!AO45</f>
        <v>23.81</v>
      </c>
      <c r="G119" s="31" t="str">
        <f>Source!DG45</f>
        <v>)*0,7</v>
      </c>
      <c r="H119" s="30">
        <f>ROUND(Source!AF45*Source!I45, 2)</f>
        <v>153.69999999999999</v>
      </c>
      <c r="I119" s="31"/>
      <c r="J119" s="31">
        <f>IF(Source!BA45&lt;&gt; 0, Source!BA45, 1)</f>
        <v>6.56</v>
      </c>
      <c r="K119" s="30">
        <f>Source!S45</f>
        <v>1008.25</v>
      </c>
      <c r="L119" s="32"/>
      <c r="R119">
        <f>H119</f>
        <v>153.69999999999999</v>
      </c>
    </row>
    <row r="120" spans="1:26" ht="14.25" x14ac:dyDescent="0.2">
      <c r="A120" s="45"/>
      <c r="B120" s="46"/>
      <c r="C120" s="46" t="s">
        <v>136</v>
      </c>
      <c r="D120" s="29"/>
      <c r="E120" s="11"/>
      <c r="F120" s="30">
        <f>Source!AM45</f>
        <v>14.41</v>
      </c>
      <c r="G120" s="31" t="str">
        <f>Source!DE45</f>
        <v>)*0,7</v>
      </c>
      <c r="H120" s="30">
        <f>ROUND(Source!AD45*Source!I45, 2)</f>
        <v>93.03</v>
      </c>
      <c r="I120" s="31"/>
      <c r="J120" s="31">
        <f>IF(Source!BB45&lt;&gt; 0, Source!BB45, 1)</f>
        <v>6.56</v>
      </c>
      <c r="K120" s="30">
        <f>Source!Q45</f>
        <v>610.28</v>
      </c>
      <c r="L120" s="32"/>
    </row>
    <row r="121" spans="1:26" ht="14.25" x14ac:dyDescent="0.2">
      <c r="A121" s="45"/>
      <c r="B121" s="46"/>
      <c r="C121" s="46" t="s">
        <v>1637</v>
      </c>
      <c r="D121" s="29"/>
      <c r="E121" s="11"/>
      <c r="F121" s="30">
        <f>Source!AN45</f>
        <v>1.97</v>
      </c>
      <c r="G121" s="31" t="str">
        <f>Source!DF45</f>
        <v>)*0,7</v>
      </c>
      <c r="H121" s="33">
        <f>ROUND(Source!AE45*Source!I45, 2)</f>
        <v>12.72</v>
      </c>
      <c r="I121" s="31"/>
      <c r="J121" s="31">
        <f>IF(Source!BS45&lt;&gt; 0, Source!BS45, 1)</f>
        <v>6.56</v>
      </c>
      <c r="K121" s="33">
        <f>Source!R45</f>
        <v>83.47</v>
      </c>
      <c r="L121" s="32"/>
      <c r="R121">
        <f>H121</f>
        <v>12.72</v>
      </c>
    </row>
    <row r="122" spans="1:26" ht="14.25" x14ac:dyDescent="0.2">
      <c r="A122" s="45"/>
      <c r="B122" s="46"/>
      <c r="C122" s="46" t="s">
        <v>1638</v>
      </c>
      <c r="D122" s="29" t="s">
        <v>1639</v>
      </c>
      <c r="E122" s="11">
        <f>Source!BZ45</f>
        <v>90</v>
      </c>
      <c r="F122" s="71" t="str">
        <f>CONCATENATE(" )", Source!DL45, Source!FT45, "=", Source!FX45)</f>
        <v xml:space="preserve"> )*0,9=81</v>
      </c>
      <c r="G122" s="72"/>
      <c r="H122" s="30">
        <f>SUM(S118:S124)</f>
        <v>134.80000000000001</v>
      </c>
      <c r="I122" s="34"/>
      <c r="J122" s="27">
        <f>Source!AT45</f>
        <v>81</v>
      </c>
      <c r="K122" s="30">
        <f>SUM(T118:T124)</f>
        <v>884.29</v>
      </c>
      <c r="L122" s="32"/>
    </row>
    <row r="123" spans="1:26" ht="14.25" x14ac:dyDescent="0.2">
      <c r="A123" s="45"/>
      <c r="B123" s="46"/>
      <c r="C123" s="46" t="s">
        <v>1640</v>
      </c>
      <c r="D123" s="29" t="s">
        <v>1639</v>
      </c>
      <c r="E123" s="11">
        <f>Source!CA45</f>
        <v>85</v>
      </c>
      <c r="F123" s="71" t="str">
        <f>CONCATENATE(" )", Source!DM45, Source!FU45, "=", Source!FY45)</f>
        <v xml:space="preserve"> )*0,85=72,25</v>
      </c>
      <c r="G123" s="72"/>
      <c r="H123" s="30">
        <f>SUM(U118:U124)</f>
        <v>120.24</v>
      </c>
      <c r="I123" s="34"/>
      <c r="J123" s="27">
        <f>Source!AU45</f>
        <v>72</v>
      </c>
      <c r="K123" s="30">
        <f>SUM(V118:V124)</f>
        <v>786.04</v>
      </c>
      <c r="L123" s="32"/>
    </row>
    <row r="124" spans="1:26" ht="14.25" x14ac:dyDescent="0.2">
      <c r="A124" s="47"/>
      <c r="B124" s="48"/>
      <c r="C124" s="48" t="s">
        <v>1641</v>
      </c>
      <c r="D124" s="35" t="s">
        <v>1642</v>
      </c>
      <c r="E124" s="36">
        <f>Source!AQ45</f>
        <v>2.4</v>
      </c>
      <c r="F124" s="37"/>
      <c r="G124" s="38" t="str">
        <f>Source!DI45</f>
        <v>)*0,7</v>
      </c>
      <c r="H124" s="37"/>
      <c r="I124" s="38"/>
      <c r="J124" s="38"/>
      <c r="K124" s="37"/>
      <c r="L124" s="39">
        <f>Source!U45</f>
        <v>15.489600000000001</v>
      </c>
    </row>
    <row r="125" spans="1:26" ht="15" x14ac:dyDescent="0.25">
      <c r="G125" s="70">
        <f>H119+H120+H122+H123</f>
        <v>501.77</v>
      </c>
      <c r="H125" s="70"/>
      <c r="J125" s="70">
        <f>K119+K120+K122+K123</f>
        <v>3288.8599999999997</v>
      </c>
      <c r="K125" s="70"/>
      <c r="L125" s="40">
        <f>Source!U45</f>
        <v>15.489600000000001</v>
      </c>
      <c r="O125" s="24">
        <f>G125</f>
        <v>501.77</v>
      </c>
      <c r="P125" s="24">
        <f>J125</f>
        <v>3288.8599999999997</v>
      </c>
      <c r="Q125" s="24">
        <f>L125</f>
        <v>15.489600000000001</v>
      </c>
      <c r="W125">
        <f>IF(Source!BI45&lt;=1,H119+H120+H122+H123, 0)</f>
        <v>501.77</v>
      </c>
      <c r="X125">
        <f>IF(Source!BI45=2,H119+H120+H122+H123, 0)</f>
        <v>0</v>
      </c>
      <c r="Y125">
        <f>IF(Source!BI45=3,H119+H120+H122+H123, 0)</f>
        <v>0</v>
      </c>
      <c r="Z125">
        <f>IF(Source!BI45=4,H119+H120+H122+H123, 0)</f>
        <v>0</v>
      </c>
    </row>
    <row r="126" spans="1:26" ht="42.75" x14ac:dyDescent="0.2">
      <c r="A126" s="45" t="str">
        <f>Source!E46</f>
        <v>12</v>
      </c>
      <c r="B126" s="46" t="str">
        <f>Source!F46</f>
        <v>65-1-1</v>
      </c>
      <c r="C126" s="46" t="str">
        <f>Source!G46</f>
        <v>Разборка трубопроводов из водогазопроводных труб диаметром до 32 мм (карнизов)</v>
      </c>
      <c r="D126" s="29" t="str">
        <f>Source!H46</f>
        <v>100 м</v>
      </c>
      <c r="E126" s="11">
        <f>Source!I46</f>
        <v>0.16830000000000001</v>
      </c>
      <c r="F126" s="30">
        <f>Source!AL46+Source!AM46+Source!AO46</f>
        <v>328.71</v>
      </c>
      <c r="G126" s="31"/>
      <c r="H126" s="30"/>
      <c r="I126" s="31" t="str">
        <f>Source!BO46</f>
        <v/>
      </c>
      <c r="J126" s="31"/>
      <c r="K126" s="30"/>
      <c r="L126" s="32"/>
      <c r="S126">
        <f>ROUND((Source!FX46/100)*((ROUND(Source!AF46*Source!I46, 2)+ROUND(Source!AE46*Source!I46, 2))), 2)</f>
        <v>36.04</v>
      </c>
      <c r="T126">
        <f>Source!X46</f>
        <v>236.42</v>
      </c>
      <c r="U126">
        <f>ROUND((Source!FY46/100)*((ROUND(Source!AF46*Source!I46, 2)+ROUND(Source!AE46*Source!I46, 2))), 2)</f>
        <v>24.35</v>
      </c>
      <c r="V126">
        <f>Source!Y46</f>
        <v>159.74</v>
      </c>
    </row>
    <row r="127" spans="1:26" x14ac:dyDescent="0.2">
      <c r="C127" s="23" t="str">
        <f>"Объем: "&amp;Source!I46&amp;"=16,83/"&amp;"100"</f>
        <v>Объем: 0,1683=16,83/100</v>
      </c>
    </row>
    <row r="128" spans="1:26" ht="14.25" x14ac:dyDescent="0.2">
      <c r="A128" s="45"/>
      <c r="B128" s="46"/>
      <c r="C128" s="46" t="s">
        <v>1636</v>
      </c>
      <c r="D128" s="29"/>
      <c r="E128" s="11"/>
      <c r="F128" s="30">
        <f>Source!AO46</f>
        <v>288.02</v>
      </c>
      <c r="G128" s="31" t="str">
        <f>Source!DG46</f>
        <v/>
      </c>
      <c r="H128" s="30">
        <f>ROUND(Source!AF46*Source!I46, 2)</f>
        <v>48.47</v>
      </c>
      <c r="I128" s="31"/>
      <c r="J128" s="31">
        <f>IF(Source!BA46&lt;&gt; 0, Source!BA46, 1)</f>
        <v>6.56</v>
      </c>
      <c r="K128" s="30">
        <f>Source!S46</f>
        <v>317.99</v>
      </c>
      <c r="L128" s="32"/>
      <c r="R128">
        <f>H128</f>
        <v>48.47</v>
      </c>
    </row>
    <row r="129" spans="1:26" ht="14.25" x14ac:dyDescent="0.2">
      <c r="A129" s="45"/>
      <c r="B129" s="46"/>
      <c r="C129" s="46" t="s">
        <v>136</v>
      </c>
      <c r="D129" s="29"/>
      <c r="E129" s="11"/>
      <c r="F129" s="30">
        <f>Source!AM46</f>
        <v>7.09</v>
      </c>
      <c r="G129" s="31" t="str">
        <f>Source!DE46</f>
        <v/>
      </c>
      <c r="H129" s="30">
        <f>ROUND(Source!AD46*Source!I46, 2)</f>
        <v>1.19</v>
      </c>
      <c r="I129" s="31"/>
      <c r="J129" s="31">
        <f>IF(Source!BB46&lt;&gt; 0, Source!BB46, 1)</f>
        <v>6.56</v>
      </c>
      <c r="K129" s="30">
        <f>Source!Q46</f>
        <v>7.83</v>
      </c>
      <c r="L129" s="32"/>
    </row>
    <row r="130" spans="1:26" ht="14.25" x14ac:dyDescent="0.2">
      <c r="A130" s="45"/>
      <c r="B130" s="46"/>
      <c r="C130" s="46" t="s">
        <v>1637</v>
      </c>
      <c r="D130" s="29"/>
      <c r="E130" s="11"/>
      <c r="F130" s="30">
        <f>Source!AN46</f>
        <v>1.35</v>
      </c>
      <c r="G130" s="31" t="str">
        <f>Source!DF46</f>
        <v/>
      </c>
      <c r="H130" s="33">
        <f>ROUND(Source!AE46*Source!I46, 2)</f>
        <v>0.23</v>
      </c>
      <c r="I130" s="31"/>
      <c r="J130" s="31">
        <f>IF(Source!BS46&lt;&gt; 0, Source!BS46, 1)</f>
        <v>6.56</v>
      </c>
      <c r="K130" s="33">
        <f>Source!R46</f>
        <v>1.49</v>
      </c>
      <c r="L130" s="32"/>
      <c r="R130">
        <f>H130</f>
        <v>0.23</v>
      </c>
    </row>
    <row r="131" spans="1:26" ht="14.25" x14ac:dyDescent="0.2">
      <c r="A131" s="45"/>
      <c r="B131" s="46"/>
      <c r="C131" s="46" t="s">
        <v>1643</v>
      </c>
      <c r="D131" s="29"/>
      <c r="E131" s="11"/>
      <c r="F131" s="30">
        <f>Source!AL46</f>
        <v>33.6</v>
      </c>
      <c r="G131" s="31" t="str">
        <f>Source!DD46</f>
        <v/>
      </c>
      <c r="H131" s="30">
        <f>ROUND(Source!AC46*Source!I46, 2)</f>
        <v>5.65</v>
      </c>
      <c r="I131" s="31"/>
      <c r="J131" s="31">
        <f>IF(Source!BC46&lt;&gt; 0, Source!BC46, 1)</f>
        <v>6.56</v>
      </c>
      <c r="K131" s="30">
        <f>Source!P46</f>
        <v>37.1</v>
      </c>
      <c r="L131" s="32"/>
    </row>
    <row r="132" spans="1:26" ht="14.25" x14ac:dyDescent="0.2">
      <c r="A132" s="45"/>
      <c r="B132" s="46"/>
      <c r="C132" s="46" t="s">
        <v>1638</v>
      </c>
      <c r="D132" s="29" t="s">
        <v>1639</v>
      </c>
      <c r="E132" s="11">
        <f>Source!BZ46</f>
        <v>74</v>
      </c>
      <c r="F132" s="49"/>
      <c r="G132" s="31"/>
      <c r="H132" s="30">
        <f>SUM(S126:S135)</f>
        <v>36.04</v>
      </c>
      <c r="I132" s="34"/>
      <c r="J132" s="27">
        <f>Source!AT46</f>
        <v>74</v>
      </c>
      <c r="K132" s="30">
        <f>SUM(T126:T135)</f>
        <v>236.42</v>
      </c>
      <c r="L132" s="32"/>
    </row>
    <row r="133" spans="1:26" ht="14.25" x14ac:dyDescent="0.2">
      <c r="A133" s="45"/>
      <c r="B133" s="46"/>
      <c r="C133" s="46" t="s">
        <v>1640</v>
      </c>
      <c r="D133" s="29" t="s">
        <v>1639</v>
      </c>
      <c r="E133" s="11">
        <f>Source!CA46</f>
        <v>50</v>
      </c>
      <c r="F133" s="49"/>
      <c r="G133" s="31"/>
      <c r="H133" s="30">
        <f>SUM(U126:U135)</f>
        <v>24.35</v>
      </c>
      <c r="I133" s="34"/>
      <c r="J133" s="27">
        <f>Source!AU46</f>
        <v>50</v>
      </c>
      <c r="K133" s="30">
        <f>SUM(V126:V135)</f>
        <v>159.74</v>
      </c>
      <c r="L133" s="32"/>
    </row>
    <row r="134" spans="1:26" ht="14.25" x14ac:dyDescent="0.2">
      <c r="A134" s="45"/>
      <c r="B134" s="46"/>
      <c r="C134" s="46" t="s">
        <v>1641</v>
      </c>
      <c r="D134" s="29" t="s">
        <v>1642</v>
      </c>
      <c r="E134" s="11">
        <f>Source!AQ46</f>
        <v>34.659999999999997</v>
      </c>
      <c r="F134" s="30"/>
      <c r="G134" s="31" t="str">
        <f>Source!DI46</f>
        <v/>
      </c>
      <c r="H134" s="30"/>
      <c r="I134" s="31"/>
      <c r="J134" s="31"/>
      <c r="K134" s="30"/>
      <c r="L134" s="41">
        <f>Source!U46</f>
        <v>5.833278</v>
      </c>
    </row>
    <row r="135" spans="1:26" ht="28.5" x14ac:dyDescent="0.2">
      <c r="A135" s="47" t="str">
        <f>Source!E47</f>
        <v>12,1</v>
      </c>
      <c r="B135" s="48" t="str">
        <f>Source!F47</f>
        <v>01.7.07.07</v>
      </c>
      <c r="C135" s="48" t="str">
        <f>Source!G47</f>
        <v>Строительный мусор и масса возвратных материалов</v>
      </c>
      <c r="D135" s="35" t="str">
        <f>Source!H47</f>
        <v>т</v>
      </c>
      <c r="E135" s="36">
        <f>Source!I47</f>
        <v>3.7026000000000003E-2</v>
      </c>
      <c r="F135" s="37">
        <f>Source!AL47+Source!AM47+Source!AO47</f>
        <v>0</v>
      </c>
      <c r="G135" s="43" t="s">
        <v>6</v>
      </c>
      <c r="H135" s="37">
        <f>ROUND(Source!AC47*Source!I47, 2)+ROUND(Source!AD47*Source!I47, 2)+ROUND(Source!AF47*Source!I47, 2)</f>
        <v>0</v>
      </c>
      <c r="I135" s="38"/>
      <c r="J135" s="38">
        <f>IF(Source!BC47&lt;&gt; 0, Source!BC47, 1)</f>
        <v>6.56</v>
      </c>
      <c r="K135" s="37">
        <f>Source!O47</f>
        <v>0</v>
      </c>
      <c r="L135" s="44"/>
      <c r="S135">
        <f>ROUND((Source!FX47/100)*((ROUND(Source!AF47*Source!I47, 2)+ROUND(Source!AE47*Source!I47, 2))), 2)</f>
        <v>0</v>
      </c>
      <c r="T135">
        <f>Source!X47</f>
        <v>0</v>
      </c>
      <c r="U135">
        <f>ROUND((Source!FY47/100)*((ROUND(Source!AF47*Source!I47, 2)+ROUND(Source!AE47*Source!I47, 2))), 2)</f>
        <v>0</v>
      </c>
      <c r="V135">
        <f>Source!Y47</f>
        <v>0</v>
      </c>
      <c r="W135">
        <f>IF(Source!BI47&lt;=1,H135, 0)</f>
        <v>0</v>
      </c>
      <c r="X135">
        <f>IF(Source!BI47=2,H135, 0)</f>
        <v>0</v>
      </c>
      <c r="Y135">
        <f>IF(Source!BI47=3,H135, 0)</f>
        <v>0</v>
      </c>
      <c r="Z135">
        <f>IF(Source!BI47=4,H135, 0)</f>
        <v>0</v>
      </c>
    </row>
    <row r="136" spans="1:26" ht="15" x14ac:dyDescent="0.25">
      <c r="G136" s="70">
        <f>H128+H129+H131+H132+H133+SUM(H135:H135)</f>
        <v>115.69999999999999</v>
      </c>
      <c r="H136" s="70"/>
      <c r="J136" s="70">
        <f>K128+K129+K131+K132+K133+SUM(K135:K135)</f>
        <v>759.08</v>
      </c>
      <c r="K136" s="70"/>
      <c r="L136" s="40">
        <f>Source!U46</f>
        <v>5.833278</v>
      </c>
      <c r="O136" s="24">
        <f>G136</f>
        <v>115.69999999999999</v>
      </c>
      <c r="P136" s="24">
        <f>J136</f>
        <v>759.08</v>
      </c>
      <c r="Q136" s="24">
        <f>L136</f>
        <v>5.833278</v>
      </c>
      <c r="W136">
        <f>IF(Source!BI46&lt;=1,H128+H129+H131+H132+H133, 0)</f>
        <v>115.69999999999999</v>
      </c>
      <c r="X136">
        <f>IF(Source!BI46=2,H128+H129+H131+H132+H133, 0)</f>
        <v>0</v>
      </c>
      <c r="Y136">
        <f>IF(Source!BI46=3,H128+H129+H131+H132+H133, 0)</f>
        <v>0</v>
      </c>
      <c r="Z136">
        <f>IF(Source!BI46=4,H128+H129+H131+H132+H133, 0)</f>
        <v>0</v>
      </c>
    </row>
    <row r="137" spans="1:26" ht="28.5" x14ac:dyDescent="0.2">
      <c r="A137" s="45" t="str">
        <f>Source!E48</f>
        <v>13</v>
      </c>
      <c r="B137" s="46" t="str">
        <f>Source!F48</f>
        <v>55-5-1</v>
      </c>
      <c r="C137" s="46" t="str">
        <f>Source!G48</f>
        <v>Разборка кирпичных перегородок на отдельные кирпичи</v>
      </c>
      <c r="D137" s="29" t="str">
        <f>Source!H48</f>
        <v>100 м2</v>
      </c>
      <c r="E137" s="11">
        <f>Source!I48</f>
        <v>0.215</v>
      </c>
      <c r="F137" s="30">
        <f>Source!AL48+Source!AM48+Source!AO48</f>
        <v>1443.4</v>
      </c>
      <c r="G137" s="31"/>
      <c r="H137" s="30"/>
      <c r="I137" s="31" t="str">
        <f>Source!BO48</f>
        <v/>
      </c>
      <c r="J137" s="31"/>
      <c r="K137" s="30"/>
      <c r="L137" s="32"/>
      <c r="S137">
        <f>ROUND((Source!FX48/100)*((ROUND(Source!AF48*Source!I48, 2)+ROUND(Source!AE48*Source!I48, 2))), 2)</f>
        <v>230.47</v>
      </c>
      <c r="T137">
        <f>Source!X48</f>
        <v>1511.88</v>
      </c>
      <c r="U137">
        <f>ROUND((Source!FY48/100)*((ROUND(Source!AF48*Source!I48, 2)+ROUND(Source!AE48*Source!I48, 2))), 2)</f>
        <v>168.32</v>
      </c>
      <c r="V137">
        <f>Source!Y48</f>
        <v>1104.18</v>
      </c>
    </row>
    <row r="138" spans="1:26" x14ac:dyDescent="0.2">
      <c r="C138" s="23" t="str">
        <f>"Объем: "&amp;Source!I48&amp;"=21,5/"&amp;"100"</f>
        <v>Объем: 0,215=21,5/100</v>
      </c>
    </row>
    <row r="139" spans="1:26" ht="14.25" x14ac:dyDescent="0.2">
      <c r="A139" s="45"/>
      <c r="B139" s="46"/>
      <c r="C139" s="46" t="s">
        <v>1636</v>
      </c>
      <c r="D139" s="29"/>
      <c r="E139" s="11"/>
      <c r="F139" s="30">
        <f>Source!AO48</f>
        <v>1204.44</v>
      </c>
      <c r="G139" s="31" t="str">
        <f>Source!DG48</f>
        <v/>
      </c>
      <c r="H139" s="30">
        <f>ROUND(Source!AF48*Source!I48, 2)</f>
        <v>258.95</v>
      </c>
      <c r="I139" s="31"/>
      <c r="J139" s="31">
        <f>IF(Source!BA48&lt;&gt; 0, Source!BA48, 1)</f>
        <v>6.56</v>
      </c>
      <c r="K139" s="30">
        <f>Source!S48</f>
        <v>1698.74</v>
      </c>
      <c r="L139" s="32"/>
      <c r="R139">
        <f>H139</f>
        <v>258.95</v>
      </c>
    </row>
    <row r="140" spans="1:26" ht="14.25" x14ac:dyDescent="0.2">
      <c r="A140" s="45"/>
      <c r="B140" s="46"/>
      <c r="C140" s="46" t="s">
        <v>136</v>
      </c>
      <c r="D140" s="29"/>
      <c r="E140" s="11"/>
      <c r="F140" s="30">
        <f>Source!AM48</f>
        <v>238.96</v>
      </c>
      <c r="G140" s="31" t="str">
        <f>Source!DE48</f>
        <v/>
      </c>
      <c r="H140" s="30">
        <f>ROUND(Source!AD48*Source!I48, 2)</f>
        <v>51.38</v>
      </c>
      <c r="I140" s="31"/>
      <c r="J140" s="31">
        <f>IF(Source!BB48&lt;&gt; 0, Source!BB48, 1)</f>
        <v>6.56</v>
      </c>
      <c r="K140" s="30">
        <f>Source!Q48</f>
        <v>337.03</v>
      </c>
      <c r="L140" s="32"/>
    </row>
    <row r="141" spans="1:26" ht="14.25" x14ac:dyDescent="0.2">
      <c r="A141" s="45"/>
      <c r="B141" s="46"/>
      <c r="C141" s="46" t="s">
        <v>1638</v>
      </c>
      <c r="D141" s="29" t="s">
        <v>1639</v>
      </c>
      <c r="E141" s="11">
        <f>Source!BZ48</f>
        <v>89</v>
      </c>
      <c r="F141" s="49"/>
      <c r="G141" s="31"/>
      <c r="H141" s="30">
        <f>SUM(S137:S144)</f>
        <v>230.47</v>
      </c>
      <c r="I141" s="34"/>
      <c r="J141" s="27">
        <f>Source!AT48</f>
        <v>89</v>
      </c>
      <c r="K141" s="30">
        <f>SUM(T137:T144)</f>
        <v>1511.88</v>
      </c>
      <c r="L141" s="32"/>
    </row>
    <row r="142" spans="1:26" ht="14.25" x14ac:dyDescent="0.2">
      <c r="A142" s="45"/>
      <c r="B142" s="46"/>
      <c r="C142" s="46" t="s">
        <v>1640</v>
      </c>
      <c r="D142" s="29" t="s">
        <v>1639</v>
      </c>
      <c r="E142" s="11">
        <f>Source!CA48</f>
        <v>65</v>
      </c>
      <c r="F142" s="49"/>
      <c r="G142" s="31"/>
      <c r="H142" s="30">
        <f>SUM(U137:U144)</f>
        <v>168.32</v>
      </c>
      <c r="I142" s="34"/>
      <c r="J142" s="27">
        <f>Source!AU48</f>
        <v>65</v>
      </c>
      <c r="K142" s="30">
        <f>SUM(V137:V144)</f>
        <v>1104.18</v>
      </c>
      <c r="L142" s="32"/>
    </row>
    <row r="143" spans="1:26" ht="14.25" x14ac:dyDescent="0.2">
      <c r="A143" s="45"/>
      <c r="B143" s="46"/>
      <c r="C143" s="46" t="s">
        <v>1641</v>
      </c>
      <c r="D143" s="29" t="s">
        <v>1642</v>
      </c>
      <c r="E143" s="11">
        <f>Source!AQ48</f>
        <v>141.19999999999999</v>
      </c>
      <c r="F143" s="30"/>
      <c r="G143" s="31" t="str">
        <f>Source!DI48</f>
        <v/>
      </c>
      <c r="H143" s="30"/>
      <c r="I143" s="31"/>
      <c r="J143" s="31"/>
      <c r="K143" s="30"/>
      <c r="L143" s="41">
        <f>Source!U48</f>
        <v>30.357999999999997</v>
      </c>
    </row>
    <row r="144" spans="1:26" ht="28.5" x14ac:dyDescent="0.2">
      <c r="A144" s="47" t="str">
        <f>Source!E49</f>
        <v>13,1</v>
      </c>
      <c r="B144" s="48" t="str">
        <f>Source!F49</f>
        <v>01.7.07.07</v>
      </c>
      <c r="C144" s="48" t="str">
        <f>Source!G49</f>
        <v>Строительный мусор и масса возвратных материалов</v>
      </c>
      <c r="D144" s="35" t="str">
        <f>Source!H49</f>
        <v>т</v>
      </c>
      <c r="E144" s="36">
        <f>Source!I49</f>
        <v>4.1710000000000003</v>
      </c>
      <c r="F144" s="37">
        <f>Source!AL49+Source!AM49+Source!AO49</f>
        <v>0</v>
      </c>
      <c r="G144" s="43" t="s">
        <v>6</v>
      </c>
      <c r="H144" s="37">
        <f>ROUND(Source!AC49*Source!I49, 2)+ROUND(Source!AD49*Source!I49, 2)+ROUND(Source!AF49*Source!I49, 2)</f>
        <v>0</v>
      </c>
      <c r="I144" s="38"/>
      <c r="J144" s="38">
        <f>IF(Source!BC49&lt;&gt; 0, Source!BC49, 1)</f>
        <v>6.56</v>
      </c>
      <c r="K144" s="37">
        <f>Source!O49</f>
        <v>0</v>
      </c>
      <c r="L144" s="44"/>
      <c r="S144">
        <f>ROUND((Source!FX49/100)*((ROUND(Source!AF49*Source!I49, 2)+ROUND(Source!AE49*Source!I49, 2))), 2)</f>
        <v>0</v>
      </c>
      <c r="T144">
        <f>Source!X49</f>
        <v>0</v>
      </c>
      <c r="U144">
        <f>ROUND((Source!FY49/100)*((ROUND(Source!AF49*Source!I49, 2)+ROUND(Source!AE49*Source!I49, 2))), 2)</f>
        <v>0</v>
      </c>
      <c r="V144">
        <f>Source!Y49</f>
        <v>0</v>
      </c>
      <c r="W144">
        <f>IF(Source!BI49&lt;=1,H144, 0)</f>
        <v>0</v>
      </c>
      <c r="X144">
        <f>IF(Source!BI49=2,H144, 0)</f>
        <v>0</v>
      </c>
      <c r="Y144">
        <f>IF(Source!BI49=3,H144, 0)</f>
        <v>0</v>
      </c>
      <c r="Z144">
        <f>IF(Source!BI49=4,H144, 0)</f>
        <v>0</v>
      </c>
    </row>
    <row r="145" spans="1:26" ht="15" x14ac:dyDescent="0.25">
      <c r="G145" s="70">
        <f>H139+H140+H141+H142+SUM(H144:H144)</f>
        <v>709.11999999999989</v>
      </c>
      <c r="H145" s="70"/>
      <c r="J145" s="70">
        <f>K139+K140+K141+K142+SUM(K144:K144)</f>
        <v>4651.83</v>
      </c>
      <c r="K145" s="70"/>
      <c r="L145" s="40">
        <f>Source!U48</f>
        <v>30.357999999999997</v>
      </c>
      <c r="O145" s="24">
        <f>G145</f>
        <v>709.11999999999989</v>
      </c>
      <c r="P145" s="24">
        <f>J145</f>
        <v>4651.83</v>
      </c>
      <c r="Q145" s="24">
        <f>L145</f>
        <v>30.357999999999997</v>
      </c>
      <c r="W145">
        <f>IF(Source!BI48&lt;=1,H139+H140+H141+H142, 0)</f>
        <v>709.11999999999989</v>
      </c>
      <c r="X145">
        <f>IF(Source!BI48=2,H139+H140+H141+H142, 0)</f>
        <v>0</v>
      </c>
      <c r="Y145">
        <f>IF(Source!BI48=3,H139+H140+H141+H142, 0)</f>
        <v>0</v>
      </c>
      <c r="Z145">
        <f>IF(Source!BI48=4,H139+H140+H141+H142, 0)</f>
        <v>0</v>
      </c>
    </row>
    <row r="146" spans="1:26" ht="28.5" x14ac:dyDescent="0.2">
      <c r="A146" s="45" t="str">
        <f>Source!E50</f>
        <v>14</v>
      </c>
      <c r="B146" s="46" t="str">
        <f>Source!F50</f>
        <v>46-02-009-02</v>
      </c>
      <c r="C146" s="46" t="str">
        <f>Source!G50</f>
        <v>Отбивка штукатурки с поверхностей стен  кирпичных</v>
      </c>
      <c r="D146" s="29" t="str">
        <f>Source!H50</f>
        <v>100 м2</v>
      </c>
      <c r="E146" s="11">
        <f>Source!I50</f>
        <v>1.5649999999999999</v>
      </c>
      <c r="F146" s="30">
        <f>Source!AL50+Source!AM50+Source!AO50</f>
        <v>178</v>
      </c>
      <c r="G146" s="31"/>
      <c r="H146" s="30"/>
      <c r="I146" s="31" t="str">
        <f>Source!BO50</f>
        <v/>
      </c>
      <c r="J146" s="31"/>
      <c r="K146" s="30"/>
      <c r="L146" s="32"/>
      <c r="S146">
        <f>ROUND((Source!FX50/100)*((ROUND(Source!AF50*Source!I50, 2)+ROUND(Source!AE50*Source!I50, 2))), 2)</f>
        <v>275.77999999999997</v>
      </c>
      <c r="T146">
        <f>Source!X50</f>
        <v>1809.15</v>
      </c>
      <c r="U146">
        <f>ROUND((Source!FY50/100)*((ROUND(Source!AF50*Source!I50, 2)+ROUND(Source!AE50*Source!I50, 2))), 2)</f>
        <v>165.75</v>
      </c>
      <c r="V146">
        <f>Source!Y50</f>
        <v>1096.45</v>
      </c>
    </row>
    <row r="147" spans="1:26" x14ac:dyDescent="0.2">
      <c r="C147" s="23" t="str">
        <f>"Объем: "&amp;Source!I50&amp;"=156,5/"&amp;"100"</f>
        <v>Объем: 1,565=156,5/100</v>
      </c>
    </row>
    <row r="148" spans="1:26" ht="14.25" x14ac:dyDescent="0.2">
      <c r="A148" s="45"/>
      <c r="B148" s="46"/>
      <c r="C148" s="46" t="s">
        <v>1636</v>
      </c>
      <c r="D148" s="29"/>
      <c r="E148" s="11"/>
      <c r="F148" s="30">
        <f>Source!AO50</f>
        <v>178</v>
      </c>
      <c r="G148" s="31" t="str">
        <f>Source!DG50</f>
        <v/>
      </c>
      <c r="H148" s="30">
        <f>ROUND(Source!AF50*Source!I50, 2)</f>
        <v>278.57</v>
      </c>
      <c r="I148" s="31"/>
      <c r="J148" s="31">
        <f>IF(Source!BA50&lt;&gt; 0, Source!BA50, 1)</f>
        <v>6.56</v>
      </c>
      <c r="K148" s="30">
        <f>Source!S50</f>
        <v>1827.42</v>
      </c>
      <c r="L148" s="32"/>
      <c r="R148">
        <f>H148</f>
        <v>278.57</v>
      </c>
    </row>
    <row r="149" spans="1:26" ht="14.25" x14ac:dyDescent="0.2">
      <c r="A149" s="45"/>
      <c r="B149" s="46"/>
      <c r="C149" s="46" t="s">
        <v>1638</v>
      </c>
      <c r="D149" s="29" t="s">
        <v>1639</v>
      </c>
      <c r="E149" s="11">
        <f>Source!BZ50</f>
        <v>110</v>
      </c>
      <c r="F149" s="71" t="str">
        <f>CONCATENATE(" )", Source!DL50, Source!FT50, "=", Source!FX50)</f>
        <v xml:space="preserve"> )*0,9=99</v>
      </c>
      <c r="G149" s="72"/>
      <c r="H149" s="30">
        <f>SUM(S146:S151)</f>
        <v>275.77999999999997</v>
      </c>
      <c r="I149" s="34"/>
      <c r="J149" s="27">
        <f>Source!AT50</f>
        <v>99</v>
      </c>
      <c r="K149" s="30">
        <f>SUM(T146:T151)</f>
        <v>1809.15</v>
      </c>
      <c r="L149" s="32"/>
    </row>
    <row r="150" spans="1:26" ht="14.25" x14ac:dyDescent="0.2">
      <c r="A150" s="45"/>
      <c r="B150" s="46"/>
      <c r="C150" s="46" t="s">
        <v>1640</v>
      </c>
      <c r="D150" s="29" t="s">
        <v>1639</v>
      </c>
      <c r="E150" s="11">
        <f>Source!CA50</f>
        <v>70</v>
      </c>
      <c r="F150" s="71" t="str">
        <f>CONCATENATE(" )", Source!DM50, Source!FU50, "=", Source!FY50)</f>
        <v xml:space="preserve"> )*0,85=59,5</v>
      </c>
      <c r="G150" s="72"/>
      <c r="H150" s="30">
        <f>SUM(U146:U151)</f>
        <v>165.75</v>
      </c>
      <c r="I150" s="34"/>
      <c r="J150" s="27">
        <f>Source!AU50</f>
        <v>60</v>
      </c>
      <c r="K150" s="30">
        <f>SUM(V146:V151)</f>
        <v>1096.45</v>
      </c>
      <c r="L150" s="32"/>
    </row>
    <row r="151" spans="1:26" ht="14.25" x14ac:dyDescent="0.2">
      <c r="A151" s="47"/>
      <c r="B151" s="48"/>
      <c r="C151" s="48" t="s">
        <v>1641</v>
      </c>
      <c r="D151" s="35" t="s">
        <v>1642</v>
      </c>
      <c r="E151" s="36">
        <f>Source!AQ50</f>
        <v>22.82</v>
      </c>
      <c r="F151" s="37"/>
      <c r="G151" s="38" t="str">
        <f>Source!DI50</f>
        <v/>
      </c>
      <c r="H151" s="37"/>
      <c r="I151" s="38"/>
      <c r="J151" s="38"/>
      <c r="K151" s="37"/>
      <c r="L151" s="39">
        <f>Source!U50</f>
        <v>35.713299999999997</v>
      </c>
    </row>
    <row r="152" spans="1:26" ht="15" x14ac:dyDescent="0.25">
      <c r="G152" s="70">
        <f>H148+H149+H150</f>
        <v>720.09999999999991</v>
      </c>
      <c r="H152" s="70"/>
      <c r="J152" s="70">
        <f>K148+K149+K150</f>
        <v>4733.0200000000004</v>
      </c>
      <c r="K152" s="70"/>
      <c r="L152" s="40">
        <f>Source!U50</f>
        <v>35.713299999999997</v>
      </c>
      <c r="O152" s="24">
        <f>G152</f>
        <v>720.09999999999991</v>
      </c>
      <c r="P152" s="24">
        <f>J152</f>
        <v>4733.0200000000004</v>
      </c>
      <c r="Q152" s="24">
        <f>L152</f>
        <v>35.713299999999997</v>
      </c>
      <c r="W152">
        <f>IF(Source!BI50&lt;=1,H148+H149+H150, 0)</f>
        <v>720.09999999999991</v>
      </c>
      <c r="X152">
        <f>IF(Source!BI50=2,H148+H149+H150, 0)</f>
        <v>0</v>
      </c>
      <c r="Y152">
        <f>IF(Source!BI50=3,H148+H149+H150, 0)</f>
        <v>0</v>
      </c>
      <c r="Z152">
        <f>IF(Source!BI50=4,H148+H149+H150, 0)</f>
        <v>0</v>
      </c>
    </row>
    <row r="154" spans="1:26" ht="15" x14ac:dyDescent="0.25">
      <c r="A154" s="74" t="str">
        <f>CONCATENATE("Итого по подразделу: ",IF(Source!G52&lt;&gt;"Новый подраздел", Source!G52, ""))</f>
        <v>Итого по подразделу: 1 Демонтаж</v>
      </c>
      <c r="B154" s="74"/>
      <c r="C154" s="74"/>
      <c r="D154" s="74"/>
      <c r="E154" s="74"/>
      <c r="F154" s="74"/>
      <c r="G154" s="73">
        <f>SUM(O28:O153)</f>
        <v>5063.67</v>
      </c>
      <c r="H154" s="73"/>
      <c r="I154" s="26"/>
      <c r="J154" s="73">
        <f>SUM(P28:P153)</f>
        <v>33239.97</v>
      </c>
      <c r="K154" s="73"/>
      <c r="L154" s="40">
        <f>SUM(Q28:Q153)</f>
        <v>224.97086999999999</v>
      </c>
    </row>
    <row r="156" spans="1:26" ht="16.5" x14ac:dyDescent="0.25">
      <c r="A156" s="75" t="str">
        <f>CONCATENATE("Подраздел: ",IF(Source!G81&lt;&gt;"Новый подраздел", Source!G81, ""))</f>
        <v>Подраздел: 2 Монтаж</v>
      </c>
      <c r="B156" s="75"/>
      <c r="C156" s="75"/>
      <c r="D156" s="75"/>
      <c r="E156" s="75"/>
      <c r="F156" s="75"/>
      <c r="G156" s="75"/>
      <c r="H156" s="75"/>
      <c r="I156" s="75"/>
      <c r="J156" s="75"/>
      <c r="K156" s="75"/>
      <c r="L156" s="75"/>
    </row>
    <row r="157" spans="1:26" ht="71.25" x14ac:dyDescent="0.2">
      <c r="A157" s="45" t="str">
        <f>Source!E85</f>
        <v>15</v>
      </c>
      <c r="B157" s="46" t="str">
        <f>Source!F85</f>
        <v>10-01-034-06</v>
      </c>
      <c r="C157" s="46" t="str">
        <f>Source!G85</f>
        <v>Установка в жилых и общественных зданиях оконных блоков из ПВХ профилей поворотных (откидных, поворотно-откидных) с площадью проема более 2 м2 двухстворчатых</v>
      </c>
      <c r="D157" s="29" t="str">
        <f>Source!H85</f>
        <v>100 м2</v>
      </c>
      <c r="E157" s="11">
        <f>Source!I85</f>
        <v>0.23699999999999999</v>
      </c>
      <c r="F157" s="30">
        <f>Source!AL85+Source!AM85+Source!AO85</f>
        <v>9827.15</v>
      </c>
      <c r="G157" s="31"/>
      <c r="H157" s="30"/>
      <c r="I157" s="31" t="str">
        <f>Source!BO85</f>
        <v/>
      </c>
      <c r="J157" s="31"/>
      <c r="K157" s="30"/>
      <c r="L157" s="32"/>
      <c r="S157">
        <f>ROUND((Source!FX85/100)*((ROUND(Source!AF85*Source!I85, 2)+ROUND(Source!AE85*Source!I85, 2))), 2)</f>
        <v>384.48</v>
      </c>
      <c r="T157">
        <f>Source!X85</f>
        <v>2517.37</v>
      </c>
      <c r="U157">
        <f>ROUND((Source!FY85/100)*((ROUND(Source!AF85*Source!I85, 2)+ROUND(Source!AE85*Source!I85, 2))), 2)</f>
        <v>193.87</v>
      </c>
      <c r="V157">
        <f>Source!Y85</f>
        <v>1282.44</v>
      </c>
    </row>
    <row r="158" spans="1:26" x14ac:dyDescent="0.2">
      <c r="C158" s="23" t="str">
        <f>"Объем: "&amp;Source!I85&amp;"=23,7/"&amp;"100"</f>
        <v>Объем: 0,237=23,7/100</v>
      </c>
    </row>
    <row r="159" spans="1:26" ht="14.25" x14ac:dyDescent="0.2">
      <c r="A159" s="45"/>
      <c r="B159" s="46"/>
      <c r="C159" s="46" t="s">
        <v>1636</v>
      </c>
      <c r="D159" s="29"/>
      <c r="E159" s="11"/>
      <c r="F159" s="30">
        <f>Source!AO85</f>
        <v>1273.5899999999999</v>
      </c>
      <c r="G159" s="31" t="str">
        <f>Source!DG85</f>
        <v>)*1,15</v>
      </c>
      <c r="H159" s="30">
        <f>ROUND(Source!AF85*Source!I85, 2)</f>
        <v>347.12</v>
      </c>
      <c r="I159" s="31"/>
      <c r="J159" s="31">
        <f>IF(Source!BA85&lt;&gt; 0, Source!BA85, 1)</f>
        <v>6.56</v>
      </c>
      <c r="K159" s="30">
        <f>Source!S85</f>
        <v>2277.09</v>
      </c>
      <c r="L159" s="32"/>
      <c r="R159">
        <f>H159</f>
        <v>347.12</v>
      </c>
    </row>
    <row r="160" spans="1:26" ht="14.25" x14ac:dyDescent="0.2">
      <c r="A160" s="45"/>
      <c r="B160" s="46"/>
      <c r="C160" s="46" t="s">
        <v>136</v>
      </c>
      <c r="D160" s="29"/>
      <c r="E160" s="11"/>
      <c r="F160" s="30">
        <f>Source!AM85</f>
        <v>255.21</v>
      </c>
      <c r="G160" s="31" t="str">
        <f>Source!DE85</f>
        <v>)*1,25</v>
      </c>
      <c r="H160" s="30">
        <f>ROUND(Source!AD85*Source!I85, 2)</f>
        <v>75.61</v>
      </c>
      <c r="I160" s="31"/>
      <c r="J160" s="31">
        <f>IF(Source!BB85&lt;&gt; 0, Source!BB85, 1)</f>
        <v>6.56</v>
      </c>
      <c r="K160" s="30">
        <f>Source!Q85</f>
        <v>495.97</v>
      </c>
      <c r="L160" s="32"/>
    </row>
    <row r="161" spans="1:26" ht="14.25" x14ac:dyDescent="0.2">
      <c r="A161" s="45"/>
      <c r="B161" s="46"/>
      <c r="C161" s="46" t="s">
        <v>1637</v>
      </c>
      <c r="D161" s="29"/>
      <c r="E161" s="11"/>
      <c r="F161" s="30">
        <f>Source!AN85</f>
        <v>50.32</v>
      </c>
      <c r="G161" s="31" t="str">
        <f>Source!DF85</f>
        <v>)*1,25</v>
      </c>
      <c r="H161" s="33">
        <f>ROUND(Source!AE85*Source!I85, 2)</f>
        <v>14.91</v>
      </c>
      <c r="I161" s="31"/>
      <c r="J161" s="31">
        <f>IF(Source!BS85&lt;&gt; 0, Source!BS85, 1)</f>
        <v>6.56</v>
      </c>
      <c r="K161" s="33">
        <f>Source!R85</f>
        <v>97.79</v>
      </c>
      <c r="L161" s="32"/>
      <c r="R161">
        <f>H161</f>
        <v>14.91</v>
      </c>
    </row>
    <row r="162" spans="1:26" ht="14.25" x14ac:dyDescent="0.2">
      <c r="A162" s="45"/>
      <c r="B162" s="46"/>
      <c r="C162" s="46" t="s">
        <v>1643</v>
      </c>
      <c r="D162" s="29"/>
      <c r="E162" s="11"/>
      <c r="F162" s="30">
        <f>Source!AL85</f>
        <v>8298.35</v>
      </c>
      <c r="G162" s="31" t="str">
        <f>Source!DD85</f>
        <v/>
      </c>
      <c r="H162" s="30">
        <f>ROUND(Source!AC85*Source!I85, 2)</f>
        <v>1966.71</v>
      </c>
      <c r="I162" s="31"/>
      <c r="J162" s="31">
        <f>IF(Source!BC85&lt;&gt; 0, Source!BC85, 1)</f>
        <v>6.56</v>
      </c>
      <c r="K162" s="30">
        <f>Source!P85</f>
        <v>12901.61</v>
      </c>
      <c r="L162" s="32"/>
    </row>
    <row r="163" spans="1:26" ht="14.25" x14ac:dyDescent="0.2">
      <c r="A163" s="45"/>
      <c r="B163" s="46"/>
      <c r="C163" s="46" t="s">
        <v>1638</v>
      </c>
      <c r="D163" s="29" t="s">
        <v>1639</v>
      </c>
      <c r="E163" s="11">
        <f>Source!BZ85</f>
        <v>118</v>
      </c>
      <c r="F163" s="71" t="str">
        <f>CONCATENATE(" )", Source!DL85, Source!FT85, "=", Source!FX85)</f>
        <v xml:space="preserve"> )*0,9=106,2</v>
      </c>
      <c r="G163" s="72"/>
      <c r="H163" s="30">
        <f>SUM(S157:S167)</f>
        <v>384.48</v>
      </c>
      <c r="I163" s="34"/>
      <c r="J163" s="27">
        <f>Source!AT85</f>
        <v>106</v>
      </c>
      <c r="K163" s="30">
        <f>SUM(T157:T167)</f>
        <v>2517.37</v>
      </c>
      <c r="L163" s="32"/>
    </row>
    <row r="164" spans="1:26" ht="14.25" x14ac:dyDescent="0.2">
      <c r="A164" s="45"/>
      <c r="B164" s="46"/>
      <c r="C164" s="46" t="s">
        <v>1640</v>
      </c>
      <c r="D164" s="29" t="s">
        <v>1639</v>
      </c>
      <c r="E164" s="11">
        <f>Source!CA85</f>
        <v>63</v>
      </c>
      <c r="F164" s="71" t="str">
        <f>CONCATENATE(" )", Source!DM85, Source!FU85, "=", Source!FY85)</f>
        <v xml:space="preserve"> )*0,85=53,55</v>
      </c>
      <c r="G164" s="72"/>
      <c r="H164" s="30">
        <f>SUM(U157:U167)</f>
        <v>193.87</v>
      </c>
      <c r="I164" s="34"/>
      <c r="J164" s="27">
        <f>Source!AU85</f>
        <v>54</v>
      </c>
      <c r="K164" s="30">
        <f>SUM(V157:V167)</f>
        <v>1282.44</v>
      </c>
      <c r="L164" s="32"/>
    </row>
    <row r="165" spans="1:26" ht="14.25" x14ac:dyDescent="0.2">
      <c r="A165" s="45"/>
      <c r="B165" s="46"/>
      <c r="C165" s="46" t="s">
        <v>1641</v>
      </c>
      <c r="D165" s="29" t="s">
        <v>1642</v>
      </c>
      <c r="E165" s="11">
        <f>Source!AQ85</f>
        <v>145.72</v>
      </c>
      <c r="F165" s="30"/>
      <c r="G165" s="31" t="str">
        <f>Source!DI85</f>
        <v>)*1,15</v>
      </c>
      <c r="H165" s="30"/>
      <c r="I165" s="31"/>
      <c r="J165" s="31"/>
      <c r="K165" s="30"/>
      <c r="L165" s="41">
        <f>Source!U85</f>
        <v>39.715985999999994</v>
      </c>
    </row>
    <row r="166" spans="1:26" ht="71.25" x14ac:dyDescent="0.2">
      <c r="A166" s="45" t="str">
        <f>Source!E86</f>
        <v>15,1</v>
      </c>
      <c r="B166" s="46" t="str">
        <f>Source!F86</f>
        <v>11.3.02.01-0019</v>
      </c>
      <c r="C166" s="46" t="str">
        <f>Source!G86</f>
        <v>Блок оконный пластиковый двустворчатый, с глухой и поворотно-откидной створкой, двухкамерным стеклопакетом (42 мм), площадью до 3,5 м2</v>
      </c>
      <c r="D166" s="29" t="str">
        <f>Source!H86</f>
        <v>м2</v>
      </c>
      <c r="E166" s="11">
        <f>Source!I86</f>
        <v>23.7</v>
      </c>
      <c r="F166" s="30">
        <f>Source!AL86+Source!AM86+Source!AO86</f>
        <v>2554.73</v>
      </c>
      <c r="G166" s="42" t="s">
        <v>6</v>
      </c>
      <c r="H166" s="30">
        <f>ROUND(Source!AC86*Source!I86, 2)+ROUND(Source!AD86*Source!I86, 2)+ROUND(Source!AF86*Source!I86, 2)</f>
        <v>60547.1</v>
      </c>
      <c r="I166" s="31"/>
      <c r="J166" s="31">
        <f>IF(Source!BC86&lt;&gt; 0, Source!BC86, 1)</f>
        <v>6.56</v>
      </c>
      <c r="K166" s="30">
        <f>Source!O86</f>
        <v>397188.98</v>
      </c>
      <c r="L166" s="32"/>
      <c r="S166">
        <f>ROUND((Source!FX86/100)*((ROUND(Source!AF86*Source!I86, 2)+ROUND(Source!AE86*Source!I86, 2))), 2)</f>
        <v>0</v>
      </c>
      <c r="T166">
        <f>Source!X86</f>
        <v>0</v>
      </c>
      <c r="U166">
        <f>ROUND((Source!FY86/100)*((ROUND(Source!AF86*Source!I86, 2)+ROUND(Source!AE86*Source!I86, 2))), 2)</f>
        <v>0</v>
      </c>
      <c r="V166">
        <f>Source!Y86</f>
        <v>0</v>
      </c>
      <c r="W166">
        <f>IF(Source!BI86&lt;=1,H166, 0)</f>
        <v>60547.1</v>
      </c>
      <c r="X166">
        <f>IF(Source!BI86=2,H166, 0)</f>
        <v>0</v>
      </c>
      <c r="Y166">
        <f>IF(Source!BI86=3,H166, 0)</f>
        <v>0</v>
      </c>
      <c r="Z166">
        <f>IF(Source!BI86=4,H166, 0)</f>
        <v>0</v>
      </c>
    </row>
    <row r="167" spans="1:26" ht="14.25" x14ac:dyDescent="0.2">
      <c r="A167" s="47" t="str">
        <f>Source!E87</f>
        <v>15,2</v>
      </c>
      <c r="B167" s="48" t="str">
        <f>Source!F87</f>
        <v>11.3.02.03</v>
      </c>
      <c r="C167" s="48" t="str">
        <f>Source!G87</f>
        <v>Блоки оконные пластиковые</v>
      </c>
      <c r="D167" s="35" t="str">
        <f>Source!H87</f>
        <v>м2</v>
      </c>
      <c r="E167" s="36">
        <f>Source!I87</f>
        <v>23.7</v>
      </c>
      <c r="F167" s="37">
        <f>Source!AL87+Source!AM87+Source!AO87</f>
        <v>0</v>
      </c>
      <c r="G167" s="43" t="s">
        <v>6</v>
      </c>
      <c r="H167" s="37">
        <f>ROUND(Source!AC87*Source!I87, 2)+ROUND(Source!AD87*Source!I87, 2)+ROUND(Source!AF87*Source!I87, 2)</f>
        <v>0</v>
      </c>
      <c r="I167" s="38"/>
      <c r="J167" s="38">
        <f>IF(Source!BC87&lt;&gt; 0, Source!BC87, 1)</f>
        <v>6.56</v>
      </c>
      <c r="K167" s="37">
        <f>Source!O87</f>
        <v>0</v>
      </c>
      <c r="L167" s="44"/>
      <c r="S167">
        <f>ROUND((Source!FX87/100)*((ROUND(Source!AF87*Source!I87, 2)+ROUND(Source!AE87*Source!I87, 2))), 2)</f>
        <v>0</v>
      </c>
      <c r="T167">
        <f>Source!X87</f>
        <v>0</v>
      </c>
      <c r="U167">
        <f>ROUND((Source!FY87/100)*((ROUND(Source!AF87*Source!I87, 2)+ROUND(Source!AE87*Source!I87, 2))), 2)</f>
        <v>0</v>
      </c>
      <c r="V167">
        <f>Source!Y87</f>
        <v>0</v>
      </c>
      <c r="W167">
        <f>IF(Source!BI87&lt;=1,H167, 0)</f>
        <v>0</v>
      </c>
      <c r="X167">
        <f>IF(Source!BI87=2,H167, 0)</f>
        <v>0</v>
      </c>
      <c r="Y167">
        <f>IF(Source!BI87=3,H167, 0)</f>
        <v>0</v>
      </c>
      <c r="Z167">
        <f>IF(Source!BI87=4,H167, 0)</f>
        <v>0</v>
      </c>
    </row>
    <row r="168" spans="1:26" ht="15" x14ac:dyDescent="0.25">
      <c r="G168" s="70">
        <f>H159+H160+H162+H163+H164+SUM(H166:H167)</f>
        <v>63514.89</v>
      </c>
      <c r="H168" s="70"/>
      <c r="J168" s="70">
        <f>K159+K160+K162+K163+K164+SUM(K166:K167)</f>
        <v>416663.45999999996</v>
      </c>
      <c r="K168" s="70"/>
      <c r="L168" s="40">
        <f>Source!U85</f>
        <v>39.715985999999994</v>
      </c>
      <c r="O168" s="24">
        <f>G168</f>
        <v>63514.89</v>
      </c>
      <c r="P168" s="24">
        <f>J168</f>
        <v>416663.45999999996</v>
      </c>
      <c r="Q168" s="24">
        <f>L168</f>
        <v>39.715985999999994</v>
      </c>
      <c r="W168">
        <f>IF(Source!BI85&lt;=1,H159+H160+H162+H163+H164, 0)</f>
        <v>2967.79</v>
      </c>
      <c r="X168">
        <f>IF(Source!BI85=2,H159+H160+H162+H163+H164, 0)</f>
        <v>0</v>
      </c>
      <c r="Y168">
        <f>IF(Source!BI85=3,H159+H160+H162+H163+H164, 0)</f>
        <v>0</v>
      </c>
      <c r="Z168">
        <f>IF(Source!BI85=4,H159+H160+H162+H163+H164, 0)</f>
        <v>0</v>
      </c>
    </row>
    <row r="169" spans="1:26" ht="71.25" x14ac:dyDescent="0.2">
      <c r="A169" s="45" t="str">
        <f>Source!E88</f>
        <v>16</v>
      </c>
      <c r="B169" s="46" t="str">
        <f>Source!F88</f>
        <v>10-01-034-03</v>
      </c>
      <c r="C169" s="46" t="str">
        <f>Source!G88</f>
        <v>Установка в жилых и общественных зданиях оконных блоков из ПВХ профилей поворотных (откидных, поворотно-откидных) с площадью проема до 2 м2 одностворчатых</v>
      </c>
      <c r="D169" s="29" t="str">
        <f>Source!H88</f>
        <v>100 м2</v>
      </c>
      <c r="E169" s="11">
        <f>Source!I88</f>
        <v>8.9999999999999993E-3</v>
      </c>
      <c r="F169" s="30">
        <f>Source!AL88+Source!AM88+Source!AO88</f>
        <v>15756.66</v>
      </c>
      <c r="G169" s="31"/>
      <c r="H169" s="30"/>
      <c r="I169" s="31" t="str">
        <f>Source!BO88</f>
        <v/>
      </c>
      <c r="J169" s="31"/>
      <c r="K169" s="30"/>
      <c r="L169" s="32"/>
      <c r="S169">
        <f>ROUND((Source!FX88/100)*((ROUND(Source!AF88*Source!I88, 2)+ROUND(Source!AE88*Source!I88, 2))), 2)</f>
        <v>21.54</v>
      </c>
      <c r="T169">
        <f>Source!X88</f>
        <v>141.01</v>
      </c>
      <c r="U169">
        <f>ROUND((Source!FY88/100)*((ROUND(Source!AF88*Source!I88, 2)+ROUND(Source!AE88*Source!I88, 2))), 2)</f>
        <v>10.86</v>
      </c>
      <c r="V169">
        <f>Source!Y88</f>
        <v>71.84</v>
      </c>
    </row>
    <row r="170" spans="1:26" x14ac:dyDescent="0.2">
      <c r="C170" s="23" t="str">
        <f>"Объем: "&amp;Source!I88&amp;"=0,9/"&amp;"100"</f>
        <v>Объем: 0,009=0,9/100</v>
      </c>
    </row>
    <row r="171" spans="1:26" ht="14.25" x14ac:dyDescent="0.2">
      <c r="A171" s="45"/>
      <c r="B171" s="46"/>
      <c r="C171" s="46" t="s">
        <v>1636</v>
      </c>
      <c r="D171" s="29"/>
      <c r="E171" s="11"/>
      <c r="F171" s="30">
        <f>Source!AO88</f>
        <v>1888.54</v>
      </c>
      <c r="G171" s="31" t="str">
        <f>Source!DG88</f>
        <v>)*1,15</v>
      </c>
      <c r="H171" s="30">
        <f>ROUND(Source!AF88*Source!I88, 2)</f>
        <v>19.55</v>
      </c>
      <c r="I171" s="31"/>
      <c r="J171" s="31">
        <f>IF(Source!BA88&lt;&gt; 0, Source!BA88, 1)</f>
        <v>6.56</v>
      </c>
      <c r="K171" s="30">
        <f>Source!S88</f>
        <v>128.22</v>
      </c>
      <c r="L171" s="32"/>
      <c r="R171">
        <f>H171</f>
        <v>19.55</v>
      </c>
    </row>
    <row r="172" spans="1:26" ht="14.25" x14ac:dyDescent="0.2">
      <c r="A172" s="45"/>
      <c r="B172" s="46"/>
      <c r="C172" s="46" t="s">
        <v>136</v>
      </c>
      <c r="D172" s="29"/>
      <c r="E172" s="11"/>
      <c r="F172" s="30">
        <f>Source!AM88</f>
        <v>289.60000000000002</v>
      </c>
      <c r="G172" s="31" t="str">
        <f>Source!DE88</f>
        <v>)*1,25</v>
      </c>
      <c r="H172" s="30">
        <f>ROUND(Source!AD88*Source!I88, 2)</f>
        <v>3.26</v>
      </c>
      <c r="I172" s="31"/>
      <c r="J172" s="31">
        <f>IF(Source!BB88&lt;&gt; 0, Source!BB88, 1)</f>
        <v>6.56</v>
      </c>
      <c r="K172" s="30">
        <f>Source!Q88</f>
        <v>21.37</v>
      </c>
      <c r="L172" s="32"/>
    </row>
    <row r="173" spans="1:26" ht="14.25" x14ac:dyDescent="0.2">
      <c r="A173" s="45"/>
      <c r="B173" s="46"/>
      <c r="C173" s="46" t="s">
        <v>1637</v>
      </c>
      <c r="D173" s="29"/>
      <c r="E173" s="11"/>
      <c r="F173" s="30">
        <f>Source!AN88</f>
        <v>65.17</v>
      </c>
      <c r="G173" s="31" t="str">
        <f>Source!DF88</f>
        <v>)*1,25</v>
      </c>
      <c r="H173" s="33">
        <f>ROUND(Source!AE88*Source!I88, 2)</f>
        <v>0.73</v>
      </c>
      <c r="I173" s="31"/>
      <c r="J173" s="31">
        <f>IF(Source!BS88&lt;&gt; 0, Source!BS88, 1)</f>
        <v>6.56</v>
      </c>
      <c r="K173" s="33">
        <f>Source!R88</f>
        <v>4.8099999999999996</v>
      </c>
      <c r="L173" s="32"/>
      <c r="R173">
        <f>H173</f>
        <v>0.73</v>
      </c>
    </row>
    <row r="174" spans="1:26" ht="14.25" x14ac:dyDescent="0.2">
      <c r="A174" s="45"/>
      <c r="B174" s="46"/>
      <c r="C174" s="46" t="s">
        <v>1643</v>
      </c>
      <c r="D174" s="29"/>
      <c r="E174" s="11"/>
      <c r="F174" s="30">
        <f>Source!AL88</f>
        <v>13578.52</v>
      </c>
      <c r="G174" s="31" t="str">
        <f>Source!DD88</f>
        <v/>
      </c>
      <c r="H174" s="30">
        <f>ROUND(Source!AC88*Source!I88, 2)</f>
        <v>122.21</v>
      </c>
      <c r="I174" s="31"/>
      <c r="J174" s="31">
        <f>IF(Source!BC88&lt;&gt; 0, Source!BC88, 1)</f>
        <v>6.56</v>
      </c>
      <c r="K174" s="30">
        <f>Source!P88</f>
        <v>801.68</v>
      </c>
      <c r="L174" s="32"/>
    </row>
    <row r="175" spans="1:26" ht="14.25" x14ac:dyDescent="0.2">
      <c r="A175" s="45"/>
      <c r="B175" s="46"/>
      <c r="C175" s="46" t="s">
        <v>1638</v>
      </c>
      <c r="D175" s="29" t="s">
        <v>1639</v>
      </c>
      <c r="E175" s="11">
        <f>Source!BZ88</f>
        <v>118</v>
      </c>
      <c r="F175" s="71" t="str">
        <f>CONCATENATE(" )", Source!DL88, Source!FT88, "=", Source!FX88)</f>
        <v xml:space="preserve"> )*0,9=106,2</v>
      </c>
      <c r="G175" s="72"/>
      <c r="H175" s="30">
        <f>SUM(S169:S179)</f>
        <v>21.54</v>
      </c>
      <c r="I175" s="34"/>
      <c r="J175" s="27">
        <f>Source!AT88</f>
        <v>106</v>
      </c>
      <c r="K175" s="30">
        <f>SUM(T169:T179)</f>
        <v>141.01</v>
      </c>
      <c r="L175" s="32"/>
    </row>
    <row r="176" spans="1:26" ht="14.25" x14ac:dyDescent="0.2">
      <c r="A176" s="45"/>
      <c r="B176" s="46"/>
      <c r="C176" s="46" t="s">
        <v>1640</v>
      </c>
      <c r="D176" s="29" t="s">
        <v>1639</v>
      </c>
      <c r="E176" s="11">
        <f>Source!CA88</f>
        <v>63</v>
      </c>
      <c r="F176" s="71" t="str">
        <f>CONCATENATE(" )", Source!DM88, Source!FU88, "=", Source!FY88)</f>
        <v xml:space="preserve"> )*0,85=53,55</v>
      </c>
      <c r="G176" s="72"/>
      <c r="H176" s="30">
        <f>SUM(U169:U179)</f>
        <v>10.86</v>
      </c>
      <c r="I176" s="34"/>
      <c r="J176" s="27">
        <f>Source!AU88</f>
        <v>54</v>
      </c>
      <c r="K176" s="30">
        <f>SUM(V169:V179)</f>
        <v>71.84</v>
      </c>
      <c r="L176" s="32"/>
    </row>
    <row r="177" spans="1:26" ht="14.25" x14ac:dyDescent="0.2">
      <c r="A177" s="45"/>
      <c r="B177" s="46"/>
      <c r="C177" s="46" t="s">
        <v>1641</v>
      </c>
      <c r="D177" s="29" t="s">
        <v>1642</v>
      </c>
      <c r="E177" s="11">
        <f>Source!AQ88</f>
        <v>216.08</v>
      </c>
      <c r="F177" s="30"/>
      <c r="G177" s="31" t="str">
        <f>Source!DI88</f>
        <v>)*1,15</v>
      </c>
      <c r="H177" s="30"/>
      <c r="I177" s="31"/>
      <c r="J177" s="31"/>
      <c r="K177" s="30"/>
      <c r="L177" s="41">
        <f>Source!U88</f>
        <v>2.2364279999999996</v>
      </c>
    </row>
    <row r="178" spans="1:26" ht="71.25" x14ac:dyDescent="0.2">
      <c r="A178" s="45" t="str">
        <f>Source!E89</f>
        <v>16,1</v>
      </c>
      <c r="B178" s="46" t="str">
        <f>Source!F89</f>
        <v>11.3.02.02-0012</v>
      </c>
      <c r="C178" s="46" t="str">
        <f>Source!G89</f>
        <v>Блок оконный пластиковый одностворчатый, с поворотно-откидной створкой, двухкамерным стеклопакетом (42 мм), площадью до 1 м2</v>
      </c>
      <c r="D178" s="29" t="str">
        <f>Source!H89</f>
        <v>м2</v>
      </c>
      <c r="E178" s="11">
        <f>Source!I89</f>
        <v>0.9</v>
      </c>
      <c r="F178" s="30">
        <f>Source!AL89+Source!AM89+Source!AO89</f>
        <v>4581.8599999999997</v>
      </c>
      <c r="G178" s="42" t="s">
        <v>6</v>
      </c>
      <c r="H178" s="30">
        <f>ROUND(Source!AC89*Source!I89, 2)+ROUND(Source!AD89*Source!I89, 2)+ROUND(Source!AF89*Source!I89, 2)</f>
        <v>4123.67</v>
      </c>
      <c r="I178" s="31"/>
      <c r="J178" s="31">
        <f>IF(Source!BC89&lt;&gt; 0, Source!BC89, 1)</f>
        <v>6.56</v>
      </c>
      <c r="K178" s="30">
        <f>Source!O89</f>
        <v>27051.3</v>
      </c>
      <c r="L178" s="32"/>
      <c r="S178">
        <f>ROUND((Source!FX89/100)*((ROUND(Source!AF89*Source!I89, 2)+ROUND(Source!AE89*Source!I89, 2))), 2)</f>
        <v>0</v>
      </c>
      <c r="T178">
        <f>Source!X89</f>
        <v>0</v>
      </c>
      <c r="U178">
        <f>ROUND((Source!FY89/100)*((ROUND(Source!AF89*Source!I89, 2)+ROUND(Source!AE89*Source!I89, 2))), 2)</f>
        <v>0</v>
      </c>
      <c r="V178">
        <f>Source!Y89</f>
        <v>0</v>
      </c>
      <c r="W178">
        <f>IF(Source!BI89&lt;=1,H178, 0)</f>
        <v>4123.67</v>
      </c>
      <c r="X178">
        <f>IF(Source!BI89=2,H178, 0)</f>
        <v>0</v>
      </c>
      <c r="Y178">
        <f>IF(Source!BI89=3,H178, 0)</f>
        <v>0</v>
      </c>
      <c r="Z178">
        <f>IF(Source!BI89=4,H178, 0)</f>
        <v>0</v>
      </c>
    </row>
    <row r="179" spans="1:26" ht="14.25" x14ac:dyDescent="0.2">
      <c r="A179" s="47" t="str">
        <f>Source!E90</f>
        <v>16,2</v>
      </c>
      <c r="B179" s="48" t="str">
        <f>Source!F90</f>
        <v>11.3.02.03</v>
      </c>
      <c r="C179" s="48" t="str">
        <f>Source!G90</f>
        <v>Блоки оконные пластиковые</v>
      </c>
      <c r="D179" s="35" t="str">
        <f>Source!H90</f>
        <v>м2</v>
      </c>
      <c r="E179" s="36">
        <f>Source!I90</f>
        <v>0.9</v>
      </c>
      <c r="F179" s="37">
        <f>Source!AL90+Source!AM90+Source!AO90</f>
        <v>0</v>
      </c>
      <c r="G179" s="43" t="s">
        <v>6</v>
      </c>
      <c r="H179" s="37">
        <f>ROUND(Source!AC90*Source!I90, 2)+ROUND(Source!AD90*Source!I90, 2)+ROUND(Source!AF90*Source!I90, 2)</f>
        <v>0</v>
      </c>
      <c r="I179" s="38"/>
      <c r="J179" s="38">
        <f>IF(Source!BC90&lt;&gt; 0, Source!BC90, 1)</f>
        <v>6.56</v>
      </c>
      <c r="K179" s="37">
        <f>Source!O90</f>
        <v>0</v>
      </c>
      <c r="L179" s="44"/>
      <c r="S179">
        <f>ROUND((Source!FX90/100)*((ROUND(Source!AF90*Source!I90, 2)+ROUND(Source!AE90*Source!I90, 2))), 2)</f>
        <v>0</v>
      </c>
      <c r="T179">
        <f>Source!X90</f>
        <v>0</v>
      </c>
      <c r="U179">
        <f>ROUND((Source!FY90/100)*((ROUND(Source!AF90*Source!I90, 2)+ROUND(Source!AE90*Source!I90, 2))), 2)</f>
        <v>0</v>
      </c>
      <c r="V179">
        <f>Source!Y90</f>
        <v>0</v>
      </c>
      <c r="W179">
        <f>IF(Source!BI90&lt;=1,H179, 0)</f>
        <v>0</v>
      </c>
      <c r="X179">
        <f>IF(Source!BI90=2,H179, 0)</f>
        <v>0</v>
      </c>
      <c r="Y179">
        <f>IF(Source!BI90=3,H179, 0)</f>
        <v>0</v>
      </c>
      <c r="Z179">
        <f>IF(Source!BI90=4,H179, 0)</f>
        <v>0</v>
      </c>
    </row>
    <row r="180" spans="1:26" ht="15" x14ac:dyDescent="0.25">
      <c r="G180" s="70">
        <f>H171+H172+H174+H175+H176+SUM(H178:H179)</f>
        <v>4301.09</v>
      </c>
      <c r="H180" s="70"/>
      <c r="J180" s="70">
        <f>K171+K172+K174+K175+K176+SUM(K178:K179)</f>
        <v>28215.42</v>
      </c>
      <c r="K180" s="70"/>
      <c r="L180" s="40">
        <f>Source!U88</f>
        <v>2.2364279999999996</v>
      </c>
      <c r="O180" s="24">
        <f>G180</f>
        <v>4301.09</v>
      </c>
      <c r="P180" s="24">
        <f>J180</f>
        <v>28215.42</v>
      </c>
      <c r="Q180" s="24">
        <f>L180</f>
        <v>2.2364279999999996</v>
      </c>
      <c r="W180">
        <f>IF(Source!BI88&lt;=1,H171+H172+H174+H175+H176, 0)</f>
        <v>177.41999999999996</v>
      </c>
      <c r="X180">
        <f>IF(Source!BI88=2,H171+H172+H174+H175+H176, 0)</f>
        <v>0</v>
      </c>
      <c r="Y180">
        <f>IF(Source!BI88=3,H171+H172+H174+H175+H176, 0)</f>
        <v>0</v>
      </c>
      <c r="Z180">
        <f>IF(Source!BI88=4,H171+H172+H174+H175+H176, 0)</f>
        <v>0</v>
      </c>
    </row>
    <row r="181" spans="1:26" ht="42.75" x14ac:dyDescent="0.2">
      <c r="A181" s="45" t="str">
        <f>Source!E91</f>
        <v>17</v>
      </c>
      <c r="B181" s="46" t="str">
        <f>Source!F91</f>
        <v>12-01-010-01</v>
      </c>
      <c r="C181" s="46" t="str">
        <f>Source!G91</f>
        <v>Устройство мелких покрытий (брандмауэры, парапеты, свесы и т.п.) из листовой оцинкованной стали</v>
      </c>
      <c r="D181" s="29" t="str">
        <f>Source!H91</f>
        <v>100 м2</v>
      </c>
      <c r="E181" s="11">
        <f>Source!I91</f>
        <v>2.6499999999999999E-2</v>
      </c>
      <c r="F181" s="30">
        <f>Source!AL91+Source!AM91+Source!AO91</f>
        <v>9874.2199999999993</v>
      </c>
      <c r="G181" s="31"/>
      <c r="H181" s="30"/>
      <c r="I181" s="31" t="str">
        <f>Source!BO91</f>
        <v/>
      </c>
      <c r="J181" s="31"/>
      <c r="K181" s="30"/>
      <c r="L181" s="32"/>
      <c r="S181">
        <f>ROUND((Source!FX91/100)*((ROUND(Source!AF91*Source!I91, 2)+ROUND(Source!AE91*Source!I91, 2))), 2)</f>
        <v>31.78</v>
      </c>
      <c r="T181">
        <f>Source!X91</f>
        <v>208.47</v>
      </c>
      <c r="U181">
        <f>ROUND((Source!FY91/100)*((ROUND(Source!AF91*Source!I91, 2)+ROUND(Source!AE91*Source!I91, 2))), 2)</f>
        <v>16.260000000000002</v>
      </c>
      <c r="V181">
        <f>Source!Y91</f>
        <v>106.17</v>
      </c>
    </row>
    <row r="182" spans="1:26" x14ac:dyDescent="0.2">
      <c r="C182" s="23" t="str">
        <f>"Объем: "&amp;Source!I91&amp;"=2,65/"&amp;"100"</f>
        <v>Объем: 0,0265=2,65/100</v>
      </c>
    </row>
    <row r="183" spans="1:26" ht="14.25" x14ac:dyDescent="0.2">
      <c r="A183" s="45"/>
      <c r="B183" s="46"/>
      <c r="C183" s="46" t="s">
        <v>1636</v>
      </c>
      <c r="D183" s="29"/>
      <c r="E183" s="11"/>
      <c r="F183" s="30">
        <f>Source!AO91</f>
        <v>961.76</v>
      </c>
      <c r="G183" s="31" t="str">
        <f>Source!DG91</f>
        <v>)*1,15</v>
      </c>
      <c r="H183" s="30">
        <f>ROUND(Source!AF91*Source!I91, 2)</f>
        <v>29.31</v>
      </c>
      <c r="I183" s="31"/>
      <c r="J183" s="31">
        <f>IF(Source!BA91&lt;&gt; 0, Source!BA91, 1)</f>
        <v>6.56</v>
      </c>
      <c r="K183" s="30">
        <f>Source!S91</f>
        <v>192.27</v>
      </c>
      <c r="L183" s="32"/>
      <c r="R183">
        <f>H183</f>
        <v>29.31</v>
      </c>
    </row>
    <row r="184" spans="1:26" ht="14.25" x14ac:dyDescent="0.2">
      <c r="A184" s="45"/>
      <c r="B184" s="46"/>
      <c r="C184" s="46" t="s">
        <v>136</v>
      </c>
      <c r="D184" s="29"/>
      <c r="E184" s="11"/>
      <c r="F184" s="30">
        <f>Source!AM91</f>
        <v>21.88</v>
      </c>
      <c r="G184" s="31" t="str">
        <f>Source!DE91</f>
        <v>)*1,25</v>
      </c>
      <c r="H184" s="30">
        <f>ROUND(Source!AD91*Source!I91, 2)</f>
        <v>0.72</v>
      </c>
      <c r="I184" s="31"/>
      <c r="J184" s="31">
        <f>IF(Source!BB91&lt;&gt; 0, Source!BB91, 1)</f>
        <v>6.56</v>
      </c>
      <c r="K184" s="30">
        <f>Source!Q91</f>
        <v>4.75</v>
      </c>
      <c r="L184" s="32"/>
    </row>
    <row r="185" spans="1:26" ht="14.25" x14ac:dyDescent="0.2">
      <c r="A185" s="45"/>
      <c r="B185" s="46"/>
      <c r="C185" s="46" t="s">
        <v>1637</v>
      </c>
      <c r="D185" s="29"/>
      <c r="E185" s="11"/>
      <c r="F185" s="30">
        <f>Source!AN91</f>
        <v>3.51</v>
      </c>
      <c r="G185" s="31" t="str">
        <f>Source!DF91</f>
        <v>)*1,25</v>
      </c>
      <c r="H185" s="33">
        <f>ROUND(Source!AE91*Source!I91, 2)</f>
        <v>0.12</v>
      </c>
      <c r="I185" s="31"/>
      <c r="J185" s="31">
        <f>IF(Source!BS91&lt;&gt; 0, Source!BS91, 1)</f>
        <v>6.56</v>
      </c>
      <c r="K185" s="33">
        <f>Source!R91</f>
        <v>0.76</v>
      </c>
      <c r="L185" s="32"/>
      <c r="R185">
        <f>H185</f>
        <v>0.12</v>
      </c>
    </row>
    <row r="186" spans="1:26" ht="14.25" x14ac:dyDescent="0.2">
      <c r="A186" s="45"/>
      <c r="B186" s="46"/>
      <c r="C186" s="46" t="s">
        <v>1643</v>
      </c>
      <c r="D186" s="29"/>
      <c r="E186" s="11"/>
      <c r="F186" s="30">
        <f>Source!AL91</f>
        <v>8890.58</v>
      </c>
      <c r="G186" s="31" t="str">
        <f>Source!DD91</f>
        <v/>
      </c>
      <c r="H186" s="30">
        <f>ROUND(Source!AC91*Source!I91, 2)</f>
        <v>235.6</v>
      </c>
      <c r="I186" s="31"/>
      <c r="J186" s="31">
        <f>IF(Source!BC91&lt;&gt; 0, Source!BC91, 1)</f>
        <v>6.56</v>
      </c>
      <c r="K186" s="30">
        <f>Source!P91</f>
        <v>1545.54</v>
      </c>
      <c r="L186" s="32"/>
    </row>
    <row r="187" spans="1:26" ht="14.25" x14ac:dyDescent="0.2">
      <c r="A187" s="45"/>
      <c r="B187" s="46"/>
      <c r="C187" s="46" t="s">
        <v>1638</v>
      </c>
      <c r="D187" s="29" t="s">
        <v>1639</v>
      </c>
      <c r="E187" s="11">
        <f>Source!BZ91</f>
        <v>120</v>
      </c>
      <c r="F187" s="71" t="str">
        <f>CONCATENATE(" )", Source!DL91, Source!FT91, "=", Source!FX91)</f>
        <v xml:space="preserve"> )*0,9=108</v>
      </c>
      <c r="G187" s="72"/>
      <c r="H187" s="30">
        <f>SUM(S181:S189)</f>
        <v>31.78</v>
      </c>
      <c r="I187" s="34"/>
      <c r="J187" s="27">
        <f>Source!AT91</f>
        <v>108</v>
      </c>
      <c r="K187" s="30">
        <f>SUM(T181:T189)</f>
        <v>208.47</v>
      </c>
      <c r="L187" s="32"/>
    </row>
    <row r="188" spans="1:26" ht="14.25" x14ac:dyDescent="0.2">
      <c r="A188" s="45"/>
      <c r="B188" s="46"/>
      <c r="C188" s="46" t="s">
        <v>1640</v>
      </c>
      <c r="D188" s="29" t="s">
        <v>1639</v>
      </c>
      <c r="E188" s="11">
        <f>Source!CA91</f>
        <v>65</v>
      </c>
      <c r="F188" s="71" t="str">
        <f>CONCATENATE(" )", Source!DM91, Source!FU91, "=", Source!FY91)</f>
        <v xml:space="preserve"> )*0,85=55,25</v>
      </c>
      <c r="G188" s="72"/>
      <c r="H188" s="30">
        <f>SUM(U181:U189)</f>
        <v>16.260000000000002</v>
      </c>
      <c r="I188" s="34"/>
      <c r="J188" s="27">
        <f>Source!AU91</f>
        <v>55</v>
      </c>
      <c r="K188" s="30">
        <f>SUM(V181:V189)</f>
        <v>106.17</v>
      </c>
      <c r="L188" s="32"/>
    </row>
    <row r="189" spans="1:26" ht="14.25" x14ac:dyDescent="0.2">
      <c r="A189" s="47"/>
      <c r="B189" s="48"/>
      <c r="C189" s="48" t="s">
        <v>1641</v>
      </c>
      <c r="D189" s="35" t="s">
        <v>1642</v>
      </c>
      <c r="E189" s="36">
        <f>Source!AQ91</f>
        <v>112.75</v>
      </c>
      <c r="F189" s="37"/>
      <c r="G189" s="38" t="str">
        <f>Source!DI91</f>
        <v>)*1,15</v>
      </c>
      <c r="H189" s="37"/>
      <c r="I189" s="38"/>
      <c r="J189" s="38"/>
      <c r="K189" s="37"/>
      <c r="L189" s="39">
        <f>Source!U91</f>
        <v>3.4360562499999996</v>
      </c>
    </row>
    <row r="190" spans="1:26" ht="15" x14ac:dyDescent="0.25">
      <c r="G190" s="70">
        <f>H183+H184+H186+H187+H188</f>
        <v>313.66999999999996</v>
      </c>
      <c r="H190" s="70"/>
      <c r="J190" s="70">
        <f>K183+K184+K186+K187+K188</f>
        <v>2057.1999999999998</v>
      </c>
      <c r="K190" s="70"/>
      <c r="L190" s="40">
        <f>Source!U91</f>
        <v>3.4360562499999996</v>
      </c>
      <c r="O190" s="24">
        <f>G190</f>
        <v>313.66999999999996</v>
      </c>
      <c r="P190" s="24">
        <f>J190</f>
        <v>2057.1999999999998</v>
      </c>
      <c r="Q190" s="24">
        <f>L190</f>
        <v>3.4360562499999996</v>
      </c>
      <c r="W190">
        <f>IF(Source!BI91&lt;=1,H183+H184+H186+H187+H188, 0)</f>
        <v>313.66999999999996</v>
      </c>
      <c r="X190">
        <f>IF(Source!BI91=2,H183+H184+H186+H187+H188, 0)</f>
        <v>0</v>
      </c>
      <c r="Y190">
        <f>IF(Source!BI91=3,H183+H184+H186+H187+H188, 0)</f>
        <v>0</v>
      </c>
      <c r="Z190">
        <f>IF(Source!BI91=4,H183+H184+H186+H187+H188, 0)</f>
        <v>0</v>
      </c>
    </row>
    <row r="191" spans="1:26" ht="28.5" x14ac:dyDescent="0.2">
      <c r="A191" s="45" t="str">
        <f>Source!E92</f>
        <v>18</v>
      </c>
      <c r="B191" s="46" t="str">
        <f>Source!F92</f>
        <v>10-01-035-01</v>
      </c>
      <c r="C191" s="46" t="str">
        <f>Source!G92</f>
        <v>Установка подоконных досок из ПВХ в каменных стенах толщиной до 0,51 м</v>
      </c>
      <c r="D191" s="29" t="str">
        <f>Source!H92</f>
        <v>100 м</v>
      </c>
      <c r="E191" s="11">
        <f>Source!I92</f>
        <v>5.2999999999999999E-2</v>
      </c>
      <c r="F191" s="30">
        <f>Source!AL92+Source!AM92+Source!AO92</f>
        <v>4184.0599999999995</v>
      </c>
      <c r="G191" s="31"/>
      <c r="H191" s="30"/>
      <c r="I191" s="31" t="str">
        <f>Source!BO92</f>
        <v/>
      </c>
      <c r="J191" s="31"/>
      <c r="K191" s="30"/>
      <c r="L191" s="32"/>
      <c r="S191">
        <f>ROUND((Source!FX92/100)*((ROUND(Source!AF92*Source!I92, 2)+ROUND(Source!AE92*Source!I92, 2))), 2)</f>
        <v>11.86</v>
      </c>
      <c r="T191">
        <f>Source!X92</f>
        <v>77.66</v>
      </c>
      <c r="U191">
        <f>ROUND((Source!FY92/100)*((ROUND(Source!AF92*Source!I92, 2)+ROUND(Source!AE92*Source!I92, 2))), 2)</f>
        <v>5.98</v>
      </c>
      <c r="V191">
        <f>Source!Y92</f>
        <v>39.56</v>
      </c>
    </row>
    <row r="192" spans="1:26" x14ac:dyDescent="0.2">
      <c r="C192" s="23" t="str">
        <f>"Объем: "&amp;Source!I92&amp;"=5,3/"&amp;"100"</f>
        <v>Объем: 0,053=5,3/100</v>
      </c>
    </row>
    <row r="193" spans="1:26" ht="14.25" x14ac:dyDescent="0.2">
      <c r="A193" s="45"/>
      <c r="B193" s="46"/>
      <c r="C193" s="46" t="s">
        <v>1636</v>
      </c>
      <c r="D193" s="29"/>
      <c r="E193" s="11"/>
      <c r="F193" s="30">
        <f>Source!AO92</f>
        <v>180.75</v>
      </c>
      <c r="G193" s="31" t="str">
        <f>Source!DG92</f>
        <v>)*1,15</v>
      </c>
      <c r="H193" s="30">
        <f>ROUND(Source!AF92*Source!I92, 2)</f>
        <v>11.02</v>
      </c>
      <c r="I193" s="31"/>
      <c r="J193" s="31">
        <f>IF(Source!BA92&lt;&gt; 0, Source!BA92, 1)</f>
        <v>6.56</v>
      </c>
      <c r="K193" s="30">
        <f>Source!S92</f>
        <v>72.27</v>
      </c>
      <c r="L193" s="32"/>
      <c r="R193">
        <f>H193</f>
        <v>11.02</v>
      </c>
    </row>
    <row r="194" spans="1:26" ht="14.25" x14ac:dyDescent="0.2">
      <c r="A194" s="45"/>
      <c r="B194" s="46"/>
      <c r="C194" s="46" t="s">
        <v>136</v>
      </c>
      <c r="D194" s="29"/>
      <c r="E194" s="11"/>
      <c r="F194" s="30">
        <f>Source!AM92</f>
        <v>11.11</v>
      </c>
      <c r="G194" s="31" t="str">
        <f>Source!DE92</f>
        <v>)*1,25</v>
      </c>
      <c r="H194" s="30">
        <f>ROUND(Source!AD92*Source!I92, 2)</f>
        <v>0.74</v>
      </c>
      <c r="I194" s="31"/>
      <c r="J194" s="31">
        <f>IF(Source!BB92&lt;&gt; 0, Source!BB92, 1)</f>
        <v>6.56</v>
      </c>
      <c r="K194" s="30">
        <f>Source!Q92</f>
        <v>4.83</v>
      </c>
      <c r="L194" s="32"/>
    </row>
    <row r="195" spans="1:26" ht="14.25" x14ac:dyDescent="0.2">
      <c r="A195" s="45"/>
      <c r="B195" s="46"/>
      <c r="C195" s="46" t="s">
        <v>1637</v>
      </c>
      <c r="D195" s="29"/>
      <c r="E195" s="11"/>
      <c r="F195" s="30">
        <f>Source!AN92</f>
        <v>2.2799999999999998</v>
      </c>
      <c r="G195" s="31" t="str">
        <f>Source!DF92</f>
        <v>)*1,25</v>
      </c>
      <c r="H195" s="33">
        <f>ROUND(Source!AE92*Source!I92, 2)</f>
        <v>0.15</v>
      </c>
      <c r="I195" s="31"/>
      <c r="J195" s="31">
        <f>IF(Source!BS92&lt;&gt; 0, Source!BS92, 1)</f>
        <v>6.56</v>
      </c>
      <c r="K195" s="33">
        <f>Source!R92</f>
        <v>0.99</v>
      </c>
      <c r="L195" s="32"/>
      <c r="R195">
        <f>H195</f>
        <v>0.15</v>
      </c>
    </row>
    <row r="196" spans="1:26" ht="14.25" x14ac:dyDescent="0.2">
      <c r="A196" s="45"/>
      <c r="B196" s="46"/>
      <c r="C196" s="46" t="s">
        <v>1643</v>
      </c>
      <c r="D196" s="29"/>
      <c r="E196" s="11"/>
      <c r="F196" s="30">
        <f>Source!AL92</f>
        <v>3992.2</v>
      </c>
      <c r="G196" s="31" t="str">
        <f>Source!DD92</f>
        <v/>
      </c>
      <c r="H196" s="30">
        <f>ROUND(Source!AC92*Source!I92, 2)</f>
        <v>211.59</v>
      </c>
      <c r="I196" s="31"/>
      <c r="J196" s="31">
        <f>IF(Source!BC92&lt;&gt; 0, Source!BC92, 1)</f>
        <v>6.56</v>
      </c>
      <c r="K196" s="30">
        <f>Source!P92</f>
        <v>1388.01</v>
      </c>
      <c r="L196" s="32"/>
    </row>
    <row r="197" spans="1:26" ht="14.25" x14ac:dyDescent="0.2">
      <c r="A197" s="45"/>
      <c r="B197" s="46"/>
      <c r="C197" s="46" t="s">
        <v>1638</v>
      </c>
      <c r="D197" s="29" t="s">
        <v>1639</v>
      </c>
      <c r="E197" s="11">
        <f>Source!BZ92</f>
        <v>118</v>
      </c>
      <c r="F197" s="71" t="str">
        <f>CONCATENATE(" )", Source!DL92, Source!FT92, "=", Source!FX92)</f>
        <v xml:space="preserve"> )*0,9=106,2</v>
      </c>
      <c r="G197" s="72"/>
      <c r="H197" s="30">
        <f>SUM(S191:S200)</f>
        <v>11.86</v>
      </c>
      <c r="I197" s="34"/>
      <c r="J197" s="27">
        <f>Source!AT92</f>
        <v>106</v>
      </c>
      <c r="K197" s="30">
        <f>SUM(T191:T200)</f>
        <v>77.66</v>
      </c>
      <c r="L197" s="32"/>
    </row>
    <row r="198" spans="1:26" ht="14.25" x14ac:dyDescent="0.2">
      <c r="A198" s="45"/>
      <c r="B198" s="46"/>
      <c r="C198" s="46" t="s">
        <v>1640</v>
      </c>
      <c r="D198" s="29" t="s">
        <v>1639</v>
      </c>
      <c r="E198" s="11">
        <f>Source!CA92</f>
        <v>63</v>
      </c>
      <c r="F198" s="71" t="str">
        <f>CONCATENATE(" )", Source!DM92, Source!FU92, "=", Source!FY92)</f>
        <v xml:space="preserve"> )*0,85=53,55</v>
      </c>
      <c r="G198" s="72"/>
      <c r="H198" s="30">
        <f>SUM(U191:U200)</f>
        <v>5.98</v>
      </c>
      <c r="I198" s="34"/>
      <c r="J198" s="27">
        <f>Source!AU92</f>
        <v>54</v>
      </c>
      <c r="K198" s="30">
        <f>SUM(V191:V200)</f>
        <v>39.56</v>
      </c>
      <c r="L198" s="32"/>
    </row>
    <row r="199" spans="1:26" ht="14.25" x14ac:dyDescent="0.2">
      <c r="A199" s="45"/>
      <c r="B199" s="46"/>
      <c r="C199" s="46" t="s">
        <v>1641</v>
      </c>
      <c r="D199" s="29" t="s">
        <v>1642</v>
      </c>
      <c r="E199" s="11">
        <f>Source!AQ92</f>
        <v>21.19</v>
      </c>
      <c r="F199" s="30"/>
      <c r="G199" s="31" t="str">
        <f>Source!DI92</f>
        <v>)*1,15</v>
      </c>
      <c r="H199" s="30"/>
      <c r="I199" s="31"/>
      <c r="J199" s="31"/>
      <c r="K199" s="30"/>
      <c r="L199" s="41">
        <f>Source!U92</f>
        <v>1.2915304999999999</v>
      </c>
    </row>
    <row r="200" spans="1:26" ht="28.5" x14ac:dyDescent="0.2">
      <c r="A200" s="47" t="str">
        <f>Source!E93</f>
        <v>18,1</v>
      </c>
      <c r="B200" s="48" t="str">
        <f>Source!F93</f>
        <v>11.3.03.01-0010</v>
      </c>
      <c r="C200" s="48" t="str">
        <f>Source!G93</f>
        <v>Доски подоконные ПВХ, шириной 500 мм</v>
      </c>
      <c r="D200" s="35" t="str">
        <f>Source!H93</f>
        <v>м</v>
      </c>
      <c r="E200" s="36">
        <f>Source!I93</f>
        <v>5.3</v>
      </c>
      <c r="F200" s="37">
        <f>Source!AL93+Source!AM93+Source!AO93</f>
        <v>64.349999999999994</v>
      </c>
      <c r="G200" s="43" t="s">
        <v>6</v>
      </c>
      <c r="H200" s="37">
        <f>ROUND(Source!AC93*Source!I93, 2)+ROUND(Source!AD93*Source!I93, 2)+ROUND(Source!AF93*Source!I93, 2)</f>
        <v>341.06</v>
      </c>
      <c r="I200" s="38"/>
      <c r="J200" s="38">
        <f>IF(Source!BC93&lt;&gt; 0, Source!BC93, 1)</f>
        <v>6.56</v>
      </c>
      <c r="K200" s="37">
        <f>Source!O93</f>
        <v>2237.3200000000002</v>
      </c>
      <c r="L200" s="44"/>
      <c r="S200">
        <f>ROUND((Source!FX93/100)*((ROUND(Source!AF93*Source!I93, 2)+ROUND(Source!AE93*Source!I93, 2))), 2)</f>
        <v>0</v>
      </c>
      <c r="T200">
        <f>Source!X93</f>
        <v>0</v>
      </c>
      <c r="U200">
        <f>ROUND((Source!FY93/100)*((ROUND(Source!AF93*Source!I93, 2)+ROUND(Source!AE93*Source!I93, 2))), 2)</f>
        <v>0</v>
      </c>
      <c r="V200">
        <f>Source!Y93</f>
        <v>0</v>
      </c>
      <c r="W200">
        <f>IF(Source!BI93&lt;=1,H200, 0)</f>
        <v>341.06</v>
      </c>
      <c r="X200">
        <f>IF(Source!BI93=2,H200, 0)</f>
        <v>0</v>
      </c>
      <c r="Y200">
        <f>IF(Source!BI93=3,H200, 0)</f>
        <v>0</v>
      </c>
      <c r="Z200">
        <f>IF(Source!BI93=4,H200, 0)</f>
        <v>0</v>
      </c>
    </row>
    <row r="201" spans="1:26" ht="15" x14ac:dyDescent="0.25">
      <c r="G201" s="70">
        <f>H193+H194+H196+H197+H198+SUM(H200:H200)</f>
        <v>582.25</v>
      </c>
      <c r="H201" s="70"/>
      <c r="J201" s="70">
        <f>K193+K194+K196+K197+K198+SUM(K200:K200)</f>
        <v>3819.65</v>
      </c>
      <c r="K201" s="70"/>
      <c r="L201" s="40">
        <f>Source!U92</f>
        <v>1.2915304999999999</v>
      </c>
      <c r="O201" s="24">
        <f>G201</f>
        <v>582.25</v>
      </c>
      <c r="P201" s="24">
        <f>J201</f>
        <v>3819.65</v>
      </c>
      <c r="Q201" s="24">
        <f>L201</f>
        <v>1.2915304999999999</v>
      </c>
      <c r="W201">
        <f>IF(Source!BI92&lt;=1,H193+H194+H196+H197+H198, 0)</f>
        <v>241.18999999999997</v>
      </c>
      <c r="X201">
        <f>IF(Source!BI92=2,H193+H194+H196+H197+H198, 0)</f>
        <v>0</v>
      </c>
      <c r="Y201">
        <f>IF(Source!BI92=3,H193+H194+H196+H197+H198, 0)</f>
        <v>0</v>
      </c>
      <c r="Z201">
        <f>IF(Source!BI92=4,H193+H194+H196+H197+H198, 0)</f>
        <v>0</v>
      </c>
    </row>
    <row r="202" spans="1:26" ht="42.75" x14ac:dyDescent="0.2">
      <c r="A202" s="45" t="str">
        <f>Source!E94</f>
        <v>19</v>
      </c>
      <c r="B202" s="46" t="str">
        <f>Source!F94</f>
        <v>15-02-031-01</v>
      </c>
      <c r="C202" s="46" t="str">
        <f>Source!G94</f>
        <v>Штукатурка поверхностей оконных и дверных откосов по бетону и камню плоских</v>
      </c>
      <c r="D202" s="29" t="str">
        <f>Source!H94</f>
        <v>100 м2</v>
      </c>
      <c r="E202" s="11">
        <f>Source!I94</f>
        <v>0.2114</v>
      </c>
      <c r="F202" s="30">
        <f>Source!AL94+Source!AM94+Source!AO94</f>
        <v>4206.63</v>
      </c>
      <c r="G202" s="31"/>
      <c r="H202" s="30"/>
      <c r="I202" s="31" t="str">
        <f>Source!BO94</f>
        <v/>
      </c>
      <c r="J202" s="31"/>
      <c r="K202" s="30"/>
      <c r="L202" s="32"/>
      <c r="S202">
        <f>ROUND((Source!FX94/100)*((ROUND(Source!AF94*Source!I94, 2)+ROUND(Source!AE94*Source!I94, 2))), 2)</f>
        <v>442.47</v>
      </c>
      <c r="T202">
        <f>Source!X94</f>
        <v>2917.93</v>
      </c>
      <c r="U202">
        <f>ROUND((Source!FY94/100)*((ROUND(Source!AF94*Source!I94, 2)+ROUND(Source!AE94*Source!I94, 2))), 2)</f>
        <v>218.89</v>
      </c>
      <c r="V202">
        <f>Source!Y94</f>
        <v>1443.61</v>
      </c>
    </row>
    <row r="203" spans="1:26" x14ac:dyDescent="0.2">
      <c r="C203" s="23" t="str">
        <f>"Объем: "&amp;Source!I94&amp;"=21,14/"&amp;"100"</f>
        <v>Объем: 0,2114=21,14/100</v>
      </c>
    </row>
    <row r="204" spans="1:26" ht="14.25" x14ac:dyDescent="0.2">
      <c r="A204" s="45"/>
      <c r="B204" s="46"/>
      <c r="C204" s="46" t="s">
        <v>1636</v>
      </c>
      <c r="D204" s="29"/>
      <c r="E204" s="11"/>
      <c r="F204" s="30">
        <f>Source!AO94</f>
        <v>1895.72</v>
      </c>
      <c r="G204" s="31" t="str">
        <f>Source!DG94</f>
        <v>)*1,15</v>
      </c>
      <c r="H204" s="30">
        <f>ROUND(Source!AF94*Source!I94, 2)</f>
        <v>460.87</v>
      </c>
      <c r="I204" s="31"/>
      <c r="J204" s="31">
        <f>IF(Source!BA94&lt;&gt; 0, Source!BA94, 1)</f>
        <v>6.56</v>
      </c>
      <c r="K204" s="30">
        <f>Source!S94</f>
        <v>3023.3</v>
      </c>
      <c r="L204" s="32"/>
      <c r="R204">
        <f>H204</f>
        <v>460.87</v>
      </c>
    </row>
    <row r="205" spans="1:26" ht="14.25" x14ac:dyDescent="0.2">
      <c r="A205" s="45"/>
      <c r="B205" s="46"/>
      <c r="C205" s="46" t="s">
        <v>136</v>
      </c>
      <c r="D205" s="29"/>
      <c r="E205" s="11"/>
      <c r="F205" s="30">
        <f>Source!AM94</f>
        <v>64.400000000000006</v>
      </c>
      <c r="G205" s="31" t="str">
        <f>Source!DE94</f>
        <v>)*1,25</v>
      </c>
      <c r="H205" s="30">
        <f>ROUND(Source!AD94*Source!I94, 2)</f>
        <v>17.02</v>
      </c>
      <c r="I205" s="31"/>
      <c r="J205" s="31">
        <f>IF(Source!BB94&lt;&gt; 0, Source!BB94, 1)</f>
        <v>6.56</v>
      </c>
      <c r="K205" s="30">
        <f>Source!Q94</f>
        <v>111.64</v>
      </c>
      <c r="L205" s="32"/>
    </row>
    <row r="206" spans="1:26" ht="14.25" x14ac:dyDescent="0.2">
      <c r="A206" s="45"/>
      <c r="B206" s="46"/>
      <c r="C206" s="46" t="s">
        <v>1637</v>
      </c>
      <c r="D206" s="29"/>
      <c r="E206" s="11"/>
      <c r="F206" s="30">
        <f>Source!AN94</f>
        <v>27.81</v>
      </c>
      <c r="G206" s="31" t="str">
        <f>Source!DF94</f>
        <v>)*1,25</v>
      </c>
      <c r="H206" s="33">
        <f>ROUND(Source!AE94*Source!I94, 2)</f>
        <v>7.35</v>
      </c>
      <c r="I206" s="31"/>
      <c r="J206" s="31">
        <f>IF(Source!BS94&lt;&gt; 0, Source!BS94, 1)</f>
        <v>6.56</v>
      </c>
      <c r="K206" s="33">
        <f>Source!R94</f>
        <v>48.2</v>
      </c>
      <c r="L206" s="32"/>
      <c r="R206">
        <f>H206</f>
        <v>7.35</v>
      </c>
    </row>
    <row r="207" spans="1:26" ht="14.25" x14ac:dyDescent="0.2">
      <c r="A207" s="45"/>
      <c r="B207" s="46"/>
      <c r="C207" s="46" t="s">
        <v>1643</v>
      </c>
      <c r="D207" s="29"/>
      <c r="E207" s="11"/>
      <c r="F207" s="30">
        <f>Source!AL94</f>
        <v>2246.5100000000002</v>
      </c>
      <c r="G207" s="31" t="str">
        <f>Source!DD94</f>
        <v/>
      </c>
      <c r="H207" s="30">
        <f>ROUND(Source!AC94*Source!I94, 2)</f>
        <v>474.91</v>
      </c>
      <c r="I207" s="31"/>
      <c r="J207" s="31">
        <f>IF(Source!BC94&lt;&gt; 0, Source!BC94, 1)</f>
        <v>6.56</v>
      </c>
      <c r="K207" s="30">
        <f>Source!P94</f>
        <v>3115.42</v>
      </c>
      <c r="L207" s="32"/>
    </row>
    <row r="208" spans="1:26" ht="14.25" x14ac:dyDescent="0.2">
      <c r="A208" s="45"/>
      <c r="B208" s="46"/>
      <c r="C208" s="46" t="s">
        <v>1638</v>
      </c>
      <c r="D208" s="29" t="s">
        <v>1639</v>
      </c>
      <c r="E208" s="11">
        <f>Source!BZ94</f>
        <v>105</v>
      </c>
      <c r="F208" s="71" t="str">
        <f>CONCATENATE(" )", Source!DL94, Source!FT94, "=", Source!FX94)</f>
        <v xml:space="preserve"> )*0,9=94,5</v>
      </c>
      <c r="G208" s="72"/>
      <c r="H208" s="30">
        <f>SUM(S202:S210)</f>
        <v>442.47</v>
      </c>
      <c r="I208" s="34"/>
      <c r="J208" s="27">
        <f>Source!AT94</f>
        <v>95</v>
      </c>
      <c r="K208" s="30">
        <f>SUM(T202:T210)</f>
        <v>2917.93</v>
      </c>
      <c r="L208" s="32"/>
    </row>
    <row r="209" spans="1:26" ht="14.25" x14ac:dyDescent="0.2">
      <c r="A209" s="45"/>
      <c r="B209" s="46"/>
      <c r="C209" s="46" t="s">
        <v>1640</v>
      </c>
      <c r="D209" s="29" t="s">
        <v>1639</v>
      </c>
      <c r="E209" s="11">
        <f>Source!CA94</f>
        <v>55</v>
      </c>
      <c r="F209" s="71" t="str">
        <f>CONCATENATE(" )", Source!DM94, Source!FU94, "=", Source!FY94)</f>
        <v xml:space="preserve"> )*0,85=46,75</v>
      </c>
      <c r="G209" s="72"/>
      <c r="H209" s="30">
        <f>SUM(U202:U210)</f>
        <v>218.89</v>
      </c>
      <c r="I209" s="34"/>
      <c r="J209" s="27">
        <f>Source!AU94</f>
        <v>47</v>
      </c>
      <c r="K209" s="30">
        <f>SUM(V202:V210)</f>
        <v>1443.61</v>
      </c>
      <c r="L209" s="32"/>
    </row>
    <row r="210" spans="1:26" ht="14.25" x14ac:dyDescent="0.2">
      <c r="A210" s="47"/>
      <c r="B210" s="48"/>
      <c r="C210" s="48" t="s">
        <v>1641</v>
      </c>
      <c r="D210" s="35" t="s">
        <v>1642</v>
      </c>
      <c r="E210" s="36">
        <f>Source!AQ94</f>
        <v>204.06</v>
      </c>
      <c r="F210" s="37"/>
      <c r="G210" s="38" t="str">
        <f>Source!DI94</f>
        <v>)*1,15</v>
      </c>
      <c r="H210" s="37"/>
      <c r="I210" s="38"/>
      <c r="J210" s="38"/>
      <c r="K210" s="37"/>
      <c r="L210" s="39">
        <f>Source!U94</f>
        <v>49.6090266</v>
      </c>
    </row>
    <row r="211" spans="1:26" ht="15" x14ac:dyDescent="0.25">
      <c r="G211" s="70">
        <f>H204+H205+H207+H208+H209</f>
        <v>1614.1599999999999</v>
      </c>
      <c r="H211" s="70"/>
      <c r="J211" s="70">
        <f>K204+K205+K207+K208+K209</f>
        <v>10611.900000000001</v>
      </c>
      <c r="K211" s="70"/>
      <c r="L211" s="40">
        <f>Source!U94</f>
        <v>49.6090266</v>
      </c>
      <c r="O211" s="24">
        <f>G211</f>
        <v>1614.1599999999999</v>
      </c>
      <c r="P211" s="24">
        <f>J211</f>
        <v>10611.900000000001</v>
      </c>
      <c r="Q211" s="24">
        <f>L211</f>
        <v>49.6090266</v>
      </c>
      <c r="W211">
        <f>IF(Source!BI94&lt;=1,H204+H205+H207+H208+H209, 0)</f>
        <v>1614.1599999999999</v>
      </c>
      <c r="X211">
        <f>IF(Source!BI94=2,H204+H205+H207+H208+H209, 0)</f>
        <v>0</v>
      </c>
      <c r="Y211">
        <f>IF(Source!BI94=3,H204+H205+H207+H208+H209, 0)</f>
        <v>0</v>
      </c>
      <c r="Z211">
        <f>IF(Source!BI94=4,H204+H205+H207+H208+H209, 0)</f>
        <v>0</v>
      </c>
    </row>
    <row r="212" spans="1:26" ht="57" x14ac:dyDescent="0.2">
      <c r="A212" s="45" t="str">
        <f>Source!E95</f>
        <v>20</v>
      </c>
      <c r="B212" s="46" t="str">
        <f>Source!F95</f>
        <v>15-04-005-03</v>
      </c>
      <c r="C212" s="46" t="str">
        <f>Source!G95</f>
        <v>Окраска поливинилацетатными водоэмульсионными составами улучшенная по штукатурке стен (откосы)</v>
      </c>
      <c r="D212" s="29" t="str">
        <f>Source!H95</f>
        <v>100 м2</v>
      </c>
      <c r="E212" s="11">
        <f>Source!I95</f>
        <v>0.28460000000000002</v>
      </c>
      <c r="F212" s="30">
        <f>Source!AL95+Source!AM95+Source!AO95</f>
        <v>675.6</v>
      </c>
      <c r="G212" s="31"/>
      <c r="H212" s="30"/>
      <c r="I212" s="31" t="str">
        <f>Source!BO95</f>
        <v/>
      </c>
      <c r="J212" s="31"/>
      <c r="K212" s="30"/>
      <c r="L212" s="32"/>
      <c r="S212">
        <f>ROUND((Source!FX95/100)*((ROUND(Source!AF95*Source!I95, 2)+ROUND(Source!AE95*Source!I95, 2))), 2)</f>
        <v>119.68</v>
      </c>
      <c r="T212">
        <f>Source!X95</f>
        <v>789.34</v>
      </c>
      <c r="U212">
        <f>ROUND((Source!FY95/100)*((ROUND(Source!AF95*Source!I95, 2)+ROUND(Source!AE95*Source!I95, 2))), 2)</f>
        <v>59.21</v>
      </c>
      <c r="V212">
        <f>Source!Y95</f>
        <v>390.51</v>
      </c>
    </row>
    <row r="213" spans="1:26" x14ac:dyDescent="0.2">
      <c r="C213" s="23" t="str">
        <f>"Объем: "&amp;Source!I95&amp;"=28,46/"&amp;"100"</f>
        <v>Объем: 0,2846=28,46/100</v>
      </c>
    </row>
    <row r="214" spans="1:26" ht="14.25" x14ac:dyDescent="0.2">
      <c r="A214" s="45"/>
      <c r="B214" s="46"/>
      <c r="C214" s="46" t="s">
        <v>1636</v>
      </c>
      <c r="D214" s="29"/>
      <c r="E214" s="11"/>
      <c r="F214" s="30">
        <f>Source!AO95</f>
        <v>384.81</v>
      </c>
      <c r="G214" s="31" t="str">
        <f>Source!DG95</f>
        <v>)*1,15</v>
      </c>
      <c r="H214" s="30">
        <f>ROUND(Source!AF95*Source!I95, 2)</f>
        <v>125.94</v>
      </c>
      <c r="I214" s="31"/>
      <c r="J214" s="31">
        <f>IF(Source!BA95&lt;&gt; 0, Source!BA95, 1)</f>
        <v>6.56</v>
      </c>
      <c r="K214" s="30">
        <f>Source!S95</f>
        <v>826.19</v>
      </c>
      <c r="L214" s="32"/>
      <c r="R214">
        <f>H214</f>
        <v>125.94</v>
      </c>
    </row>
    <row r="215" spans="1:26" ht="14.25" x14ac:dyDescent="0.2">
      <c r="A215" s="45"/>
      <c r="B215" s="46"/>
      <c r="C215" s="46" t="s">
        <v>136</v>
      </c>
      <c r="D215" s="29"/>
      <c r="E215" s="11"/>
      <c r="F215" s="30">
        <f>Source!AM95</f>
        <v>10.49</v>
      </c>
      <c r="G215" s="31" t="str">
        <f>Source!DE95</f>
        <v>)*1,25</v>
      </c>
      <c r="H215" s="30">
        <f>ROUND(Source!AD95*Source!I95, 2)</f>
        <v>3.73</v>
      </c>
      <c r="I215" s="31"/>
      <c r="J215" s="31">
        <f>IF(Source!BB95&lt;&gt; 0, Source!BB95, 1)</f>
        <v>6.56</v>
      </c>
      <c r="K215" s="30">
        <f>Source!Q95</f>
        <v>24.48</v>
      </c>
      <c r="L215" s="32"/>
    </row>
    <row r="216" spans="1:26" ht="14.25" x14ac:dyDescent="0.2">
      <c r="A216" s="45"/>
      <c r="B216" s="46"/>
      <c r="C216" s="46" t="s">
        <v>1637</v>
      </c>
      <c r="D216" s="29"/>
      <c r="E216" s="11"/>
      <c r="F216" s="30">
        <f>Source!AN95</f>
        <v>2.0099999999999998</v>
      </c>
      <c r="G216" s="31" t="str">
        <f>Source!DF95</f>
        <v>)*1,25</v>
      </c>
      <c r="H216" s="33">
        <f>ROUND(Source!AE95*Source!I95, 2)</f>
        <v>0.71</v>
      </c>
      <c r="I216" s="31"/>
      <c r="J216" s="31">
        <f>IF(Source!BS95&lt;&gt; 0, Source!BS95, 1)</f>
        <v>6.56</v>
      </c>
      <c r="K216" s="33">
        <f>Source!R95</f>
        <v>4.6900000000000004</v>
      </c>
      <c r="L216" s="32"/>
      <c r="R216">
        <f>H216</f>
        <v>0.71</v>
      </c>
    </row>
    <row r="217" spans="1:26" ht="14.25" x14ac:dyDescent="0.2">
      <c r="A217" s="45"/>
      <c r="B217" s="46"/>
      <c r="C217" s="46" t="s">
        <v>1643</v>
      </c>
      <c r="D217" s="29"/>
      <c r="E217" s="11"/>
      <c r="F217" s="30">
        <f>Source!AL95</f>
        <v>280.3</v>
      </c>
      <c r="G217" s="31" t="str">
        <f>Source!DD95</f>
        <v/>
      </c>
      <c r="H217" s="30">
        <f>ROUND(Source!AC95*Source!I95, 2)</f>
        <v>79.77</v>
      </c>
      <c r="I217" s="31"/>
      <c r="J217" s="31">
        <f>IF(Source!BC95&lt;&gt; 0, Source!BC95, 1)</f>
        <v>6.56</v>
      </c>
      <c r="K217" s="30">
        <f>Source!P95</f>
        <v>523.30999999999995</v>
      </c>
      <c r="L217" s="32"/>
    </row>
    <row r="218" spans="1:26" ht="14.25" x14ac:dyDescent="0.2">
      <c r="A218" s="45"/>
      <c r="B218" s="46"/>
      <c r="C218" s="46" t="s">
        <v>1638</v>
      </c>
      <c r="D218" s="29" t="s">
        <v>1639</v>
      </c>
      <c r="E218" s="11">
        <f>Source!BZ95</f>
        <v>105</v>
      </c>
      <c r="F218" s="71" t="str">
        <f>CONCATENATE(" )", Source!DL95, Source!FT95, "=", Source!FX95)</f>
        <v xml:space="preserve"> )*0,9=94,5</v>
      </c>
      <c r="G218" s="72"/>
      <c r="H218" s="30">
        <f>SUM(S212:S222)</f>
        <v>119.68</v>
      </c>
      <c r="I218" s="34"/>
      <c r="J218" s="27">
        <f>Source!AT95</f>
        <v>95</v>
      </c>
      <c r="K218" s="30">
        <f>SUM(T212:T222)</f>
        <v>789.34</v>
      </c>
      <c r="L218" s="32"/>
    </row>
    <row r="219" spans="1:26" ht="14.25" x14ac:dyDescent="0.2">
      <c r="A219" s="45"/>
      <c r="B219" s="46"/>
      <c r="C219" s="46" t="s">
        <v>1640</v>
      </c>
      <c r="D219" s="29" t="s">
        <v>1639</v>
      </c>
      <c r="E219" s="11">
        <f>Source!CA95</f>
        <v>55</v>
      </c>
      <c r="F219" s="71" t="str">
        <f>CONCATENATE(" )", Source!DM95, Source!FU95, "=", Source!FY95)</f>
        <v xml:space="preserve"> )*0,85=46,75</v>
      </c>
      <c r="G219" s="72"/>
      <c r="H219" s="30">
        <f>SUM(U212:U222)</f>
        <v>59.21</v>
      </c>
      <c r="I219" s="34"/>
      <c r="J219" s="27">
        <f>Source!AU95</f>
        <v>47</v>
      </c>
      <c r="K219" s="30">
        <f>SUM(V212:V222)</f>
        <v>390.51</v>
      </c>
      <c r="L219" s="32"/>
    </row>
    <row r="220" spans="1:26" ht="14.25" x14ac:dyDescent="0.2">
      <c r="A220" s="45"/>
      <c r="B220" s="46"/>
      <c r="C220" s="46" t="s">
        <v>1641</v>
      </c>
      <c r="D220" s="29" t="s">
        <v>1642</v>
      </c>
      <c r="E220" s="11">
        <f>Source!AQ95</f>
        <v>42.9</v>
      </c>
      <c r="F220" s="30"/>
      <c r="G220" s="31" t="str">
        <f>Source!DI95</f>
        <v>)*1,15</v>
      </c>
      <c r="H220" s="30"/>
      <c r="I220" s="31"/>
      <c r="J220" s="31"/>
      <c r="K220" s="30"/>
      <c r="L220" s="41">
        <f>Source!U95</f>
        <v>14.040740999999999</v>
      </c>
    </row>
    <row r="221" spans="1:26" ht="28.5" x14ac:dyDescent="0.2">
      <c r="A221" s="45" t="str">
        <f>Source!E96</f>
        <v>20,1</v>
      </c>
      <c r="B221" s="46" t="str">
        <f>Source!F96</f>
        <v>14.3.02.01-0208</v>
      </c>
      <c r="C221" s="46" t="str">
        <f>Source!G96</f>
        <v>Краска водно-дисперсионная "БИРСС Интерьер-Колор", цвет белый</v>
      </c>
      <c r="D221" s="29" t="str">
        <f>Source!H96</f>
        <v>т</v>
      </c>
      <c r="E221" s="11">
        <f>Source!I96</f>
        <v>1.7930000000000001E-2</v>
      </c>
      <c r="F221" s="30">
        <f>Source!AL96+Source!AM96+Source!AO96</f>
        <v>15445.9</v>
      </c>
      <c r="G221" s="42" t="s">
        <v>6</v>
      </c>
      <c r="H221" s="30">
        <f>ROUND(Source!AC96*Source!I96, 2)+ROUND(Source!AD96*Source!I96, 2)+ROUND(Source!AF96*Source!I96, 2)</f>
        <v>276.94</v>
      </c>
      <c r="I221" s="31"/>
      <c r="J221" s="31">
        <f>IF(Source!BC96&lt;&gt; 0, Source!BC96, 1)</f>
        <v>6.56</v>
      </c>
      <c r="K221" s="30">
        <f>Source!O96</f>
        <v>1816.76</v>
      </c>
      <c r="L221" s="32"/>
      <c r="S221">
        <f>ROUND((Source!FX96/100)*((ROUND(Source!AF96*Source!I96, 2)+ROUND(Source!AE96*Source!I96, 2))), 2)</f>
        <v>0</v>
      </c>
      <c r="T221">
        <f>Source!X96</f>
        <v>0</v>
      </c>
      <c r="U221">
        <f>ROUND((Source!FY96/100)*((ROUND(Source!AF96*Source!I96, 2)+ROUND(Source!AE96*Source!I96, 2))), 2)</f>
        <v>0</v>
      </c>
      <c r="V221">
        <f>Source!Y96</f>
        <v>0</v>
      </c>
      <c r="W221">
        <f>IF(Source!BI96&lt;=1,H221, 0)</f>
        <v>276.94</v>
      </c>
      <c r="X221">
        <f>IF(Source!BI96=2,H221, 0)</f>
        <v>0</v>
      </c>
      <c r="Y221">
        <f>IF(Source!BI96=3,H221, 0)</f>
        <v>0</v>
      </c>
      <c r="Z221">
        <f>IF(Source!BI96=4,H221, 0)</f>
        <v>0</v>
      </c>
    </row>
    <row r="222" spans="1:26" ht="14.25" x14ac:dyDescent="0.2">
      <c r="A222" s="47" t="str">
        <f>Source!E97</f>
        <v>20,2</v>
      </c>
      <c r="B222" s="48" t="str">
        <f>Source!F97</f>
        <v>14.3.02.01</v>
      </c>
      <c r="C222" s="48" t="str">
        <f>Source!G97</f>
        <v>Краска водоэмульсионная</v>
      </c>
      <c r="D222" s="35" t="str">
        <f>Source!H97</f>
        <v>т</v>
      </c>
      <c r="E222" s="36">
        <f>Source!I97</f>
        <v>1.7930000000000001E-2</v>
      </c>
      <c r="F222" s="37">
        <f>Source!AL97+Source!AM97+Source!AO97</f>
        <v>0</v>
      </c>
      <c r="G222" s="43" t="s">
        <v>6</v>
      </c>
      <c r="H222" s="37">
        <f>ROUND(Source!AC97*Source!I97, 2)+ROUND(Source!AD97*Source!I97, 2)+ROUND(Source!AF97*Source!I97, 2)</f>
        <v>0</v>
      </c>
      <c r="I222" s="38"/>
      <c r="J222" s="38">
        <f>IF(Source!BC97&lt;&gt; 0, Source!BC97, 1)</f>
        <v>6.56</v>
      </c>
      <c r="K222" s="37">
        <f>Source!O97</f>
        <v>0</v>
      </c>
      <c r="L222" s="44"/>
      <c r="S222">
        <f>ROUND((Source!FX97/100)*((ROUND(Source!AF97*Source!I97, 2)+ROUND(Source!AE97*Source!I97, 2))), 2)</f>
        <v>0</v>
      </c>
      <c r="T222">
        <f>Source!X97</f>
        <v>0</v>
      </c>
      <c r="U222">
        <f>ROUND((Source!FY97/100)*((ROUND(Source!AF97*Source!I97, 2)+ROUND(Source!AE97*Source!I97, 2))), 2)</f>
        <v>0</v>
      </c>
      <c r="V222">
        <f>Source!Y97</f>
        <v>0</v>
      </c>
      <c r="W222">
        <f>IF(Source!BI97&lt;=1,H222, 0)</f>
        <v>0</v>
      </c>
      <c r="X222">
        <f>IF(Source!BI97=2,H222, 0)</f>
        <v>0</v>
      </c>
      <c r="Y222">
        <f>IF(Source!BI97=3,H222, 0)</f>
        <v>0</v>
      </c>
      <c r="Z222">
        <f>IF(Source!BI97=4,H222, 0)</f>
        <v>0</v>
      </c>
    </row>
    <row r="223" spans="1:26" ht="15" x14ac:dyDescent="0.25">
      <c r="G223" s="70">
        <f>H214+H215+H217+H218+H219+SUM(H221:H222)</f>
        <v>665.27</v>
      </c>
      <c r="H223" s="70"/>
      <c r="J223" s="70">
        <f>K214+K215+K217+K218+K219+SUM(K221:K222)</f>
        <v>4370.59</v>
      </c>
      <c r="K223" s="70"/>
      <c r="L223" s="40">
        <f>Source!U95</f>
        <v>14.040740999999999</v>
      </c>
      <c r="O223" s="24">
        <f>G223</f>
        <v>665.27</v>
      </c>
      <c r="P223" s="24">
        <f>J223</f>
        <v>4370.59</v>
      </c>
      <c r="Q223" s="24">
        <f>L223</f>
        <v>14.040740999999999</v>
      </c>
      <c r="W223">
        <f>IF(Source!BI95&lt;=1,H214+H215+H217+H218+H219, 0)</f>
        <v>388.33</v>
      </c>
      <c r="X223">
        <f>IF(Source!BI95=2,H214+H215+H217+H218+H219, 0)</f>
        <v>0</v>
      </c>
      <c r="Y223">
        <f>IF(Source!BI95=3,H214+H215+H217+H218+H219, 0)</f>
        <v>0</v>
      </c>
      <c r="Z223">
        <f>IF(Source!BI95=4,H214+H215+H217+H218+H219, 0)</f>
        <v>0</v>
      </c>
    </row>
    <row r="224" spans="1:26" ht="28.5" x14ac:dyDescent="0.2">
      <c r="A224" s="45" t="str">
        <f>Source!E98</f>
        <v>21</v>
      </c>
      <c r="B224" s="46" t="str">
        <f>Source!F98</f>
        <v>09-04-012-01</v>
      </c>
      <c r="C224" s="46" t="str">
        <f>Source!G98</f>
        <v>Установка металлических дверных блоков в готовые проемы</v>
      </c>
      <c r="D224" s="29" t="str">
        <f>Source!H98</f>
        <v>м2</v>
      </c>
      <c r="E224" s="11">
        <f>Source!I98</f>
        <v>11.28</v>
      </c>
      <c r="F224" s="30">
        <f>Source!AL98+Source!AM98+Source!AO98</f>
        <v>63.94</v>
      </c>
      <c r="G224" s="31"/>
      <c r="H224" s="30"/>
      <c r="I224" s="31" t="str">
        <f>Source!BO98</f>
        <v/>
      </c>
      <c r="J224" s="31"/>
      <c r="K224" s="30"/>
      <c r="L224" s="32"/>
      <c r="S224">
        <f>ROUND((Source!FX98/100)*((ROUND(Source!AF98*Source!I98, 2)+ROUND(Source!AE98*Source!I98, 2))), 2)</f>
        <v>272.64999999999998</v>
      </c>
      <c r="T224">
        <f>Source!X98</f>
        <v>1788.53</v>
      </c>
      <c r="U224">
        <f>ROUND((Source!FY98/100)*((ROUND(Source!AF98*Source!I98, 2)+ROUND(Source!AE98*Source!I98, 2))), 2)</f>
        <v>243.19</v>
      </c>
      <c r="V224">
        <f>Source!Y98</f>
        <v>1589.8</v>
      </c>
    </row>
    <row r="225" spans="1:26" ht="14.25" x14ac:dyDescent="0.2">
      <c r="A225" s="45"/>
      <c r="B225" s="46"/>
      <c r="C225" s="46" t="s">
        <v>1636</v>
      </c>
      <c r="D225" s="29"/>
      <c r="E225" s="11"/>
      <c r="F225" s="30">
        <f>Source!AO98</f>
        <v>23.81</v>
      </c>
      <c r="G225" s="31" t="str">
        <f>Source!DG98</f>
        <v>)*1,15</v>
      </c>
      <c r="H225" s="30">
        <f>ROUND(Source!AF98*Source!I98, 2)</f>
        <v>308.85000000000002</v>
      </c>
      <c r="I225" s="31"/>
      <c r="J225" s="31">
        <f>IF(Source!BA98&lt;&gt; 0, Source!BA98, 1)</f>
        <v>6.56</v>
      </c>
      <c r="K225" s="30">
        <f>Source!S98</f>
        <v>2026.03</v>
      </c>
      <c r="L225" s="32"/>
      <c r="R225">
        <f>H225</f>
        <v>308.85000000000002</v>
      </c>
    </row>
    <row r="226" spans="1:26" ht="14.25" x14ac:dyDescent="0.2">
      <c r="A226" s="45"/>
      <c r="B226" s="46"/>
      <c r="C226" s="46" t="s">
        <v>136</v>
      </c>
      <c r="D226" s="29"/>
      <c r="E226" s="11"/>
      <c r="F226" s="30">
        <f>Source!AM98</f>
        <v>14.41</v>
      </c>
      <c r="G226" s="31" t="str">
        <f>Source!DE98</f>
        <v>)*1,25</v>
      </c>
      <c r="H226" s="30">
        <f>ROUND(Source!AD98*Source!I98, 2)</f>
        <v>203.15</v>
      </c>
      <c r="I226" s="31"/>
      <c r="J226" s="31">
        <f>IF(Source!BB98&lt;&gt; 0, Source!BB98, 1)</f>
        <v>6.56</v>
      </c>
      <c r="K226" s="30">
        <f>Source!Q98</f>
        <v>1332.68</v>
      </c>
      <c r="L226" s="32"/>
    </row>
    <row r="227" spans="1:26" ht="14.25" x14ac:dyDescent="0.2">
      <c r="A227" s="45"/>
      <c r="B227" s="46"/>
      <c r="C227" s="46" t="s">
        <v>1637</v>
      </c>
      <c r="D227" s="29"/>
      <c r="E227" s="11"/>
      <c r="F227" s="30">
        <f>Source!AN98</f>
        <v>1.97</v>
      </c>
      <c r="G227" s="31" t="str">
        <f>Source!DF98</f>
        <v>)*1,25</v>
      </c>
      <c r="H227" s="33">
        <f>ROUND(Source!AE98*Source!I98, 2)</f>
        <v>27.75</v>
      </c>
      <c r="I227" s="31"/>
      <c r="J227" s="31">
        <f>IF(Source!BS98&lt;&gt; 0, Source!BS98, 1)</f>
        <v>6.56</v>
      </c>
      <c r="K227" s="33">
        <f>Source!R98</f>
        <v>182.03</v>
      </c>
      <c r="L227" s="32"/>
      <c r="R227">
        <f>H227</f>
        <v>27.75</v>
      </c>
    </row>
    <row r="228" spans="1:26" ht="14.25" x14ac:dyDescent="0.2">
      <c r="A228" s="45"/>
      <c r="B228" s="46"/>
      <c r="C228" s="46" t="s">
        <v>1643</v>
      </c>
      <c r="D228" s="29"/>
      <c r="E228" s="11"/>
      <c r="F228" s="30">
        <f>Source!AL98</f>
        <v>25.72</v>
      </c>
      <c r="G228" s="31" t="str">
        <f>Source!DD98</f>
        <v/>
      </c>
      <c r="H228" s="30">
        <f>ROUND(Source!AC98*Source!I98, 2)</f>
        <v>290.12</v>
      </c>
      <c r="I228" s="31"/>
      <c r="J228" s="31">
        <f>IF(Source!BC98&lt;&gt; 0, Source!BC98, 1)</f>
        <v>6.56</v>
      </c>
      <c r="K228" s="30">
        <f>Source!P98</f>
        <v>1903.2</v>
      </c>
      <c r="L228" s="32"/>
    </row>
    <row r="229" spans="1:26" ht="14.25" x14ac:dyDescent="0.2">
      <c r="A229" s="45"/>
      <c r="B229" s="46"/>
      <c r="C229" s="46" t="s">
        <v>1638</v>
      </c>
      <c r="D229" s="29" t="s">
        <v>1639</v>
      </c>
      <c r="E229" s="11">
        <f>Source!BZ98</f>
        <v>90</v>
      </c>
      <c r="F229" s="71" t="str">
        <f>CONCATENATE(" )", Source!DL98, Source!FT98, "=", Source!FX98)</f>
        <v xml:space="preserve"> )*0,9=81</v>
      </c>
      <c r="G229" s="72"/>
      <c r="H229" s="30">
        <f>SUM(S224:S234)</f>
        <v>272.64999999999998</v>
      </c>
      <c r="I229" s="34"/>
      <c r="J229" s="27">
        <f>Source!AT98</f>
        <v>81</v>
      </c>
      <c r="K229" s="30">
        <f>SUM(T224:T234)</f>
        <v>1788.53</v>
      </c>
      <c r="L229" s="32"/>
    </row>
    <row r="230" spans="1:26" ht="14.25" x14ac:dyDescent="0.2">
      <c r="A230" s="45"/>
      <c r="B230" s="46"/>
      <c r="C230" s="46" t="s">
        <v>1640</v>
      </c>
      <c r="D230" s="29" t="s">
        <v>1639</v>
      </c>
      <c r="E230" s="11">
        <f>Source!CA98</f>
        <v>85</v>
      </c>
      <c r="F230" s="71" t="str">
        <f>CONCATENATE(" )", Source!DM98, Source!FU98, "=", Source!FY98)</f>
        <v xml:space="preserve"> )*0,85=72,25</v>
      </c>
      <c r="G230" s="72"/>
      <c r="H230" s="30">
        <f>SUM(U224:U234)</f>
        <v>243.19</v>
      </c>
      <c r="I230" s="34"/>
      <c r="J230" s="27">
        <f>Source!AU98</f>
        <v>72</v>
      </c>
      <c r="K230" s="30">
        <f>SUM(V224:V234)</f>
        <v>1589.8</v>
      </c>
      <c r="L230" s="32"/>
    </row>
    <row r="231" spans="1:26" ht="14.25" x14ac:dyDescent="0.2">
      <c r="A231" s="45"/>
      <c r="B231" s="46"/>
      <c r="C231" s="46" t="s">
        <v>1641</v>
      </c>
      <c r="D231" s="29" t="s">
        <v>1642</v>
      </c>
      <c r="E231" s="11">
        <f>Source!AQ98</f>
        <v>2.4</v>
      </c>
      <c r="F231" s="30"/>
      <c r="G231" s="31" t="str">
        <f>Source!DI98</f>
        <v>)*1,15</v>
      </c>
      <c r="H231" s="30"/>
      <c r="I231" s="31"/>
      <c r="J231" s="31"/>
      <c r="K231" s="30"/>
      <c r="L231" s="41">
        <f>Source!U98</f>
        <v>31.132799999999996</v>
      </c>
    </row>
    <row r="232" spans="1:26" ht="28.5" x14ac:dyDescent="0.2">
      <c r="A232" s="45" t="str">
        <f>Source!E99</f>
        <v>21,1</v>
      </c>
      <c r="B232" s="46" t="str">
        <f>Source!F99</f>
        <v>01.7.04.04-0012</v>
      </c>
      <c r="C232" s="46" t="str">
        <f>Source!G99</f>
        <v>Замок врезной оцинкованный с цилиндровым механизмом из латуни</v>
      </c>
      <c r="D232" s="29" t="str">
        <f>Source!H99</f>
        <v>компл.</v>
      </c>
      <c r="E232" s="11">
        <f>Source!I99</f>
        <v>4</v>
      </c>
      <c r="F232" s="30">
        <f>Source!AL99+Source!AM99+Source!AO99</f>
        <v>92.52</v>
      </c>
      <c r="G232" s="42" t="s">
        <v>6</v>
      </c>
      <c r="H232" s="30">
        <f>ROUND(Source!AC99*Source!I99, 2)+ROUND(Source!AD99*Source!I99, 2)+ROUND(Source!AF99*Source!I99, 2)</f>
        <v>370.08</v>
      </c>
      <c r="I232" s="31"/>
      <c r="J232" s="31">
        <f>IF(Source!BC99&lt;&gt; 0, Source!BC99, 1)</f>
        <v>6.56</v>
      </c>
      <c r="K232" s="30">
        <f>Source!O99</f>
        <v>2427.7199999999998</v>
      </c>
      <c r="L232" s="32"/>
      <c r="S232">
        <f>ROUND((Source!FX99/100)*((ROUND(Source!AF99*Source!I99, 2)+ROUND(Source!AE99*Source!I99, 2))), 2)</f>
        <v>0</v>
      </c>
      <c r="T232">
        <f>Source!X99</f>
        <v>0</v>
      </c>
      <c r="U232">
        <f>ROUND((Source!FY99/100)*((ROUND(Source!AF99*Source!I99, 2)+ROUND(Source!AE99*Source!I99, 2))), 2)</f>
        <v>0</v>
      </c>
      <c r="V232">
        <f>Source!Y99</f>
        <v>0</v>
      </c>
      <c r="W232">
        <f>IF(Source!BI99&lt;=1,H232, 0)</f>
        <v>370.08</v>
      </c>
      <c r="X232">
        <f>IF(Source!BI99=2,H232, 0)</f>
        <v>0</v>
      </c>
      <c r="Y232">
        <f>IF(Source!BI99=3,H232, 0)</f>
        <v>0</v>
      </c>
      <c r="Z232">
        <f>IF(Source!BI99=4,H232, 0)</f>
        <v>0</v>
      </c>
    </row>
    <row r="233" spans="1:26" ht="42.75" x14ac:dyDescent="0.2">
      <c r="A233" s="45" t="str">
        <f>Source!E100</f>
        <v>21,2</v>
      </c>
      <c r="B233" s="46" t="str">
        <f>Source!F100</f>
        <v>07.1.01.03-0002</v>
      </c>
      <c r="C233" s="46" t="str">
        <f>Source!G100</f>
        <v>Блок дверной стальной наружный двупольный ДСН ДКН, площадь 2,73 м2 (ГОСТ 31173-2003)</v>
      </c>
      <c r="D233" s="29" t="str">
        <f>Source!H100</f>
        <v>м2</v>
      </c>
      <c r="E233" s="11">
        <f>Source!I100</f>
        <v>11.28</v>
      </c>
      <c r="F233" s="30">
        <f>Source!AL100+Source!AM100+Source!AO100</f>
        <v>1465.11</v>
      </c>
      <c r="G233" s="42" t="s">
        <v>6</v>
      </c>
      <c r="H233" s="30">
        <f>ROUND(Source!AC100*Source!I100, 2)+ROUND(Source!AD100*Source!I100, 2)+ROUND(Source!AF100*Source!I100, 2)</f>
        <v>16526.439999999999</v>
      </c>
      <c r="I233" s="31"/>
      <c r="J233" s="31">
        <f>IF(Source!BC100&lt;&gt; 0, Source!BC100, 1)</f>
        <v>6.56</v>
      </c>
      <c r="K233" s="30">
        <f>Source!O100</f>
        <v>108413.45</v>
      </c>
      <c r="L233" s="32"/>
      <c r="S233">
        <f>ROUND((Source!FX100/100)*((ROUND(Source!AF100*Source!I100, 2)+ROUND(Source!AE100*Source!I100, 2))), 2)</f>
        <v>0</v>
      </c>
      <c r="T233">
        <f>Source!X100</f>
        <v>0</v>
      </c>
      <c r="U233">
        <f>ROUND((Source!FY100/100)*((ROUND(Source!AF100*Source!I100, 2)+ROUND(Source!AE100*Source!I100, 2))), 2)</f>
        <v>0</v>
      </c>
      <c r="V233">
        <f>Source!Y100</f>
        <v>0</v>
      </c>
      <c r="W233">
        <f>IF(Source!BI100&lt;=1,H233, 0)</f>
        <v>16526.439999999999</v>
      </c>
      <c r="X233">
        <f>IF(Source!BI100=2,H233, 0)</f>
        <v>0</v>
      </c>
      <c r="Y233">
        <f>IF(Source!BI100=3,H233, 0)</f>
        <v>0</v>
      </c>
      <c r="Z233">
        <f>IF(Source!BI100=4,H233, 0)</f>
        <v>0</v>
      </c>
    </row>
    <row r="234" spans="1:26" ht="14.25" x14ac:dyDescent="0.2">
      <c r="A234" s="47" t="str">
        <f>Source!E101</f>
        <v>21,3</v>
      </c>
      <c r="B234" s="48" t="str">
        <f>Source!F101</f>
        <v>07.1.01.03</v>
      </c>
      <c r="C234" s="48" t="str">
        <f>Source!G101</f>
        <v>Блоки дверные металлические</v>
      </c>
      <c r="D234" s="35" t="str">
        <f>Source!H101</f>
        <v>м2</v>
      </c>
      <c r="E234" s="36">
        <f>Source!I101</f>
        <v>11.28</v>
      </c>
      <c r="F234" s="37">
        <f>Source!AL101+Source!AM101+Source!AO101</f>
        <v>0</v>
      </c>
      <c r="G234" s="43" t="s">
        <v>6</v>
      </c>
      <c r="H234" s="37">
        <f>ROUND(Source!AC101*Source!I101, 2)+ROUND(Source!AD101*Source!I101, 2)+ROUND(Source!AF101*Source!I101, 2)</f>
        <v>0</v>
      </c>
      <c r="I234" s="38"/>
      <c r="J234" s="38">
        <f>IF(Source!BC101&lt;&gt; 0, Source!BC101, 1)</f>
        <v>6.56</v>
      </c>
      <c r="K234" s="37">
        <f>Source!O101</f>
        <v>0</v>
      </c>
      <c r="L234" s="44"/>
      <c r="S234">
        <f>ROUND((Source!FX101/100)*((ROUND(Source!AF101*Source!I101, 2)+ROUND(Source!AE101*Source!I101, 2))), 2)</f>
        <v>0</v>
      </c>
      <c r="T234">
        <f>Source!X101</f>
        <v>0</v>
      </c>
      <c r="U234">
        <f>ROUND((Source!FY101/100)*((ROUND(Source!AF101*Source!I101, 2)+ROUND(Source!AE101*Source!I101, 2))), 2)</f>
        <v>0</v>
      </c>
      <c r="V234">
        <f>Source!Y101</f>
        <v>0</v>
      </c>
      <c r="W234">
        <f>IF(Source!BI101&lt;=1,H234, 0)</f>
        <v>0</v>
      </c>
      <c r="X234">
        <f>IF(Source!BI101=2,H234, 0)</f>
        <v>0</v>
      </c>
      <c r="Y234">
        <f>IF(Source!BI101=3,H234, 0)</f>
        <v>0</v>
      </c>
      <c r="Z234">
        <f>IF(Source!BI101=4,H234, 0)</f>
        <v>0</v>
      </c>
    </row>
    <row r="235" spans="1:26" ht="15" x14ac:dyDescent="0.25">
      <c r="G235" s="70">
        <f>H225+H226+H228+H229+H230+SUM(H232:H234)</f>
        <v>18214.48</v>
      </c>
      <c r="H235" s="70"/>
      <c r="J235" s="70">
        <f>K225+K226+K228+K229+K230+SUM(K232:K234)</f>
        <v>119481.41</v>
      </c>
      <c r="K235" s="70"/>
      <c r="L235" s="40">
        <f>Source!U98</f>
        <v>31.132799999999996</v>
      </c>
      <c r="O235" s="24">
        <f>G235</f>
        <v>18214.48</v>
      </c>
      <c r="P235" s="24">
        <f>J235</f>
        <v>119481.41</v>
      </c>
      <c r="Q235" s="24">
        <f>L235</f>
        <v>31.132799999999996</v>
      </c>
      <c r="W235">
        <f>IF(Source!BI98&lt;=1,H225+H226+H228+H229+H230, 0)</f>
        <v>1317.96</v>
      </c>
      <c r="X235">
        <f>IF(Source!BI98=2,H225+H226+H228+H229+H230, 0)</f>
        <v>0</v>
      </c>
      <c r="Y235">
        <f>IF(Source!BI98=3,H225+H226+H228+H229+H230, 0)</f>
        <v>0</v>
      </c>
      <c r="Z235">
        <f>IF(Source!BI98=4,H225+H226+H228+H229+H230, 0)</f>
        <v>0</v>
      </c>
    </row>
    <row r="236" spans="1:26" ht="28.5" x14ac:dyDescent="0.2">
      <c r="A236" s="45" t="str">
        <f>Source!E102</f>
        <v>22</v>
      </c>
      <c r="B236" s="46" t="str">
        <f>Source!F102</f>
        <v>09-04-012-02</v>
      </c>
      <c r="C236" s="46" t="str">
        <f>Source!G102</f>
        <v>Установка дверного доводчика к металлическим дверям</v>
      </c>
      <c r="D236" s="29" t="str">
        <f>Source!H102</f>
        <v>ШТ</v>
      </c>
      <c r="E236" s="11">
        <f>Source!I102</f>
        <v>4</v>
      </c>
      <c r="F236" s="30">
        <f>Source!AL102+Source!AM102+Source!AO102</f>
        <v>13.84</v>
      </c>
      <c r="G236" s="31"/>
      <c r="H236" s="30"/>
      <c r="I236" s="31" t="str">
        <f>Source!BO102</f>
        <v/>
      </c>
      <c r="J236" s="31"/>
      <c r="K236" s="30"/>
      <c r="L236" s="32"/>
      <c r="S236">
        <f>ROUND((Source!FX102/100)*((ROUND(Source!AF102*Source!I102, 2)+ROUND(Source!AE102*Source!I102, 2))), 2)</f>
        <v>41.02</v>
      </c>
      <c r="T236">
        <f>Source!X102</f>
        <v>269.08</v>
      </c>
      <c r="U236">
        <f>ROUND((Source!FY102/100)*((ROUND(Source!AF102*Source!I102, 2)+ROUND(Source!AE102*Source!I102, 2))), 2)</f>
        <v>36.590000000000003</v>
      </c>
      <c r="V236">
        <f>Source!Y102</f>
        <v>239.18</v>
      </c>
    </row>
    <row r="237" spans="1:26" ht="14.25" x14ac:dyDescent="0.2">
      <c r="A237" s="45"/>
      <c r="B237" s="46"/>
      <c r="C237" s="46" t="s">
        <v>1636</v>
      </c>
      <c r="D237" s="29"/>
      <c r="E237" s="11"/>
      <c r="F237" s="30">
        <f>Source!AO102</f>
        <v>11.01</v>
      </c>
      <c r="G237" s="31" t="str">
        <f>Source!DG102</f>
        <v>)*1,15</v>
      </c>
      <c r="H237" s="30">
        <f>ROUND(Source!AF102*Source!I102, 2)</f>
        <v>50.64</v>
      </c>
      <c r="I237" s="31"/>
      <c r="J237" s="31">
        <f>IF(Source!BA102&lt;&gt; 0, Source!BA102, 1)</f>
        <v>6.56</v>
      </c>
      <c r="K237" s="30">
        <f>Source!S102</f>
        <v>332.2</v>
      </c>
      <c r="L237" s="32"/>
      <c r="R237">
        <f>H237</f>
        <v>50.64</v>
      </c>
    </row>
    <row r="238" spans="1:26" ht="14.25" x14ac:dyDescent="0.2">
      <c r="A238" s="45"/>
      <c r="B238" s="46"/>
      <c r="C238" s="46" t="s">
        <v>136</v>
      </c>
      <c r="D238" s="29"/>
      <c r="E238" s="11"/>
      <c r="F238" s="30">
        <f>Source!AM102</f>
        <v>2.11</v>
      </c>
      <c r="G238" s="31" t="str">
        <f>Source!DE102</f>
        <v>)*1,25</v>
      </c>
      <c r="H238" s="30">
        <f>ROUND(Source!AD102*Source!I102, 2)</f>
        <v>10.56</v>
      </c>
      <c r="I238" s="31"/>
      <c r="J238" s="31">
        <f>IF(Source!BB102&lt;&gt; 0, Source!BB102, 1)</f>
        <v>6.56</v>
      </c>
      <c r="K238" s="30">
        <f>Source!Q102</f>
        <v>69.27</v>
      </c>
      <c r="L238" s="32"/>
    </row>
    <row r="239" spans="1:26" ht="14.25" x14ac:dyDescent="0.2">
      <c r="A239" s="45"/>
      <c r="B239" s="46"/>
      <c r="C239" s="46" t="s">
        <v>1643</v>
      </c>
      <c r="D239" s="29"/>
      <c r="E239" s="11"/>
      <c r="F239" s="30">
        <f>Source!AL102</f>
        <v>0.72</v>
      </c>
      <c r="G239" s="31" t="str">
        <f>Source!DD102</f>
        <v/>
      </c>
      <c r="H239" s="30">
        <f>ROUND(Source!AC102*Source!I102, 2)</f>
        <v>2.88</v>
      </c>
      <c r="I239" s="31"/>
      <c r="J239" s="31">
        <f>IF(Source!BC102&lt;&gt; 0, Source!BC102, 1)</f>
        <v>6.56</v>
      </c>
      <c r="K239" s="30">
        <f>Source!P102</f>
        <v>18.89</v>
      </c>
      <c r="L239" s="32"/>
    </row>
    <row r="240" spans="1:26" ht="14.25" x14ac:dyDescent="0.2">
      <c r="A240" s="45"/>
      <c r="B240" s="46"/>
      <c r="C240" s="46" t="s">
        <v>1638</v>
      </c>
      <c r="D240" s="29" t="s">
        <v>1639</v>
      </c>
      <c r="E240" s="11">
        <f>Source!BZ102</f>
        <v>90</v>
      </c>
      <c r="F240" s="71" t="str">
        <f>CONCATENATE(" )", Source!DL102, Source!FT102, "=", Source!FX102)</f>
        <v xml:space="preserve"> )*0,9=81</v>
      </c>
      <c r="G240" s="72"/>
      <c r="H240" s="30">
        <f>SUM(S236:S243)</f>
        <v>41.02</v>
      </c>
      <c r="I240" s="34"/>
      <c r="J240" s="27">
        <f>Source!AT102</f>
        <v>81</v>
      </c>
      <c r="K240" s="30">
        <f>SUM(T236:T243)</f>
        <v>269.08</v>
      </c>
      <c r="L240" s="32"/>
    </row>
    <row r="241" spans="1:26" ht="14.25" x14ac:dyDescent="0.2">
      <c r="A241" s="45"/>
      <c r="B241" s="46"/>
      <c r="C241" s="46" t="s">
        <v>1640</v>
      </c>
      <c r="D241" s="29" t="s">
        <v>1639</v>
      </c>
      <c r="E241" s="11">
        <f>Source!CA102</f>
        <v>85</v>
      </c>
      <c r="F241" s="71" t="str">
        <f>CONCATENATE(" )", Source!DM102, Source!FU102, "=", Source!FY102)</f>
        <v xml:space="preserve"> )*0,85=72,25</v>
      </c>
      <c r="G241" s="72"/>
      <c r="H241" s="30">
        <f>SUM(U236:U243)</f>
        <v>36.590000000000003</v>
      </c>
      <c r="I241" s="34"/>
      <c r="J241" s="27">
        <f>Source!AU102</f>
        <v>72</v>
      </c>
      <c r="K241" s="30">
        <f>SUM(V236:V243)</f>
        <v>239.18</v>
      </c>
      <c r="L241" s="32"/>
    </row>
    <row r="242" spans="1:26" ht="14.25" x14ac:dyDescent="0.2">
      <c r="A242" s="45"/>
      <c r="B242" s="46"/>
      <c r="C242" s="46" t="s">
        <v>1641</v>
      </c>
      <c r="D242" s="29" t="s">
        <v>1642</v>
      </c>
      <c r="E242" s="11">
        <f>Source!AQ102</f>
        <v>1.1100000000000001</v>
      </c>
      <c r="F242" s="30"/>
      <c r="G242" s="31" t="str">
        <f>Source!DI102</f>
        <v>)*1,15</v>
      </c>
      <c r="H242" s="30"/>
      <c r="I242" s="31"/>
      <c r="J242" s="31"/>
      <c r="K242" s="30"/>
      <c r="L242" s="41">
        <f>Source!U102</f>
        <v>5.1059999999999999</v>
      </c>
    </row>
    <row r="243" spans="1:26" ht="28.5" x14ac:dyDescent="0.2">
      <c r="A243" s="47" t="str">
        <f>Source!E103</f>
        <v>22,1</v>
      </c>
      <c r="B243" s="48" t="str">
        <f>Source!F103</f>
        <v>01.7.04.01-0001</v>
      </c>
      <c r="C243" s="48" t="str">
        <f>Source!G103</f>
        <v>Доводчик дверной DS 73 BC "Серия Premium", усилие закрывания EN2-5</v>
      </c>
      <c r="D243" s="35" t="str">
        <f>Source!H103</f>
        <v>шт.</v>
      </c>
      <c r="E243" s="36">
        <f>Source!I103</f>
        <v>4</v>
      </c>
      <c r="F243" s="37">
        <f>Source!AL103+Source!AM103+Source!AO103</f>
        <v>371.2</v>
      </c>
      <c r="G243" s="43" t="s">
        <v>6</v>
      </c>
      <c r="H243" s="37">
        <f>ROUND(Source!AC103*Source!I103, 2)+ROUND(Source!AD103*Source!I103, 2)+ROUND(Source!AF103*Source!I103, 2)</f>
        <v>1484.8</v>
      </c>
      <c r="I243" s="38"/>
      <c r="J243" s="38">
        <f>IF(Source!BC103&lt;&gt; 0, Source!BC103, 1)</f>
        <v>6.56</v>
      </c>
      <c r="K243" s="37">
        <f>Source!O103</f>
        <v>9740.2900000000009</v>
      </c>
      <c r="L243" s="44"/>
      <c r="S243">
        <f>ROUND((Source!FX103/100)*((ROUND(Source!AF103*Source!I103, 2)+ROUND(Source!AE103*Source!I103, 2))), 2)</f>
        <v>0</v>
      </c>
      <c r="T243">
        <f>Source!X103</f>
        <v>0</v>
      </c>
      <c r="U243">
        <f>ROUND((Source!FY103/100)*((ROUND(Source!AF103*Source!I103, 2)+ROUND(Source!AE103*Source!I103, 2))), 2)</f>
        <v>0</v>
      </c>
      <c r="V243">
        <f>Source!Y103</f>
        <v>0</v>
      </c>
      <c r="W243">
        <f>IF(Source!BI103&lt;=1,H243, 0)</f>
        <v>1484.8</v>
      </c>
      <c r="X243">
        <f>IF(Source!BI103=2,H243, 0)</f>
        <v>0</v>
      </c>
      <c r="Y243">
        <f>IF(Source!BI103=3,H243, 0)</f>
        <v>0</v>
      </c>
      <c r="Z243">
        <f>IF(Source!BI103=4,H243, 0)</f>
        <v>0</v>
      </c>
    </row>
    <row r="244" spans="1:26" ht="15" x14ac:dyDescent="0.25">
      <c r="G244" s="70">
        <f>H237+H238+H239+H240+H241+SUM(H243:H243)</f>
        <v>1626.49</v>
      </c>
      <c r="H244" s="70"/>
      <c r="J244" s="70">
        <f>K237+K238+K239+K240+K241+SUM(K243:K243)</f>
        <v>10668.91</v>
      </c>
      <c r="K244" s="70"/>
      <c r="L244" s="40">
        <f>Source!U102</f>
        <v>5.1059999999999999</v>
      </c>
      <c r="O244" s="24">
        <f>G244</f>
        <v>1626.49</v>
      </c>
      <c r="P244" s="24">
        <f>J244</f>
        <v>10668.91</v>
      </c>
      <c r="Q244" s="24">
        <f>L244</f>
        <v>5.1059999999999999</v>
      </c>
      <c r="W244">
        <f>IF(Source!BI102&lt;=1,H237+H238+H239+H240+H241, 0)</f>
        <v>141.69</v>
      </c>
      <c r="X244">
        <f>IF(Source!BI102=2,H237+H238+H239+H240+H241, 0)</f>
        <v>0</v>
      </c>
      <c r="Y244">
        <f>IF(Source!BI102=3,H237+H238+H239+H240+H241, 0)</f>
        <v>0</v>
      </c>
      <c r="Z244">
        <f>IF(Source!BI102=4,H237+H238+H239+H240+H241, 0)</f>
        <v>0</v>
      </c>
    </row>
    <row r="245" spans="1:26" ht="57" x14ac:dyDescent="0.2">
      <c r="A245" s="45" t="str">
        <f>Source!E104</f>
        <v>23</v>
      </c>
      <c r="B245" s="46" t="str">
        <f>Source!F104</f>
        <v>10-01-039-01</v>
      </c>
      <c r="C245" s="46" t="str">
        <f>Source!G104</f>
        <v>Установка блоков в наружных и внутренних дверных проемах в каменных стенах, площадь проема до 3 м2</v>
      </c>
      <c r="D245" s="29" t="str">
        <f>Source!H104</f>
        <v>100 м2</v>
      </c>
      <c r="E245" s="11">
        <f>Source!I104</f>
        <v>7.0199999999999999E-2</v>
      </c>
      <c r="F245" s="30">
        <f>Source!AL104+Source!AM104+Source!AO104</f>
        <v>3493.69</v>
      </c>
      <c r="G245" s="31"/>
      <c r="H245" s="30"/>
      <c r="I245" s="31" t="str">
        <f>Source!BO104</f>
        <v/>
      </c>
      <c r="J245" s="31"/>
      <c r="K245" s="30"/>
      <c r="L245" s="32"/>
      <c r="S245">
        <f>ROUND((Source!FX104/100)*((ROUND(Source!AF104*Source!I104, 2)+ROUND(Source!AE104*Source!I104, 2))), 2)</f>
        <v>84.81</v>
      </c>
      <c r="T245">
        <f>Source!X104</f>
        <v>555.28</v>
      </c>
      <c r="U245">
        <f>ROUND((Source!FY104/100)*((ROUND(Source!AF104*Source!I104, 2)+ROUND(Source!AE104*Source!I104, 2))), 2)</f>
        <v>42.77</v>
      </c>
      <c r="V245">
        <f>Source!Y104</f>
        <v>282.88</v>
      </c>
    </row>
    <row r="246" spans="1:26" x14ac:dyDescent="0.2">
      <c r="C246" s="23" t="str">
        <f>"Объем: "&amp;Source!I104&amp;"=7,02/"&amp;"100"</f>
        <v>Объем: 0,0702=7,02/100</v>
      </c>
    </row>
    <row r="247" spans="1:26" ht="14.25" x14ac:dyDescent="0.2">
      <c r="A247" s="45"/>
      <c r="B247" s="46"/>
      <c r="C247" s="46" t="s">
        <v>1636</v>
      </c>
      <c r="D247" s="29"/>
      <c r="E247" s="11"/>
      <c r="F247" s="30">
        <f>Source!AO104</f>
        <v>821.89</v>
      </c>
      <c r="G247" s="31" t="str">
        <f>Source!DG104</f>
        <v>)*1,15</v>
      </c>
      <c r="H247" s="30">
        <f>ROUND(Source!AF104*Source!I104, 2)</f>
        <v>66.349999999999994</v>
      </c>
      <c r="I247" s="31"/>
      <c r="J247" s="31">
        <f>IF(Source!BA104&lt;&gt; 0, Source!BA104, 1)</f>
        <v>6.56</v>
      </c>
      <c r="K247" s="30">
        <f>Source!S104</f>
        <v>435.26</v>
      </c>
      <c r="L247" s="32"/>
      <c r="R247">
        <f>H247</f>
        <v>66.349999999999994</v>
      </c>
    </row>
    <row r="248" spans="1:26" ht="14.25" x14ac:dyDescent="0.2">
      <c r="A248" s="45"/>
      <c r="B248" s="46"/>
      <c r="C248" s="46" t="s">
        <v>136</v>
      </c>
      <c r="D248" s="29"/>
      <c r="E248" s="11"/>
      <c r="F248" s="30">
        <f>Source!AM104</f>
        <v>967.98</v>
      </c>
      <c r="G248" s="31" t="str">
        <f>Source!DE104</f>
        <v>)*1,25</v>
      </c>
      <c r="H248" s="30">
        <f>ROUND(Source!AD104*Source!I104, 2)</f>
        <v>84.94</v>
      </c>
      <c r="I248" s="31"/>
      <c r="J248" s="31">
        <f>IF(Source!BB104&lt;&gt; 0, Source!BB104, 1)</f>
        <v>6.56</v>
      </c>
      <c r="K248" s="30">
        <f>Source!Q104</f>
        <v>557.21</v>
      </c>
      <c r="L248" s="32"/>
    </row>
    <row r="249" spans="1:26" ht="14.25" x14ac:dyDescent="0.2">
      <c r="A249" s="45"/>
      <c r="B249" s="46"/>
      <c r="C249" s="46" t="s">
        <v>1637</v>
      </c>
      <c r="D249" s="29"/>
      <c r="E249" s="11"/>
      <c r="F249" s="30">
        <f>Source!AN104</f>
        <v>153.9</v>
      </c>
      <c r="G249" s="31" t="str">
        <f>Source!DF104</f>
        <v>)*1,25</v>
      </c>
      <c r="H249" s="33">
        <f>ROUND(Source!AE104*Source!I104, 2)</f>
        <v>13.51</v>
      </c>
      <c r="I249" s="31"/>
      <c r="J249" s="31">
        <f>IF(Source!BS104&lt;&gt; 0, Source!BS104, 1)</f>
        <v>6.56</v>
      </c>
      <c r="K249" s="33">
        <f>Source!R104</f>
        <v>88.59</v>
      </c>
      <c r="L249" s="32"/>
      <c r="R249">
        <f>H249</f>
        <v>13.51</v>
      </c>
    </row>
    <row r="250" spans="1:26" ht="14.25" x14ac:dyDescent="0.2">
      <c r="A250" s="45"/>
      <c r="B250" s="46"/>
      <c r="C250" s="46" t="s">
        <v>1643</v>
      </c>
      <c r="D250" s="29"/>
      <c r="E250" s="11"/>
      <c r="F250" s="30">
        <f>Source!AL104</f>
        <v>1703.82</v>
      </c>
      <c r="G250" s="31" t="str">
        <f>Source!DD104</f>
        <v/>
      </c>
      <c r="H250" s="30">
        <f>ROUND(Source!AC104*Source!I104, 2)</f>
        <v>119.61</v>
      </c>
      <c r="I250" s="31"/>
      <c r="J250" s="31">
        <f>IF(Source!BC104&lt;&gt; 0, Source!BC104, 1)</f>
        <v>6.56</v>
      </c>
      <c r="K250" s="30">
        <f>Source!P104</f>
        <v>784.63</v>
      </c>
      <c r="L250" s="32"/>
    </row>
    <row r="251" spans="1:26" ht="14.25" x14ac:dyDescent="0.2">
      <c r="A251" s="45"/>
      <c r="B251" s="46"/>
      <c r="C251" s="46" t="s">
        <v>1638</v>
      </c>
      <c r="D251" s="29" t="s">
        <v>1639</v>
      </c>
      <c r="E251" s="11">
        <f>Source!BZ104</f>
        <v>118</v>
      </c>
      <c r="F251" s="71" t="str">
        <f>CONCATENATE(" )", Source!DL104, Source!FT104, "=", Source!FX104)</f>
        <v xml:space="preserve"> )*0,9=106,2</v>
      </c>
      <c r="G251" s="72"/>
      <c r="H251" s="30">
        <f>SUM(S245:S256)</f>
        <v>84.81</v>
      </c>
      <c r="I251" s="34"/>
      <c r="J251" s="27">
        <f>Source!AT104</f>
        <v>106</v>
      </c>
      <c r="K251" s="30">
        <f>SUM(T245:T256)</f>
        <v>555.28</v>
      </c>
      <c r="L251" s="32"/>
    </row>
    <row r="252" spans="1:26" ht="14.25" x14ac:dyDescent="0.2">
      <c r="A252" s="45"/>
      <c r="B252" s="46"/>
      <c r="C252" s="46" t="s">
        <v>1640</v>
      </c>
      <c r="D252" s="29" t="s">
        <v>1639</v>
      </c>
      <c r="E252" s="11">
        <f>Source!CA104</f>
        <v>63</v>
      </c>
      <c r="F252" s="71" t="str">
        <f>CONCATENATE(" )", Source!DM104, Source!FU104, "=", Source!FY104)</f>
        <v xml:space="preserve"> )*0,85=53,55</v>
      </c>
      <c r="G252" s="72"/>
      <c r="H252" s="30">
        <f>SUM(U245:U256)</f>
        <v>42.77</v>
      </c>
      <c r="I252" s="34"/>
      <c r="J252" s="27">
        <f>Source!AU104</f>
        <v>54</v>
      </c>
      <c r="K252" s="30">
        <f>SUM(V245:V256)</f>
        <v>282.88</v>
      </c>
      <c r="L252" s="32"/>
    </row>
    <row r="253" spans="1:26" ht="14.25" x14ac:dyDescent="0.2">
      <c r="A253" s="45"/>
      <c r="B253" s="46"/>
      <c r="C253" s="46" t="s">
        <v>1641</v>
      </c>
      <c r="D253" s="29" t="s">
        <v>1642</v>
      </c>
      <c r="E253" s="11">
        <f>Source!AQ104</f>
        <v>89.53</v>
      </c>
      <c r="F253" s="30"/>
      <c r="G253" s="31" t="str">
        <f>Source!DI104</f>
        <v>)*1,15</v>
      </c>
      <c r="H253" s="30"/>
      <c r="I253" s="31"/>
      <c r="J253" s="31"/>
      <c r="K253" s="30"/>
      <c r="L253" s="41">
        <f>Source!U104</f>
        <v>7.2277568999999993</v>
      </c>
    </row>
    <row r="254" spans="1:26" ht="42.75" x14ac:dyDescent="0.2">
      <c r="A254" s="45" t="str">
        <f>Source!E105</f>
        <v>23,1</v>
      </c>
      <c r="B254" s="46" t="str">
        <f>Source!F105</f>
        <v>11.2.02.01-0032</v>
      </c>
      <c r="C254" s="46" t="str">
        <f>Source!G105</f>
        <v>Блоки дверные внутренние однопольные глухие шлифованные, из массива сосны, тонированные</v>
      </c>
      <c r="D254" s="29" t="str">
        <f>Source!H105</f>
        <v>м2</v>
      </c>
      <c r="E254" s="11">
        <f>Source!I105</f>
        <v>7.02</v>
      </c>
      <c r="F254" s="30">
        <f>Source!AL105+Source!AM105+Source!AO105</f>
        <v>1448.8</v>
      </c>
      <c r="G254" s="42" t="s">
        <v>6</v>
      </c>
      <c r="H254" s="30">
        <f>ROUND(Source!AC105*Source!I105, 2)+ROUND(Source!AD105*Source!I105, 2)+ROUND(Source!AF105*Source!I105, 2)</f>
        <v>10170.58</v>
      </c>
      <c r="I254" s="31"/>
      <c r="J254" s="31">
        <f>IF(Source!BC105&lt;&gt; 0, Source!BC105, 1)</f>
        <v>6.56</v>
      </c>
      <c r="K254" s="30">
        <f>Source!O105</f>
        <v>66718.98</v>
      </c>
      <c r="L254" s="32"/>
      <c r="S254">
        <f>ROUND((Source!FX105/100)*((ROUND(Source!AF105*Source!I105, 2)+ROUND(Source!AE105*Source!I105, 2))), 2)</f>
        <v>0</v>
      </c>
      <c r="T254">
        <f>Source!X105</f>
        <v>0</v>
      </c>
      <c r="U254">
        <f>ROUND((Source!FY105/100)*((ROUND(Source!AF105*Source!I105, 2)+ROUND(Source!AE105*Source!I105, 2))), 2)</f>
        <v>0</v>
      </c>
      <c r="V254">
        <f>Source!Y105</f>
        <v>0</v>
      </c>
      <c r="W254">
        <f>IF(Source!BI105&lt;=1,H254, 0)</f>
        <v>10170.58</v>
      </c>
      <c r="X254">
        <f>IF(Source!BI105=2,H254, 0)</f>
        <v>0</v>
      </c>
      <c r="Y254">
        <f>IF(Source!BI105=3,H254, 0)</f>
        <v>0</v>
      </c>
      <c r="Z254">
        <f>IF(Source!BI105=4,H254, 0)</f>
        <v>0</v>
      </c>
    </row>
    <row r="255" spans="1:26" ht="42.75" x14ac:dyDescent="0.2">
      <c r="A255" s="45" t="str">
        <f>Source!E106</f>
        <v>23,2</v>
      </c>
      <c r="B255" s="46" t="str">
        <f>Source!F106</f>
        <v>01.7.04.07-0003</v>
      </c>
      <c r="C255" s="46" t="str">
        <f>Source!G106</f>
        <v>Скобяные изделия для блоков входных дверей в помещение однопольных</v>
      </c>
      <c r="D255" s="29" t="str">
        <f>Source!H106</f>
        <v>компл.</v>
      </c>
      <c r="E255" s="11">
        <f>Source!I106</f>
        <v>2.9999999999999996</v>
      </c>
      <c r="F255" s="30">
        <f>Source!AL106+Source!AM106+Source!AO106</f>
        <v>94.68</v>
      </c>
      <c r="G255" s="42" t="s">
        <v>6</v>
      </c>
      <c r="H255" s="30">
        <f>ROUND(Source!AC106*Source!I106, 2)+ROUND(Source!AD106*Source!I106, 2)+ROUND(Source!AF106*Source!I106, 2)</f>
        <v>284.04000000000002</v>
      </c>
      <c r="I255" s="31"/>
      <c r="J255" s="31">
        <f>IF(Source!BC106&lt;&gt; 0, Source!BC106, 1)</f>
        <v>6.56</v>
      </c>
      <c r="K255" s="30">
        <f>Source!O106</f>
        <v>1863.3</v>
      </c>
      <c r="L255" s="32"/>
      <c r="S255">
        <f>ROUND((Source!FX106/100)*((ROUND(Source!AF106*Source!I106, 2)+ROUND(Source!AE106*Source!I106, 2))), 2)</f>
        <v>0</v>
      </c>
      <c r="T255">
        <f>Source!X106</f>
        <v>0</v>
      </c>
      <c r="U255">
        <f>ROUND((Source!FY106/100)*((ROUND(Source!AF106*Source!I106, 2)+ROUND(Source!AE106*Source!I106, 2))), 2)</f>
        <v>0</v>
      </c>
      <c r="V255">
        <f>Source!Y106</f>
        <v>0</v>
      </c>
      <c r="W255">
        <f>IF(Source!BI106&lt;=1,H255, 0)</f>
        <v>284.04000000000002</v>
      </c>
      <c r="X255">
        <f>IF(Source!BI106=2,H255, 0)</f>
        <v>0</v>
      </c>
      <c r="Y255">
        <f>IF(Source!BI106=3,H255, 0)</f>
        <v>0</v>
      </c>
      <c r="Z255">
        <f>IF(Source!BI106=4,H255, 0)</f>
        <v>0</v>
      </c>
    </row>
    <row r="256" spans="1:26" ht="14.25" x14ac:dyDescent="0.2">
      <c r="A256" s="47" t="str">
        <f>Source!E107</f>
        <v>23,3</v>
      </c>
      <c r="B256" s="48" t="str">
        <f>Source!F107</f>
        <v>11.2.02.01</v>
      </c>
      <c r="C256" s="48" t="str">
        <f>Source!G107</f>
        <v>Блоки дверные</v>
      </c>
      <c r="D256" s="35" t="str">
        <f>Source!H107</f>
        <v>м2</v>
      </c>
      <c r="E256" s="36">
        <f>Source!I107</f>
        <v>7.02</v>
      </c>
      <c r="F256" s="37">
        <f>Source!AL107+Source!AM107+Source!AO107</f>
        <v>0</v>
      </c>
      <c r="G256" s="43" t="s">
        <v>6</v>
      </c>
      <c r="H256" s="37">
        <f>ROUND(Source!AC107*Source!I107, 2)+ROUND(Source!AD107*Source!I107, 2)+ROUND(Source!AF107*Source!I107, 2)</f>
        <v>0</v>
      </c>
      <c r="I256" s="38"/>
      <c r="J256" s="38">
        <f>IF(Source!BC107&lt;&gt; 0, Source!BC107, 1)</f>
        <v>6.56</v>
      </c>
      <c r="K256" s="37">
        <f>Source!O107</f>
        <v>0</v>
      </c>
      <c r="L256" s="44"/>
      <c r="S256">
        <f>ROUND((Source!FX107/100)*((ROUND(Source!AF107*Source!I107, 2)+ROUND(Source!AE107*Source!I107, 2))), 2)</f>
        <v>0</v>
      </c>
      <c r="T256">
        <f>Source!X107</f>
        <v>0</v>
      </c>
      <c r="U256">
        <f>ROUND((Source!FY107/100)*((ROUND(Source!AF107*Source!I107, 2)+ROUND(Source!AE107*Source!I107, 2))), 2)</f>
        <v>0</v>
      </c>
      <c r="V256">
        <f>Source!Y107</f>
        <v>0</v>
      </c>
      <c r="W256">
        <f>IF(Source!BI107&lt;=1,H256, 0)</f>
        <v>0</v>
      </c>
      <c r="X256">
        <f>IF(Source!BI107=2,H256, 0)</f>
        <v>0</v>
      </c>
      <c r="Y256">
        <f>IF(Source!BI107=3,H256, 0)</f>
        <v>0</v>
      </c>
      <c r="Z256">
        <f>IF(Source!BI107=4,H256, 0)</f>
        <v>0</v>
      </c>
    </row>
    <row r="257" spans="1:26" ht="15" x14ac:dyDescent="0.25">
      <c r="G257" s="70">
        <f>H247+H248+H250+H251+H252+SUM(H254:H256)</f>
        <v>10853.1</v>
      </c>
      <c r="H257" s="70"/>
      <c r="J257" s="70">
        <f>K247+K248+K250+K251+K252+SUM(K254:K256)</f>
        <v>71197.539999999994</v>
      </c>
      <c r="K257" s="70"/>
      <c r="L257" s="40">
        <f>Source!U104</f>
        <v>7.2277568999999993</v>
      </c>
      <c r="O257" s="24">
        <f>G257</f>
        <v>10853.1</v>
      </c>
      <c r="P257" s="24">
        <f>J257</f>
        <v>71197.539999999994</v>
      </c>
      <c r="Q257" s="24">
        <f>L257</f>
        <v>7.2277568999999993</v>
      </c>
      <c r="W257">
        <f>IF(Source!BI104&lt;=1,H247+H248+H250+H251+H252, 0)</f>
        <v>398.47999999999996</v>
      </c>
      <c r="X257">
        <f>IF(Source!BI104=2,H247+H248+H250+H251+H252, 0)</f>
        <v>0</v>
      </c>
      <c r="Y257">
        <f>IF(Source!BI104=3,H247+H248+H250+H251+H252, 0)</f>
        <v>0</v>
      </c>
      <c r="Z257">
        <f>IF(Source!BI104=4,H247+H248+H250+H251+H252, 0)</f>
        <v>0</v>
      </c>
    </row>
    <row r="258" spans="1:26" ht="57" x14ac:dyDescent="0.2">
      <c r="A258" s="45" t="str">
        <f>Source!E108</f>
        <v>24</v>
      </c>
      <c r="B258" s="46" t="str">
        <f>Source!F108</f>
        <v>10-04-014-01</v>
      </c>
      <c r="C258" s="46" t="str">
        <f>Source!G108</f>
        <v>Устройство сантехнических перегородок (стандартные туалетные кабины) на каркасе из алюминиевого профиля</v>
      </c>
      <c r="D258" s="29" t="str">
        <f>Source!H108</f>
        <v>100 м2</v>
      </c>
      <c r="E258" s="11">
        <f>Source!I108</f>
        <v>0.16800000000000001</v>
      </c>
      <c r="F258" s="30">
        <f>Source!AL108+Source!AM108+Source!AO108</f>
        <v>70425.8</v>
      </c>
      <c r="G258" s="31"/>
      <c r="H258" s="30"/>
      <c r="I258" s="31" t="str">
        <f>Source!BO108</f>
        <v/>
      </c>
      <c r="J258" s="31"/>
      <c r="K258" s="30"/>
      <c r="L258" s="32"/>
      <c r="S258">
        <f>ROUND((Source!FX108/100)*((ROUND(Source!AF108*Source!I108, 2)+ROUND(Source!AE108*Source!I108, 2))), 2)</f>
        <v>60.49</v>
      </c>
      <c r="T258">
        <f>Source!X108</f>
        <v>396.05</v>
      </c>
      <c r="U258">
        <f>ROUND((Source!FY108/100)*((ROUND(Source!AF108*Source!I108, 2)+ROUND(Source!AE108*Source!I108, 2))), 2)</f>
        <v>30.5</v>
      </c>
      <c r="V258">
        <f>Source!Y108</f>
        <v>201.76</v>
      </c>
    </row>
    <row r="259" spans="1:26" x14ac:dyDescent="0.2">
      <c r="C259" s="23" t="str">
        <f>"Объем: "&amp;Source!I108&amp;"=16,8/"&amp;"100"</f>
        <v>Объем: 0,168=16,8/100</v>
      </c>
    </row>
    <row r="260" spans="1:26" ht="14.25" x14ac:dyDescent="0.2">
      <c r="A260" s="45"/>
      <c r="B260" s="46"/>
      <c r="C260" s="46" t="s">
        <v>1636</v>
      </c>
      <c r="D260" s="29"/>
      <c r="E260" s="11"/>
      <c r="F260" s="30">
        <f>Source!AO108</f>
        <v>294.8</v>
      </c>
      <c r="G260" s="31" t="str">
        <f>Source!DG108</f>
        <v>)*1,15</v>
      </c>
      <c r="H260" s="30">
        <f>ROUND(Source!AF108*Source!I108, 2)</f>
        <v>56.96</v>
      </c>
      <c r="I260" s="31"/>
      <c r="J260" s="31">
        <f>IF(Source!BA108&lt;&gt; 0, Source!BA108, 1)</f>
        <v>6.56</v>
      </c>
      <c r="K260" s="30">
        <f>Source!S108</f>
        <v>373.63</v>
      </c>
      <c r="L260" s="32"/>
      <c r="R260">
        <f>H260</f>
        <v>56.96</v>
      </c>
    </row>
    <row r="261" spans="1:26" ht="14.25" x14ac:dyDescent="0.2">
      <c r="A261" s="45"/>
      <c r="B261" s="46"/>
      <c r="C261" s="46" t="s">
        <v>1643</v>
      </c>
      <c r="D261" s="29"/>
      <c r="E261" s="11"/>
      <c r="F261" s="30">
        <f>Source!AL108</f>
        <v>70131</v>
      </c>
      <c r="G261" s="31" t="str">
        <f>Source!DD108</f>
        <v/>
      </c>
      <c r="H261" s="30">
        <f>ROUND(Source!AC108*Source!I108, 2)</f>
        <v>11782.01</v>
      </c>
      <c r="I261" s="31"/>
      <c r="J261" s="31">
        <f>IF(Source!BC108&lt;&gt; 0, Source!BC108, 1)</f>
        <v>6.56</v>
      </c>
      <c r="K261" s="30">
        <f>Source!P108</f>
        <v>77289.97</v>
      </c>
      <c r="L261" s="32"/>
    </row>
    <row r="262" spans="1:26" ht="14.25" x14ac:dyDescent="0.2">
      <c r="A262" s="45"/>
      <c r="B262" s="46"/>
      <c r="C262" s="46" t="s">
        <v>1638</v>
      </c>
      <c r="D262" s="29" t="s">
        <v>1639</v>
      </c>
      <c r="E262" s="11">
        <f>Source!BZ108</f>
        <v>118</v>
      </c>
      <c r="F262" s="71" t="str">
        <f>CONCATENATE(" )", Source!DL108, Source!FT108, "=", Source!FX108)</f>
        <v xml:space="preserve"> )*0,9=106,2</v>
      </c>
      <c r="G262" s="72"/>
      <c r="H262" s="30">
        <f>SUM(S258:S264)</f>
        <v>60.49</v>
      </c>
      <c r="I262" s="34"/>
      <c r="J262" s="27">
        <f>Source!AT108</f>
        <v>106</v>
      </c>
      <c r="K262" s="30">
        <f>SUM(T258:T264)</f>
        <v>396.05</v>
      </c>
      <c r="L262" s="32"/>
    </row>
    <row r="263" spans="1:26" ht="14.25" x14ac:dyDescent="0.2">
      <c r="A263" s="45"/>
      <c r="B263" s="46"/>
      <c r="C263" s="46" t="s">
        <v>1640</v>
      </c>
      <c r="D263" s="29" t="s">
        <v>1639</v>
      </c>
      <c r="E263" s="11">
        <f>Source!CA108</f>
        <v>63</v>
      </c>
      <c r="F263" s="71" t="str">
        <f>CONCATENATE(" )", Source!DM108, Source!FU108, "=", Source!FY108)</f>
        <v xml:space="preserve"> )*0,85=53,55</v>
      </c>
      <c r="G263" s="72"/>
      <c r="H263" s="30">
        <f>SUM(U258:U264)</f>
        <v>30.5</v>
      </c>
      <c r="I263" s="34"/>
      <c r="J263" s="27">
        <f>Source!AU108</f>
        <v>54</v>
      </c>
      <c r="K263" s="30">
        <f>SUM(V258:V264)</f>
        <v>201.76</v>
      </c>
      <c r="L263" s="32"/>
    </row>
    <row r="264" spans="1:26" ht="14.25" x14ac:dyDescent="0.2">
      <c r="A264" s="47"/>
      <c r="B264" s="48"/>
      <c r="C264" s="48" t="s">
        <v>1641</v>
      </c>
      <c r="D264" s="35" t="s">
        <v>1642</v>
      </c>
      <c r="E264" s="36">
        <f>Source!AQ108</f>
        <v>34.56</v>
      </c>
      <c r="F264" s="37"/>
      <c r="G264" s="38" t="str">
        <f>Source!DI108</f>
        <v>)*1,15</v>
      </c>
      <c r="H264" s="37"/>
      <c r="I264" s="38"/>
      <c r="J264" s="38"/>
      <c r="K264" s="37"/>
      <c r="L264" s="39">
        <f>Source!U108</f>
        <v>6.6769920000000003</v>
      </c>
    </row>
    <row r="265" spans="1:26" ht="15" x14ac:dyDescent="0.25">
      <c r="G265" s="70">
        <f>H260+H261+H262+H263</f>
        <v>11929.96</v>
      </c>
      <c r="H265" s="70"/>
      <c r="J265" s="70">
        <f>K260+K261+K262+K263</f>
        <v>78261.41</v>
      </c>
      <c r="K265" s="70"/>
      <c r="L265" s="40">
        <f>Source!U108</f>
        <v>6.6769920000000003</v>
      </c>
      <c r="O265" s="24">
        <f>G265</f>
        <v>11929.96</v>
      </c>
      <c r="P265" s="24">
        <f>J265</f>
        <v>78261.41</v>
      </c>
      <c r="Q265" s="24">
        <f>L265</f>
        <v>6.6769920000000003</v>
      </c>
      <c r="W265">
        <f>IF(Source!BI108&lt;=1,H260+H261+H262+H263, 0)</f>
        <v>11929.96</v>
      </c>
      <c r="X265">
        <f>IF(Source!BI108=2,H260+H261+H262+H263, 0)</f>
        <v>0</v>
      </c>
      <c r="Y265">
        <f>IF(Source!BI108=3,H260+H261+H262+H263, 0)</f>
        <v>0</v>
      </c>
      <c r="Z265">
        <f>IF(Source!BI108=4,H260+H261+H262+H263, 0)</f>
        <v>0</v>
      </c>
    </row>
    <row r="266" spans="1:26" ht="57" x14ac:dyDescent="0.2">
      <c r="A266" s="45" t="str">
        <f>Source!E109</f>
        <v>25</v>
      </c>
      <c r="B266" s="46" t="str">
        <f>Source!F109</f>
        <v>61-7-1</v>
      </c>
      <c r="C266" s="46" t="str">
        <f>Source!G109</f>
        <v>Ремонт штукатурки откосов внутри здания по камню и бетону цементно-известковым раствором прямолинейных</v>
      </c>
      <c r="D266" s="29" t="str">
        <f>Source!H109</f>
        <v>100 м2</v>
      </c>
      <c r="E266" s="11">
        <f>Source!I109</f>
        <v>7.3200000000000001E-2</v>
      </c>
      <c r="F266" s="30">
        <f>Source!AL109+Source!AM109+Source!AO109</f>
        <v>5751.9600000000009</v>
      </c>
      <c r="G266" s="31"/>
      <c r="H266" s="30"/>
      <c r="I266" s="31" t="str">
        <f>Source!BO109</f>
        <v/>
      </c>
      <c r="J266" s="31"/>
      <c r="K266" s="30"/>
      <c r="L266" s="32"/>
      <c r="S266">
        <f>ROUND((Source!FX109/100)*((ROUND(Source!AF109*Source!I109, 2)+ROUND(Source!AE109*Source!I109, 2))), 2)</f>
        <v>199.61</v>
      </c>
      <c r="T266">
        <f>Source!X109</f>
        <v>1309.4100000000001</v>
      </c>
      <c r="U266">
        <f>ROUND((Source!FY109/100)*((ROUND(Source!AF109*Source!I109, 2)+ROUND(Source!AE109*Source!I109, 2))), 2)</f>
        <v>126.34</v>
      </c>
      <c r="V266">
        <f>Source!Y109</f>
        <v>828.74</v>
      </c>
    </row>
    <row r="267" spans="1:26" x14ac:dyDescent="0.2">
      <c r="C267" s="23" t="str">
        <f>"Объем: "&amp;Source!I109&amp;"=7,32/"&amp;"100"</f>
        <v>Объем: 0,0732=7,32/100</v>
      </c>
    </row>
    <row r="268" spans="1:26" ht="14.25" x14ac:dyDescent="0.2">
      <c r="A268" s="45"/>
      <c r="B268" s="46"/>
      <c r="C268" s="46" t="s">
        <v>1636</v>
      </c>
      <c r="D268" s="29"/>
      <c r="E268" s="11"/>
      <c r="F268" s="30">
        <f>Source!AO109</f>
        <v>3436.05</v>
      </c>
      <c r="G268" s="31" t="str">
        <f>Source!DG109</f>
        <v/>
      </c>
      <c r="H268" s="30">
        <f>ROUND(Source!AF109*Source!I109, 2)</f>
        <v>251.52</v>
      </c>
      <c r="I268" s="31"/>
      <c r="J268" s="31">
        <f>IF(Source!BA109&lt;&gt; 0, Source!BA109, 1)</f>
        <v>6.56</v>
      </c>
      <c r="K268" s="30">
        <f>Source!S109</f>
        <v>1649.96</v>
      </c>
      <c r="L268" s="32"/>
      <c r="R268">
        <f>H268</f>
        <v>251.52</v>
      </c>
    </row>
    <row r="269" spans="1:26" ht="14.25" x14ac:dyDescent="0.2">
      <c r="A269" s="45"/>
      <c r="B269" s="46"/>
      <c r="C269" s="46" t="s">
        <v>136</v>
      </c>
      <c r="D269" s="29"/>
      <c r="E269" s="11"/>
      <c r="F269" s="30">
        <f>Source!AM109</f>
        <v>36.26</v>
      </c>
      <c r="G269" s="31" t="str">
        <f>Source!DE109</f>
        <v/>
      </c>
      <c r="H269" s="30">
        <f>ROUND(Source!AD109*Source!I109, 2)</f>
        <v>2.65</v>
      </c>
      <c r="I269" s="31"/>
      <c r="J269" s="31">
        <f>IF(Source!BB109&lt;&gt; 0, Source!BB109, 1)</f>
        <v>6.56</v>
      </c>
      <c r="K269" s="30">
        <f>Source!Q109</f>
        <v>17.41</v>
      </c>
      <c r="L269" s="32"/>
    </row>
    <row r="270" spans="1:26" ht="14.25" x14ac:dyDescent="0.2">
      <c r="A270" s="45"/>
      <c r="B270" s="46"/>
      <c r="C270" s="46" t="s">
        <v>1637</v>
      </c>
      <c r="D270" s="29"/>
      <c r="E270" s="11"/>
      <c r="F270" s="30">
        <f>Source!AN109</f>
        <v>15.66</v>
      </c>
      <c r="G270" s="31" t="str">
        <f>Source!DF109</f>
        <v/>
      </c>
      <c r="H270" s="33">
        <f>ROUND(Source!AE109*Source!I109, 2)</f>
        <v>1.1499999999999999</v>
      </c>
      <c r="I270" s="31"/>
      <c r="J270" s="31">
        <f>IF(Source!BS109&lt;&gt; 0, Source!BS109, 1)</f>
        <v>6.56</v>
      </c>
      <c r="K270" s="33">
        <f>Source!R109</f>
        <v>7.52</v>
      </c>
      <c r="L270" s="32"/>
      <c r="R270">
        <f>H270</f>
        <v>1.1499999999999999</v>
      </c>
    </row>
    <row r="271" spans="1:26" ht="14.25" x14ac:dyDescent="0.2">
      <c r="A271" s="45"/>
      <c r="B271" s="46"/>
      <c r="C271" s="46" t="s">
        <v>1643</v>
      </c>
      <c r="D271" s="29"/>
      <c r="E271" s="11"/>
      <c r="F271" s="30">
        <f>Source!AL109</f>
        <v>2279.65</v>
      </c>
      <c r="G271" s="31" t="str">
        <f>Source!DD109</f>
        <v/>
      </c>
      <c r="H271" s="30">
        <f>ROUND(Source!AC109*Source!I109, 2)</f>
        <v>166.87</v>
      </c>
      <c r="I271" s="31"/>
      <c r="J271" s="31">
        <f>IF(Source!BC109&lt;&gt; 0, Source!BC109, 1)</f>
        <v>6.56</v>
      </c>
      <c r="K271" s="30">
        <f>Source!P109</f>
        <v>1094.67</v>
      </c>
      <c r="L271" s="32"/>
    </row>
    <row r="272" spans="1:26" ht="14.25" x14ac:dyDescent="0.2">
      <c r="A272" s="45"/>
      <c r="B272" s="46"/>
      <c r="C272" s="46" t="s">
        <v>1638</v>
      </c>
      <c r="D272" s="29" t="s">
        <v>1639</v>
      </c>
      <c r="E272" s="11">
        <f>Source!BZ109</f>
        <v>79</v>
      </c>
      <c r="F272" s="49"/>
      <c r="G272" s="31"/>
      <c r="H272" s="30">
        <f>SUM(S266:S275)</f>
        <v>199.61</v>
      </c>
      <c r="I272" s="34"/>
      <c r="J272" s="27">
        <f>Source!AT109</f>
        <v>79</v>
      </c>
      <c r="K272" s="30">
        <f>SUM(T266:T275)</f>
        <v>1309.4100000000001</v>
      </c>
      <c r="L272" s="32"/>
    </row>
    <row r="273" spans="1:26" ht="14.25" x14ac:dyDescent="0.2">
      <c r="A273" s="45"/>
      <c r="B273" s="46"/>
      <c r="C273" s="46" t="s">
        <v>1640</v>
      </c>
      <c r="D273" s="29" t="s">
        <v>1639</v>
      </c>
      <c r="E273" s="11">
        <f>Source!CA109</f>
        <v>50</v>
      </c>
      <c r="F273" s="49"/>
      <c r="G273" s="31"/>
      <c r="H273" s="30">
        <f>SUM(U266:U275)</f>
        <v>126.34</v>
      </c>
      <c r="I273" s="34"/>
      <c r="J273" s="27">
        <f>Source!AU109</f>
        <v>50</v>
      </c>
      <c r="K273" s="30">
        <f>SUM(V266:V275)</f>
        <v>828.74</v>
      </c>
      <c r="L273" s="32"/>
    </row>
    <row r="274" spans="1:26" ht="14.25" x14ac:dyDescent="0.2">
      <c r="A274" s="45"/>
      <c r="B274" s="46"/>
      <c r="C274" s="46" t="s">
        <v>1641</v>
      </c>
      <c r="D274" s="29" t="s">
        <v>1642</v>
      </c>
      <c r="E274" s="11">
        <f>Source!AQ109</f>
        <v>383.06</v>
      </c>
      <c r="F274" s="30"/>
      <c r="G274" s="31" t="str">
        <f>Source!DI109</f>
        <v/>
      </c>
      <c r="H274" s="30"/>
      <c r="I274" s="31"/>
      <c r="J274" s="31"/>
      <c r="K274" s="30"/>
      <c r="L274" s="41">
        <f>Source!U109</f>
        <v>28.039992000000002</v>
      </c>
    </row>
    <row r="275" spans="1:26" ht="14.25" x14ac:dyDescent="0.2">
      <c r="A275" s="47" t="str">
        <f>Source!E110</f>
        <v>25,1</v>
      </c>
      <c r="B275" s="48" t="str">
        <f>Source!F110</f>
        <v>01.7.07.07</v>
      </c>
      <c r="C275" s="48" t="str">
        <f>Source!G110</f>
        <v>Строительный мусор</v>
      </c>
      <c r="D275" s="35" t="str">
        <f>Source!H110</f>
        <v>т</v>
      </c>
      <c r="E275" s="36">
        <f>Source!I110</f>
        <v>0.59292</v>
      </c>
      <c r="F275" s="37">
        <f>Source!AL110+Source!AM110+Source!AO110</f>
        <v>0</v>
      </c>
      <c r="G275" s="43" t="s">
        <v>6</v>
      </c>
      <c r="H275" s="37">
        <f>ROUND(Source!AC110*Source!I110, 2)+ROUND(Source!AD110*Source!I110, 2)+ROUND(Source!AF110*Source!I110, 2)</f>
        <v>0</v>
      </c>
      <c r="I275" s="38"/>
      <c r="J275" s="38">
        <f>IF(Source!BC110&lt;&gt; 0, Source!BC110, 1)</f>
        <v>6.56</v>
      </c>
      <c r="K275" s="37">
        <f>Source!O110</f>
        <v>0</v>
      </c>
      <c r="L275" s="44"/>
      <c r="S275">
        <f>ROUND((Source!FX110/100)*((ROUND(Source!AF110*Source!I110, 2)+ROUND(Source!AE110*Source!I110, 2))), 2)</f>
        <v>0</v>
      </c>
      <c r="T275">
        <f>Source!X110</f>
        <v>0</v>
      </c>
      <c r="U275">
        <f>ROUND((Source!FY110/100)*((ROUND(Source!AF110*Source!I110, 2)+ROUND(Source!AE110*Source!I110, 2))), 2)</f>
        <v>0</v>
      </c>
      <c r="V275">
        <f>Source!Y110</f>
        <v>0</v>
      </c>
      <c r="W275">
        <f>IF(Source!BI110&lt;=1,H275, 0)</f>
        <v>0</v>
      </c>
      <c r="X275">
        <f>IF(Source!BI110=2,H275, 0)</f>
        <v>0</v>
      </c>
      <c r="Y275">
        <f>IF(Source!BI110=3,H275, 0)</f>
        <v>0</v>
      </c>
      <c r="Z275">
        <f>IF(Source!BI110=4,H275, 0)</f>
        <v>0</v>
      </c>
    </row>
    <row r="276" spans="1:26" ht="15" x14ac:dyDescent="0.25">
      <c r="G276" s="70">
        <f>H268+H269+H271+H272+H273+SUM(H275:H275)</f>
        <v>746.99000000000012</v>
      </c>
      <c r="H276" s="70"/>
      <c r="J276" s="70">
        <f>K268+K269+K271+K272+K273+SUM(K275:K275)</f>
        <v>4900.1899999999996</v>
      </c>
      <c r="K276" s="70"/>
      <c r="L276" s="40">
        <f>Source!U109</f>
        <v>28.039992000000002</v>
      </c>
      <c r="O276" s="24">
        <f>G276</f>
        <v>746.99000000000012</v>
      </c>
      <c r="P276" s="24">
        <f>J276</f>
        <v>4900.1899999999996</v>
      </c>
      <c r="Q276" s="24">
        <f>L276</f>
        <v>28.039992000000002</v>
      </c>
      <c r="W276">
        <f>IF(Source!BI109&lt;=1,H268+H269+H271+H272+H273, 0)</f>
        <v>746.99000000000012</v>
      </c>
      <c r="X276">
        <f>IF(Source!BI109=2,H268+H269+H271+H272+H273, 0)</f>
        <v>0</v>
      </c>
      <c r="Y276">
        <f>IF(Source!BI109=3,H268+H269+H271+H272+H273, 0)</f>
        <v>0</v>
      </c>
      <c r="Z276">
        <f>IF(Source!BI109=4,H268+H269+H271+H272+H273, 0)</f>
        <v>0</v>
      </c>
    </row>
    <row r="277" spans="1:26" ht="28.5" x14ac:dyDescent="0.2">
      <c r="A277" s="45" t="str">
        <f>Source!E111</f>
        <v>26</v>
      </c>
      <c r="B277" s="46" t="str">
        <f>Source!F111</f>
        <v>53-25-1</v>
      </c>
      <c r="C277" s="46" t="str">
        <f>Source!G111</f>
        <v>Устройство металлических перемычек в стенах существующих зданий</v>
      </c>
      <c r="D277" s="29" t="str">
        <f>Source!H111</f>
        <v>т</v>
      </c>
      <c r="E277" s="11">
        <f>Source!I111</f>
        <v>0.01</v>
      </c>
      <c r="F277" s="30">
        <f>Source!AL111+Source!AM111+Source!AO111</f>
        <v>1581.13</v>
      </c>
      <c r="G277" s="31"/>
      <c r="H277" s="30"/>
      <c r="I277" s="31" t="str">
        <f>Source!BO111</f>
        <v/>
      </c>
      <c r="J277" s="31"/>
      <c r="K277" s="30"/>
      <c r="L277" s="32"/>
      <c r="S277">
        <f>ROUND((Source!FX111/100)*((ROUND(Source!AF111*Source!I111, 2)+ROUND(Source!AE111*Source!I111, 2))), 2)</f>
        <v>12.38</v>
      </c>
      <c r="T277">
        <f>Source!X111</f>
        <v>81.25</v>
      </c>
      <c r="U277">
        <f>ROUND((Source!FY111/100)*((ROUND(Source!AF111*Source!I111, 2)+ROUND(Source!AE111*Source!I111, 2))), 2)</f>
        <v>10.08</v>
      </c>
      <c r="V277">
        <f>Source!Y111</f>
        <v>66.14</v>
      </c>
    </row>
    <row r="278" spans="1:26" ht="14.25" x14ac:dyDescent="0.2">
      <c r="A278" s="45"/>
      <c r="B278" s="46"/>
      <c r="C278" s="46" t="s">
        <v>1636</v>
      </c>
      <c r="D278" s="29"/>
      <c r="E278" s="11"/>
      <c r="F278" s="30">
        <f>Source!AO111</f>
        <v>1433.2</v>
      </c>
      <c r="G278" s="31" t="str">
        <f>Source!DG111</f>
        <v/>
      </c>
      <c r="H278" s="30">
        <f>ROUND(Source!AF111*Source!I111, 2)</f>
        <v>14.33</v>
      </c>
      <c r="I278" s="31"/>
      <c r="J278" s="31">
        <f>IF(Source!BA111&lt;&gt; 0, Source!BA111, 1)</f>
        <v>6.56</v>
      </c>
      <c r="K278" s="30">
        <f>Source!S111</f>
        <v>94.02</v>
      </c>
      <c r="L278" s="32"/>
      <c r="R278">
        <f>H278</f>
        <v>14.33</v>
      </c>
    </row>
    <row r="279" spans="1:26" ht="14.25" x14ac:dyDescent="0.2">
      <c r="A279" s="45"/>
      <c r="B279" s="46"/>
      <c r="C279" s="46" t="s">
        <v>136</v>
      </c>
      <c r="D279" s="29"/>
      <c r="E279" s="11"/>
      <c r="F279" s="30">
        <f>Source!AM111</f>
        <v>63.11</v>
      </c>
      <c r="G279" s="31" t="str">
        <f>Source!DE111</f>
        <v/>
      </c>
      <c r="H279" s="30">
        <f>ROUND(Source!AD111*Source!I111, 2)</f>
        <v>0.63</v>
      </c>
      <c r="I279" s="31"/>
      <c r="J279" s="31">
        <f>IF(Source!BB111&lt;&gt; 0, Source!BB111, 1)</f>
        <v>6.56</v>
      </c>
      <c r="K279" s="30">
        <f>Source!Q111</f>
        <v>4.1399999999999997</v>
      </c>
      <c r="L279" s="32"/>
    </row>
    <row r="280" spans="1:26" ht="14.25" x14ac:dyDescent="0.2">
      <c r="A280" s="45"/>
      <c r="B280" s="46"/>
      <c r="C280" s="46" t="s">
        <v>1637</v>
      </c>
      <c r="D280" s="29"/>
      <c r="E280" s="11"/>
      <c r="F280" s="30">
        <f>Source!AN111</f>
        <v>7.05</v>
      </c>
      <c r="G280" s="31" t="str">
        <f>Source!DF111</f>
        <v/>
      </c>
      <c r="H280" s="33">
        <f>ROUND(Source!AE111*Source!I111, 2)</f>
        <v>7.0000000000000007E-2</v>
      </c>
      <c r="I280" s="31"/>
      <c r="J280" s="31">
        <f>IF(Source!BS111&lt;&gt; 0, Source!BS111, 1)</f>
        <v>6.56</v>
      </c>
      <c r="K280" s="33">
        <f>Source!R111</f>
        <v>0.46</v>
      </c>
      <c r="L280" s="32"/>
      <c r="R280">
        <f>H280</f>
        <v>7.0000000000000007E-2</v>
      </c>
    </row>
    <row r="281" spans="1:26" ht="14.25" x14ac:dyDescent="0.2">
      <c r="A281" s="45"/>
      <c r="B281" s="46"/>
      <c r="C281" s="46" t="s">
        <v>1643</v>
      </c>
      <c r="D281" s="29"/>
      <c r="E281" s="11"/>
      <c r="F281" s="30">
        <f>Source!AL111</f>
        <v>84.82</v>
      </c>
      <c r="G281" s="31" t="str">
        <f>Source!DD111</f>
        <v/>
      </c>
      <c r="H281" s="30">
        <f>ROUND(Source!AC111*Source!I111, 2)</f>
        <v>0.85</v>
      </c>
      <c r="I281" s="31"/>
      <c r="J281" s="31">
        <f>IF(Source!BC111&lt;&gt; 0, Source!BC111, 1)</f>
        <v>6.56</v>
      </c>
      <c r="K281" s="30">
        <f>Source!P111</f>
        <v>5.56</v>
      </c>
      <c r="L281" s="32"/>
    </row>
    <row r="282" spans="1:26" ht="14.25" x14ac:dyDescent="0.2">
      <c r="A282" s="45"/>
      <c r="B282" s="46"/>
      <c r="C282" s="46" t="s">
        <v>1638</v>
      </c>
      <c r="D282" s="29" t="s">
        <v>1639</v>
      </c>
      <c r="E282" s="11">
        <f>Source!BZ111</f>
        <v>86</v>
      </c>
      <c r="F282" s="49"/>
      <c r="G282" s="31"/>
      <c r="H282" s="30">
        <f>SUM(S277:S290)</f>
        <v>12.38</v>
      </c>
      <c r="I282" s="34"/>
      <c r="J282" s="27">
        <f>Source!AT111</f>
        <v>86</v>
      </c>
      <c r="K282" s="30">
        <f>SUM(T277:T290)</f>
        <v>81.25</v>
      </c>
      <c r="L282" s="32"/>
    </row>
    <row r="283" spans="1:26" ht="14.25" x14ac:dyDescent="0.2">
      <c r="A283" s="45"/>
      <c r="B283" s="46"/>
      <c r="C283" s="46" t="s">
        <v>1640</v>
      </c>
      <c r="D283" s="29" t="s">
        <v>1639</v>
      </c>
      <c r="E283" s="11">
        <f>Source!CA111</f>
        <v>70</v>
      </c>
      <c r="F283" s="49"/>
      <c r="G283" s="31"/>
      <c r="H283" s="30">
        <f>SUM(U277:U290)</f>
        <v>10.08</v>
      </c>
      <c r="I283" s="34"/>
      <c r="J283" s="27">
        <f>Source!AU111</f>
        <v>70</v>
      </c>
      <c r="K283" s="30">
        <f>SUM(V277:V290)</f>
        <v>66.14</v>
      </c>
      <c r="L283" s="32"/>
    </row>
    <row r="284" spans="1:26" ht="14.25" x14ac:dyDescent="0.2">
      <c r="A284" s="45"/>
      <c r="B284" s="46"/>
      <c r="C284" s="46" t="s">
        <v>1641</v>
      </c>
      <c r="D284" s="29" t="s">
        <v>1642</v>
      </c>
      <c r="E284" s="11">
        <f>Source!AQ111</f>
        <v>165.88</v>
      </c>
      <c r="F284" s="30"/>
      <c r="G284" s="31" t="str">
        <f>Source!DI111</f>
        <v/>
      </c>
      <c r="H284" s="30"/>
      <c r="I284" s="31"/>
      <c r="J284" s="31"/>
      <c r="K284" s="30"/>
      <c r="L284" s="41">
        <f>Source!U111</f>
        <v>1.6588000000000001</v>
      </c>
    </row>
    <row r="285" spans="1:26" ht="28.5" x14ac:dyDescent="0.2">
      <c r="A285" s="45" t="str">
        <f>Source!E112</f>
        <v>26,1</v>
      </c>
      <c r="B285" s="46" t="str">
        <f>Source!F112</f>
        <v>04.3.01.09-0014</v>
      </c>
      <c r="C285" s="46" t="str">
        <f>Source!G112</f>
        <v>Раствор готовый кладочный цементный марки 100</v>
      </c>
      <c r="D285" s="29" t="str">
        <f>Source!H112</f>
        <v>м3</v>
      </c>
      <c r="E285" s="11">
        <f>Source!I112</f>
        <v>5.4000000000000003E-3</v>
      </c>
      <c r="F285" s="30">
        <f>Source!AL112+Source!AM112+Source!AO112</f>
        <v>519.79999999999995</v>
      </c>
      <c r="G285" s="42" t="s">
        <v>6</v>
      </c>
      <c r="H285" s="30">
        <f>ROUND(Source!AC112*Source!I112, 2)+ROUND(Source!AD112*Source!I112, 2)+ROUND(Source!AF112*Source!I112, 2)</f>
        <v>2.81</v>
      </c>
      <c r="I285" s="31"/>
      <c r="J285" s="31">
        <f>IF(Source!BC112&lt;&gt; 0, Source!BC112, 1)</f>
        <v>6.56</v>
      </c>
      <c r="K285" s="30">
        <f>Source!O112</f>
        <v>18.41</v>
      </c>
      <c r="L285" s="32"/>
      <c r="S285">
        <f>ROUND((Source!FX112/100)*((ROUND(Source!AF112*Source!I112, 2)+ROUND(Source!AE112*Source!I112, 2))), 2)</f>
        <v>0</v>
      </c>
      <c r="T285">
        <f>Source!X112</f>
        <v>0</v>
      </c>
      <c r="U285">
        <f>ROUND((Source!FY112/100)*((ROUND(Source!AF112*Source!I112, 2)+ROUND(Source!AE112*Source!I112, 2))), 2)</f>
        <v>0</v>
      </c>
      <c r="V285">
        <f>Source!Y112</f>
        <v>0</v>
      </c>
      <c r="W285">
        <f>IF(Source!BI112&lt;=1,H285, 0)</f>
        <v>2.81</v>
      </c>
      <c r="X285">
        <f>IF(Source!BI112=2,H285, 0)</f>
        <v>0</v>
      </c>
      <c r="Y285">
        <f>IF(Source!BI112=3,H285, 0)</f>
        <v>0</v>
      </c>
      <c r="Z285">
        <f>IF(Source!BI112=4,H285, 0)</f>
        <v>0</v>
      </c>
    </row>
    <row r="286" spans="1:26" ht="28.5" x14ac:dyDescent="0.2">
      <c r="A286" s="45" t="str">
        <f>Source!E113</f>
        <v>26,2</v>
      </c>
      <c r="B286" s="46" t="str">
        <f>Source!F113</f>
        <v>06.1.01.05-0036</v>
      </c>
      <c r="C286" s="46" t="str">
        <f>Source!G113</f>
        <v>Кирпич керамический одинарный, размером 250х120х65 мм, марка 125</v>
      </c>
      <c r="D286" s="29" t="str">
        <f>Source!H113</f>
        <v>1000 шт.</v>
      </c>
      <c r="E286" s="11">
        <f>Source!I113</f>
        <v>5.7000000000000011E-3</v>
      </c>
      <c r="F286" s="30">
        <f>Source!AL113+Source!AM113+Source!AO113</f>
        <v>1863.37</v>
      </c>
      <c r="G286" s="42" t="s">
        <v>6</v>
      </c>
      <c r="H286" s="30">
        <f>ROUND(Source!AC113*Source!I113, 2)+ROUND(Source!AD113*Source!I113, 2)+ROUND(Source!AF113*Source!I113, 2)</f>
        <v>10.62</v>
      </c>
      <c r="I286" s="31"/>
      <c r="J286" s="31">
        <f>IF(Source!BC113&lt;&gt; 0, Source!BC113, 1)</f>
        <v>6.56</v>
      </c>
      <c r="K286" s="30">
        <f>Source!O113</f>
        <v>69.680000000000007</v>
      </c>
      <c r="L286" s="32"/>
      <c r="S286">
        <f>ROUND((Source!FX113/100)*((ROUND(Source!AF113*Source!I113, 2)+ROUND(Source!AE113*Source!I113, 2))), 2)</f>
        <v>0</v>
      </c>
      <c r="T286">
        <f>Source!X113</f>
        <v>0</v>
      </c>
      <c r="U286">
        <f>ROUND((Source!FY113/100)*((ROUND(Source!AF113*Source!I113, 2)+ROUND(Source!AE113*Source!I113, 2))), 2)</f>
        <v>0</v>
      </c>
      <c r="V286">
        <f>Source!Y113</f>
        <v>0</v>
      </c>
      <c r="W286">
        <f>IF(Source!BI113&lt;=1,H286, 0)</f>
        <v>10.62</v>
      </c>
      <c r="X286">
        <f>IF(Source!BI113=2,H286, 0)</f>
        <v>0</v>
      </c>
      <c r="Y286">
        <f>IF(Source!BI113=3,H286, 0)</f>
        <v>0</v>
      </c>
      <c r="Z286">
        <f>IF(Source!BI113=4,H286, 0)</f>
        <v>0</v>
      </c>
    </row>
    <row r="287" spans="1:26" ht="28.5" x14ac:dyDescent="0.2">
      <c r="A287" s="45" t="str">
        <f>Source!E114</f>
        <v>26,3</v>
      </c>
      <c r="B287" s="46" t="str">
        <f>Source!F114</f>
        <v>08.3.08.02-0083</v>
      </c>
      <c r="C287" s="46" t="str">
        <f>Source!G114</f>
        <v>Сталь угловая равнополочная, марка стали Ст3сп, размером 45х45 мм</v>
      </c>
      <c r="D287" s="29" t="str">
        <f>Source!H114</f>
        <v>т</v>
      </c>
      <c r="E287" s="11">
        <f>Source!I114</f>
        <v>1.0400000000000001E-2</v>
      </c>
      <c r="F287" s="30">
        <f>Source!AL114+Source!AM114+Source!AO114</f>
        <v>6743.51</v>
      </c>
      <c r="G287" s="42" t="s">
        <v>6</v>
      </c>
      <c r="H287" s="30">
        <f>ROUND(Source!AC114*Source!I114, 2)+ROUND(Source!AD114*Source!I114, 2)+ROUND(Source!AF114*Source!I114, 2)</f>
        <v>70.13</v>
      </c>
      <c r="I287" s="31"/>
      <c r="J287" s="31">
        <f>IF(Source!BC114&lt;&gt; 0, Source!BC114, 1)</f>
        <v>6.56</v>
      </c>
      <c r="K287" s="30">
        <f>Source!O114</f>
        <v>460.07</v>
      </c>
      <c r="L287" s="32"/>
      <c r="S287">
        <f>ROUND((Source!FX114/100)*((ROUND(Source!AF114*Source!I114, 2)+ROUND(Source!AE114*Source!I114, 2))), 2)</f>
        <v>0</v>
      </c>
      <c r="T287">
        <f>Source!X114</f>
        <v>0</v>
      </c>
      <c r="U287">
        <f>ROUND((Source!FY114/100)*((ROUND(Source!AF114*Source!I114, 2)+ROUND(Source!AE114*Source!I114, 2))), 2)</f>
        <v>0</v>
      </c>
      <c r="V287">
        <f>Source!Y114</f>
        <v>0</v>
      </c>
      <c r="W287">
        <f>IF(Source!BI114&lt;=1,H287, 0)</f>
        <v>70.13</v>
      </c>
      <c r="X287">
        <f>IF(Source!BI114=2,H287, 0)</f>
        <v>0</v>
      </c>
      <c r="Y287">
        <f>IF(Source!BI114=3,H287, 0)</f>
        <v>0</v>
      </c>
      <c r="Z287">
        <f>IF(Source!BI114=4,H287, 0)</f>
        <v>0</v>
      </c>
    </row>
    <row r="288" spans="1:26" ht="14.25" x14ac:dyDescent="0.2">
      <c r="A288" s="45" t="str">
        <f>Source!E115</f>
        <v>26,4</v>
      </c>
      <c r="B288" s="46" t="str">
        <f>Source!F115</f>
        <v>04.3.01.12</v>
      </c>
      <c r="C288" s="46" t="str">
        <f>Source!G115</f>
        <v>Раствор цементно-известковый М50</v>
      </c>
      <c r="D288" s="29" t="str">
        <f>Source!H115</f>
        <v>м3</v>
      </c>
      <c r="E288" s="11">
        <f>Source!I115</f>
        <v>5.4000000000000003E-3</v>
      </c>
      <c r="F288" s="30">
        <f>Source!AL115+Source!AM115+Source!AO115</f>
        <v>0</v>
      </c>
      <c r="G288" s="42" t="s">
        <v>6</v>
      </c>
      <c r="H288" s="30">
        <f>ROUND(Source!AC115*Source!I115, 2)+ROUND(Source!AD115*Source!I115, 2)+ROUND(Source!AF115*Source!I115, 2)</f>
        <v>0</v>
      </c>
      <c r="I288" s="31"/>
      <c r="J288" s="31">
        <f>IF(Source!BC115&lt;&gt; 0, Source!BC115, 1)</f>
        <v>6.56</v>
      </c>
      <c r="K288" s="30">
        <f>Source!O115</f>
        <v>0</v>
      </c>
      <c r="L288" s="32"/>
      <c r="S288">
        <f>ROUND((Source!FX115/100)*((ROUND(Source!AF115*Source!I115, 2)+ROUND(Source!AE115*Source!I115, 2))), 2)</f>
        <v>0</v>
      </c>
      <c r="T288">
        <f>Source!X115</f>
        <v>0</v>
      </c>
      <c r="U288">
        <f>ROUND((Source!FY115/100)*((ROUND(Source!AF115*Source!I115, 2)+ROUND(Source!AE115*Source!I115, 2))), 2)</f>
        <v>0</v>
      </c>
      <c r="V288">
        <f>Source!Y115</f>
        <v>0</v>
      </c>
      <c r="W288">
        <f>IF(Source!BI115&lt;=1,H288, 0)</f>
        <v>0</v>
      </c>
      <c r="X288">
        <f>IF(Source!BI115=2,H288, 0)</f>
        <v>0</v>
      </c>
      <c r="Y288">
        <f>IF(Source!BI115=3,H288, 0)</f>
        <v>0</v>
      </c>
      <c r="Z288">
        <f>IF(Source!BI115=4,H288, 0)</f>
        <v>0</v>
      </c>
    </row>
    <row r="289" spans="1:26" ht="14.25" x14ac:dyDescent="0.2">
      <c r="A289" s="45" t="str">
        <f>Source!E116</f>
        <v>26,5</v>
      </c>
      <c r="B289" s="46" t="str">
        <f>Source!F116</f>
        <v>06.1.01.05</v>
      </c>
      <c r="C289" s="46" t="str">
        <f>Source!G116</f>
        <v>Кирпич</v>
      </c>
      <c r="D289" s="29" t="str">
        <f>Source!H116</f>
        <v>1000 шт.</v>
      </c>
      <c r="E289" s="11">
        <f>Source!I116</f>
        <v>5.7000000000000011E-3</v>
      </c>
      <c r="F289" s="30">
        <f>Source!AL116+Source!AM116+Source!AO116</f>
        <v>0</v>
      </c>
      <c r="G289" s="42" t="s">
        <v>6</v>
      </c>
      <c r="H289" s="30">
        <f>ROUND(Source!AC116*Source!I116, 2)+ROUND(Source!AD116*Source!I116, 2)+ROUND(Source!AF116*Source!I116, 2)</f>
        <v>0</v>
      </c>
      <c r="I289" s="31"/>
      <c r="J289" s="31">
        <f>IF(Source!BC116&lt;&gt; 0, Source!BC116, 1)</f>
        <v>6.56</v>
      </c>
      <c r="K289" s="30">
        <f>Source!O116</f>
        <v>0</v>
      </c>
      <c r="L289" s="32"/>
      <c r="S289">
        <f>ROUND((Source!FX116/100)*((ROUND(Source!AF116*Source!I116, 2)+ROUND(Source!AE116*Source!I116, 2))), 2)</f>
        <v>0</v>
      </c>
      <c r="T289">
        <f>Source!X116</f>
        <v>0</v>
      </c>
      <c r="U289">
        <f>ROUND((Source!FY116/100)*((ROUND(Source!AF116*Source!I116, 2)+ROUND(Source!AE116*Source!I116, 2))), 2)</f>
        <v>0</v>
      </c>
      <c r="V289">
        <f>Source!Y116</f>
        <v>0</v>
      </c>
      <c r="W289">
        <f>IF(Source!BI116&lt;=1,H289, 0)</f>
        <v>0</v>
      </c>
      <c r="X289">
        <f>IF(Source!BI116=2,H289, 0)</f>
        <v>0</v>
      </c>
      <c r="Y289">
        <f>IF(Source!BI116=3,H289, 0)</f>
        <v>0</v>
      </c>
      <c r="Z289">
        <f>IF(Source!BI116=4,H289, 0)</f>
        <v>0</v>
      </c>
    </row>
    <row r="290" spans="1:26" ht="14.25" x14ac:dyDescent="0.2">
      <c r="A290" s="47" t="str">
        <f>Source!E117</f>
        <v>26,6</v>
      </c>
      <c r="B290" s="48" t="str">
        <f>Source!F117</f>
        <v>07.2.07.13</v>
      </c>
      <c r="C290" s="48" t="str">
        <f>Source!G117</f>
        <v>Конструкции стальные</v>
      </c>
      <c r="D290" s="35" t="str">
        <f>Source!H117</f>
        <v>т</v>
      </c>
      <c r="E290" s="36">
        <f>Source!I117</f>
        <v>1.0400000000000001E-2</v>
      </c>
      <c r="F290" s="37">
        <f>Source!AL117+Source!AM117+Source!AO117</f>
        <v>0</v>
      </c>
      <c r="G290" s="43" t="s">
        <v>6</v>
      </c>
      <c r="H290" s="37">
        <f>ROUND(Source!AC117*Source!I117, 2)+ROUND(Source!AD117*Source!I117, 2)+ROUND(Source!AF117*Source!I117, 2)</f>
        <v>0</v>
      </c>
      <c r="I290" s="38"/>
      <c r="J290" s="38">
        <f>IF(Source!BC117&lt;&gt; 0, Source!BC117, 1)</f>
        <v>6.56</v>
      </c>
      <c r="K290" s="37">
        <f>Source!O117</f>
        <v>0</v>
      </c>
      <c r="L290" s="44"/>
      <c r="S290">
        <f>ROUND((Source!FX117/100)*((ROUND(Source!AF117*Source!I117, 2)+ROUND(Source!AE117*Source!I117, 2))), 2)</f>
        <v>0</v>
      </c>
      <c r="T290">
        <f>Source!X117</f>
        <v>0</v>
      </c>
      <c r="U290">
        <f>ROUND((Source!FY117/100)*((ROUND(Source!AF117*Source!I117, 2)+ROUND(Source!AE117*Source!I117, 2))), 2)</f>
        <v>0</v>
      </c>
      <c r="V290">
        <f>Source!Y117</f>
        <v>0</v>
      </c>
      <c r="W290">
        <f>IF(Source!BI117&lt;=1,H290, 0)</f>
        <v>0</v>
      </c>
      <c r="X290">
        <f>IF(Source!BI117=2,H290, 0)</f>
        <v>0</v>
      </c>
      <c r="Y290">
        <f>IF(Source!BI117=3,H290, 0)</f>
        <v>0</v>
      </c>
      <c r="Z290">
        <f>IF(Source!BI117=4,H290, 0)</f>
        <v>0</v>
      </c>
    </row>
    <row r="291" spans="1:26" ht="15" x14ac:dyDescent="0.25">
      <c r="G291" s="70">
        <f>H278+H279+H281+H282+H283+SUM(H285:H290)</f>
        <v>121.83000000000001</v>
      </c>
      <c r="H291" s="70"/>
      <c r="J291" s="70">
        <f>K278+K279+K281+K282+K283+SUM(K285:K290)</f>
        <v>799.27</v>
      </c>
      <c r="K291" s="70"/>
      <c r="L291" s="40">
        <f>Source!U111</f>
        <v>1.6588000000000001</v>
      </c>
      <c r="O291" s="24">
        <f>G291</f>
        <v>121.83000000000001</v>
      </c>
      <c r="P291" s="24">
        <f>J291</f>
        <v>799.27</v>
      </c>
      <c r="Q291" s="24">
        <f>L291</f>
        <v>1.6588000000000001</v>
      </c>
      <c r="W291">
        <f>IF(Source!BI111&lt;=1,H278+H279+H281+H282+H283, 0)</f>
        <v>38.270000000000003</v>
      </c>
      <c r="X291">
        <f>IF(Source!BI111=2,H278+H279+H281+H282+H283, 0)</f>
        <v>0</v>
      </c>
      <c r="Y291">
        <f>IF(Source!BI111=3,H278+H279+H281+H282+H283, 0)</f>
        <v>0</v>
      </c>
      <c r="Z291">
        <f>IF(Source!BI111=4,H278+H279+H281+H282+H283, 0)</f>
        <v>0</v>
      </c>
    </row>
    <row r="292" spans="1:26" ht="42.75" x14ac:dyDescent="0.2">
      <c r="A292" s="45" t="str">
        <f>Source!E118</f>
        <v>27</v>
      </c>
      <c r="B292" s="46" t="str">
        <f>Source!F118</f>
        <v>08-04-003-03</v>
      </c>
      <c r="C292" s="46" t="str">
        <f>Source!G118</f>
        <v>Кладка перегородок из газобетонных блоков на клее толщиной 200 мм при высоте этажа до 4 м</v>
      </c>
      <c r="D292" s="29" t="str">
        <f>Source!H118</f>
        <v>100 м2</v>
      </c>
      <c r="E292" s="11">
        <f>Source!I118</f>
        <v>0.43</v>
      </c>
      <c r="F292" s="30">
        <f>Source!AL118+Source!AM118+Source!AO118</f>
        <v>1170.1300000000001</v>
      </c>
      <c r="G292" s="31"/>
      <c r="H292" s="30"/>
      <c r="I292" s="31" t="str">
        <f>Source!BO118</f>
        <v/>
      </c>
      <c r="J292" s="31"/>
      <c r="K292" s="30"/>
      <c r="L292" s="32"/>
      <c r="S292">
        <f>ROUND((Source!FX118/100)*((ROUND(Source!AF118*Source!I118, 2)+ROUND(Source!AE118*Source!I118, 2))), 2)</f>
        <v>335.4</v>
      </c>
      <c r="T292">
        <f>Source!X118</f>
        <v>2204.16</v>
      </c>
      <c r="U292">
        <f>ROUND((Source!FY118/100)*((ROUND(Source!AF118*Source!I118, 2)+ROUND(Source!AE118*Source!I118, 2))), 2)</f>
        <v>207.71</v>
      </c>
      <c r="V292">
        <f>Source!Y118</f>
        <v>1362.57</v>
      </c>
    </row>
    <row r="293" spans="1:26" x14ac:dyDescent="0.2">
      <c r="C293" s="23" t="str">
        <f>"Объем: "&amp;Source!I118&amp;"=43/"&amp;"100"</f>
        <v>Объем: 0,43=43/100</v>
      </c>
    </row>
    <row r="294" spans="1:26" ht="14.25" x14ac:dyDescent="0.2">
      <c r="A294" s="45"/>
      <c r="B294" s="46"/>
      <c r="C294" s="46" t="s">
        <v>1636</v>
      </c>
      <c r="D294" s="29"/>
      <c r="E294" s="11"/>
      <c r="F294" s="30">
        <f>Source!AO118</f>
        <v>678.41</v>
      </c>
      <c r="G294" s="31" t="str">
        <f>Source!DG118</f>
        <v/>
      </c>
      <c r="H294" s="30">
        <f>ROUND(Source!AF118*Source!I118, 2)</f>
        <v>291.72000000000003</v>
      </c>
      <c r="I294" s="31"/>
      <c r="J294" s="31">
        <f>IF(Source!BA118&lt;&gt; 0, Source!BA118, 1)</f>
        <v>6.56</v>
      </c>
      <c r="K294" s="30">
        <f>Source!S118</f>
        <v>1913.66</v>
      </c>
      <c r="L294" s="32"/>
      <c r="R294">
        <f>H294</f>
        <v>291.72000000000003</v>
      </c>
    </row>
    <row r="295" spans="1:26" ht="14.25" x14ac:dyDescent="0.2">
      <c r="A295" s="45"/>
      <c r="B295" s="46"/>
      <c r="C295" s="46" t="s">
        <v>136</v>
      </c>
      <c r="D295" s="29"/>
      <c r="E295" s="11"/>
      <c r="F295" s="30">
        <f>Source!AM118</f>
        <v>218.87</v>
      </c>
      <c r="G295" s="31" t="str">
        <f>Source!DE118</f>
        <v/>
      </c>
      <c r="H295" s="30">
        <f>ROUND(Source!AD118*Source!I118, 2)</f>
        <v>94.11</v>
      </c>
      <c r="I295" s="31"/>
      <c r="J295" s="31">
        <f>IF(Source!BB118&lt;&gt; 0, Source!BB118, 1)</f>
        <v>6.56</v>
      </c>
      <c r="K295" s="30">
        <f>Source!Q118</f>
        <v>617.39</v>
      </c>
      <c r="L295" s="32"/>
    </row>
    <row r="296" spans="1:26" ht="14.25" x14ac:dyDescent="0.2">
      <c r="A296" s="45"/>
      <c r="B296" s="46"/>
      <c r="C296" s="46" t="s">
        <v>1637</v>
      </c>
      <c r="D296" s="29"/>
      <c r="E296" s="11"/>
      <c r="F296" s="30">
        <f>Source!AN118</f>
        <v>31.95</v>
      </c>
      <c r="G296" s="31" t="str">
        <f>Source!DF118</f>
        <v/>
      </c>
      <c r="H296" s="33">
        <f>ROUND(Source!AE118*Source!I118, 2)</f>
        <v>13.74</v>
      </c>
      <c r="I296" s="31"/>
      <c r="J296" s="31">
        <f>IF(Source!BS118&lt;&gt; 0, Source!BS118, 1)</f>
        <v>6.56</v>
      </c>
      <c r="K296" s="33">
        <f>Source!R118</f>
        <v>90.12</v>
      </c>
      <c r="L296" s="32"/>
      <c r="R296">
        <f>H296</f>
        <v>13.74</v>
      </c>
    </row>
    <row r="297" spans="1:26" ht="14.25" x14ac:dyDescent="0.2">
      <c r="A297" s="45"/>
      <c r="B297" s="46"/>
      <c r="C297" s="46" t="s">
        <v>1643</v>
      </c>
      <c r="D297" s="29"/>
      <c r="E297" s="11"/>
      <c r="F297" s="30">
        <f>Source!AL118</f>
        <v>272.85000000000002</v>
      </c>
      <c r="G297" s="31" t="str">
        <f>Source!DD118</f>
        <v/>
      </c>
      <c r="H297" s="30">
        <f>ROUND(Source!AC118*Source!I118, 2)</f>
        <v>117.33</v>
      </c>
      <c r="I297" s="31"/>
      <c r="J297" s="31">
        <f>IF(Source!BC118&lt;&gt; 0, Source!BC118, 1)</f>
        <v>6.56</v>
      </c>
      <c r="K297" s="30">
        <f>Source!P118</f>
        <v>769.66</v>
      </c>
      <c r="L297" s="32"/>
    </row>
    <row r="298" spans="1:26" ht="14.25" x14ac:dyDescent="0.2">
      <c r="A298" s="45"/>
      <c r="B298" s="46"/>
      <c r="C298" s="46" t="s">
        <v>1638</v>
      </c>
      <c r="D298" s="29" t="s">
        <v>1639</v>
      </c>
      <c r="E298" s="11">
        <f>Source!BZ118</f>
        <v>122</v>
      </c>
      <c r="F298" s="71" t="str">
        <f>CONCATENATE(" )", Source!DL118, Source!FT118, "=", Source!FX118)</f>
        <v xml:space="preserve"> )*0,9=109,8</v>
      </c>
      <c r="G298" s="72"/>
      <c r="H298" s="30">
        <f>SUM(S292:S304)</f>
        <v>335.4</v>
      </c>
      <c r="I298" s="34"/>
      <c r="J298" s="27">
        <f>Source!AT118</f>
        <v>110</v>
      </c>
      <c r="K298" s="30">
        <f>SUM(T292:T304)</f>
        <v>2204.16</v>
      </c>
      <c r="L298" s="32"/>
    </row>
    <row r="299" spans="1:26" ht="14.25" x14ac:dyDescent="0.2">
      <c r="A299" s="45"/>
      <c r="B299" s="46"/>
      <c r="C299" s="46" t="s">
        <v>1640</v>
      </c>
      <c r="D299" s="29" t="s">
        <v>1639</v>
      </c>
      <c r="E299" s="11">
        <f>Source!CA118</f>
        <v>80</v>
      </c>
      <c r="F299" s="71" t="str">
        <f>CONCATENATE(" )", Source!DM118, Source!FU118, "=", Source!FY118)</f>
        <v xml:space="preserve"> )*0,85=68</v>
      </c>
      <c r="G299" s="72"/>
      <c r="H299" s="30">
        <f>SUM(U292:U304)</f>
        <v>207.71</v>
      </c>
      <c r="I299" s="34"/>
      <c r="J299" s="27">
        <f>Source!AU118</f>
        <v>68</v>
      </c>
      <c r="K299" s="30">
        <f>SUM(V292:V304)</f>
        <v>1362.57</v>
      </c>
      <c r="L299" s="32"/>
    </row>
    <row r="300" spans="1:26" ht="14.25" x14ac:dyDescent="0.2">
      <c r="A300" s="45"/>
      <c r="B300" s="46"/>
      <c r="C300" s="46" t="s">
        <v>1641</v>
      </c>
      <c r="D300" s="29" t="s">
        <v>1642</v>
      </c>
      <c r="E300" s="11">
        <f>Source!AQ118</f>
        <v>80.19</v>
      </c>
      <c r="F300" s="30"/>
      <c r="G300" s="31" t="str">
        <f>Source!DI118</f>
        <v/>
      </c>
      <c r="H300" s="30"/>
      <c r="I300" s="31"/>
      <c r="J300" s="31"/>
      <c r="K300" s="30"/>
      <c r="L300" s="41">
        <f>Source!U118</f>
        <v>34.481699999999996</v>
      </c>
    </row>
    <row r="301" spans="1:26" ht="42.75" x14ac:dyDescent="0.2">
      <c r="A301" s="45" t="str">
        <f>Source!E119</f>
        <v>27,1</v>
      </c>
      <c r="B301" s="46" t="str">
        <f>Source!F119</f>
        <v>05.2.02.07-0010</v>
      </c>
      <c r="C301" s="46" t="str">
        <f>Source!G119</f>
        <v>Блок пенобетонный, размером 20х30х60, D500 (Пеноблок газоселикатный 600х250х100мм) прим.</v>
      </c>
      <c r="D301" s="29" t="str">
        <f>Source!H119</f>
        <v>шт.</v>
      </c>
      <c r="E301" s="11">
        <f>Source!I119</f>
        <v>286.51897600000001</v>
      </c>
      <c r="F301" s="30">
        <f>Source!AL119+Source!AM119+Source!AO119</f>
        <v>39.880000000000003</v>
      </c>
      <c r="G301" s="42" t="s">
        <v>6</v>
      </c>
      <c r="H301" s="30">
        <f>ROUND(Source!AC119*Source!I119, 2)+ROUND(Source!AD119*Source!I119, 2)+ROUND(Source!AF119*Source!I119, 2)</f>
        <v>11426.38</v>
      </c>
      <c r="I301" s="31"/>
      <c r="J301" s="31">
        <f>IF(Source!BC119&lt;&gt; 0, Source!BC119, 1)</f>
        <v>6.56</v>
      </c>
      <c r="K301" s="30">
        <f>Source!O119</f>
        <v>74957.03</v>
      </c>
      <c r="L301" s="32"/>
      <c r="S301">
        <f>ROUND((Source!FX119/100)*((ROUND(Source!AF119*Source!I119, 2)+ROUND(Source!AE119*Source!I119, 2))), 2)</f>
        <v>0</v>
      </c>
      <c r="T301">
        <f>Source!X119</f>
        <v>0</v>
      </c>
      <c r="U301">
        <f>ROUND((Source!FY119/100)*((ROUND(Source!AF119*Source!I119, 2)+ROUND(Source!AE119*Source!I119, 2))), 2)</f>
        <v>0</v>
      </c>
      <c r="V301">
        <f>Source!Y119</f>
        <v>0</v>
      </c>
      <c r="W301">
        <f>IF(Source!BI119&lt;=1,H301, 0)</f>
        <v>11426.38</v>
      </c>
      <c r="X301">
        <f>IF(Source!BI119=2,H301, 0)</f>
        <v>0</v>
      </c>
      <c r="Y301">
        <f>IF(Source!BI119=3,H301, 0)</f>
        <v>0</v>
      </c>
      <c r="Z301">
        <f>IF(Source!BI119=4,H301, 0)</f>
        <v>0</v>
      </c>
    </row>
    <row r="302" spans="1:26" ht="28.5" x14ac:dyDescent="0.2">
      <c r="A302" s="45" t="str">
        <f>Source!E120</f>
        <v>27,2</v>
      </c>
      <c r="B302" s="46" t="str">
        <f>Source!F120</f>
        <v>14.1.06.02-0001</v>
      </c>
      <c r="C302" s="46" t="str">
        <f>Source!G120</f>
        <v>Клей для облицовочных работ водостойкий «Плюс» (сухая смесь)</v>
      </c>
      <c r="D302" s="29" t="str">
        <f>Source!H120</f>
        <v>т</v>
      </c>
      <c r="E302" s="11">
        <f>Source!I120</f>
        <v>0.176291</v>
      </c>
      <c r="F302" s="30">
        <f>Source!AL120+Source!AM120+Source!AO120</f>
        <v>4316</v>
      </c>
      <c r="G302" s="42" t="s">
        <v>6</v>
      </c>
      <c r="H302" s="30">
        <f>ROUND(Source!AC120*Source!I120, 2)+ROUND(Source!AD120*Source!I120, 2)+ROUND(Source!AF120*Source!I120, 2)</f>
        <v>760.87</v>
      </c>
      <c r="I302" s="31"/>
      <c r="J302" s="31">
        <f>IF(Source!BC120&lt;&gt; 0, Source!BC120, 1)</f>
        <v>6.56</v>
      </c>
      <c r="K302" s="30">
        <f>Source!O120</f>
        <v>4991.32</v>
      </c>
      <c r="L302" s="32"/>
      <c r="S302">
        <f>ROUND((Source!FX120/100)*((ROUND(Source!AF120*Source!I120, 2)+ROUND(Source!AE120*Source!I120, 2))), 2)</f>
        <v>0</v>
      </c>
      <c r="T302">
        <f>Source!X120</f>
        <v>0</v>
      </c>
      <c r="U302">
        <f>ROUND((Source!FY120/100)*((ROUND(Source!AF120*Source!I120, 2)+ROUND(Source!AE120*Source!I120, 2))), 2)</f>
        <v>0</v>
      </c>
      <c r="V302">
        <f>Source!Y120</f>
        <v>0</v>
      </c>
      <c r="W302">
        <f>IF(Source!BI120&lt;=1,H302, 0)</f>
        <v>760.87</v>
      </c>
      <c r="X302">
        <f>IF(Source!BI120=2,H302, 0)</f>
        <v>0</v>
      </c>
      <c r="Y302">
        <f>IF(Source!BI120=3,H302, 0)</f>
        <v>0</v>
      </c>
      <c r="Z302">
        <f>IF(Source!BI120=4,H302, 0)</f>
        <v>0</v>
      </c>
    </row>
    <row r="303" spans="1:26" ht="14.25" x14ac:dyDescent="0.2">
      <c r="A303" s="45" t="str">
        <f>Source!E121</f>
        <v>27,3</v>
      </c>
      <c r="B303" s="46" t="str">
        <f>Source!F121</f>
        <v>05.2.02.09</v>
      </c>
      <c r="C303" s="46" t="str">
        <f>Source!G121</f>
        <v>Блоки из ячеистых бетонов стеновые</v>
      </c>
      <c r="D303" s="29" t="str">
        <f>Source!H121</f>
        <v>м3</v>
      </c>
      <c r="E303" s="11">
        <f>Source!I121</f>
        <v>8.6859999999999999</v>
      </c>
      <c r="F303" s="30">
        <f>Source!AL121+Source!AM121+Source!AO121</f>
        <v>0</v>
      </c>
      <c r="G303" s="42" t="s">
        <v>6</v>
      </c>
      <c r="H303" s="30">
        <f>ROUND(Source!AC121*Source!I121, 2)+ROUND(Source!AD121*Source!I121, 2)+ROUND(Source!AF121*Source!I121, 2)</f>
        <v>0</v>
      </c>
      <c r="I303" s="31"/>
      <c r="J303" s="31">
        <f>IF(Source!BC121&lt;&gt; 0, Source!BC121, 1)</f>
        <v>6.56</v>
      </c>
      <c r="K303" s="30">
        <f>Source!O121</f>
        <v>0</v>
      </c>
      <c r="L303" s="32"/>
      <c r="S303">
        <f>ROUND((Source!FX121/100)*((ROUND(Source!AF121*Source!I121, 2)+ROUND(Source!AE121*Source!I121, 2))), 2)</f>
        <v>0</v>
      </c>
      <c r="T303">
        <f>Source!X121</f>
        <v>0</v>
      </c>
      <c r="U303">
        <f>ROUND((Source!FY121/100)*((ROUND(Source!AF121*Source!I121, 2)+ROUND(Source!AE121*Source!I121, 2))), 2)</f>
        <v>0</v>
      </c>
      <c r="V303">
        <f>Source!Y121</f>
        <v>0</v>
      </c>
      <c r="W303">
        <f>IF(Source!BI121&lt;=1,H303, 0)</f>
        <v>0</v>
      </c>
      <c r="X303">
        <f>IF(Source!BI121=2,H303, 0)</f>
        <v>0</v>
      </c>
      <c r="Y303">
        <f>IF(Source!BI121=3,H303, 0)</f>
        <v>0</v>
      </c>
      <c r="Z303">
        <f>IF(Source!BI121=4,H303, 0)</f>
        <v>0</v>
      </c>
    </row>
    <row r="304" spans="1:26" ht="14.25" x14ac:dyDescent="0.2">
      <c r="A304" s="47" t="str">
        <f>Source!E122</f>
        <v>27,4</v>
      </c>
      <c r="B304" s="48" t="str">
        <f>Source!F122</f>
        <v>14.1.06.05</v>
      </c>
      <c r="C304" s="48" t="str">
        <f>Source!G122</f>
        <v>Состав клеящий</v>
      </c>
      <c r="D304" s="35" t="str">
        <f>Source!H122</f>
        <v>кг</v>
      </c>
      <c r="E304" s="36">
        <f>Source!I122</f>
        <v>176.29140000000001</v>
      </c>
      <c r="F304" s="37">
        <f>Source!AL122+Source!AM122+Source!AO122</f>
        <v>0</v>
      </c>
      <c r="G304" s="43" t="s">
        <v>6</v>
      </c>
      <c r="H304" s="37">
        <f>ROUND(Source!AC122*Source!I122, 2)+ROUND(Source!AD122*Source!I122, 2)+ROUND(Source!AF122*Source!I122, 2)</f>
        <v>0</v>
      </c>
      <c r="I304" s="38"/>
      <c r="J304" s="38">
        <f>IF(Source!BC122&lt;&gt; 0, Source!BC122, 1)</f>
        <v>6.56</v>
      </c>
      <c r="K304" s="37">
        <f>Source!O122</f>
        <v>0</v>
      </c>
      <c r="L304" s="44"/>
      <c r="S304">
        <f>ROUND((Source!FX122/100)*((ROUND(Source!AF122*Source!I122, 2)+ROUND(Source!AE122*Source!I122, 2))), 2)</f>
        <v>0</v>
      </c>
      <c r="T304">
        <f>Source!X122</f>
        <v>0</v>
      </c>
      <c r="U304">
        <f>ROUND((Source!FY122/100)*((ROUND(Source!AF122*Source!I122, 2)+ROUND(Source!AE122*Source!I122, 2))), 2)</f>
        <v>0</v>
      </c>
      <c r="V304">
        <f>Source!Y122</f>
        <v>0</v>
      </c>
      <c r="W304">
        <f>IF(Source!BI122&lt;=1,H304, 0)</f>
        <v>0</v>
      </c>
      <c r="X304">
        <f>IF(Source!BI122=2,H304, 0)</f>
        <v>0</v>
      </c>
      <c r="Y304">
        <f>IF(Source!BI122=3,H304, 0)</f>
        <v>0</v>
      </c>
      <c r="Z304">
        <f>IF(Source!BI122=4,H304, 0)</f>
        <v>0</v>
      </c>
    </row>
    <row r="305" spans="1:26" ht="15" x14ac:dyDescent="0.25">
      <c r="G305" s="70">
        <f>H294+H295+H297+H298+H299+SUM(H301:H304)</f>
        <v>13233.52</v>
      </c>
      <c r="H305" s="70"/>
      <c r="J305" s="70">
        <f>K294+K295+K297+K298+K299+SUM(K301:K304)</f>
        <v>86815.790000000008</v>
      </c>
      <c r="K305" s="70"/>
      <c r="L305" s="40">
        <f>Source!U118</f>
        <v>34.481699999999996</v>
      </c>
      <c r="O305" s="24">
        <f>G305</f>
        <v>13233.52</v>
      </c>
      <c r="P305" s="24">
        <f>J305</f>
        <v>86815.790000000008</v>
      </c>
      <c r="Q305" s="24">
        <f>L305</f>
        <v>34.481699999999996</v>
      </c>
      <c r="W305">
        <f>IF(Source!BI118&lt;=1,H294+H295+H297+H298+H299, 0)</f>
        <v>1046.27</v>
      </c>
      <c r="X305">
        <f>IF(Source!BI118=2,H294+H295+H297+H298+H299, 0)</f>
        <v>0</v>
      </c>
      <c r="Y305">
        <f>IF(Source!BI118=3,H294+H295+H297+H298+H299, 0)</f>
        <v>0</v>
      </c>
      <c r="Z305">
        <f>IF(Source!BI118=4,H294+H295+H297+H298+H299, 0)</f>
        <v>0</v>
      </c>
    </row>
    <row r="306" spans="1:26" ht="57" x14ac:dyDescent="0.2">
      <c r="A306" s="45" t="str">
        <f>Source!E123</f>
        <v>28</v>
      </c>
      <c r="B306" s="46" t="str">
        <f>Source!F123</f>
        <v>46-02-007-01</v>
      </c>
      <c r="C306" s="46" t="str">
        <f>Source!G123</f>
        <v>Кладка отдельных участков кирпичных стен и заделка проемов в кирпичных стенах при объеме кладки в одном месте до 5 м3</v>
      </c>
      <c r="D306" s="29" t="str">
        <f>Source!H123</f>
        <v>м3</v>
      </c>
      <c r="E306" s="11">
        <f>Source!I123</f>
        <v>0.81</v>
      </c>
      <c r="F306" s="30">
        <f>Source!AL123+Source!AM123+Source!AO123</f>
        <v>246.41</v>
      </c>
      <c r="G306" s="31"/>
      <c r="H306" s="30"/>
      <c r="I306" s="31" t="str">
        <f>Source!BO123</f>
        <v/>
      </c>
      <c r="J306" s="31"/>
      <c r="K306" s="30"/>
      <c r="L306" s="32"/>
      <c r="S306">
        <f>ROUND((Source!FX123/100)*((ROUND(Source!AF123*Source!I123, 2)+ROUND(Source!AE123*Source!I123, 2))), 2)</f>
        <v>95.85</v>
      </c>
      <c r="T306">
        <f>Source!X123</f>
        <v>628.78</v>
      </c>
      <c r="U306">
        <f>ROUND((Source!FY123/100)*((ROUND(Source!AF123*Source!I123, 2)+ROUND(Source!AE123*Source!I123, 2))), 2)</f>
        <v>57.61</v>
      </c>
      <c r="V306">
        <f>Source!Y123</f>
        <v>381.08</v>
      </c>
    </row>
    <row r="307" spans="1:26" ht="14.25" x14ac:dyDescent="0.2">
      <c r="A307" s="45"/>
      <c r="B307" s="46"/>
      <c r="C307" s="46" t="s">
        <v>1636</v>
      </c>
      <c r="D307" s="29"/>
      <c r="E307" s="11"/>
      <c r="F307" s="30">
        <f>Source!AO123</f>
        <v>119.53</v>
      </c>
      <c r="G307" s="31" t="str">
        <f>Source!DG123</f>
        <v/>
      </c>
      <c r="H307" s="30">
        <f>ROUND(Source!AF123*Source!I123, 2)</f>
        <v>96.82</v>
      </c>
      <c r="I307" s="31"/>
      <c r="J307" s="31">
        <f>IF(Source!BA123&lt;&gt; 0, Source!BA123, 1)</f>
        <v>6.56</v>
      </c>
      <c r="K307" s="30">
        <f>Source!S123</f>
        <v>635.13</v>
      </c>
      <c r="L307" s="32"/>
      <c r="R307">
        <f>H307</f>
        <v>96.82</v>
      </c>
    </row>
    <row r="308" spans="1:26" ht="14.25" x14ac:dyDescent="0.2">
      <c r="A308" s="45"/>
      <c r="B308" s="46"/>
      <c r="C308" s="46" t="s">
        <v>136</v>
      </c>
      <c r="D308" s="29"/>
      <c r="E308" s="11"/>
      <c r="F308" s="30">
        <f>Source!AM123</f>
        <v>2.13</v>
      </c>
      <c r="G308" s="31" t="str">
        <f>Source!DE123</f>
        <v/>
      </c>
      <c r="H308" s="30">
        <f>ROUND(Source!AD123*Source!I123, 2)</f>
        <v>1.73</v>
      </c>
      <c r="I308" s="31"/>
      <c r="J308" s="31">
        <f>IF(Source!BB123&lt;&gt; 0, Source!BB123, 1)</f>
        <v>6.56</v>
      </c>
      <c r="K308" s="30">
        <f>Source!Q123</f>
        <v>11.32</v>
      </c>
      <c r="L308" s="32"/>
    </row>
    <row r="309" spans="1:26" ht="14.25" x14ac:dyDescent="0.2">
      <c r="A309" s="45"/>
      <c r="B309" s="46"/>
      <c r="C309" s="46" t="s">
        <v>1643</v>
      </c>
      <c r="D309" s="29"/>
      <c r="E309" s="11"/>
      <c r="F309" s="30">
        <f>Source!AL123</f>
        <v>124.75</v>
      </c>
      <c r="G309" s="31" t="str">
        <f>Source!DD123</f>
        <v/>
      </c>
      <c r="H309" s="30">
        <f>ROUND(Source!AC123*Source!I123, 2)</f>
        <v>101.05</v>
      </c>
      <c r="I309" s="31"/>
      <c r="J309" s="31">
        <f>IF(Source!BC123&lt;&gt; 0, Source!BC123, 1)</f>
        <v>6.56</v>
      </c>
      <c r="K309" s="30">
        <f>Source!P123</f>
        <v>662.87</v>
      </c>
      <c r="L309" s="32"/>
    </row>
    <row r="310" spans="1:26" ht="14.25" x14ac:dyDescent="0.2">
      <c r="A310" s="45"/>
      <c r="B310" s="46"/>
      <c r="C310" s="46" t="s">
        <v>1638</v>
      </c>
      <c r="D310" s="29" t="s">
        <v>1639</v>
      </c>
      <c r="E310" s="11">
        <f>Source!BZ123</f>
        <v>110</v>
      </c>
      <c r="F310" s="71" t="str">
        <f>CONCATENATE(" )", Source!DL123, Source!FT123, "=", Source!FX123)</f>
        <v xml:space="preserve"> )*0,9=99</v>
      </c>
      <c r="G310" s="72"/>
      <c r="H310" s="30">
        <f>SUM(S306:S314)</f>
        <v>95.85</v>
      </c>
      <c r="I310" s="34"/>
      <c r="J310" s="27">
        <f>Source!AT123</f>
        <v>99</v>
      </c>
      <c r="K310" s="30">
        <f>SUM(T306:T314)</f>
        <v>628.78</v>
      </c>
      <c r="L310" s="32"/>
    </row>
    <row r="311" spans="1:26" ht="14.25" x14ac:dyDescent="0.2">
      <c r="A311" s="45"/>
      <c r="B311" s="46"/>
      <c r="C311" s="46" t="s">
        <v>1640</v>
      </c>
      <c r="D311" s="29" t="s">
        <v>1639</v>
      </c>
      <c r="E311" s="11">
        <f>Source!CA123</f>
        <v>70</v>
      </c>
      <c r="F311" s="71" t="str">
        <f>CONCATENATE(" )", Source!DM123, Source!FU123, "=", Source!FY123)</f>
        <v xml:space="preserve"> )*0,85=59,5</v>
      </c>
      <c r="G311" s="72"/>
      <c r="H311" s="30">
        <f>SUM(U306:U314)</f>
        <v>57.61</v>
      </c>
      <c r="I311" s="34"/>
      <c r="J311" s="27">
        <f>Source!AU123</f>
        <v>60</v>
      </c>
      <c r="K311" s="30">
        <f>SUM(V306:V314)</f>
        <v>381.08</v>
      </c>
      <c r="L311" s="32"/>
    </row>
    <row r="312" spans="1:26" ht="14.25" x14ac:dyDescent="0.2">
      <c r="A312" s="45"/>
      <c r="B312" s="46"/>
      <c r="C312" s="46" t="s">
        <v>1641</v>
      </c>
      <c r="D312" s="29" t="s">
        <v>1642</v>
      </c>
      <c r="E312" s="11">
        <f>Source!AQ123</f>
        <v>14.63</v>
      </c>
      <c r="F312" s="30"/>
      <c r="G312" s="31" t="str">
        <f>Source!DI123</f>
        <v/>
      </c>
      <c r="H312" s="30"/>
      <c r="I312" s="31"/>
      <c r="J312" s="31"/>
      <c r="K312" s="30"/>
      <c r="L312" s="41">
        <f>Source!U123</f>
        <v>11.850300000000001</v>
      </c>
    </row>
    <row r="313" spans="1:26" ht="28.5" x14ac:dyDescent="0.2">
      <c r="A313" s="45" t="str">
        <f>Source!E124</f>
        <v>28,1</v>
      </c>
      <c r="B313" s="46" t="str">
        <f>Source!F124</f>
        <v>06.1.01.09-0002</v>
      </c>
      <c r="C313" s="46" t="str">
        <f>Source!G124</f>
        <v>Кирпич-половняк силикатный</v>
      </c>
      <c r="D313" s="29" t="str">
        <f>Source!H124</f>
        <v>м3</v>
      </c>
      <c r="E313" s="11">
        <f>Source!I124</f>
        <v>0.81</v>
      </c>
      <c r="F313" s="30">
        <f>Source!AL124+Source!AM124+Source!AO124</f>
        <v>103.41</v>
      </c>
      <c r="G313" s="42" t="s">
        <v>6</v>
      </c>
      <c r="H313" s="30">
        <f>ROUND(Source!AC124*Source!I124, 2)+ROUND(Source!AD124*Source!I124, 2)+ROUND(Source!AF124*Source!I124, 2)</f>
        <v>83.76</v>
      </c>
      <c r="I313" s="31"/>
      <c r="J313" s="31">
        <f>IF(Source!BC124&lt;&gt; 0, Source!BC124, 1)</f>
        <v>6.56</v>
      </c>
      <c r="K313" s="30">
        <f>Source!O124</f>
        <v>549.48</v>
      </c>
      <c r="L313" s="32"/>
      <c r="S313">
        <f>ROUND((Source!FX124/100)*((ROUND(Source!AF124*Source!I124, 2)+ROUND(Source!AE124*Source!I124, 2))), 2)</f>
        <v>0</v>
      </c>
      <c r="T313">
        <f>Source!X124</f>
        <v>0</v>
      </c>
      <c r="U313">
        <f>ROUND((Source!FY124/100)*((ROUND(Source!AF124*Source!I124, 2)+ROUND(Source!AE124*Source!I124, 2))), 2)</f>
        <v>0</v>
      </c>
      <c r="V313">
        <f>Source!Y124</f>
        <v>0</v>
      </c>
      <c r="W313">
        <f>IF(Source!BI124&lt;=1,H313, 0)</f>
        <v>83.76</v>
      </c>
      <c r="X313">
        <f>IF(Source!BI124=2,H313, 0)</f>
        <v>0</v>
      </c>
      <c r="Y313">
        <f>IF(Source!BI124=3,H313, 0)</f>
        <v>0</v>
      </c>
      <c r="Z313">
        <f>IF(Source!BI124=4,H313, 0)</f>
        <v>0</v>
      </c>
    </row>
    <row r="314" spans="1:26" ht="14.25" x14ac:dyDescent="0.2">
      <c r="A314" s="47" t="str">
        <f>Source!E125</f>
        <v>28,2</v>
      </c>
      <c r="B314" s="48" t="str">
        <f>Source!F125</f>
        <v>06.1.01.05</v>
      </c>
      <c r="C314" s="48" t="str">
        <f>Source!G125</f>
        <v>Кирпич глиняный обыкновенный</v>
      </c>
      <c r="D314" s="35" t="str">
        <f>Source!H125</f>
        <v>1000 шт.</v>
      </c>
      <c r="E314" s="36">
        <f>Source!I125</f>
        <v>0.32400000000000001</v>
      </c>
      <c r="F314" s="37">
        <f>Source!AL125+Source!AM125+Source!AO125</f>
        <v>0</v>
      </c>
      <c r="G314" s="43" t="s">
        <v>6</v>
      </c>
      <c r="H314" s="37">
        <f>ROUND(Source!AC125*Source!I125, 2)+ROUND(Source!AD125*Source!I125, 2)+ROUND(Source!AF125*Source!I125, 2)</f>
        <v>0</v>
      </c>
      <c r="I314" s="38"/>
      <c r="J314" s="38">
        <f>IF(Source!BC125&lt;&gt; 0, Source!BC125, 1)</f>
        <v>6.56</v>
      </c>
      <c r="K314" s="37">
        <f>Source!O125</f>
        <v>0</v>
      </c>
      <c r="L314" s="44"/>
      <c r="S314">
        <f>ROUND((Source!FX125/100)*((ROUND(Source!AF125*Source!I125, 2)+ROUND(Source!AE125*Source!I125, 2))), 2)</f>
        <v>0</v>
      </c>
      <c r="T314">
        <f>Source!X125</f>
        <v>0</v>
      </c>
      <c r="U314">
        <f>ROUND((Source!FY125/100)*((ROUND(Source!AF125*Source!I125, 2)+ROUND(Source!AE125*Source!I125, 2))), 2)</f>
        <v>0</v>
      </c>
      <c r="V314">
        <f>Source!Y125</f>
        <v>0</v>
      </c>
      <c r="W314">
        <f>IF(Source!BI125&lt;=1,H314, 0)</f>
        <v>0</v>
      </c>
      <c r="X314">
        <f>IF(Source!BI125=2,H314, 0)</f>
        <v>0</v>
      </c>
      <c r="Y314">
        <f>IF(Source!BI125=3,H314, 0)</f>
        <v>0</v>
      </c>
      <c r="Z314">
        <f>IF(Source!BI125=4,H314, 0)</f>
        <v>0</v>
      </c>
    </row>
    <row r="315" spans="1:26" ht="15" x14ac:dyDescent="0.25">
      <c r="G315" s="70">
        <f>H307+H308+H309+H310+H311+SUM(H313:H314)</f>
        <v>436.82</v>
      </c>
      <c r="H315" s="70"/>
      <c r="J315" s="70">
        <f>K307+K308+K309+K310+K311+SUM(K313:K314)</f>
        <v>2868.6600000000003</v>
      </c>
      <c r="K315" s="70"/>
      <c r="L315" s="40">
        <f>Source!U123</f>
        <v>11.850300000000001</v>
      </c>
      <c r="O315" s="24">
        <f>G315</f>
        <v>436.82</v>
      </c>
      <c r="P315" s="24">
        <f>J315</f>
        <v>2868.6600000000003</v>
      </c>
      <c r="Q315" s="24">
        <f>L315</f>
        <v>11.850300000000001</v>
      </c>
      <c r="W315">
        <f>IF(Source!BI123&lt;=1,H307+H308+H309+H310+H311, 0)</f>
        <v>353.06</v>
      </c>
      <c r="X315">
        <f>IF(Source!BI123=2,H307+H308+H309+H310+H311, 0)</f>
        <v>0</v>
      </c>
      <c r="Y315">
        <f>IF(Source!BI123=3,H307+H308+H309+H310+H311, 0)</f>
        <v>0</v>
      </c>
      <c r="Z315">
        <f>IF(Source!BI123=4,H307+H308+H309+H310+H311, 0)</f>
        <v>0</v>
      </c>
    </row>
    <row r="316" spans="1:26" ht="85.5" x14ac:dyDescent="0.2">
      <c r="A316" s="45" t="str">
        <f>Source!E126</f>
        <v>29</v>
      </c>
      <c r="B316" s="46" t="str">
        <f>Source!F126</f>
        <v>61-1-9</v>
      </c>
      <c r="C316" s="46" t="str">
        <f>Source!G126</f>
        <v>Сплошное выравнивание внутренних поверхностей (однослойное оштукатуривание) из сухих растворных смесей толщиной до 10 мм для последующей окраски или оклейки обоями стен</v>
      </c>
      <c r="D316" s="29" t="str">
        <f>Source!H126</f>
        <v>100 м2</v>
      </c>
      <c r="E316" s="11">
        <f>Source!I126</f>
        <v>2.8643000000000001</v>
      </c>
      <c r="F316" s="30">
        <f>Source!AL126+Source!AM126+Source!AO126</f>
        <v>321.53000000000003</v>
      </c>
      <c r="G316" s="31"/>
      <c r="H316" s="30"/>
      <c r="I316" s="31" t="str">
        <f>Source!BO126</f>
        <v/>
      </c>
      <c r="J316" s="31"/>
      <c r="K316" s="30"/>
      <c r="L316" s="32"/>
      <c r="S316">
        <f>ROUND((Source!FX126/100)*((ROUND(Source!AF126*Source!I126, 2)+ROUND(Source!AE126*Source!I126, 2))), 2)</f>
        <v>708.94</v>
      </c>
      <c r="T316">
        <f>Source!X126</f>
        <v>4650.6099999999997</v>
      </c>
      <c r="U316">
        <f>ROUND((Source!FY126/100)*((ROUND(Source!AF126*Source!I126, 2)+ROUND(Source!AE126*Source!I126, 2))), 2)</f>
        <v>448.7</v>
      </c>
      <c r="V316">
        <f>Source!Y126</f>
        <v>2943.43</v>
      </c>
    </row>
    <row r="317" spans="1:26" x14ac:dyDescent="0.2">
      <c r="C317" s="23" t="str">
        <f>"Объем: "&amp;Source!I126&amp;"=286,43/"&amp;"100"</f>
        <v>Объем: 2,8643=286,43/100</v>
      </c>
    </row>
    <row r="318" spans="1:26" ht="14.25" x14ac:dyDescent="0.2">
      <c r="A318" s="45"/>
      <c r="B318" s="46"/>
      <c r="C318" s="46" t="s">
        <v>1636</v>
      </c>
      <c r="D318" s="29"/>
      <c r="E318" s="11"/>
      <c r="F318" s="30">
        <f>Source!AO126</f>
        <v>303.12</v>
      </c>
      <c r="G318" s="31" t="str">
        <f>Source!DG126</f>
        <v/>
      </c>
      <c r="H318" s="30">
        <f>ROUND(Source!AF126*Source!I126, 2)</f>
        <v>868.23</v>
      </c>
      <c r="I318" s="31"/>
      <c r="J318" s="31">
        <f>IF(Source!BA126&lt;&gt; 0, Source!BA126, 1)</f>
        <v>6.56</v>
      </c>
      <c r="K318" s="30">
        <f>Source!S126</f>
        <v>5695.57</v>
      </c>
      <c r="L318" s="32"/>
      <c r="R318">
        <f>H318</f>
        <v>868.23</v>
      </c>
    </row>
    <row r="319" spans="1:26" ht="14.25" x14ac:dyDescent="0.2">
      <c r="A319" s="45"/>
      <c r="B319" s="46"/>
      <c r="C319" s="46" t="s">
        <v>136</v>
      </c>
      <c r="D319" s="29"/>
      <c r="E319" s="11"/>
      <c r="F319" s="30">
        <f>Source!AM126</f>
        <v>17.16</v>
      </c>
      <c r="G319" s="31" t="str">
        <f>Source!DE126</f>
        <v/>
      </c>
      <c r="H319" s="30">
        <f>ROUND(Source!AD126*Source!I126, 2)</f>
        <v>49.15</v>
      </c>
      <c r="I319" s="31"/>
      <c r="J319" s="31">
        <f>IF(Source!BB126&lt;&gt; 0, Source!BB126, 1)</f>
        <v>6.56</v>
      </c>
      <c r="K319" s="30">
        <f>Source!Q126</f>
        <v>322.43</v>
      </c>
      <c r="L319" s="32"/>
    </row>
    <row r="320" spans="1:26" ht="14.25" x14ac:dyDescent="0.2">
      <c r="A320" s="45"/>
      <c r="B320" s="46"/>
      <c r="C320" s="46" t="s">
        <v>1637</v>
      </c>
      <c r="D320" s="29"/>
      <c r="E320" s="11"/>
      <c r="F320" s="30">
        <f>Source!AN126</f>
        <v>10.18</v>
      </c>
      <c r="G320" s="31" t="str">
        <f>Source!DF126</f>
        <v/>
      </c>
      <c r="H320" s="33">
        <f>ROUND(Source!AE126*Source!I126, 2)</f>
        <v>29.16</v>
      </c>
      <c r="I320" s="31"/>
      <c r="J320" s="31">
        <f>IF(Source!BS126&lt;&gt; 0, Source!BS126, 1)</f>
        <v>6.56</v>
      </c>
      <c r="K320" s="33">
        <f>Source!R126</f>
        <v>191.28</v>
      </c>
      <c r="L320" s="32"/>
      <c r="R320">
        <f>H320</f>
        <v>29.16</v>
      </c>
    </row>
    <row r="321" spans="1:26" ht="14.25" x14ac:dyDescent="0.2">
      <c r="A321" s="45"/>
      <c r="B321" s="46"/>
      <c r="C321" s="46" t="s">
        <v>1643</v>
      </c>
      <c r="D321" s="29"/>
      <c r="E321" s="11"/>
      <c r="F321" s="30">
        <f>Source!AL126</f>
        <v>1.25</v>
      </c>
      <c r="G321" s="31" t="str">
        <f>Source!DD126</f>
        <v/>
      </c>
      <c r="H321" s="30">
        <f>ROUND(Source!AC126*Source!I126, 2)</f>
        <v>3.58</v>
      </c>
      <c r="I321" s="31"/>
      <c r="J321" s="31">
        <f>IF(Source!BC126&lt;&gt; 0, Source!BC126, 1)</f>
        <v>6.56</v>
      </c>
      <c r="K321" s="30">
        <f>Source!P126</f>
        <v>23.49</v>
      </c>
      <c r="L321" s="32"/>
    </row>
    <row r="322" spans="1:26" ht="14.25" x14ac:dyDescent="0.2">
      <c r="A322" s="45"/>
      <c r="B322" s="46"/>
      <c r="C322" s="46" t="s">
        <v>1638</v>
      </c>
      <c r="D322" s="29" t="s">
        <v>1639</v>
      </c>
      <c r="E322" s="11">
        <f>Source!BZ126</f>
        <v>79</v>
      </c>
      <c r="F322" s="49"/>
      <c r="G322" s="31"/>
      <c r="H322" s="30">
        <f>SUM(S316:S326)</f>
        <v>708.94</v>
      </c>
      <c r="I322" s="34"/>
      <c r="J322" s="27">
        <f>Source!AT126</f>
        <v>79</v>
      </c>
      <c r="K322" s="30">
        <f>SUM(T316:T326)</f>
        <v>4650.6099999999997</v>
      </c>
      <c r="L322" s="32"/>
    </row>
    <row r="323" spans="1:26" ht="14.25" x14ac:dyDescent="0.2">
      <c r="A323" s="45"/>
      <c r="B323" s="46"/>
      <c r="C323" s="46" t="s">
        <v>1640</v>
      </c>
      <c r="D323" s="29" t="s">
        <v>1639</v>
      </c>
      <c r="E323" s="11">
        <f>Source!CA126</f>
        <v>50</v>
      </c>
      <c r="F323" s="49"/>
      <c r="G323" s="31"/>
      <c r="H323" s="30">
        <f>SUM(U316:U326)</f>
        <v>448.7</v>
      </c>
      <c r="I323" s="34"/>
      <c r="J323" s="27">
        <f>Source!AU126</f>
        <v>50</v>
      </c>
      <c r="K323" s="30">
        <f>SUM(V316:V326)</f>
        <v>2943.43</v>
      </c>
      <c r="L323" s="32"/>
    </row>
    <row r="324" spans="1:26" ht="14.25" x14ac:dyDescent="0.2">
      <c r="A324" s="45"/>
      <c r="B324" s="46"/>
      <c r="C324" s="46" t="s">
        <v>1641</v>
      </c>
      <c r="D324" s="29" t="s">
        <v>1642</v>
      </c>
      <c r="E324" s="11">
        <f>Source!AQ126</f>
        <v>35.83</v>
      </c>
      <c r="F324" s="30"/>
      <c r="G324" s="31" t="str">
        <f>Source!DI126</f>
        <v/>
      </c>
      <c r="H324" s="30"/>
      <c r="I324" s="31"/>
      <c r="J324" s="31"/>
      <c r="K324" s="30"/>
      <c r="L324" s="41">
        <f>Source!U126</f>
        <v>102.627869</v>
      </c>
    </row>
    <row r="325" spans="1:26" ht="28.5" x14ac:dyDescent="0.2">
      <c r="A325" s="45" t="str">
        <f>Source!E127</f>
        <v>29,1</v>
      </c>
      <c r="B325" s="46" t="str">
        <f>Source!F127</f>
        <v>04.3.02.05-0002</v>
      </c>
      <c r="C325" s="46" t="str">
        <f>Source!G127</f>
        <v>Смесь штукатурная «Ротбанд», КНАУФ</v>
      </c>
      <c r="D325" s="29" t="str">
        <f>Source!H127</f>
        <v>кг</v>
      </c>
      <c r="E325" s="11">
        <f>Source!I127</f>
        <v>2448.976557</v>
      </c>
      <c r="F325" s="30">
        <f>Source!AL127+Source!AM127+Source!AO127</f>
        <v>2.0699999999999998</v>
      </c>
      <c r="G325" s="42" t="s">
        <v>6</v>
      </c>
      <c r="H325" s="30">
        <f>ROUND(Source!AC127*Source!I127, 2)+ROUND(Source!AD127*Source!I127, 2)+ROUND(Source!AF127*Source!I127, 2)</f>
        <v>5069.38</v>
      </c>
      <c r="I325" s="31"/>
      <c r="J325" s="31">
        <f>IF(Source!BC127&lt;&gt; 0, Source!BC127, 1)</f>
        <v>6.56</v>
      </c>
      <c r="K325" s="30">
        <f>Source!O127</f>
        <v>33255.14</v>
      </c>
      <c r="L325" s="32"/>
      <c r="S325">
        <f>ROUND((Source!FX127/100)*((ROUND(Source!AF127*Source!I127, 2)+ROUND(Source!AE127*Source!I127, 2))), 2)</f>
        <v>0</v>
      </c>
      <c r="T325">
        <f>Source!X127</f>
        <v>0</v>
      </c>
      <c r="U325">
        <f>ROUND((Source!FY127/100)*((ROUND(Source!AF127*Source!I127, 2)+ROUND(Source!AE127*Source!I127, 2))), 2)</f>
        <v>0</v>
      </c>
      <c r="V325">
        <f>Source!Y127</f>
        <v>0</v>
      </c>
      <c r="W325">
        <f>IF(Source!BI127&lt;=1,H325, 0)</f>
        <v>5069.38</v>
      </c>
      <c r="X325">
        <f>IF(Source!BI127=2,H325, 0)</f>
        <v>0</v>
      </c>
      <c r="Y325">
        <f>IF(Source!BI127=3,H325, 0)</f>
        <v>0</v>
      </c>
      <c r="Z325">
        <f>IF(Source!BI127=4,H325, 0)</f>
        <v>0</v>
      </c>
    </row>
    <row r="326" spans="1:26" ht="14.25" x14ac:dyDescent="0.2">
      <c r="A326" s="47" t="str">
        <f>Source!E128</f>
        <v>29,2</v>
      </c>
      <c r="B326" s="48" t="str">
        <f>Source!F128</f>
        <v>04.3.02.09</v>
      </c>
      <c r="C326" s="48" t="str">
        <f>Source!G128</f>
        <v>Смеси на цементной основе</v>
      </c>
      <c r="D326" s="35" t="str">
        <f>Source!H128</f>
        <v>т</v>
      </c>
      <c r="E326" s="36">
        <f>Source!I128</f>
        <v>2.4489770000000002</v>
      </c>
      <c r="F326" s="37">
        <f>Source!AL128+Source!AM128+Source!AO128</f>
        <v>0</v>
      </c>
      <c r="G326" s="43" t="s">
        <v>6</v>
      </c>
      <c r="H326" s="37">
        <f>ROUND(Source!AC128*Source!I128, 2)+ROUND(Source!AD128*Source!I128, 2)+ROUND(Source!AF128*Source!I128, 2)</f>
        <v>0</v>
      </c>
      <c r="I326" s="38"/>
      <c r="J326" s="38">
        <f>IF(Source!BC128&lt;&gt; 0, Source!BC128, 1)</f>
        <v>6.56</v>
      </c>
      <c r="K326" s="37">
        <f>Source!O128</f>
        <v>0</v>
      </c>
      <c r="L326" s="44"/>
      <c r="S326">
        <f>ROUND((Source!FX128/100)*((ROUND(Source!AF128*Source!I128, 2)+ROUND(Source!AE128*Source!I128, 2))), 2)</f>
        <v>0</v>
      </c>
      <c r="T326">
        <f>Source!X128</f>
        <v>0</v>
      </c>
      <c r="U326">
        <f>ROUND((Source!FY128/100)*((ROUND(Source!AF128*Source!I128, 2)+ROUND(Source!AE128*Source!I128, 2))), 2)</f>
        <v>0</v>
      </c>
      <c r="V326">
        <f>Source!Y128</f>
        <v>0</v>
      </c>
      <c r="W326">
        <f>IF(Source!BI128&lt;=1,H326, 0)</f>
        <v>0</v>
      </c>
      <c r="X326">
        <f>IF(Source!BI128=2,H326, 0)</f>
        <v>0</v>
      </c>
      <c r="Y326">
        <f>IF(Source!BI128=3,H326, 0)</f>
        <v>0</v>
      </c>
      <c r="Z326">
        <f>IF(Source!BI128=4,H326, 0)</f>
        <v>0</v>
      </c>
    </row>
    <row r="327" spans="1:26" ht="15" x14ac:dyDescent="0.25">
      <c r="G327" s="70">
        <f>H318+H319+H321+H322+H323+SUM(H325:H326)</f>
        <v>7147.98</v>
      </c>
      <c r="H327" s="70"/>
      <c r="J327" s="70">
        <f>K318+K319+K321+K322+K323+SUM(K325:K326)</f>
        <v>46890.67</v>
      </c>
      <c r="K327" s="70"/>
      <c r="L327" s="40">
        <f>Source!U126</f>
        <v>102.627869</v>
      </c>
      <c r="O327" s="24">
        <f>G327</f>
        <v>7147.98</v>
      </c>
      <c r="P327" s="24">
        <f>J327</f>
        <v>46890.67</v>
      </c>
      <c r="Q327" s="24">
        <f>L327</f>
        <v>102.627869</v>
      </c>
      <c r="W327">
        <f>IF(Source!BI126&lt;=1,H318+H319+H321+H322+H323, 0)</f>
        <v>2078.6</v>
      </c>
      <c r="X327">
        <f>IF(Source!BI126=2,H318+H319+H321+H322+H323, 0)</f>
        <v>0</v>
      </c>
      <c r="Y327">
        <f>IF(Source!BI126=3,H318+H319+H321+H322+H323, 0)</f>
        <v>0</v>
      </c>
      <c r="Z327">
        <f>IF(Source!BI126=4,H318+H319+H321+H322+H323, 0)</f>
        <v>0</v>
      </c>
    </row>
    <row r="328" spans="1:26" ht="57" x14ac:dyDescent="0.2">
      <c r="A328" s="45" t="str">
        <f>Source!E129</f>
        <v>30</v>
      </c>
      <c r="B328" s="46" t="str">
        <f>Source!F129</f>
        <v>15-02-016-03</v>
      </c>
      <c r="C328" s="46" t="str">
        <f>Source!G129</f>
        <v>Штукатурка поверхностей внутри здания цементно-известковым или цементным раствором по камню и бетону улучшенная стен</v>
      </c>
      <c r="D328" s="29" t="str">
        <f>Source!H129</f>
        <v>100 м2</v>
      </c>
      <c r="E328" s="11">
        <f>Source!I129</f>
        <v>0.6</v>
      </c>
      <c r="F328" s="30">
        <f>Source!AL129+Source!AM129+Source!AO129</f>
        <v>2040.6800000000003</v>
      </c>
      <c r="G328" s="31"/>
      <c r="H328" s="30"/>
      <c r="I328" s="31" t="str">
        <f>Source!BO129</f>
        <v/>
      </c>
      <c r="J328" s="31"/>
      <c r="K328" s="30"/>
      <c r="L328" s="32"/>
      <c r="S328">
        <f>ROUND((Source!FX129/100)*((ROUND(Source!AF129*Source!I129, 2)+ROUND(Source!AE129*Source!I129, 2))), 2)</f>
        <v>491.48</v>
      </c>
      <c r="T328">
        <f>Source!X129</f>
        <v>3241.14</v>
      </c>
      <c r="U328">
        <f>ROUND((Source!FY129/100)*((ROUND(Source!AF129*Source!I129, 2)+ROUND(Source!AE129*Source!I129, 2))), 2)</f>
        <v>243.14</v>
      </c>
      <c r="V328">
        <f>Source!Y129</f>
        <v>1603.51</v>
      </c>
    </row>
    <row r="329" spans="1:26" x14ac:dyDescent="0.2">
      <c r="C329" s="23" t="str">
        <f>"Объем: "&amp;Source!I129&amp;"=60/"&amp;"100"</f>
        <v>Объем: 0,6=60/100</v>
      </c>
    </row>
    <row r="330" spans="1:26" ht="14.25" x14ac:dyDescent="0.2">
      <c r="A330" s="45"/>
      <c r="B330" s="46"/>
      <c r="C330" s="46" t="s">
        <v>1636</v>
      </c>
      <c r="D330" s="29"/>
      <c r="E330" s="11"/>
      <c r="F330" s="30">
        <f>Source!AO129</f>
        <v>806.9</v>
      </c>
      <c r="G330" s="31" t="str">
        <f>Source!DG129</f>
        <v/>
      </c>
      <c r="H330" s="30">
        <f>ROUND(Source!AF129*Source!I129, 2)</f>
        <v>484.14</v>
      </c>
      <c r="I330" s="31"/>
      <c r="J330" s="31">
        <f>IF(Source!BA129&lt;&gt; 0, Source!BA129, 1)</f>
        <v>6.56</v>
      </c>
      <c r="K330" s="30">
        <f>Source!S129</f>
        <v>3175.96</v>
      </c>
      <c r="L330" s="32"/>
      <c r="R330">
        <f>H330</f>
        <v>484.14</v>
      </c>
    </row>
    <row r="331" spans="1:26" ht="14.25" x14ac:dyDescent="0.2">
      <c r="A331" s="45"/>
      <c r="B331" s="46"/>
      <c r="C331" s="46" t="s">
        <v>136</v>
      </c>
      <c r="D331" s="29"/>
      <c r="E331" s="11"/>
      <c r="F331" s="30">
        <f>Source!AM129</f>
        <v>103.38</v>
      </c>
      <c r="G331" s="31" t="str">
        <f>Source!DE129</f>
        <v/>
      </c>
      <c r="H331" s="30">
        <f>ROUND(Source!AD129*Source!I129, 2)</f>
        <v>62.03</v>
      </c>
      <c r="I331" s="31"/>
      <c r="J331" s="31">
        <f>IF(Source!BB129&lt;&gt; 0, Source!BB129, 1)</f>
        <v>6.56</v>
      </c>
      <c r="K331" s="30">
        <f>Source!Q129</f>
        <v>406.9</v>
      </c>
      <c r="L331" s="32"/>
    </row>
    <row r="332" spans="1:26" ht="14.25" x14ac:dyDescent="0.2">
      <c r="A332" s="45"/>
      <c r="B332" s="46"/>
      <c r="C332" s="46" t="s">
        <v>1637</v>
      </c>
      <c r="D332" s="29"/>
      <c r="E332" s="11"/>
      <c r="F332" s="30">
        <f>Source!AN129</f>
        <v>59.9</v>
      </c>
      <c r="G332" s="31" t="str">
        <f>Source!DF129</f>
        <v/>
      </c>
      <c r="H332" s="33">
        <f>ROUND(Source!AE129*Source!I129, 2)</f>
        <v>35.94</v>
      </c>
      <c r="I332" s="31"/>
      <c r="J332" s="31">
        <f>IF(Source!BS129&lt;&gt; 0, Source!BS129, 1)</f>
        <v>6.56</v>
      </c>
      <c r="K332" s="33">
        <f>Source!R129</f>
        <v>235.77</v>
      </c>
      <c r="L332" s="32"/>
      <c r="R332">
        <f>H332</f>
        <v>35.94</v>
      </c>
    </row>
    <row r="333" spans="1:26" ht="14.25" x14ac:dyDescent="0.2">
      <c r="A333" s="45"/>
      <c r="B333" s="46"/>
      <c r="C333" s="46" t="s">
        <v>1643</v>
      </c>
      <c r="D333" s="29"/>
      <c r="E333" s="11"/>
      <c r="F333" s="30">
        <f>Source!AL129</f>
        <v>1130.4000000000001</v>
      </c>
      <c r="G333" s="31" t="str">
        <f>Source!DD129</f>
        <v/>
      </c>
      <c r="H333" s="30">
        <f>ROUND(Source!AC129*Source!I129, 2)</f>
        <v>678.24</v>
      </c>
      <c r="I333" s="31"/>
      <c r="J333" s="31">
        <f>IF(Source!BC129&lt;&gt; 0, Source!BC129, 1)</f>
        <v>6.56</v>
      </c>
      <c r="K333" s="30">
        <f>Source!P129</f>
        <v>4449.25</v>
      </c>
      <c r="L333" s="32"/>
    </row>
    <row r="334" spans="1:26" ht="14.25" x14ac:dyDescent="0.2">
      <c r="A334" s="45"/>
      <c r="B334" s="46"/>
      <c r="C334" s="46" t="s">
        <v>1638</v>
      </c>
      <c r="D334" s="29" t="s">
        <v>1639</v>
      </c>
      <c r="E334" s="11">
        <f>Source!BZ129</f>
        <v>105</v>
      </c>
      <c r="F334" s="71" t="str">
        <f>CONCATENATE(" )", Source!DL129, Source!FT129, "=", Source!FX129)</f>
        <v xml:space="preserve"> )*0,9=94,5</v>
      </c>
      <c r="G334" s="72"/>
      <c r="H334" s="30">
        <f>SUM(S328:S336)</f>
        <v>491.48</v>
      </c>
      <c r="I334" s="34"/>
      <c r="J334" s="27">
        <f>Source!AT129</f>
        <v>95</v>
      </c>
      <c r="K334" s="30">
        <f>SUM(T328:T336)</f>
        <v>3241.14</v>
      </c>
      <c r="L334" s="32"/>
    </row>
    <row r="335" spans="1:26" ht="14.25" x14ac:dyDescent="0.2">
      <c r="A335" s="45"/>
      <c r="B335" s="46"/>
      <c r="C335" s="46" t="s">
        <v>1640</v>
      </c>
      <c r="D335" s="29" t="s">
        <v>1639</v>
      </c>
      <c r="E335" s="11">
        <f>Source!CA129</f>
        <v>55</v>
      </c>
      <c r="F335" s="71" t="str">
        <f>CONCATENATE(" )", Source!DM129, Source!FU129, "=", Source!FY129)</f>
        <v xml:space="preserve"> )*0,85=46,75</v>
      </c>
      <c r="G335" s="72"/>
      <c r="H335" s="30">
        <f>SUM(U328:U336)</f>
        <v>243.14</v>
      </c>
      <c r="I335" s="34"/>
      <c r="J335" s="27">
        <f>Source!AU129</f>
        <v>47</v>
      </c>
      <c r="K335" s="30">
        <f>SUM(V328:V336)</f>
        <v>1603.51</v>
      </c>
      <c r="L335" s="32"/>
    </row>
    <row r="336" spans="1:26" ht="14.25" x14ac:dyDescent="0.2">
      <c r="A336" s="47"/>
      <c r="B336" s="48"/>
      <c r="C336" s="48" t="s">
        <v>1641</v>
      </c>
      <c r="D336" s="35" t="s">
        <v>1642</v>
      </c>
      <c r="E336" s="36">
        <f>Source!AQ129</f>
        <v>85.84</v>
      </c>
      <c r="F336" s="37"/>
      <c r="G336" s="38" t="str">
        <f>Source!DI129</f>
        <v/>
      </c>
      <c r="H336" s="37"/>
      <c r="I336" s="38"/>
      <c r="J336" s="38"/>
      <c r="K336" s="37"/>
      <c r="L336" s="39">
        <f>Source!U129</f>
        <v>51.503999999999998</v>
      </c>
    </row>
    <row r="337" spans="1:26" ht="15" x14ac:dyDescent="0.25">
      <c r="G337" s="70">
        <f>H330+H331+H333+H334+H335</f>
        <v>1959.0299999999997</v>
      </c>
      <c r="H337" s="70"/>
      <c r="J337" s="70">
        <f>K330+K331+K333+K334+K335</f>
        <v>12876.76</v>
      </c>
      <c r="K337" s="70"/>
      <c r="L337" s="40">
        <f>Source!U129</f>
        <v>51.503999999999998</v>
      </c>
      <c r="O337" s="24">
        <f>G337</f>
        <v>1959.0299999999997</v>
      </c>
      <c r="P337" s="24">
        <f>J337</f>
        <v>12876.76</v>
      </c>
      <c r="Q337" s="24">
        <f>L337</f>
        <v>51.503999999999998</v>
      </c>
      <c r="W337">
        <f>IF(Source!BI129&lt;=1,H330+H331+H333+H334+H335, 0)</f>
        <v>1959.0299999999997</v>
      </c>
      <c r="X337">
        <f>IF(Source!BI129=2,H330+H331+H333+H334+H335, 0)</f>
        <v>0</v>
      </c>
      <c r="Y337">
        <f>IF(Source!BI129=3,H330+H331+H333+H334+H335, 0)</f>
        <v>0</v>
      </c>
      <c r="Z337">
        <f>IF(Source!BI129=4,H330+H331+H333+H334+H335, 0)</f>
        <v>0</v>
      </c>
    </row>
    <row r="338" spans="1:26" ht="71.25" x14ac:dyDescent="0.2">
      <c r="A338" s="45" t="str">
        <f>Source!E130</f>
        <v>31</v>
      </c>
      <c r="B338" s="46" t="str">
        <f>Source!F130</f>
        <v>62-16-3</v>
      </c>
      <c r="C338" s="46" t="str">
        <f>Source!G130</f>
        <v>Окрашивание водоэмульсионными составами поверхностей стен, ранее окрашенных водоэмульсионной краской с расчисткой старой краски до 35%</v>
      </c>
      <c r="D338" s="29" t="str">
        <f>Source!H130</f>
        <v>100 м2</v>
      </c>
      <c r="E338" s="11">
        <f>Source!I130</f>
        <v>0.71</v>
      </c>
      <c r="F338" s="30">
        <f>Source!AL130+Source!AM130+Source!AO130</f>
        <v>681.71</v>
      </c>
      <c r="G338" s="31"/>
      <c r="H338" s="30"/>
      <c r="I338" s="31" t="str">
        <f>Source!BO130</f>
        <v/>
      </c>
      <c r="J338" s="31"/>
      <c r="K338" s="30"/>
      <c r="L338" s="32"/>
      <c r="S338">
        <f>ROUND((Source!FX130/100)*((ROUND(Source!AF130*Source!I130, 2)+ROUND(Source!AE130*Source!I130, 2))), 2)</f>
        <v>138.66999999999999</v>
      </c>
      <c r="T338">
        <f>Source!X130</f>
        <v>909.69</v>
      </c>
      <c r="U338">
        <f>ROUND((Source!FY130/100)*((ROUND(Source!AF130*Source!I130, 2)+ROUND(Source!AE130*Source!I130, 2))), 2)</f>
        <v>86.67</v>
      </c>
      <c r="V338">
        <f>Source!Y130</f>
        <v>568.55999999999995</v>
      </c>
    </row>
    <row r="339" spans="1:26" x14ac:dyDescent="0.2">
      <c r="C339" s="23" t="str">
        <f>"Объем: "&amp;Source!I130&amp;"=71/"&amp;"100"</f>
        <v>Объем: 0,71=71/100</v>
      </c>
    </row>
    <row r="340" spans="1:26" ht="14.25" x14ac:dyDescent="0.2">
      <c r="A340" s="45"/>
      <c r="B340" s="46"/>
      <c r="C340" s="46" t="s">
        <v>1636</v>
      </c>
      <c r="D340" s="29"/>
      <c r="E340" s="11"/>
      <c r="F340" s="30">
        <f>Source!AO130</f>
        <v>242.09</v>
      </c>
      <c r="G340" s="31" t="str">
        <f>Source!DG130</f>
        <v/>
      </c>
      <c r="H340" s="30">
        <f>ROUND(Source!AF130*Source!I130, 2)</f>
        <v>171.88</v>
      </c>
      <c r="I340" s="31"/>
      <c r="J340" s="31">
        <f>IF(Source!BA130&lt;&gt; 0, Source!BA130, 1)</f>
        <v>6.56</v>
      </c>
      <c r="K340" s="30">
        <f>Source!S130</f>
        <v>1127.56</v>
      </c>
      <c r="L340" s="32"/>
      <c r="R340">
        <f>H340</f>
        <v>171.88</v>
      </c>
    </row>
    <row r="341" spans="1:26" ht="14.25" x14ac:dyDescent="0.2">
      <c r="A341" s="45"/>
      <c r="B341" s="46"/>
      <c r="C341" s="46" t="s">
        <v>136</v>
      </c>
      <c r="D341" s="29"/>
      <c r="E341" s="11"/>
      <c r="F341" s="30">
        <f>Source!AM130</f>
        <v>7.07</v>
      </c>
      <c r="G341" s="31" t="str">
        <f>Source!DE130</f>
        <v/>
      </c>
      <c r="H341" s="30">
        <f>ROUND(Source!AD130*Source!I130, 2)</f>
        <v>5.0199999999999996</v>
      </c>
      <c r="I341" s="31"/>
      <c r="J341" s="31">
        <f>IF(Source!BB130&lt;&gt; 0, Source!BB130, 1)</f>
        <v>6.56</v>
      </c>
      <c r="K341" s="30">
        <f>Source!Q130</f>
        <v>32.93</v>
      </c>
      <c r="L341" s="32"/>
    </row>
    <row r="342" spans="1:26" ht="14.25" x14ac:dyDescent="0.2">
      <c r="A342" s="45"/>
      <c r="B342" s="46"/>
      <c r="C342" s="46" t="s">
        <v>1637</v>
      </c>
      <c r="D342" s="29"/>
      <c r="E342" s="11"/>
      <c r="F342" s="30">
        <f>Source!AN130</f>
        <v>2.0499999999999998</v>
      </c>
      <c r="G342" s="31" t="str">
        <f>Source!DF130</f>
        <v/>
      </c>
      <c r="H342" s="33">
        <f>ROUND(Source!AE130*Source!I130, 2)</f>
        <v>1.46</v>
      </c>
      <c r="I342" s="31"/>
      <c r="J342" s="31">
        <f>IF(Source!BS130&lt;&gt; 0, Source!BS130, 1)</f>
        <v>6.56</v>
      </c>
      <c r="K342" s="33">
        <f>Source!R130</f>
        <v>9.5500000000000007</v>
      </c>
      <c r="L342" s="32"/>
      <c r="R342">
        <f>H342</f>
        <v>1.46</v>
      </c>
    </row>
    <row r="343" spans="1:26" ht="14.25" x14ac:dyDescent="0.2">
      <c r="A343" s="45"/>
      <c r="B343" s="46"/>
      <c r="C343" s="46" t="s">
        <v>1643</v>
      </c>
      <c r="D343" s="29"/>
      <c r="E343" s="11"/>
      <c r="F343" s="30">
        <f>Source!AL130</f>
        <v>432.55</v>
      </c>
      <c r="G343" s="31" t="str">
        <f>Source!DD130</f>
        <v/>
      </c>
      <c r="H343" s="30">
        <f>ROUND(Source!AC130*Source!I130, 2)</f>
        <v>307.11</v>
      </c>
      <c r="I343" s="31"/>
      <c r="J343" s="31">
        <f>IF(Source!BC130&lt;&gt; 0, Source!BC130, 1)</f>
        <v>6.56</v>
      </c>
      <c r="K343" s="30">
        <f>Source!P130</f>
        <v>2014.64</v>
      </c>
      <c r="L343" s="32"/>
    </row>
    <row r="344" spans="1:26" ht="14.25" x14ac:dyDescent="0.2">
      <c r="A344" s="45"/>
      <c r="B344" s="46"/>
      <c r="C344" s="46" t="s">
        <v>1638</v>
      </c>
      <c r="D344" s="29" t="s">
        <v>1639</v>
      </c>
      <c r="E344" s="11">
        <f>Source!BZ130</f>
        <v>80</v>
      </c>
      <c r="F344" s="49"/>
      <c r="G344" s="31"/>
      <c r="H344" s="30">
        <f>SUM(S338:S348)</f>
        <v>138.66999999999999</v>
      </c>
      <c r="I344" s="34"/>
      <c r="J344" s="27">
        <f>Source!AT130</f>
        <v>80</v>
      </c>
      <c r="K344" s="30">
        <f>SUM(T338:T348)</f>
        <v>909.69</v>
      </c>
      <c r="L344" s="32"/>
    </row>
    <row r="345" spans="1:26" ht="14.25" x14ac:dyDescent="0.2">
      <c r="A345" s="45"/>
      <c r="B345" s="46"/>
      <c r="C345" s="46" t="s">
        <v>1640</v>
      </c>
      <c r="D345" s="29" t="s">
        <v>1639</v>
      </c>
      <c r="E345" s="11">
        <f>Source!CA130</f>
        <v>50</v>
      </c>
      <c r="F345" s="49"/>
      <c r="G345" s="31"/>
      <c r="H345" s="30">
        <f>SUM(U338:U348)</f>
        <v>86.67</v>
      </c>
      <c r="I345" s="34"/>
      <c r="J345" s="27">
        <f>Source!AU130</f>
        <v>50</v>
      </c>
      <c r="K345" s="30">
        <f>SUM(V338:V348)</f>
        <v>568.55999999999995</v>
      </c>
      <c r="L345" s="32"/>
    </row>
    <row r="346" spans="1:26" ht="14.25" x14ac:dyDescent="0.2">
      <c r="A346" s="45"/>
      <c r="B346" s="46"/>
      <c r="C346" s="46" t="s">
        <v>1641</v>
      </c>
      <c r="D346" s="29" t="s">
        <v>1642</v>
      </c>
      <c r="E346" s="11">
        <f>Source!AQ130</f>
        <v>28.02</v>
      </c>
      <c r="F346" s="30"/>
      <c r="G346" s="31" t="str">
        <f>Source!DI130</f>
        <v/>
      </c>
      <c r="H346" s="30"/>
      <c r="I346" s="31"/>
      <c r="J346" s="31"/>
      <c r="K346" s="30"/>
      <c r="L346" s="41">
        <f>Source!U130</f>
        <v>19.894199999999998</v>
      </c>
    </row>
    <row r="347" spans="1:26" ht="28.5" x14ac:dyDescent="0.2">
      <c r="A347" s="45" t="str">
        <f>Source!E131</f>
        <v>31,1</v>
      </c>
      <c r="B347" s="46" t="str">
        <f>Source!F131</f>
        <v>14.3.02.01-0026</v>
      </c>
      <c r="C347" s="46" t="str">
        <f>Source!G131</f>
        <v>Краска акриловая АКВА ВД-АК-11</v>
      </c>
      <c r="D347" s="29" t="str">
        <f>Source!H131</f>
        <v>т</v>
      </c>
      <c r="E347" s="11">
        <f>Source!I131</f>
        <v>4.7570000000000001E-2</v>
      </c>
      <c r="F347" s="30">
        <f>Source!AL131+Source!AM131+Source!AO131</f>
        <v>8505</v>
      </c>
      <c r="G347" s="42" t="s">
        <v>6</v>
      </c>
      <c r="H347" s="30">
        <f>ROUND(Source!AC131*Source!I131, 2)+ROUND(Source!AD131*Source!I131, 2)+ROUND(Source!AF131*Source!I131, 2)</f>
        <v>404.58</v>
      </c>
      <c r="I347" s="31"/>
      <c r="J347" s="31">
        <f>IF(Source!BC131&lt;&gt; 0, Source!BC131, 1)</f>
        <v>6.56</v>
      </c>
      <c r="K347" s="30">
        <f>Source!O131</f>
        <v>2654.06</v>
      </c>
      <c r="L347" s="32"/>
      <c r="S347">
        <f>ROUND((Source!FX131/100)*((ROUND(Source!AF131*Source!I131, 2)+ROUND(Source!AE131*Source!I131, 2))), 2)</f>
        <v>0</v>
      </c>
      <c r="T347">
        <f>Source!X131</f>
        <v>0</v>
      </c>
      <c r="U347">
        <f>ROUND((Source!FY131/100)*((ROUND(Source!AF131*Source!I131, 2)+ROUND(Source!AE131*Source!I131, 2))), 2)</f>
        <v>0</v>
      </c>
      <c r="V347">
        <f>Source!Y131</f>
        <v>0</v>
      </c>
      <c r="W347">
        <f>IF(Source!BI131&lt;=1,H347, 0)</f>
        <v>404.58</v>
      </c>
      <c r="X347">
        <f>IF(Source!BI131=2,H347, 0)</f>
        <v>0</v>
      </c>
      <c r="Y347">
        <f>IF(Source!BI131=3,H347, 0)</f>
        <v>0</v>
      </c>
      <c r="Z347">
        <f>IF(Source!BI131=4,H347, 0)</f>
        <v>0</v>
      </c>
    </row>
    <row r="348" spans="1:26" ht="14.25" x14ac:dyDescent="0.2">
      <c r="A348" s="47" t="str">
        <f>Source!E132</f>
        <v>31,2</v>
      </c>
      <c r="B348" s="48" t="str">
        <f>Source!F132</f>
        <v>14.3.02.01</v>
      </c>
      <c r="C348" s="48" t="str">
        <f>Source!G132</f>
        <v>Краска водоэмульсионная</v>
      </c>
      <c r="D348" s="35" t="str">
        <f>Source!H132</f>
        <v>т</v>
      </c>
      <c r="E348" s="36">
        <f>Source!I132</f>
        <v>4.7570000000000001E-2</v>
      </c>
      <c r="F348" s="37">
        <f>Source!AL132+Source!AM132+Source!AO132</f>
        <v>0</v>
      </c>
      <c r="G348" s="43" t="s">
        <v>6</v>
      </c>
      <c r="H348" s="37">
        <f>ROUND(Source!AC132*Source!I132, 2)+ROUND(Source!AD132*Source!I132, 2)+ROUND(Source!AF132*Source!I132, 2)</f>
        <v>0</v>
      </c>
      <c r="I348" s="38"/>
      <c r="J348" s="38">
        <f>IF(Source!BC132&lt;&gt; 0, Source!BC132, 1)</f>
        <v>6.56</v>
      </c>
      <c r="K348" s="37">
        <f>Source!O132</f>
        <v>0</v>
      </c>
      <c r="L348" s="44"/>
      <c r="S348">
        <f>ROUND((Source!FX132/100)*((ROUND(Source!AF132*Source!I132, 2)+ROUND(Source!AE132*Source!I132, 2))), 2)</f>
        <v>0</v>
      </c>
      <c r="T348">
        <f>Source!X132</f>
        <v>0</v>
      </c>
      <c r="U348">
        <f>ROUND((Source!FY132/100)*((ROUND(Source!AF132*Source!I132, 2)+ROUND(Source!AE132*Source!I132, 2))), 2)</f>
        <v>0</v>
      </c>
      <c r="V348">
        <f>Source!Y132</f>
        <v>0</v>
      </c>
      <c r="W348">
        <f>IF(Source!BI132&lt;=1,H348, 0)</f>
        <v>0</v>
      </c>
      <c r="X348">
        <f>IF(Source!BI132=2,H348, 0)</f>
        <v>0</v>
      </c>
      <c r="Y348">
        <f>IF(Source!BI132=3,H348, 0)</f>
        <v>0</v>
      </c>
      <c r="Z348">
        <f>IF(Source!BI132=4,H348, 0)</f>
        <v>0</v>
      </c>
    </row>
    <row r="349" spans="1:26" ht="15" x14ac:dyDescent="0.25">
      <c r="G349" s="70">
        <f>H340+H341+H343+H344+H345+SUM(H347:H348)</f>
        <v>1113.9299999999998</v>
      </c>
      <c r="H349" s="70"/>
      <c r="J349" s="70">
        <f>K340+K341+K343+K344+K345+SUM(K347:K348)</f>
        <v>7307.4400000000005</v>
      </c>
      <c r="K349" s="70"/>
      <c r="L349" s="40">
        <f>Source!U130</f>
        <v>19.894199999999998</v>
      </c>
      <c r="O349" s="24">
        <f>G349</f>
        <v>1113.9299999999998</v>
      </c>
      <c r="P349" s="24">
        <f>J349</f>
        <v>7307.4400000000005</v>
      </c>
      <c r="Q349" s="24">
        <f>L349</f>
        <v>19.894199999999998</v>
      </c>
      <c r="W349">
        <f>IF(Source!BI130&lt;=1,H340+H341+H343+H344+H345, 0)</f>
        <v>709.34999999999991</v>
      </c>
      <c r="X349">
        <f>IF(Source!BI130=2,H340+H341+H343+H344+H345, 0)</f>
        <v>0</v>
      </c>
      <c r="Y349">
        <f>IF(Source!BI130=3,H340+H341+H343+H344+H345, 0)</f>
        <v>0</v>
      </c>
      <c r="Z349">
        <f>IF(Source!BI130=4,H340+H341+H343+H344+H345, 0)</f>
        <v>0</v>
      </c>
    </row>
    <row r="350" spans="1:26" ht="42.75" x14ac:dyDescent="0.2">
      <c r="A350" s="45" t="str">
        <f>Source!E133</f>
        <v>32</v>
      </c>
      <c r="B350" s="46" t="str">
        <f>Source!F133</f>
        <v>15-06-001-01</v>
      </c>
      <c r="C350" s="46" t="str">
        <f>Source!G133</f>
        <v>Оклейка обоями стен по монолитной штукатурке и бетону простыми и средней плотности</v>
      </c>
      <c r="D350" s="29" t="str">
        <f>Source!H133</f>
        <v>100 м2</v>
      </c>
      <c r="E350" s="11">
        <f>Source!I133</f>
        <v>2.1543000000000001</v>
      </c>
      <c r="F350" s="30">
        <f>Source!AL133+Source!AM133+Source!AO133</f>
        <v>419.87</v>
      </c>
      <c r="G350" s="31"/>
      <c r="H350" s="30"/>
      <c r="I350" s="31" t="str">
        <f>Source!BO133</f>
        <v/>
      </c>
      <c r="J350" s="31"/>
      <c r="K350" s="30"/>
      <c r="L350" s="32"/>
      <c r="S350">
        <f>ROUND((Source!FX133/100)*((ROUND(Source!AF133*Source!I133, 2)+ROUND(Source!AE133*Source!I133, 2))), 2)</f>
        <v>607.12</v>
      </c>
      <c r="T350">
        <f>Source!X133</f>
        <v>4003.78</v>
      </c>
      <c r="U350">
        <f>ROUND((Source!FY133/100)*((ROUND(Source!AF133*Source!I133, 2)+ROUND(Source!AE133*Source!I133, 2))), 2)</f>
        <v>300.35000000000002</v>
      </c>
      <c r="V350">
        <f>Source!Y133</f>
        <v>1980.82</v>
      </c>
    </row>
    <row r="351" spans="1:26" x14ac:dyDescent="0.2">
      <c r="C351" s="23" t="str">
        <f>"Объем: "&amp;Source!I133&amp;"=215,43/"&amp;"100"</f>
        <v>Объем: 2,1543=215,43/100</v>
      </c>
    </row>
    <row r="352" spans="1:26" ht="14.25" x14ac:dyDescent="0.2">
      <c r="A352" s="45"/>
      <c r="B352" s="46"/>
      <c r="C352" s="46" t="s">
        <v>1636</v>
      </c>
      <c r="D352" s="29"/>
      <c r="E352" s="11"/>
      <c r="F352" s="30">
        <f>Source!AO133</f>
        <v>297.95999999999998</v>
      </c>
      <c r="G352" s="31" t="str">
        <f>Source!DG133</f>
        <v/>
      </c>
      <c r="H352" s="30">
        <f>ROUND(Source!AF133*Source!I133, 2)</f>
        <v>641.9</v>
      </c>
      <c r="I352" s="31"/>
      <c r="J352" s="31">
        <f>IF(Source!BA133&lt;&gt; 0, Source!BA133, 1)</f>
        <v>6.56</v>
      </c>
      <c r="K352" s="30">
        <f>Source!S133</f>
        <v>4210.83</v>
      </c>
      <c r="L352" s="32"/>
      <c r="R352">
        <f>H352</f>
        <v>641.9</v>
      </c>
    </row>
    <row r="353" spans="1:26" ht="14.25" x14ac:dyDescent="0.2">
      <c r="A353" s="45"/>
      <c r="B353" s="46"/>
      <c r="C353" s="46" t="s">
        <v>136</v>
      </c>
      <c r="D353" s="29"/>
      <c r="E353" s="11"/>
      <c r="F353" s="30">
        <f>Source!AM133</f>
        <v>0.97</v>
      </c>
      <c r="G353" s="31" t="str">
        <f>Source!DE133</f>
        <v/>
      </c>
      <c r="H353" s="30">
        <f>ROUND(Source!AD133*Source!I133, 2)</f>
        <v>2.09</v>
      </c>
      <c r="I353" s="31"/>
      <c r="J353" s="31">
        <f>IF(Source!BB133&lt;&gt; 0, Source!BB133, 1)</f>
        <v>6.56</v>
      </c>
      <c r="K353" s="30">
        <f>Source!Q133</f>
        <v>13.71</v>
      </c>
      <c r="L353" s="32"/>
    </row>
    <row r="354" spans="1:26" ht="14.25" x14ac:dyDescent="0.2">
      <c r="A354" s="45"/>
      <c r="B354" s="46"/>
      <c r="C354" s="46" t="s">
        <v>1637</v>
      </c>
      <c r="D354" s="29"/>
      <c r="E354" s="11"/>
      <c r="F354" s="30">
        <f>Source!AN133</f>
        <v>0.26</v>
      </c>
      <c r="G354" s="31" t="str">
        <f>Source!DF133</f>
        <v/>
      </c>
      <c r="H354" s="33">
        <f>ROUND(Source!AE133*Source!I133, 2)</f>
        <v>0.56000000000000005</v>
      </c>
      <c r="I354" s="31"/>
      <c r="J354" s="31">
        <f>IF(Source!BS133&lt;&gt; 0, Source!BS133, 1)</f>
        <v>6.56</v>
      </c>
      <c r="K354" s="33">
        <f>Source!R133</f>
        <v>3.67</v>
      </c>
      <c r="L354" s="32"/>
      <c r="R354">
        <f>H354</f>
        <v>0.56000000000000005</v>
      </c>
    </row>
    <row r="355" spans="1:26" ht="14.25" x14ac:dyDescent="0.2">
      <c r="A355" s="45"/>
      <c r="B355" s="46"/>
      <c r="C355" s="46" t="s">
        <v>1643</v>
      </c>
      <c r="D355" s="29"/>
      <c r="E355" s="11"/>
      <c r="F355" s="30">
        <f>Source!AL133</f>
        <v>120.94</v>
      </c>
      <c r="G355" s="31" t="str">
        <f>Source!DD133</f>
        <v/>
      </c>
      <c r="H355" s="30">
        <f>ROUND(Source!AC133*Source!I133, 2)</f>
        <v>260.54000000000002</v>
      </c>
      <c r="I355" s="31"/>
      <c r="J355" s="31">
        <f>IF(Source!BC133&lt;&gt; 0, Source!BC133, 1)</f>
        <v>6.56</v>
      </c>
      <c r="K355" s="30">
        <f>Source!P133</f>
        <v>1709.15</v>
      </c>
      <c r="L355" s="32"/>
    </row>
    <row r="356" spans="1:26" ht="14.25" x14ac:dyDescent="0.2">
      <c r="A356" s="45"/>
      <c r="B356" s="46"/>
      <c r="C356" s="46" t="s">
        <v>1638</v>
      </c>
      <c r="D356" s="29" t="s">
        <v>1639</v>
      </c>
      <c r="E356" s="11">
        <f>Source!BZ133</f>
        <v>105</v>
      </c>
      <c r="F356" s="71" t="str">
        <f>CONCATENATE(" )", Source!DL133, Source!FT133, "=", Source!FX133)</f>
        <v xml:space="preserve"> )*0,9=94,5</v>
      </c>
      <c r="G356" s="72"/>
      <c r="H356" s="30">
        <f>SUM(S350:S359)</f>
        <v>607.12</v>
      </c>
      <c r="I356" s="34"/>
      <c r="J356" s="27">
        <f>Source!AT133</f>
        <v>95</v>
      </c>
      <c r="K356" s="30">
        <f>SUM(T350:T359)</f>
        <v>4003.78</v>
      </c>
      <c r="L356" s="32"/>
    </row>
    <row r="357" spans="1:26" ht="14.25" x14ac:dyDescent="0.2">
      <c r="A357" s="45"/>
      <c r="B357" s="46"/>
      <c r="C357" s="46" t="s">
        <v>1640</v>
      </c>
      <c r="D357" s="29" t="s">
        <v>1639</v>
      </c>
      <c r="E357" s="11">
        <f>Source!CA133</f>
        <v>55</v>
      </c>
      <c r="F357" s="71" t="str">
        <f>CONCATENATE(" )", Source!DM133, Source!FU133, "=", Source!FY133)</f>
        <v xml:space="preserve"> )*0,85=46,75</v>
      </c>
      <c r="G357" s="72"/>
      <c r="H357" s="30">
        <f>SUM(U350:U359)</f>
        <v>300.35000000000002</v>
      </c>
      <c r="I357" s="34"/>
      <c r="J357" s="27">
        <f>Source!AU133</f>
        <v>47</v>
      </c>
      <c r="K357" s="30">
        <f>SUM(V350:V359)</f>
        <v>1980.82</v>
      </c>
      <c r="L357" s="32"/>
    </row>
    <row r="358" spans="1:26" ht="14.25" x14ac:dyDescent="0.2">
      <c r="A358" s="45"/>
      <c r="B358" s="46"/>
      <c r="C358" s="46" t="s">
        <v>1641</v>
      </c>
      <c r="D358" s="29" t="s">
        <v>1642</v>
      </c>
      <c r="E358" s="11">
        <f>Source!AQ133</f>
        <v>33.630000000000003</v>
      </c>
      <c r="F358" s="30"/>
      <c r="G358" s="31" t="str">
        <f>Source!DI133</f>
        <v/>
      </c>
      <c r="H358" s="30"/>
      <c r="I358" s="31"/>
      <c r="J358" s="31"/>
      <c r="K358" s="30"/>
      <c r="L358" s="41">
        <f>Source!U133</f>
        <v>72.449109000000007</v>
      </c>
    </row>
    <row r="359" spans="1:26" ht="14.25" x14ac:dyDescent="0.2">
      <c r="A359" s="47" t="str">
        <f>Source!E134</f>
        <v>32,1</v>
      </c>
      <c r="B359" s="48" t="str">
        <f>Source!F134</f>
        <v>01.6.02.01</v>
      </c>
      <c r="C359" s="48" t="str">
        <f>Source!G134</f>
        <v>Обои</v>
      </c>
      <c r="D359" s="35" t="str">
        <f>Source!H134</f>
        <v>100 м2</v>
      </c>
      <c r="E359" s="36">
        <f>Source!I134</f>
        <v>2.4343590000000002</v>
      </c>
      <c r="F359" s="37">
        <f>Source!AL134+Source!AM134+Source!AO134</f>
        <v>0</v>
      </c>
      <c r="G359" s="43" t="s">
        <v>6</v>
      </c>
      <c r="H359" s="37">
        <f>ROUND(Source!AC134*Source!I134, 2)+ROUND(Source!AD134*Source!I134, 2)+ROUND(Source!AF134*Source!I134, 2)</f>
        <v>0</v>
      </c>
      <c r="I359" s="38"/>
      <c r="J359" s="38">
        <f>IF(Source!BC134&lt;&gt; 0, Source!BC134, 1)</f>
        <v>6.56</v>
      </c>
      <c r="K359" s="37">
        <f>Source!O134</f>
        <v>0</v>
      </c>
      <c r="L359" s="44"/>
      <c r="S359">
        <f>ROUND((Source!FX134/100)*((ROUND(Source!AF134*Source!I134, 2)+ROUND(Source!AE134*Source!I134, 2))), 2)</f>
        <v>0</v>
      </c>
      <c r="T359">
        <f>Source!X134</f>
        <v>0</v>
      </c>
      <c r="U359">
        <f>ROUND((Source!FY134/100)*((ROUND(Source!AF134*Source!I134, 2)+ROUND(Source!AE134*Source!I134, 2))), 2)</f>
        <v>0</v>
      </c>
      <c r="V359">
        <f>Source!Y134</f>
        <v>0</v>
      </c>
      <c r="W359">
        <f>IF(Source!BI134&lt;=1,H359, 0)</f>
        <v>0</v>
      </c>
      <c r="X359">
        <f>IF(Source!BI134=2,H359, 0)</f>
        <v>0</v>
      </c>
      <c r="Y359">
        <f>IF(Source!BI134=3,H359, 0)</f>
        <v>0</v>
      </c>
      <c r="Z359">
        <f>IF(Source!BI134=4,H359, 0)</f>
        <v>0</v>
      </c>
    </row>
    <row r="360" spans="1:26" ht="15" x14ac:dyDescent="0.25">
      <c r="G360" s="70">
        <f>H352+H353+H355+H356+H357+SUM(H359:H359)</f>
        <v>1812</v>
      </c>
      <c r="H360" s="70"/>
      <c r="J360" s="70">
        <f>K352+K353+K355+K356+K357+SUM(K359:K359)</f>
        <v>11918.29</v>
      </c>
      <c r="K360" s="70"/>
      <c r="L360" s="40">
        <f>Source!U133</f>
        <v>72.449109000000007</v>
      </c>
      <c r="O360" s="24">
        <f>G360</f>
        <v>1812</v>
      </c>
      <c r="P360" s="24">
        <f>J360</f>
        <v>11918.29</v>
      </c>
      <c r="Q360" s="24">
        <f>L360</f>
        <v>72.449109000000007</v>
      </c>
      <c r="W360">
        <f>IF(Source!BI133&lt;=1,H352+H353+H355+H356+H357, 0)</f>
        <v>1812</v>
      </c>
      <c r="X360">
        <f>IF(Source!BI133=2,H352+H353+H355+H356+H357, 0)</f>
        <v>0</v>
      </c>
      <c r="Y360">
        <f>IF(Source!BI133=3,H352+H353+H355+H356+H357, 0)</f>
        <v>0</v>
      </c>
      <c r="Z360">
        <f>IF(Source!BI133=4,H352+H353+H355+H356+H357, 0)</f>
        <v>0</v>
      </c>
    </row>
    <row r="361" spans="1:26" ht="28.5" x14ac:dyDescent="0.2">
      <c r="A361" s="45" t="str">
        <f>Source!E135</f>
        <v>33</v>
      </c>
      <c r="B361" s="46" t="str">
        <f>Source!F135</f>
        <v>15-06-004-01</v>
      </c>
      <c r="C361" s="46" t="str">
        <f>Source!G135</f>
        <v>Вторая окраска стен, оклееных стеклообоями, красками</v>
      </c>
      <c r="D361" s="29" t="str">
        <f>Source!H135</f>
        <v>100 м2</v>
      </c>
      <c r="E361" s="11">
        <f>Source!I135</f>
        <v>2.1543000000000001</v>
      </c>
      <c r="F361" s="30">
        <f>Source!AL135+Source!AM135+Source!AO135</f>
        <v>80.62</v>
      </c>
      <c r="G361" s="31"/>
      <c r="H361" s="30"/>
      <c r="I361" s="31" t="str">
        <f>Source!BO135</f>
        <v/>
      </c>
      <c r="J361" s="31"/>
      <c r="K361" s="30"/>
      <c r="L361" s="32"/>
      <c r="S361">
        <f>ROUND((Source!FX135/100)*((ROUND(Source!AF135*Source!I135, 2)+ROUND(Source!AE135*Source!I135, 2))), 2)</f>
        <v>164.13</v>
      </c>
      <c r="T361">
        <f>Source!X135</f>
        <v>1082.3699999999999</v>
      </c>
      <c r="U361">
        <f>ROUND((Source!FY135/100)*((ROUND(Source!AF135*Source!I135, 2)+ROUND(Source!AE135*Source!I135, 2))), 2)</f>
        <v>81.2</v>
      </c>
      <c r="V361">
        <f>Source!Y135</f>
        <v>535.49</v>
      </c>
    </row>
    <row r="362" spans="1:26" x14ac:dyDescent="0.2">
      <c r="C362" s="23" t="str">
        <f>"Объем: "&amp;Source!I135&amp;"=215,43/"&amp;"100"</f>
        <v>Объем: 2,1543=215,43/100</v>
      </c>
    </row>
    <row r="363" spans="1:26" ht="14.25" x14ac:dyDescent="0.2">
      <c r="A363" s="45"/>
      <c r="B363" s="46"/>
      <c r="C363" s="46" t="s">
        <v>1636</v>
      </c>
      <c r="D363" s="29"/>
      <c r="E363" s="11"/>
      <c r="F363" s="30">
        <f>Source!AO135</f>
        <v>80.62</v>
      </c>
      <c r="G363" s="31" t="str">
        <f>Source!DG135</f>
        <v/>
      </c>
      <c r="H363" s="30">
        <f>ROUND(Source!AF135*Source!I135, 2)</f>
        <v>173.68</v>
      </c>
      <c r="I363" s="31"/>
      <c r="J363" s="31">
        <f>IF(Source!BA135&lt;&gt; 0, Source!BA135, 1)</f>
        <v>6.56</v>
      </c>
      <c r="K363" s="30">
        <f>Source!S135</f>
        <v>1139.3399999999999</v>
      </c>
      <c r="L363" s="32"/>
      <c r="R363">
        <f>H363</f>
        <v>173.68</v>
      </c>
    </row>
    <row r="364" spans="1:26" ht="14.25" x14ac:dyDescent="0.2">
      <c r="A364" s="45"/>
      <c r="B364" s="46"/>
      <c r="C364" s="46" t="s">
        <v>1638</v>
      </c>
      <c r="D364" s="29" t="s">
        <v>1639</v>
      </c>
      <c r="E364" s="11">
        <f>Source!BZ135</f>
        <v>105</v>
      </c>
      <c r="F364" s="71" t="str">
        <f>CONCATENATE(" )", Source!DL135, Source!FT135, "=", Source!FX135)</f>
        <v xml:space="preserve"> )*0,9=94,5</v>
      </c>
      <c r="G364" s="72"/>
      <c r="H364" s="30">
        <f>SUM(S361:S368)</f>
        <v>164.13</v>
      </c>
      <c r="I364" s="34"/>
      <c r="J364" s="27">
        <f>Source!AT135</f>
        <v>95</v>
      </c>
      <c r="K364" s="30">
        <f>SUM(T361:T368)</f>
        <v>1082.3699999999999</v>
      </c>
      <c r="L364" s="32"/>
    </row>
    <row r="365" spans="1:26" ht="14.25" x14ac:dyDescent="0.2">
      <c r="A365" s="45"/>
      <c r="B365" s="46"/>
      <c r="C365" s="46" t="s">
        <v>1640</v>
      </c>
      <c r="D365" s="29" t="s">
        <v>1639</v>
      </c>
      <c r="E365" s="11">
        <f>Source!CA135</f>
        <v>55</v>
      </c>
      <c r="F365" s="71" t="str">
        <f>CONCATENATE(" )", Source!DM135, Source!FU135, "=", Source!FY135)</f>
        <v xml:space="preserve"> )*0,85=46,75</v>
      </c>
      <c r="G365" s="72"/>
      <c r="H365" s="30">
        <f>SUM(U361:U368)</f>
        <v>81.2</v>
      </c>
      <c r="I365" s="34"/>
      <c r="J365" s="27">
        <f>Source!AU135</f>
        <v>47</v>
      </c>
      <c r="K365" s="30">
        <f>SUM(V361:V368)</f>
        <v>535.49</v>
      </c>
      <c r="L365" s="32"/>
    </row>
    <row r="366" spans="1:26" ht="14.25" x14ac:dyDescent="0.2">
      <c r="A366" s="45"/>
      <c r="B366" s="46"/>
      <c r="C366" s="46" t="s">
        <v>1641</v>
      </c>
      <c r="D366" s="29" t="s">
        <v>1642</v>
      </c>
      <c r="E366" s="11">
        <f>Source!AQ135</f>
        <v>8.3800000000000008</v>
      </c>
      <c r="F366" s="30"/>
      <c r="G366" s="31" t="str">
        <f>Source!DI135</f>
        <v/>
      </c>
      <c r="H366" s="30"/>
      <c r="I366" s="31"/>
      <c r="J366" s="31"/>
      <c r="K366" s="30"/>
      <c r="L366" s="41">
        <f>Source!U135</f>
        <v>18.053034000000004</v>
      </c>
    </row>
    <row r="367" spans="1:26" ht="28.5" x14ac:dyDescent="0.2">
      <c r="A367" s="45" t="str">
        <f>Source!E136</f>
        <v>33,1</v>
      </c>
      <c r="B367" s="46" t="str">
        <f>Source!F136</f>
        <v>14.3.02.01-0026</v>
      </c>
      <c r="C367" s="46" t="str">
        <f>Source!G136</f>
        <v>Краска акриловая АКВА ВД-АК-11</v>
      </c>
      <c r="D367" s="29" t="str">
        <f>Source!H136</f>
        <v>т</v>
      </c>
      <c r="E367" s="11">
        <f>Source!I136</f>
        <v>3.4469E-2</v>
      </c>
      <c r="F367" s="30">
        <f>Source!AL136+Source!AM136+Source!AO136</f>
        <v>8505</v>
      </c>
      <c r="G367" s="42" t="s">
        <v>6</v>
      </c>
      <c r="H367" s="30">
        <f>ROUND(Source!AC136*Source!I136, 2)+ROUND(Source!AD136*Source!I136, 2)+ROUND(Source!AF136*Source!I136, 2)</f>
        <v>293.16000000000003</v>
      </c>
      <c r="I367" s="31"/>
      <c r="J367" s="31">
        <f>IF(Source!BC136&lt;&gt; 0, Source!BC136, 1)</f>
        <v>6.56</v>
      </c>
      <c r="K367" s="30">
        <f>Source!O136</f>
        <v>1923.12</v>
      </c>
      <c r="L367" s="32"/>
      <c r="S367">
        <f>ROUND((Source!FX136/100)*((ROUND(Source!AF136*Source!I136, 2)+ROUND(Source!AE136*Source!I136, 2))), 2)</f>
        <v>0</v>
      </c>
      <c r="T367">
        <f>Source!X136</f>
        <v>0</v>
      </c>
      <c r="U367">
        <f>ROUND((Source!FY136/100)*((ROUND(Source!AF136*Source!I136, 2)+ROUND(Source!AE136*Source!I136, 2))), 2)</f>
        <v>0</v>
      </c>
      <c r="V367">
        <f>Source!Y136</f>
        <v>0</v>
      </c>
      <c r="W367">
        <f>IF(Source!BI136&lt;=1,H367, 0)</f>
        <v>293.16000000000003</v>
      </c>
      <c r="X367">
        <f>IF(Source!BI136=2,H367, 0)</f>
        <v>0</v>
      </c>
      <c r="Y367">
        <f>IF(Source!BI136=3,H367, 0)</f>
        <v>0</v>
      </c>
      <c r="Z367">
        <f>IF(Source!BI136=4,H367, 0)</f>
        <v>0</v>
      </c>
    </row>
    <row r="368" spans="1:26" ht="14.25" x14ac:dyDescent="0.2">
      <c r="A368" s="47" t="str">
        <f>Source!E137</f>
        <v>33,2</v>
      </c>
      <c r="B368" s="48" t="str">
        <f>Source!F137</f>
        <v>14.4.02.09</v>
      </c>
      <c r="C368" s="48" t="str">
        <f>Source!G137</f>
        <v>Краска</v>
      </c>
      <c r="D368" s="35" t="str">
        <f>Source!H137</f>
        <v>т</v>
      </c>
      <c r="E368" s="36">
        <f>Source!I137</f>
        <v>3.4469E-2</v>
      </c>
      <c r="F368" s="37">
        <f>Source!AL137+Source!AM137+Source!AO137</f>
        <v>0</v>
      </c>
      <c r="G368" s="43" t="s">
        <v>6</v>
      </c>
      <c r="H368" s="37">
        <f>ROUND(Source!AC137*Source!I137, 2)+ROUND(Source!AD137*Source!I137, 2)+ROUND(Source!AF137*Source!I137, 2)</f>
        <v>0</v>
      </c>
      <c r="I368" s="38"/>
      <c r="J368" s="38">
        <f>IF(Source!BC137&lt;&gt; 0, Source!BC137, 1)</f>
        <v>6.56</v>
      </c>
      <c r="K368" s="37">
        <f>Source!O137</f>
        <v>0</v>
      </c>
      <c r="L368" s="44"/>
      <c r="S368">
        <f>ROUND((Source!FX137/100)*((ROUND(Source!AF137*Source!I137, 2)+ROUND(Source!AE137*Source!I137, 2))), 2)</f>
        <v>0</v>
      </c>
      <c r="T368">
        <f>Source!X137</f>
        <v>0</v>
      </c>
      <c r="U368">
        <f>ROUND((Source!FY137/100)*((ROUND(Source!AF137*Source!I137, 2)+ROUND(Source!AE137*Source!I137, 2))), 2)</f>
        <v>0</v>
      </c>
      <c r="V368">
        <f>Source!Y137</f>
        <v>0</v>
      </c>
      <c r="W368">
        <f>IF(Source!BI137&lt;=1,H368, 0)</f>
        <v>0</v>
      </c>
      <c r="X368">
        <f>IF(Source!BI137=2,H368, 0)</f>
        <v>0</v>
      </c>
      <c r="Y368">
        <f>IF(Source!BI137=3,H368, 0)</f>
        <v>0</v>
      </c>
      <c r="Z368">
        <f>IF(Source!BI137=4,H368, 0)</f>
        <v>0</v>
      </c>
    </row>
    <row r="369" spans="1:26" ht="15" x14ac:dyDescent="0.25">
      <c r="G369" s="70">
        <f>H363+H364+H365+SUM(H367:H368)</f>
        <v>712.17000000000007</v>
      </c>
      <c r="H369" s="70"/>
      <c r="J369" s="70">
        <f>K363+K364+K365+SUM(K367:K368)</f>
        <v>4680.32</v>
      </c>
      <c r="K369" s="70"/>
      <c r="L369" s="40">
        <f>Source!U135</f>
        <v>18.053034000000004</v>
      </c>
      <c r="O369" s="24">
        <f>G369</f>
        <v>712.17000000000007</v>
      </c>
      <c r="P369" s="24">
        <f>J369</f>
        <v>4680.32</v>
      </c>
      <c r="Q369" s="24">
        <f>L369</f>
        <v>18.053034000000004</v>
      </c>
      <c r="W369">
        <f>IF(Source!BI135&lt;=1,H363+H364+H365, 0)</f>
        <v>419.01</v>
      </c>
      <c r="X369">
        <f>IF(Source!BI135=2,H363+H364+H365, 0)</f>
        <v>0</v>
      </c>
      <c r="Y369">
        <f>IF(Source!BI135=3,H363+H364+H365, 0)</f>
        <v>0</v>
      </c>
      <c r="Z369">
        <f>IF(Source!BI135=4,H363+H364+H365, 0)</f>
        <v>0</v>
      </c>
    </row>
    <row r="370" spans="1:26" ht="57" x14ac:dyDescent="0.2">
      <c r="A370" s="45" t="str">
        <f>Source!E138</f>
        <v>34</v>
      </c>
      <c r="B370" s="46" t="str">
        <f>Source!F138</f>
        <v>15-02-041-02 прим.</v>
      </c>
      <c r="C370" s="46" t="str">
        <f>Source!G138</f>
        <v>Устройство металлического каркаса из направляющих профилей под облицовку различными материалами перегородок (канализационные стояки)</v>
      </c>
      <c r="D370" s="29" t="str">
        <f>Source!H138</f>
        <v>100 м2</v>
      </c>
      <c r="E370" s="11">
        <f>Source!I138</f>
        <v>2.8000000000000001E-2</v>
      </c>
      <c r="F370" s="30">
        <f>Source!AL138+Source!AM138+Source!AO138</f>
        <v>3359.9199999999996</v>
      </c>
      <c r="G370" s="31"/>
      <c r="H370" s="30"/>
      <c r="I370" s="31" t="str">
        <f>Source!BO138</f>
        <v/>
      </c>
      <c r="J370" s="31"/>
      <c r="K370" s="30"/>
      <c r="L370" s="32"/>
      <c r="S370">
        <f>ROUND((Source!FX138/100)*((ROUND(Source!AF138*Source!I138, 2)+ROUND(Source!AE138*Source!I138, 2))), 2)</f>
        <v>14.89</v>
      </c>
      <c r="T370">
        <f>Source!X138</f>
        <v>98.17</v>
      </c>
      <c r="U370">
        <f>ROUND((Source!FY138/100)*((ROUND(Source!AF138*Source!I138, 2)+ROUND(Source!AE138*Source!I138, 2))), 2)</f>
        <v>7.37</v>
      </c>
      <c r="V370">
        <f>Source!Y138</f>
        <v>48.57</v>
      </c>
    </row>
    <row r="371" spans="1:26" x14ac:dyDescent="0.2">
      <c r="C371" s="23" t="str">
        <f>"Объем: "&amp;Source!I138&amp;"=2,8/"&amp;"100"</f>
        <v>Объем: 0,028=2,8/100</v>
      </c>
    </row>
    <row r="372" spans="1:26" ht="14.25" x14ac:dyDescent="0.2">
      <c r="A372" s="45"/>
      <c r="B372" s="46"/>
      <c r="C372" s="46" t="s">
        <v>1636</v>
      </c>
      <c r="D372" s="29"/>
      <c r="E372" s="11"/>
      <c r="F372" s="30">
        <f>Source!AO138</f>
        <v>488.43</v>
      </c>
      <c r="G372" s="31" t="str">
        <f>Source!DG138</f>
        <v>)*1,15</v>
      </c>
      <c r="H372" s="30">
        <f>ROUND(Source!AF138*Source!I138, 2)</f>
        <v>15.73</v>
      </c>
      <c r="I372" s="31"/>
      <c r="J372" s="31">
        <f>IF(Source!BA138&lt;&gt; 0, Source!BA138, 1)</f>
        <v>6.56</v>
      </c>
      <c r="K372" s="30">
        <f>Source!S138</f>
        <v>103.17</v>
      </c>
      <c r="L372" s="32"/>
      <c r="R372">
        <f>H372</f>
        <v>15.73</v>
      </c>
    </row>
    <row r="373" spans="1:26" ht="14.25" x14ac:dyDescent="0.2">
      <c r="A373" s="45"/>
      <c r="B373" s="46"/>
      <c r="C373" s="46" t="s">
        <v>136</v>
      </c>
      <c r="D373" s="29"/>
      <c r="E373" s="11"/>
      <c r="F373" s="30">
        <f>Source!AM138</f>
        <v>1.89</v>
      </c>
      <c r="G373" s="31" t="str">
        <f>Source!DE138</f>
        <v>)*1,25</v>
      </c>
      <c r="H373" s="30">
        <f>ROUND(Source!AD138*Source!I138, 2)</f>
        <v>7.0000000000000007E-2</v>
      </c>
      <c r="I373" s="31"/>
      <c r="J373" s="31">
        <f>IF(Source!BB138&lt;&gt; 0, Source!BB138, 1)</f>
        <v>6.56</v>
      </c>
      <c r="K373" s="30">
        <f>Source!Q138</f>
        <v>0.44</v>
      </c>
      <c r="L373" s="32"/>
    </row>
    <row r="374" spans="1:26" ht="14.25" x14ac:dyDescent="0.2">
      <c r="A374" s="45"/>
      <c r="B374" s="46"/>
      <c r="C374" s="46" t="s">
        <v>1637</v>
      </c>
      <c r="D374" s="29"/>
      <c r="E374" s="11"/>
      <c r="F374" s="30">
        <f>Source!AN138</f>
        <v>0.74</v>
      </c>
      <c r="G374" s="31" t="str">
        <f>Source!DF138</f>
        <v>)*1,25</v>
      </c>
      <c r="H374" s="33">
        <f>ROUND(Source!AE138*Source!I138, 2)</f>
        <v>0.03</v>
      </c>
      <c r="I374" s="31"/>
      <c r="J374" s="31">
        <f>IF(Source!BS138&lt;&gt; 0, Source!BS138, 1)</f>
        <v>6.56</v>
      </c>
      <c r="K374" s="33">
        <f>Source!R138</f>
        <v>0.17</v>
      </c>
      <c r="L374" s="32"/>
      <c r="R374">
        <f>H374</f>
        <v>0.03</v>
      </c>
    </row>
    <row r="375" spans="1:26" ht="14.25" x14ac:dyDescent="0.2">
      <c r="A375" s="45"/>
      <c r="B375" s="46"/>
      <c r="C375" s="46" t="s">
        <v>1643</v>
      </c>
      <c r="D375" s="29"/>
      <c r="E375" s="11"/>
      <c r="F375" s="30">
        <f>Source!AL138</f>
        <v>2869.6</v>
      </c>
      <c r="G375" s="31" t="str">
        <f>Source!DD138</f>
        <v/>
      </c>
      <c r="H375" s="30">
        <f>ROUND(Source!AC138*Source!I138, 2)</f>
        <v>80.349999999999994</v>
      </c>
      <c r="I375" s="31"/>
      <c r="J375" s="31">
        <f>IF(Source!BC138&lt;&gt; 0, Source!BC138, 1)</f>
        <v>6.56</v>
      </c>
      <c r="K375" s="30">
        <f>Source!P138</f>
        <v>527.09</v>
      </c>
      <c r="L375" s="32"/>
    </row>
    <row r="376" spans="1:26" ht="14.25" x14ac:dyDescent="0.2">
      <c r="A376" s="45"/>
      <c r="B376" s="46"/>
      <c r="C376" s="46" t="s">
        <v>1638</v>
      </c>
      <c r="D376" s="29" t="s">
        <v>1639</v>
      </c>
      <c r="E376" s="11">
        <f>Source!BZ138</f>
        <v>105</v>
      </c>
      <c r="F376" s="71" t="str">
        <f>CONCATENATE(" )", Source!DL138, Source!FT138, "=", Source!FX138)</f>
        <v xml:space="preserve"> )*0,9=94,5</v>
      </c>
      <c r="G376" s="72"/>
      <c r="H376" s="30">
        <f>SUM(S370:S378)</f>
        <v>14.89</v>
      </c>
      <c r="I376" s="34"/>
      <c r="J376" s="27">
        <f>Source!AT138</f>
        <v>95</v>
      </c>
      <c r="K376" s="30">
        <f>SUM(T370:T378)</f>
        <v>98.17</v>
      </c>
      <c r="L376" s="32"/>
    </row>
    <row r="377" spans="1:26" ht="14.25" x14ac:dyDescent="0.2">
      <c r="A377" s="45"/>
      <c r="B377" s="46"/>
      <c r="C377" s="46" t="s">
        <v>1640</v>
      </c>
      <c r="D377" s="29" t="s">
        <v>1639</v>
      </c>
      <c r="E377" s="11">
        <f>Source!CA138</f>
        <v>55</v>
      </c>
      <c r="F377" s="71" t="str">
        <f>CONCATENATE(" )", Source!DM138, Source!FU138, "=", Source!FY138)</f>
        <v xml:space="preserve"> )*0,85=46,75</v>
      </c>
      <c r="G377" s="72"/>
      <c r="H377" s="30">
        <f>SUM(U370:U378)</f>
        <v>7.37</v>
      </c>
      <c r="I377" s="34"/>
      <c r="J377" s="27">
        <f>Source!AU138</f>
        <v>47</v>
      </c>
      <c r="K377" s="30">
        <f>SUM(V370:V378)</f>
        <v>48.57</v>
      </c>
      <c r="L377" s="32"/>
    </row>
    <row r="378" spans="1:26" ht="14.25" x14ac:dyDescent="0.2">
      <c r="A378" s="47"/>
      <c r="B378" s="48"/>
      <c r="C378" s="48" t="s">
        <v>1641</v>
      </c>
      <c r="D378" s="35" t="s">
        <v>1642</v>
      </c>
      <c r="E378" s="36">
        <f>Source!AQ138</f>
        <v>57.26</v>
      </c>
      <c r="F378" s="37"/>
      <c r="G378" s="38" t="str">
        <f>Source!DI138</f>
        <v>)*1,15</v>
      </c>
      <c r="H378" s="37"/>
      <c r="I378" s="38"/>
      <c r="J378" s="38"/>
      <c r="K378" s="37"/>
      <c r="L378" s="39">
        <f>Source!U138</f>
        <v>1.8437719999999997</v>
      </c>
    </row>
    <row r="379" spans="1:26" ht="15" x14ac:dyDescent="0.25">
      <c r="G379" s="70">
        <f>H372+H373+H375+H376+H377</f>
        <v>118.41</v>
      </c>
      <c r="H379" s="70"/>
      <c r="J379" s="70">
        <f>K372+K373+K375+K376+K377</f>
        <v>777.44</v>
      </c>
      <c r="K379" s="70"/>
      <c r="L379" s="40">
        <f>Source!U138</f>
        <v>1.8437719999999997</v>
      </c>
      <c r="O379" s="24">
        <f>G379</f>
        <v>118.41</v>
      </c>
      <c r="P379" s="24">
        <f>J379</f>
        <v>777.44</v>
      </c>
      <c r="Q379" s="24">
        <f>L379</f>
        <v>1.8437719999999997</v>
      </c>
      <c r="W379">
        <f>IF(Source!BI138&lt;=1,H372+H373+H375+H376+H377, 0)</f>
        <v>118.41</v>
      </c>
      <c r="X379">
        <f>IF(Source!BI138=2,H372+H373+H375+H376+H377, 0)</f>
        <v>0</v>
      </c>
      <c r="Y379">
        <f>IF(Source!BI138=3,H372+H373+H375+H376+H377, 0)</f>
        <v>0</v>
      </c>
      <c r="Z379">
        <f>IF(Source!BI138=4,H372+H373+H375+H376+H377, 0)</f>
        <v>0</v>
      </c>
    </row>
    <row r="380" spans="1:26" ht="42.75" x14ac:dyDescent="0.2">
      <c r="A380" s="45" t="str">
        <f>Source!E139</f>
        <v>35</v>
      </c>
      <c r="B380" s="46" t="str">
        <f>Source!F139</f>
        <v>10-01-012-02 прим.</v>
      </c>
      <c r="C380" s="46" t="str">
        <f>Source!G139</f>
        <v>Обшивка каркасных стен плитами древесноволокнистыми твердыми 5 мм (канализационные стояки)</v>
      </c>
      <c r="D380" s="29" t="str">
        <f>Source!H139</f>
        <v>100 м2</v>
      </c>
      <c r="E380" s="11">
        <f>Source!I139</f>
        <v>2.8000000000000001E-2</v>
      </c>
      <c r="F380" s="30">
        <f>Source!AL139+Source!AM139+Source!AO139</f>
        <v>1446.32</v>
      </c>
      <c r="G380" s="31"/>
      <c r="H380" s="30"/>
      <c r="I380" s="31" t="str">
        <f>Source!BO139</f>
        <v/>
      </c>
      <c r="J380" s="31"/>
      <c r="K380" s="30"/>
      <c r="L380" s="32"/>
      <c r="S380">
        <f>ROUND((Source!FX139/100)*((ROUND(Source!AF139*Source!I139, 2)+ROUND(Source!AE139*Source!I139, 2))), 2)</f>
        <v>5.38</v>
      </c>
      <c r="T380">
        <f>Source!X139</f>
        <v>35.22</v>
      </c>
      <c r="U380">
        <f>ROUND((Source!FY139/100)*((ROUND(Source!AF139*Source!I139, 2)+ROUND(Source!AE139*Source!I139, 2))), 2)</f>
        <v>2.71</v>
      </c>
      <c r="V380">
        <f>Source!Y139</f>
        <v>17.940000000000001</v>
      </c>
    </row>
    <row r="381" spans="1:26" x14ac:dyDescent="0.2">
      <c r="C381" s="23" t="str">
        <f>"Объем: "&amp;Source!I139&amp;"=2,8/"&amp;"100"</f>
        <v>Объем: 0,028=2,8/100</v>
      </c>
    </row>
    <row r="382" spans="1:26" ht="14.25" x14ac:dyDescent="0.2">
      <c r="A382" s="45"/>
      <c r="B382" s="46"/>
      <c r="C382" s="46" t="s">
        <v>1636</v>
      </c>
      <c r="D382" s="29"/>
      <c r="E382" s="11"/>
      <c r="F382" s="30">
        <f>Source!AO139</f>
        <v>150.79</v>
      </c>
      <c r="G382" s="31" t="str">
        <f>Source!DG139</f>
        <v>)*1,15</v>
      </c>
      <c r="H382" s="30">
        <f>ROUND(Source!AF139*Source!I139, 2)</f>
        <v>4.8600000000000003</v>
      </c>
      <c r="I382" s="31"/>
      <c r="J382" s="31">
        <f>IF(Source!BA139&lt;&gt; 0, Source!BA139, 1)</f>
        <v>6.56</v>
      </c>
      <c r="K382" s="30">
        <f>Source!S139</f>
        <v>31.85</v>
      </c>
      <c r="L382" s="32"/>
      <c r="R382">
        <f>H382</f>
        <v>4.8600000000000003</v>
      </c>
    </row>
    <row r="383" spans="1:26" ht="14.25" x14ac:dyDescent="0.2">
      <c r="A383" s="45"/>
      <c r="B383" s="46"/>
      <c r="C383" s="46" t="s">
        <v>136</v>
      </c>
      <c r="D383" s="29"/>
      <c r="E383" s="11"/>
      <c r="F383" s="30">
        <f>Source!AM139</f>
        <v>34.17</v>
      </c>
      <c r="G383" s="31" t="str">
        <f>Source!DE139</f>
        <v>)*1,25</v>
      </c>
      <c r="H383" s="30">
        <f>ROUND(Source!AD139*Source!I139, 2)</f>
        <v>1.2</v>
      </c>
      <c r="I383" s="31"/>
      <c r="J383" s="31">
        <f>IF(Source!BB139&lt;&gt; 0, Source!BB139, 1)</f>
        <v>6.56</v>
      </c>
      <c r="K383" s="30">
        <f>Source!Q139</f>
        <v>7.85</v>
      </c>
      <c r="L383" s="32"/>
    </row>
    <row r="384" spans="1:26" ht="14.25" x14ac:dyDescent="0.2">
      <c r="A384" s="45"/>
      <c r="B384" s="46"/>
      <c r="C384" s="46" t="s">
        <v>1637</v>
      </c>
      <c r="D384" s="29"/>
      <c r="E384" s="11"/>
      <c r="F384" s="30">
        <f>Source!AN139</f>
        <v>6.03</v>
      </c>
      <c r="G384" s="31" t="str">
        <f>Source!DF139</f>
        <v>)*1,25</v>
      </c>
      <c r="H384" s="33">
        <f>ROUND(Source!AE139*Source!I139, 2)</f>
        <v>0.21</v>
      </c>
      <c r="I384" s="31"/>
      <c r="J384" s="31">
        <f>IF(Source!BS139&lt;&gt; 0, Source!BS139, 1)</f>
        <v>6.56</v>
      </c>
      <c r="K384" s="33">
        <f>Source!R139</f>
        <v>1.38</v>
      </c>
      <c r="L384" s="32"/>
      <c r="R384">
        <f>H384</f>
        <v>0.21</v>
      </c>
    </row>
    <row r="385" spans="1:26" ht="14.25" x14ac:dyDescent="0.2">
      <c r="A385" s="45"/>
      <c r="B385" s="46"/>
      <c r="C385" s="46" t="s">
        <v>1643</v>
      </c>
      <c r="D385" s="29"/>
      <c r="E385" s="11"/>
      <c r="F385" s="30">
        <f>Source!AL139</f>
        <v>1261.3599999999999</v>
      </c>
      <c r="G385" s="31" t="str">
        <f>Source!DD139</f>
        <v/>
      </c>
      <c r="H385" s="30">
        <f>ROUND(Source!AC139*Source!I139, 2)</f>
        <v>35.32</v>
      </c>
      <c r="I385" s="31"/>
      <c r="J385" s="31">
        <f>IF(Source!BC139&lt;&gt; 0, Source!BC139, 1)</f>
        <v>6.56</v>
      </c>
      <c r="K385" s="30">
        <f>Source!P139</f>
        <v>231.69</v>
      </c>
      <c r="L385" s="32"/>
    </row>
    <row r="386" spans="1:26" ht="14.25" x14ac:dyDescent="0.2">
      <c r="A386" s="45"/>
      <c r="B386" s="46"/>
      <c r="C386" s="46" t="s">
        <v>1638</v>
      </c>
      <c r="D386" s="29" t="s">
        <v>1639</v>
      </c>
      <c r="E386" s="11">
        <f>Source!BZ139</f>
        <v>118</v>
      </c>
      <c r="F386" s="71" t="str">
        <f>CONCATENATE(" )", Source!DL139, Source!FT139, "=", Source!FX139)</f>
        <v xml:space="preserve"> )*0,9=106,2</v>
      </c>
      <c r="G386" s="72"/>
      <c r="H386" s="30">
        <f>SUM(S380:S390)</f>
        <v>5.38</v>
      </c>
      <c r="I386" s="34"/>
      <c r="J386" s="27">
        <f>Source!AT139</f>
        <v>106</v>
      </c>
      <c r="K386" s="30">
        <f>SUM(T380:T390)</f>
        <v>35.22</v>
      </c>
      <c r="L386" s="32"/>
    </row>
    <row r="387" spans="1:26" ht="14.25" x14ac:dyDescent="0.2">
      <c r="A387" s="45"/>
      <c r="B387" s="46"/>
      <c r="C387" s="46" t="s">
        <v>1640</v>
      </c>
      <c r="D387" s="29" t="s">
        <v>1639</v>
      </c>
      <c r="E387" s="11">
        <f>Source!CA139</f>
        <v>63</v>
      </c>
      <c r="F387" s="71" t="str">
        <f>CONCATENATE(" )", Source!DM139, Source!FU139, "=", Source!FY139)</f>
        <v xml:space="preserve"> )*0,85=53,55</v>
      </c>
      <c r="G387" s="72"/>
      <c r="H387" s="30">
        <f>SUM(U380:U390)</f>
        <v>2.71</v>
      </c>
      <c r="I387" s="34"/>
      <c r="J387" s="27">
        <f>Source!AU139</f>
        <v>54</v>
      </c>
      <c r="K387" s="30">
        <f>SUM(V380:V390)</f>
        <v>17.940000000000001</v>
      </c>
      <c r="L387" s="32"/>
    </row>
    <row r="388" spans="1:26" ht="14.25" x14ac:dyDescent="0.2">
      <c r="A388" s="45"/>
      <c r="B388" s="46"/>
      <c r="C388" s="46" t="s">
        <v>1641</v>
      </c>
      <c r="D388" s="29" t="s">
        <v>1642</v>
      </c>
      <c r="E388" s="11">
        <f>Source!AQ139</f>
        <v>18.3</v>
      </c>
      <c r="F388" s="30"/>
      <c r="G388" s="31" t="str">
        <f>Source!DI139</f>
        <v>)*1,15</v>
      </c>
      <c r="H388" s="30"/>
      <c r="I388" s="31"/>
      <c r="J388" s="31"/>
      <c r="K388" s="30"/>
      <c r="L388" s="41">
        <f>Source!U139</f>
        <v>0.58926000000000001</v>
      </c>
    </row>
    <row r="389" spans="1:26" ht="28.5" x14ac:dyDescent="0.2">
      <c r="A389" s="45" t="str">
        <f>Source!E140</f>
        <v>35,1</v>
      </c>
      <c r="B389" s="46" t="str">
        <f>Source!F140</f>
        <v>01.6.01.02-0008</v>
      </c>
      <c r="C389" s="46" t="str">
        <f>Source!G140</f>
        <v>Листы гипсокартонные ГКЛВ 12,5 мм</v>
      </c>
      <c r="D389" s="29" t="str">
        <f>Source!H140</f>
        <v>м2</v>
      </c>
      <c r="E389" s="11">
        <f>Source!I140</f>
        <v>2.87</v>
      </c>
      <c r="F389" s="30">
        <f>Source!AL140+Source!AM140+Source!AO140</f>
        <v>20.47</v>
      </c>
      <c r="G389" s="42" t="s">
        <v>6</v>
      </c>
      <c r="H389" s="30">
        <f>ROUND(Source!AC140*Source!I140, 2)+ROUND(Source!AD140*Source!I140, 2)+ROUND(Source!AF140*Source!I140, 2)</f>
        <v>58.75</v>
      </c>
      <c r="I389" s="31"/>
      <c r="J389" s="31">
        <f>IF(Source!BC140&lt;&gt; 0, Source!BC140, 1)</f>
        <v>6.56</v>
      </c>
      <c r="K389" s="30">
        <f>Source!O140</f>
        <v>385.39</v>
      </c>
      <c r="L389" s="32"/>
      <c r="S389">
        <f>ROUND((Source!FX140/100)*((ROUND(Source!AF140*Source!I140, 2)+ROUND(Source!AE140*Source!I140, 2))), 2)</f>
        <v>0</v>
      </c>
      <c r="T389">
        <f>Source!X140</f>
        <v>0</v>
      </c>
      <c r="U389">
        <f>ROUND((Source!FY140/100)*((ROUND(Source!AF140*Source!I140, 2)+ROUND(Source!AE140*Source!I140, 2))), 2)</f>
        <v>0</v>
      </c>
      <c r="V389">
        <f>Source!Y140</f>
        <v>0</v>
      </c>
      <c r="W389">
        <f>IF(Source!BI140&lt;=1,H389, 0)</f>
        <v>58.75</v>
      </c>
      <c r="X389">
        <f>IF(Source!BI140=2,H389, 0)</f>
        <v>0</v>
      </c>
      <c r="Y389">
        <f>IF(Source!BI140=3,H389, 0)</f>
        <v>0</v>
      </c>
      <c r="Z389">
        <f>IF(Source!BI140=4,H389, 0)</f>
        <v>0</v>
      </c>
    </row>
    <row r="390" spans="1:26" ht="42.75" x14ac:dyDescent="0.2">
      <c r="A390" s="47" t="str">
        <f>Source!E141</f>
        <v>35,2</v>
      </c>
      <c r="B390" s="48" t="str">
        <f>Source!F141</f>
        <v>11.2.08.02-0010</v>
      </c>
      <c r="C390" s="48" t="str">
        <f>Source!G141</f>
        <v>Плиты древесноволокнистые сухого способа производства группы А, твердые марки ТС-400 толщиной 5 мм</v>
      </c>
      <c r="D390" s="35" t="str">
        <f>Source!H141</f>
        <v>1000 м2</v>
      </c>
      <c r="E390" s="36">
        <f>Source!I141</f>
        <v>-2.8700000000000002E-3</v>
      </c>
      <c r="F390" s="37">
        <f>Source!AL141+Source!AM141+Source!AO141</f>
        <v>12000</v>
      </c>
      <c r="G390" s="43" t="s">
        <v>6</v>
      </c>
      <c r="H390" s="37">
        <f>ROUND(Source!AC141*Source!I141, 2)+ROUND(Source!AD141*Source!I141, 2)+ROUND(Source!AF141*Source!I141, 2)</f>
        <v>-34.44</v>
      </c>
      <c r="I390" s="38"/>
      <c r="J390" s="38">
        <f>IF(Source!BC141&lt;&gt; 0, Source!BC141, 1)</f>
        <v>6.56</v>
      </c>
      <c r="K390" s="37">
        <f>Source!O141</f>
        <v>-225.93</v>
      </c>
      <c r="L390" s="44"/>
      <c r="S390">
        <f>ROUND((Source!FX141/100)*((ROUND(Source!AF141*Source!I141, 2)+ROUND(Source!AE141*Source!I141, 2))), 2)</f>
        <v>0</v>
      </c>
      <c r="T390">
        <f>Source!X141</f>
        <v>0</v>
      </c>
      <c r="U390">
        <f>ROUND((Source!FY141/100)*((ROUND(Source!AF141*Source!I141, 2)+ROUND(Source!AE141*Source!I141, 2))), 2)</f>
        <v>0</v>
      </c>
      <c r="V390">
        <f>Source!Y141</f>
        <v>0</v>
      </c>
      <c r="W390">
        <f>IF(Source!BI141&lt;=1,H390, 0)</f>
        <v>-34.44</v>
      </c>
      <c r="X390">
        <f>IF(Source!BI141=2,H390, 0)</f>
        <v>0</v>
      </c>
      <c r="Y390">
        <f>IF(Source!BI141=3,H390, 0)</f>
        <v>0</v>
      </c>
      <c r="Z390">
        <f>IF(Source!BI141=4,H390, 0)</f>
        <v>0</v>
      </c>
    </row>
    <row r="391" spans="1:26" ht="15" x14ac:dyDescent="0.25">
      <c r="G391" s="70">
        <f>H382+H383+H385+H386+H387+SUM(H389:H390)</f>
        <v>73.78</v>
      </c>
      <c r="H391" s="70"/>
      <c r="J391" s="70">
        <f>K382+K383+K385+K386+K387+SUM(K389:K390)</f>
        <v>484.01</v>
      </c>
      <c r="K391" s="70"/>
      <c r="L391" s="40">
        <f>Source!U139</f>
        <v>0.58926000000000001</v>
      </c>
      <c r="O391" s="24">
        <f>G391</f>
        <v>73.78</v>
      </c>
      <c r="P391" s="24">
        <f>J391</f>
        <v>484.01</v>
      </c>
      <c r="Q391" s="24">
        <f>L391</f>
        <v>0.58926000000000001</v>
      </c>
      <c r="W391">
        <f>IF(Source!BI139&lt;=1,H382+H383+H385+H386+H387, 0)</f>
        <v>49.470000000000006</v>
      </c>
      <c r="X391">
        <f>IF(Source!BI139=2,H382+H383+H385+H386+H387, 0)</f>
        <v>0</v>
      </c>
      <c r="Y391">
        <f>IF(Source!BI139=3,H382+H383+H385+H386+H387, 0)</f>
        <v>0</v>
      </c>
      <c r="Z391">
        <f>IF(Source!BI139=4,H382+H383+H385+H386+H387, 0)</f>
        <v>0</v>
      </c>
    </row>
    <row r="392" spans="1:26" ht="85.5" x14ac:dyDescent="0.2">
      <c r="A392" s="45" t="str">
        <f>Source!E142</f>
        <v>36</v>
      </c>
      <c r="B392" s="46" t="str">
        <f>Source!F142</f>
        <v>15-01-019-05</v>
      </c>
      <c r="C392" s="46" t="str">
        <f>Source!G142</f>
        <v>Гладкая облицовка стен, столбов, пилястр и откосов (без карнизных, плинтусных и угловых плиток) без установки плиток туалетного гарнитура на клее из сухих смесей по кирпичу и бетону</v>
      </c>
      <c r="D392" s="29" t="str">
        <f>Source!H142</f>
        <v>100 м2</v>
      </c>
      <c r="E392" s="11">
        <f>Source!I142</f>
        <v>0.6</v>
      </c>
      <c r="F392" s="30">
        <f>Source!AL142+Source!AM142+Source!AO142</f>
        <v>1500.7</v>
      </c>
      <c r="G392" s="31"/>
      <c r="H392" s="30"/>
      <c r="I392" s="31" t="str">
        <f>Source!BO142</f>
        <v/>
      </c>
      <c r="J392" s="31"/>
      <c r="K392" s="30"/>
      <c r="L392" s="32"/>
      <c r="S392">
        <f>ROUND((Source!FX142/100)*((ROUND(Source!AF142*Source!I142, 2)+ROUND(Source!AE142*Source!I142, 2))), 2)</f>
        <v>968.18</v>
      </c>
      <c r="T392">
        <f>Source!X142</f>
        <v>6384.87</v>
      </c>
      <c r="U392">
        <f>ROUND((Source!FY142/100)*((ROUND(Source!AF142*Source!I142, 2)+ROUND(Source!AE142*Source!I142, 2))), 2)</f>
        <v>478.97</v>
      </c>
      <c r="V392">
        <f>Source!Y142</f>
        <v>3158.83</v>
      </c>
    </row>
    <row r="393" spans="1:26" x14ac:dyDescent="0.2">
      <c r="C393" s="23" t="str">
        <f>"Объем: "&amp;Source!I142&amp;"=60/"&amp;"100"</f>
        <v>Объем: 0,6=60/100</v>
      </c>
    </row>
    <row r="394" spans="1:26" ht="14.25" x14ac:dyDescent="0.2">
      <c r="A394" s="45"/>
      <c r="B394" s="46"/>
      <c r="C394" s="46" t="s">
        <v>1636</v>
      </c>
      <c r="D394" s="29"/>
      <c r="E394" s="11"/>
      <c r="F394" s="30">
        <f>Source!AO142</f>
        <v>1465.77</v>
      </c>
      <c r="G394" s="31" t="str">
        <f>Source!DG142</f>
        <v>)*1,15</v>
      </c>
      <c r="H394" s="30">
        <f>ROUND(Source!AF142*Source!I142, 2)</f>
        <v>1011.38</v>
      </c>
      <c r="I394" s="31"/>
      <c r="J394" s="31">
        <f>IF(Source!BA142&lt;&gt; 0, Source!BA142, 1)</f>
        <v>6.56</v>
      </c>
      <c r="K394" s="30">
        <f>Source!S142</f>
        <v>6634.68</v>
      </c>
      <c r="L394" s="32"/>
      <c r="R394">
        <f>H394</f>
        <v>1011.38</v>
      </c>
    </row>
    <row r="395" spans="1:26" ht="14.25" x14ac:dyDescent="0.2">
      <c r="A395" s="45"/>
      <c r="B395" s="46"/>
      <c r="C395" s="46" t="s">
        <v>136</v>
      </c>
      <c r="D395" s="29"/>
      <c r="E395" s="11"/>
      <c r="F395" s="30">
        <f>Source!AM142</f>
        <v>31.75</v>
      </c>
      <c r="G395" s="31" t="str">
        <f>Source!DE142</f>
        <v>)*1,25</v>
      </c>
      <c r="H395" s="30">
        <f>ROUND(Source!AD142*Source!I142, 2)</f>
        <v>23.81</v>
      </c>
      <c r="I395" s="31"/>
      <c r="J395" s="31">
        <f>IF(Source!BB142&lt;&gt; 0, Source!BB142, 1)</f>
        <v>6.56</v>
      </c>
      <c r="K395" s="30">
        <f>Source!Q142</f>
        <v>156.22</v>
      </c>
      <c r="L395" s="32"/>
    </row>
    <row r="396" spans="1:26" ht="14.25" x14ac:dyDescent="0.2">
      <c r="A396" s="45"/>
      <c r="B396" s="46"/>
      <c r="C396" s="46" t="s">
        <v>1637</v>
      </c>
      <c r="D396" s="29"/>
      <c r="E396" s="11"/>
      <c r="F396" s="30">
        <f>Source!AN142</f>
        <v>17.53</v>
      </c>
      <c r="G396" s="31" t="str">
        <f>Source!DF142</f>
        <v>)*1,25</v>
      </c>
      <c r="H396" s="33">
        <f>ROUND(Source!AE142*Source!I142, 2)</f>
        <v>13.15</v>
      </c>
      <c r="I396" s="31"/>
      <c r="J396" s="31">
        <f>IF(Source!BS142&lt;&gt; 0, Source!BS142, 1)</f>
        <v>6.56</v>
      </c>
      <c r="K396" s="33">
        <f>Source!R142</f>
        <v>86.24</v>
      </c>
      <c r="L396" s="32"/>
      <c r="R396">
        <f>H396</f>
        <v>13.15</v>
      </c>
    </row>
    <row r="397" spans="1:26" ht="14.25" x14ac:dyDescent="0.2">
      <c r="A397" s="45"/>
      <c r="B397" s="46"/>
      <c r="C397" s="46" t="s">
        <v>1643</v>
      </c>
      <c r="D397" s="29"/>
      <c r="E397" s="11"/>
      <c r="F397" s="30">
        <f>Source!AL142</f>
        <v>3.18</v>
      </c>
      <c r="G397" s="31" t="str">
        <f>Source!DD142</f>
        <v/>
      </c>
      <c r="H397" s="30">
        <f>ROUND(Source!AC142*Source!I142, 2)</f>
        <v>1.91</v>
      </c>
      <c r="I397" s="31"/>
      <c r="J397" s="31">
        <f>IF(Source!BC142&lt;&gt; 0, Source!BC142, 1)</f>
        <v>6.56</v>
      </c>
      <c r="K397" s="30">
        <f>Source!P142</f>
        <v>12.52</v>
      </c>
      <c r="L397" s="32"/>
    </row>
    <row r="398" spans="1:26" ht="14.25" x14ac:dyDescent="0.2">
      <c r="A398" s="45"/>
      <c r="B398" s="46"/>
      <c r="C398" s="46" t="s">
        <v>1638</v>
      </c>
      <c r="D398" s="29" t="s">
        <v>1639</v>
      </c>
      <c r="E398" s="11">
        <f>Source!BZ142</f>
        <v>105</v>
      </c>
      <c r="F398" s="71" t="str">
        <f>CONCATENATE(" )", Source!DL142, Source!FT142, "=", Source!FX142)</f>
        <v xml:space="preserve"> )*0,9=94,5</v>
      </c>
      <c r="G398" s="72"/>
      <c r="H398" s="30">
        <f>SUM(S392:S406)</f>
        <v>968.18</v>
      </c>
      <c r="I398" s="34"/>
      <c r="J398" s="27">
        <f>Source!AT142</f>
        <v>95</v>
      </c>
      <c r="K398" s="30">
        <f>SUM(T392:T406)</f>
        <v>6384.87</v>
      </c>
      <c r="L398" s="32"/>
    </row>
    <row r="399" spans="1:26" ht="14.25" x14ac:dyDescent="0.2">
      <c r="A399" s="45"/>
      <c r="B399" s="46"/>
      <c r="C399" s="46" t="s">
        <v>1640</v>
      </c>
      <c r="D399" s="29" t="s">
        <v>1639</v>
      </c>
      <c r="E399" s="11">
        <f>Source!CA142</f>
        <v>55</v>
      </c>
      <c r="F399" s="71" t="str">
        <f>CONCATENATE(" )", Source!DM142, Source!FU142, "=", Source!FY142)</f>
        <v xml:space="preserve"> )*0,85=46,75</v>
      </c>
      <c r="G399" s="72"/>
      <c r="H399" s="30">
        <f>SUM(U392:U406)</f>
        <v>478.97</v>
      </c>
      <c r="I399" s="34"/>
      <c r="J399" s="27">
        <f>Source!AU142</f>
        <v>47</v>
      </c>
      <c r="K399" s="30">
        <f>SUM(V392:V406)</f>
        <v>3158.83</v>
      </c>
      <c r="L399" s="32"/>
    </row>
    <row r="400" spans="1:26" ht="14.25" x14ac:dyDescent="0.2">
      <c r="A400" s="45"/>
      <c r="B400" s="46"/>
      <c r="C400" s="46" t="s">
        <v>1641</v>
      </c>
      <c r="D400" s="29" t="s">
        <v>1642</v>
      </c>
      <c r="E400" s="11">
        <f>Source!AQ142</f>
        <v>159.66999999999999</v>
      </c>
      <c r="F400" s="30"/>
      <c r="G400" s="31" t="str">
        <f>Source!DI142</f>
        <v>)*1,15</v>
      </c>
      <c r="H400" s="30"/>
      <c r="I400" s="31"/>
      <c r="J400" s="31"/>
      <c r="K400" s="30"/>
      <c r="L400" s="41">
        <f>Source!U142</f>
        <v>110.17229999999998</v>
      </c>
    </row>
    <row r="401" spans="1:26" ht="14.25" x14ac:dyDescent="0.2">
      <c r="A401" s="45" t="str">
        <f>Source!E143</f>
        <v>36,1</v>
      </c>
      <c r="B401" s="46" t="str">
        <f>Source!F143</f>
        <v>04.3.02.09</v>
      </c>
      <c r="C401" s="46" t="str">
        <f>Source!G143</f>
        <v>Смесь сухая для заделки швов</v>
      </c>
      <c r="D401" s="29" t="str">
        <f>Source!H143</f>
        <v>т</v>
      </c>
      <c r="E401" s="11">
        <f>Source!I143</f>
        <v>0.03</v>
      </c>
      <c r="F401" s="30">
        <f>Source!AL143+Source!AM143+Source!AO143</f>
        <v>0</v>
      </c>
      <c r="G401" s="42" t="s">
        <v>6</v>
      </c>
      <c r="H401" s="30">
        <f>ROUND(Source!AC143*Source!I143, 2)+ROUND(Source!AD143*Source!I143, 2)+ROUND(Source!AF143*Source!I143, 2)</f>
        <v>0</v>
      </c>
      <c r="I401" s="31"/>
      <c r="J401" s="31">
        <f>IF(Source!BC143&lt;&gt; 0, Source!BC143, 1)</f>
        <v>6.56</v>
      </c>
      <c r="K401" s="30">
        <f>Source!O143</f>
        <v>0</v>
      </c>
      <c r="L401" s="32"/>
      <c r="S401">
        <f>ROUND((Source!FX143/100)*((ROUND(Source!AF143*Source!I143, 2)+ROUND(Source!AE143*Source!I143, 2))), 2)</f>
        <v>0</v>
      </c>
      <c r="T401">
        <f>Source!X143</f>
        <v>0</v>
      </c>
      <c r="U401">
        <f>ROUND((Source!FY143/100)*((ROUND(Source!AF143*Source!I143, 2)+ROUND(Source!AE143*Source!I143, 2))), 2)</f>
        <v>0</v>
      </c>
      <c r="V401">
        <f>Source!Y143</f>
        <v>0</v>
      </c>
      <c r="W401">
        <f>IF(Source!BI143&lt;=1,H401, 0)</f>
        <v>0</v>
      </c>
      <c r="X401">
        <f>IF(Source!BI143=2,H401, 0)</f>
        <v>0</v>
      </c>
      <c r="Y401">
        <f>IF(Source!BI143=3,H401, 0)</f>
        <v>0</v>
      </c>
      <c r="Z401">
        <f>IF(Source!BI143=4,H401, 0)</f>
        <v>0</v>
      </c>
    </row>
    <row r="402" spans="1:26" ht="28.5" x14ac:dyDescent="0.2">
      <c r="A402" s="45" t="str">
        <f>Source!E144</f>
        <v>36,2</v>
      </c>
      <c r="B402" s="46" t="str">
        <f>Source!F144</f>
        <v>04.3.02.09-0741</v>
      </c>
      <c r="C402" s="46" t="str">
        <f>Source!G144</f>
        <v>Смесь сухая (фуга) АТЛАС разных цветов для заделки швов водостойкая</v>
      </c>
      <c r="D402" s="29" t="str">
        <f>Source!H144</f>
        <v>т</v>
      </c>
      <c r="E402" s="11">
        <f>Source!I144</f>
        <v>0.03</v>
      </c>
      <c r="F402" s="30">
        <f>Source!AL144+Source!AM144+Source!AO144</f>
        <v>9000</v>
      </c>
      <c r="G402" s="42" t="s">
        <v>6</v>
      </c>
      <c r="H402" s="30">
        <f>ROUND(Source!AC144*Source!I144, 2)+ROUND(Source!AD144*Source!I144, 2)+ROUND(Source!AF144*Source!I144, 2)</f>
        <v>270</v>
      </c>
      <c r="I402" s="31"/>
      <c r="J402" s="31">
        <f>IF(Source!BC144&lt;&gt; 0, Source!BC144, 1)</f>
        <v>6.56</v>
      </c>
      <c r="K402" s="30">
        <f>Source!O144</f>
        <v>1771.2</v>
      </c>
      <c r="L402" s="32"/>
      <c r="S402">
        <f>ROUND((Source!FX144/100)*((ROUND(Source!AF144*Source!I144, 2)+ROUND(Source!AE144*Source!I144, 2))), 2)</f>
        <v>0</v>
      </c>
      <c r="T402">
        <f>Source!X144</f>
        <v>0</v>
      </c>
      <c r="U402">
        <f>ROUND((Source!FY144/100)*((ROUND(Source!AF144*Source!I144, 2)+ROUND(Source!AE144*Source!I144, 2))), 2)</f>
        <v>0</v>
      </c>
      <c r="V402">
        <f>Source!Y144</f>
        <v>0</v>
      </c>
      <c r="W402">
        <f>IF(Source!BI144&lt;=1,H402, 0)</f>
        <v>270</v>
      </c>
      <c r="X402">
        <f>IF(Source!BI144=2,H402, 0)</f>
        <v>0</v>
      </c>
      <c r="Y402">
        <f>IF(Source!BI144=3,H402, 0)</f>
        <v>0</v>
      </c>
      <c r="Z402">
        <f>IF(Source!BI144=4,H402, 0)</f>
        <v>0</v>
      </c>
    </row>
    <row r="403" spans="1:26" ht="57" x14ac:dyDescent="0.2">
      <c r="A403" s="45" t="str">
        <f>Source!E145</f>
        <v>36,3</v>
      </c>
      <c r="B403" s="46" t="str">
        <f>Source!F145</f>
        <v>06.2.01.02-0012</v>
      </c>
      <c r="C403" s="46" t="str">
        <f>Source!G145</f>
        <v>Плитки керамические глазурованные для внутренней облицовки стен гладкие без завала цветные (однотонные)</v>
      </c>
      <c r="D403" s="29" t="str">
        <f>Source!H145</f>
        <v>м2</v>
      </c>
      <c r="E403" s="11">
        <f>Source!I145</f>
        <v>60</v>
      </c>
      <c r="F403" s="30">
        <f>Source!AL145+Source!AM145+Source!AO145</f>
        <v>108.12</v>
      </c>
      <c r="G403" s="42" t="s">
        <v>6</v>
      </c>
      <c r="H403" s="30">
        <f>ROUND(Source!AC145*Source!I145, 2)+ROUND(Source!AD145*Source!I145, 2)+ROUND(Source!AF145*Source!I145, 2)</f>
        <v>6487.2</v>
      </c>
      <c r="I403" s="31"/>
      <c r="J403" s="31">
        <f>IF(Source!BC145&lt;&gt; 0, Source!BC145, 1)</f>
        <v>6.56</v>
      </c>
      <c r="K403" s="30">
        <f>Source!O145</f>
        <v>42556.03</v>
      </c>
      <c r="L403" s="32"/>
      <c r="S403">
        <f>ROUND((Source!FX145/100)*((ROUND(Source!AF145*Source!I145, 2)+ROUND(Source!AE145*Source!I145, 2))), 2)</f>
        <v>0</v>
      </c>
      <c r="T403">
        <f>Source!X145</f>
        <v>0</v>
      </c>
      <c r="U403">
        <f>ROUND((Source!FY145/100)*((ROUND(Source!AF145*Source!I145, 2)+ROUND(Source!AE145*Source!I145, 2))), 2)</f>
        <v>0</v>
      </c>
      <c r="V403">
        <f>Source!Y145</f>
        <v>0</v>
      </c>
      <c r="W403">
        <f>IF(Source!BI145&lt;=1,H403, 0)</f>
        <v>6487.2</v>
      </c>
      <c r="X403">
        <f>IF(Source!BI145=2,H403, 0)</f>
        <v>0</v>
      </c>
      <c r="Y403">
        <f>IF(Source!BI145=3,H403, 0)</f>
        <v>0</v>
      </c>
      <c r="Z403">
        <f>IF(Source!BI145=4,H403, 0)</f>
        <v>0</v>
      </c>
    </row>
    <row r="404" spans="1:26" ht="28.5" x14ac:dyDescent="0.2">
      <c r="A404" s="45" t="str">
        <f>Source!E146</f>
        <v>36,4</v>
      </c>
      <c r="B404" s="46" t="str">
        <f>Source!F146</f>
        <v>14.1.06.02-0006</v>
      </c>
      <c r="C404" s="46" t="str">
        <f>Source!G146</f>
        <v>Клей для плитки Ветонит "Renovation FIX" (сухая смесь)</v>
      </c>
      <c r="D404" s="29" t="str">
        <f>Source!H146</f>
        <v>т</v>
      </c>
      <c r="E404" s="11">
        <f>Source!I146</f>
        <v>0.22499999999999998</v>
      </c>
      <c r="F404" s="30">
        <f>Source!AL146+Source!AM146+Source!AO146</f>
        <v>5607.68</v>
      </c>
      <c r="G404" s="42" t="s">
        <v>6</v>
      </c>
      <c r="H404" s="30">
        <f>ROUND(Source!AC146*Source!I146, 2)+ROUND(Source!AD146*Source!I146, 2)+ROUND(Source!AF146*Source!I146, 2)</f>
        <v>1261.73</v>
      </c>
      <c r="I404" s="31"/>
      <c r="J404" s="31">
        <f>IF(Source!BC146&lt;&gt; 0, Source!BC146, 1)</f>
        <v>6.56</v>
      </c>
      <c r="K404" s="30">
        <f>Source!O146</f>
        <v>8276.94</v>
      </c>
      <c r="L404" s="32"/>
      <c r="S404">
        <f>ROUND((Source!FX146/100)*((ROUND(Source!AF146*Source!I146, 2)+ROUND(Source!AE146*Source!I146, 2))), 2)</f>
        <v>0</v>
      </c>
      <c r="T404">
        <f>Source!X146</f>
        <v>0</v>
      </c>
      <c r="U404">
        <f>ROUND((Source!FY146/100)*((ROUND(Source!AF146*Source!I146, 2)+ROUND(Source!AE146*Source!I146, 2))), 2)</f>
        <v>0</v>
      </c>
      <c r="V404">
        <f>Source!Y146</f>
        <v>0</v>
      </c>
      <c r="W404">
        <f>IF(Source!BI146&lt;=1,H404, 0)</f>
        <v>1261.73</v>
      </c>
      <c r="X404">
        <f>IF(Source!BI146=2,H404, 0)</f>
        <v>0</v>
      </c>
      <c r="Y404">
        <f>IF(Source!BI146=3,H404, 0)</f>
        <v>0</v>
      </c>
      <c r="Z404">
        <f>IF(Source!BI146=4,H404, 0)</f>
        <v>0</v>
      </c>
    </row>
    <row r="405" spans="1:26" ht="14.25" x14ac:dyDescent="0.2">
      <c r="A405" s="45" t="str">
        <f>Source!E147</f>
        <v>36,5</v>
      </c>
      <c r="B405" s="46" t="str">
        <f>Source!F147</f>
        <v>06.2.05.04</v>
      </c>
      <c r="C405" s="46" t="str">
        <f>Source!G147</f>
        <v>Плитки рядовые</v>
      </c>
      <c r="D405" s="29" t="str">
        <f>Source!H147</f>
        <v>м2</v>
      </c>
      <c r="E405" s="11">
        <f>Source!I147</f>
        <v>60</v>
      </c>
      <c r="F405" s="30">
        <f>Source!AL147+Source!AM147+Source!AO147</f>
        <v>0</v>
      </c>
      <c r="G405" s="42" t="s">
        <v>6</v>
      </c>
      <c r="H405" s="30">
        <f>ROUND(Source!AC147*Source!I147, 2)+ROUND(Source!AD147*Source!I147, 2)+ROUND(Source!AF147*Source!I147, 2)</f>
        <v>0</v>
      </c>
      <c r="I405" s="31"/>
      <c r="J405" s="31">
        <f>IF(Source!BC147&lt;&gt; 0, Source!BC147, 1)</f>
        <v>6.56</v>
      </c>
      <c r="K405" s="30">
        <f>Source!O147</f>
        <v>0</v>
      </c>
      <c r="L405" s="32"/>
      <c r="S405">
        <f>ROUND((Source!FX147/100)*((ROUND(Source!AF147*Source!I147, 2)+ROUND(Source!AE147*Source!I147, 2))), 2)</f>
        <v>0</v>
      </c>
      <c r="T405">
        <f>Source!X147</f>
        <v>0</v>
      </c>
      <c r="U405">
        <f>ROUND((Source!FY147/100)*((ROUND(Source!AF147*Source!I147, 2)+ROUND(Source!AE147*Source!I147, 2))), 2)</f>
        <v>0</v>
      </c>
      <c r="V405">
        <f>Source!Y147</f>
        <v>0</v>
      </c>
      <c r="W405">
        <f>IF(Source!BI147&lt;=1,H405, 0)</f>
        <v>0</v>
      </c>
      <c r="X405">
        <f>IF(Source!BI147=2,H405, 0)</f>
        <v>0</v>
      </c>
      <c r="Y405">
        <f>IF(Source!BI147=3,H405, 0)</f>
        <v>0</v>
      </c>
      <c r="Z405">
        <f>IF(Source!BI147=4,H405, 0)</f>
        <v>0</v>
      </c>
    </row>
    <row r="406" spans="1:26" ht="28.5" x14ac:dyDescent="0.2">
      <c r="A406" s="47" t="str">
        <f>Source!E148</f>
        <v>36,6</v>
      </c>
      <c r="B406" s="48" t="str">
        <f>Source!F148</f>
        <v>14.1.06.02</v>
      </c>
      <c r="C406" s="48" t="str">
        <f>Source!G148</f>
        <v>Клей для облицовочных работ (сухая смесь)</v>
      </c>
      <c r="D406" s="35" t="str">
        <f>Source!H148</f>
        <v>т</v>
      </c>
      <c r="E406" s="36">
        <f>Source!I148</f>
        <v>0.22499999999999998</v>
      </c>
      <c r="F406" s="37">
        <f>Source!AL148+Source!AM148+Source!AO148</f>
        <v>0</v>
      </c>
      <c r="G406" s="43" t="s">
        <v>6</v>
      </c>
      <c r="H406" s="37">
        <f>ROUND(Source!AC148*Source!I148, 2)+ROUND(Source!AD148*Source!I148, 2)+ROUND(Source!AF148*Source!I148, 2)</f>
        <v>0</v>
      </c>
      <c r="I406" s="38"/>
      <c r="J406" s="38">
        <f>IF(Source!BC148&lt;&gt; 0, Source!BC148, 1)</f>
        <v>6.56</v>
      </c>
      <c r="K406" s="37">
        <f>Source!O148</f>
        <v>0</v>
      </c>
      <c r="L406" s="44"/>
      <c r="S406">
        <f>ROUND((Source!FX148/100)*((ROUND(Source!AF148*Source!I148, 2)+ROUND(Source!AE148*Source!I148, 2))), 2)</f>
        <v>0</v>
      </c>
      <c r="T406">
        <f>Source!X148</f>
        <v>0</v>
      </c>
      <c r="U406">
        <f>ROUND((Source!FY148/100)*((ROUND(Source!AF148*Source!I148, 2)+ROUND(Source!AE148*Source!I148, 2))), 2)</f>
        <v>0</v>
      </c>
      <c r="V406">
        <f>Source!Y148</f>
        <v>0</v>
      </c>
      <c r="W406">
        <f>IF(Source!BI148&lt;=1,H406, 0)</f>
        <v>0</v>
      </c>
      <c r="X406">
        <f>IF(Source!BI148=2,H406, 0)</f>
        <v>0</v>
      </c>
      <c r="Y406">
        <f>IF(Source!BI148=3,H406, 0)</f>
        <v>0</v>
      </c>
      <c r="Z406">
        <f>IF(Source!BI148=4,H406, 0)</f>
        <v>0</v>
      </c>
    </row>
    <row r="407" spans="1:26" ht="15" x14ac:dyDescent="0.25">
      <c r="G407" s="70">
        <f>H394+H395+H397+H398+H399+SUM(H401:H406)</f>
        <v>10503.18</v>
      </c>
      <c r="H407" s="70"/>
      <c r="J407" s="70">
        <f>K394+K395+K397+K398+K399+SUM(K401:K406)</f>
        <v>68951.289999999994</v>
      </c>
      <c r="K407" s="70"/>
      <c r="L407" s="40">
        <f>Source!U142</f>
        <v>110.17229999999998</v>
      </c>
      <c r="O407" s="24">
        <f>G407</f>
        <v>10503.18</v>
      </c>
      <c r="P407" s="24">
        <f>J407</f>
        <v>68951.289999999994</v>
      </c>
      <c r="Q407" s="24">
        <f>L407</f>
        <v>110.17229999999998</v>
      </c>
      <c r="W407">
        <f>IF(Source!BI142&lt;=1,H394+H395+H397+H398+H399, 0)</f>
        <v>2484.25</v>
      </c>
      <c r="X407">
        <f>IF(Source!BI142=2,H394+H395+H397+H398+H399, 0)</f>
        <v>0</v>
      </c>
      <c r="Y407">
        <f>IF(Source!BI142=3,H394+H395+H397+H398+H399, 0)</f>
        <v>0</v>
      </c>
      <c r="Z407">
        <f>IF(Source!BI142=4,H394+H395+H397+H398+H399, 0)</f>
        <v>0</v>
      </c>
    </row>
    <row r="408" spans="1:26" ht="28.5" x14ac:dyDescent="0.2">
      <c r="A408" s="45" t="str">
        <f>Source!E149</f>
        <v>37</v>
      </c>
      <c r="B408" s="46" t="str">
        <f>Source!F149</f>
        <v>20-02-017-07 прим.</v>
      </c>
      <c r="C408" s="46" t="str">
        <f>Source!G149</f>
        <v>Установка люков герметических (лючки ревизионные)</v>
      </c>
      <c r="D408" s="29" t="str">
        <f>Source!H149</f>
        <v>ШТ</v>
      </c>
      <c r="E408" s="11">
        <f>Source!I149</f>
        <v>1</v>
      </c>
      <c r="F408" s="30">
        <f>Source!AL149+Source!AM149+Source!AO149</f>
        <v>42.370000000000005</v>
      </c>
      <c r="G408" s="31"/>
      <c r="H408" s="30"/>
      <c r="I408" s="31" t="str">
        <f>Source!BO149</f>
        <v/>
      </c>
      <c r="J408" s="31"/>
      <c r="K408" s="30"/>
      <c r="L408" s="32"/>
      <c r="S408">
        <f>ROUND((Source!FX149/100)*((ROUND(Source!AF149*Source!I149, 2)+ROUND(Source!AE149*Source!I149, 2))), 2)</f>
        <v>17.71</v>
      </c>
      <c r="T408">
        <f>Source!X149</f>
        <v>115.94</v>
      </c>
      <c r="U408">
        <f>ROUND((Source!FY149/100)*((ROUND(Source!AF149*Source!I149, 2)+ROUND(Source!AE149*Source!I149, 2))), 2)</f>
        <v>10.84</v>
      </c>
      <c r="V408">
        <f>Source!Y149</f>
        <v>71.58</v>
      </c>
    </row>
    <row r="409" spans="1:26" ht="14.25" x14ac:dyDescent="0.2">
      <c r="A409" s="45"/>
      <c r="B409" s="46"/>
      <c r="C409" s="46" t="s">
        <v>1636</v>
      </c>
      <c r="D409" s="29"/>
      <c r="E409" s="11"/>
      <c r="F409" s="30">
        <f>Source!AO149</f>
        <v>12.86</v>
      </c>
      <c r="G409" s="31" t="str">
        <f>Source!DG149</f>
        <v>)*1,15</v>
      </c>
      <c r="H409" s="30">
        <f>ROUND(Source!AF149*Source!I149, 2)</f>
        <v>14.79</v>
      </c>
      <c r="I409" s="31"/>
      <c r="J409" s="31">
        <f>IF(Source!BA149&lt;&gt; 0, Source!BA149, 1)</f>
        <v>6.56</v>
      </c>
      <c r="K409" s="30">
        <f>Source!S149</f>
        <v>97.02</v>
      </c>
      <c r="L409" s="32"/>
      <c r="R409">
        <f>H409</f>
        <v>14.79</v>
      </c>
    </row>
    <row r="410" spans="1:26" ht="14.25" x14ac:dyDescent="0.2">
      <c r="A410" s="45"/>
      <c r="B410" s="46"/>
      <c r="C410" s="46" t="s">
        <v>136</v>
      </c>
      <c r="D410" s="29"/>
      <c r="E410" s="11"/>
      <c r="F410" s="30">
        <f>Source!AM149</f>
        <v>7.25</v>
      </c>
      <c r="G410" s="31" t="str">
        <f>Source!DE149</f>
        <v>)*1,25</v>
      </c>
      <c r="H410" s="30">
        <f>ROUND(Source!AD149*Source!I149, 2)</f>
        <v>9.07</v>
      </c>
      <c r="I410" s="31"/>
      <c r="J410" s="31">
        <f>IF(Source!BB149&lt;&gt; 0, Source!BB149, 1)</f>
        <v>6.56</v>
      </c>
      <c r="K410" s="30">
        <f>Source!Q149</f>
        <v>59.5</v>
      </c>
      <c r="L410" s="32"/>
    </row>
    <row r="411" spans="1:26" ht="14.25" x14ac:dyDescent="0.2">
      <c r="A411" s="45"/>
      <c r="B411" s="46"/>
      <c r="C411" s="46" t="s">
        <v>1637</v>
      </c>
      <c r="D411" s="29"/>
      <c r="E411" s="11"/>
      <c r="F411" s="30">
        <f>Source!AN149</f>
        <v>0.46</v>
      </c>
      <c r="G411" s="31" t="str">
        <f>Source!DF149</f>
        <v>)*1,25</v>
      </c>
      <c r="H411" s="33">
        <f>ROUND(Source!AE149*Source!I149, 2)</f>
        <v>0.57999999999999996</v>
      </c>
      <c r="I411" s="31"/>
      <c r="J411" s="31">
        <f>IF(Source!BS149&lt;&gt; 0, Source!BS149, 1)</f>
        <v>6.56</v>
      </c>
      <c r="K411" s="33">
        <f>Source!R149</f>
        <v>3.8</v>
      </c>
      <c r="L411" s="32"/>
      <c r="R411">
        <f>H411</f>
        <v>0.57999999999999996</v>
      </c>
    </row>
    <row r="412" spans="1:26" ht="14.25" x14ac:dyDescent="0.2">
      <c r="A412" s="45"/>
      <c r="B412" s="46"/>
      <c r="C412" s="46" t="s">
        <v>1643</v>
      </c>
      <c r="D412" s="29"/>
      <c r="E412" s="11"/>
      <c r="F412" s="30">
        <f>Source!AL149</f>
        <v>22.26</v>
      </c>
      <c r="G412" s="31" t="str">
        <f>Source!DD149</f>
        <v/>
      </c>
      <c r="H412" s="30">
        <f>ROUND(Source!AC149*Source!I149, 2)</f>
        <v>22.26</v>
      </c>
      <c r="I412" s="31"/>
      <c r="J412" s="31">
        <f>IF(Source!BC149&lt;&gt; 0, Source!BC149, 1)</f>
        <v>6.56</v>
      </c>
      <c r="K412" s="30">
        <f>Source!P149</f>
        <v>146.03</v>
      </c>
      <c r="L412" s="32"/>
    </row>
    <row r="413" spans="1:26" ht="14.25" x14ac:dyDescent="0.2">
      <c r="A413" s="45"/>
      <c r="B413" s="46"/>
      <c r="C413" s="46" t="s">
        <v>1638</v>
      </c>
      <c r="D413" s="29" t="s">
        <v>1639</v>
      </c>
      <c r="E413" s="11">
        <f>Source!BZ149</f>
        <v>128</v>
      </c>
      <c r="F413" s="71" t="str">
        <f>CONCATENATE(" )", Source!DL149, Source!FT149, "=", Source!FX149)</f>
        <v xml:space="preserve"> )*0,9=115,2</v>
      </c>
      <c r="G413" s="72"/>
      <c r="H413" s="30">
        <f>SUM(S408:S417)</f>
        <v>17.71</v>
      </c>
      <c r="I413" s="34"/>
      <c r="J413" s="27">
        <f>Source!AT149</f>
        <v>115</v>
      </c>
      <c r="K413" s="30">
        <f>SUM(T408:T417)</f>
        <v>115.94</v>
      </c>
      <c r="L413" s="32"/>
    </row>
    <row r="414" spans="1:26" ht="14.25" x14ac:dyDescent="0.2">
      <c r="A414" s="45"/>
      <c r="B414" s="46"/>
      <c r="C414" s="46" t="s">
        <v>1640</v>
      </c>
      <c r="D414" s="29" t="s">
        <v>1639</v>
      </c>
      <c r="E414" s="11">
        <f>Source!CA149</f>
        <v>83</v>
      </c>
      <c r="F414" s="71" t="str">
        <f>CONCATENATE(" )", Source!DM149, Source!FU149, "=", Source!FY149)</f>
        <v xml:space="preserve"> )*0,85=70,55</v>
      </c>
      <c r="G414" s="72"/>
      <c r="H414" s="30">
        <f>SUM(U408:U417)</f>
        <v>10.84</v>
      </c>
      <c r="I414" s="34"/>
      <c r="J414" s="27">
        <f>Source!AU149</f>
        <v>71</v>
      </c>
      <c r="K414" s="30">
        <f>SUM(V408:V417)</f>
        <v>71.58</v>
      </c>
      <c r="L414" s="32"/>
    </row>
    <row r="415" spans="1:26" ht="14.25" x14ac:dyDescent="0.2">
      <c r="A415" s="45"/>
      <c r="B415" s="46"/>
      <c r="C415" s="46" t="s">
        <v>1641</v>
      </c>
      <c r="D415" s="29" t="s">
        <v>1642</v>
      </c>
      <c r="E415" s="11">
        <f>Source!AQ149</f>
        <v>1.26</v>
      </c>
      <c r="F415" s="30"/>
      <c r="G415" s="31" t="str">
        <f>Source!DI149</f>
        <v>)*1,15</v>
      </c>
      <c r="H415" s="30"/>
      <c r="I415" s="31"/>
      <c r="J415" s="31"/>
      <c r="K415" s="30"/>
      <c r="L415" s="41">
        <f>Source!U149</f>
        <v>1.4489999999999998</v>
      </c>
    </row>
    <row r="416" spans="1:26" ht="57" x14ac:dyDescent="0.2">
      <c r="A416" s="45" t="str">
        <f>Source!E150</f>
        <v>37,1</v>
      </c>
      <c r="B416" s="46" t="str">
        <f>Source!F150</f>
        <v>24.3.05.12-0002</v>
      </c>
      <c r="C416" s="46" t="str">
        <f>Source!G150</f>
        <v>Ревизия полиэтиленовая с крышкой размером 100х50 мм (Ревизионные лючки ПВХ  размером 400х300мм) прим.</v>
      </c>
      <c r="D416" s="29" t="str">
        <f>Source!H150</f>
        <v>шт.</v>
      </c>
      <c r="E416" s="11">
        <f>Source!I150</f>
        <v>1</v>
      </c>
      <c r="F416" s="30">
        <f>Source!AL150+Source!AM150+Source!AO150</f>
        <v>6.78</v>
      </c>
      <c r="G416" s="42" t="s">
        <v>6</v>
      </c>
      <c r="H416" s="30">
        <f>ROUND(Source!AC150*Source!I150, 2)+ROUND(Source!AD150*Source!I150, 2)+ROUND(Source!AF150*Source!I150, 2)</f>
        <v>6.78</v>
      </c>
      <c r="I416" s="31"/>
      <c r="J416" s="31">
        <f>IF(Source!BC150&lt;&gt; 0, Source!BC150, 1)</f>
        <v>6.56</v>
      </c>
      <c r="K416" s="30">
        <f>Source!O150</f>
        <v>44.48</v>
      </c>
      <c r="L416" s="32"/>
      <c r="S416">
        <f>ROUND((Source!FX150/100)*((ROUND(Source!AF150*Source!I150, 2)+ROUND(Source!AE150*Source!I150, 2))), 2)</f>
        <v>0</v>
      </c>
      <c r="T416">
        <f>Source!X150</f>
        <v>0</v>
      </c>
      <c r="U416">
        <f>ROUND((Source!FY150/100)*((ROUND(Source!AF150*Source!I150, 2)+ROUND(Source!AE150*Source!I150, 2))), 2)</f>
        <v>0</v>
      </c>
      <c r="V416">
        <f>Source!Y150</f>
        <v>0</v>
      </c>
      <c r="W416">
        <f>IF(Source!BI150&lt;=1,H416, 0)</f>
        <v>6.78</v>
      </c>
      <c r="X416">
        <f>IF(Source!BI150=2,H416, 0)</f>
        <v>0</v>
      </c>
      <c r="Y416">
        <f>IF(Source!BI150=3,H416, 0)</f>
        <v>0</v>
      </c>
      <c r="Z416">
        <f>IF(Source!BI150=4,H416, 0)</f>
        <v>0</v>
      </c>
    </row>
    <row r="417" spans="1:26" ht="14.25" x14ac:dyDescent="0.2">
      <c r="A417" s="47" t="str">
        <f>Source!E151</f>
        <v>37,2</v>
      </c>
      <c r="B417" s="48" t="str">
        <f>Source!F151</f>
        <v>22.2.02.10</v>
      </c>
      <c r="C417" s="48" t="str">
        <f>Source!G151</f>
        <v>Люки герметические</v>
      </c>
      <c r="D417" s="35" t="str">
        <f>Source!H151</f>
        <v>шт.</v>
      </c>
      <c r="E417" s="36">
        <f>Source!I151</f>
        <v>1</v>
      </c>
      <c r="F417" s="37">
        <f>Source!AL151+Source!AM151+Source!AO151</f>
        <v>0</v>
      </c>
      <c r="G417" s="43" t="s">
        <v>6</v>
      </c>
      <c r="H417" s="37">
        <f>ROUND(Source!AC151*Source!I151, 2)+ROUND(Source!AD151*Source!I151, 2)+ROUND(Source!AF151*Source!I151, 2)</f>
        <v>0</v>
      </c>
      <c r="I417" s="38"/>
      <c r="J417" s="38">
        <f>IF(Source!BC151&lt;&gt; 0, Source!BC151, 1)</f>
        <v>6.56</v>
      </c>
      <c r="K417" s="37">
        <f>Source!O151</f>
        <v>0</v>
      </c>
      <c r="L417" s="44"/>
      <c r="S417">
        <f>ROUND((Source!FX151/100)*((ROUND(Source!AF151*Source!I151, 2)+ROUND(Source!AE151*Source!I151, 2))), 2)</f>
        <v>0</v>
      </c>
      <c r="T417">
        <f>Source!X151</f>
        <v>0</v>
      </c>
      <c r="U417">
        <f>ROUND((Source!FY151/100)*((ROUND(Source!AF151*Source!I151, 2)+ROUND(Source!AE151*Source!I151, 2))), 2)</f>
        <v>0</v>
      </c>
      <c r="V417">
        <f>Source!Y151</f>
        <v>0</v>
      </c>
      <c r="W417">
        <f>IF(Source!BI151&lt;=1,H417, 0)</f>
        <v>0</v>
      </c>
      <c r="X417">
        <f>IF(Source!BI151=2,H417, 0)</f>
        <v>0</v>
      </c>
      <c r="Y417">
        <f>IF(Source!BI151=3,H417, 0)</f>
        <v>0</v>
      </c>
      <c r="Z417">
        <f>IF(Source!BI151=4,H417, 0)</f>
        <v>0</v>
      </c>
    </row>
    <row r="418" spans="1:26" ht="15" x14ac:dyDescent="0.25">
      <c r="G418" s="70">
        <f>H409+H410+H412+H413+H414+SUM(H416:H417)</f>
        <v>81.45</v>
      </c>
      <c r="H418" s="70"/>
      <c r="J418" s="70">
        <f>K409+K410+K412+K413+K414+SUM(K416:K417)</f>
        <v>534.54999999999995</v>
      </c>
      <c r="K418" s="70"/>
      <c r="L418" s="40">
        <f>Source!U149</f>
        <v>1.4489999999999998</v>
      </c>
      <c r="O418" s="24">
        <f>G418</f>
        <v>81.45</v>
      </c>
      <c r="P418" s="24">
        <f>J418</f>
        <v>534.54999999999995</v>
      </c>
      <c r="Q418" s="24">
        <f>L418</f>
        <v>1.4489999999999998</v>
      </c>
      <c r="W418">
        <f>IF(Source!BI149&lt;=1,H409+H410+H412+H413+H414, 0)</f>
        <v>74.67</v>
      </c>
      <c r="X418">
        <f>IF(Source!BI149=2,H409+H410+H412+H413+H414, 0)</f>
        <v>0</v>
      </c>
      <c r="Y418">
        <f>IF(Source!BI149=3,H409+H410+H412+H413+H414, 0)</f>
        <v>0</v>
      </c>
      <c r="Z418">
        <f>IF(Source!BI149=4,H409+H410+H412+H413+H414, 0)</f>
        <v>0</v>
      </c>
    </row>
    <row r="419" spans="1:26" ht="28.5" x14ac:dyDescent="0.2">
      <c r="A419" s="45" t="str">
        <f>Source!E152</f>
        <v>38</v>
      </c>
      <c r="B419" s="46" t="str">
        <f>Source!F152</f>
        <v>11-01-011-03</v>
      </c>
      <c r="C419" s="46" t="str">
        <f>Source!G152</f>
        <v>Устройство стяжек бетонных толщиной 20 мм</v>
      </c>
      <c r="D419" s="29" t="str">
        <f>Source!H152</f>
        <v>100 м2</v>
      </c>
      <c r="E419" s="11">
        <f>Source!I152</f>
        <v>1.01</v>
      </c>
      <c r="F419" s="30">
        <f>Source!AL152+Source!AM152+Source!AO152</f>
        <v>367.65999999999997</v>
      </c>
      <c r="G419" s="31"/>
      <c r="H419" s="30"/>
      <c r="I419" s="31" t="str">
        <f>Source!BO152</f>
        <v/>
      </c>
      <c r="J419" s="31"/>
      <c r="K419" s="30"/>
      <c r="L419" s="32"/>
      <c r="S419">
        <f>ROUND((Source!FX152/100)*((ROUND(Source!AF152*Source!I152, 2)+ROUND(Source!AE152*Source!I152, 2))), 2)</f>
        <v>431.65</v>
      </c>
      <c r="T419">
        <f>Source!X152</f>
        <v>2839.31</v>
      </c>
      <c r="U419">
        <f>ROUND((Source!FY152/100)*((ROUND(Source!AF152*Source!I152, 2)+ROUND(Source!AE152*Source!I152, 2))), 2)</f>
        <v>248.58</v>
      </c>
      <c r="V419">
        <f>Source!Y152</f>
        <v>1637.08</v>
      </c>
    </row>
    <row r="420" spans="1:26" x14ac:dyDescent="0.2">
      <c r="C420" s="23" t="str">
        <f>"Объем: "&amp;Source!I152&amp;"=101/"&amp;"100"</f>
        <v>Объем: 1,01=101/100</v>
      </c>
    </row>
    <row r="421" spans="1:26" ht="14.25" x14ac:dyDescent="0.2">
      <c r="A421" s="45"/>
      <c r="B421" s="46"/>
      <c r="C421" s="46" t="s">
        <v>1636</v>
      </c>
      <c r="D421" s="29"/>
      <c r="E421" s="11"/>
      <c r="F421" s="30">
        <f>Source!AO152</f>
        <v>317.07</v>
      </c>
      <c r="G421" s="31" t="str">
        <f>Source!DG152</f>
        <v>)*1,15</v>
      </c>
      <c r="H421" s="30">
        <f>ROUND(Source!AF152*Source!I152, 2)</f>
        <v>368.28</v>
      </c>
      <c r="I421" s="31"/>
      <c r="J421" s="31">
        <f>IF(Source!BA152&lt;&gt; 0, Source!BA152, 1)</f>
        <v>6.56</v>
      </c>
      <c r="K421" s="30">
        <f>Source!S152</f>
        <v>2415.89</v>
      </c>
      <c r="L421" s="32"/>
      <c r="R421">
        <f>H421</f>
        <v>368.28</v>
      </c>
    </row>
    <row r="422" spans="1:26" ht="14.25" x14ac:dyDescent="0.2">
      <c r="A422" s="45"/>
      <c r="B422" s="46"/>
      <c r="C422" s="46" t="s">
        <v>136</v>
      </c>
      <c r="D422" s="29"/>
      <c r="E422" s="11"/>
      <c r="F422" s="30">
        <f>Source!AM152</f>
        <v>42.05</v>
      </c>
      <c r="G422" s="31" t="str">
        <f>Source!DE152</f>
        <v>)*1,25</v>
      </c>
      <c r="H422" s="30">
        <f>ROUND(Source!AD152*Source!I152, 2)</f>
        <v>53.1</v>
      </c>
      <c r="I422" s="31"/>
      <c r="J422" s="31">
        <f>IF(Source!BB152&lt;&gt; 0, Source!BB152, 1)</f>
        <v>6.56</v>
      </c>
      <c r="K422" s="30">
        <f>Source!Q152</f>
        <v>348.31</v>
      </c>
      <c r="L422" s="32"/>
    </row>
    <row r="423" spans="1:26" ht="14.25" x14ac:dyDescent="0.2">
      <c r="A423" s="45"/>
      <c r="B423" s="46"/>
      <c r="C423" s="46" t="s">
        <v>1637</v>
      </c>
      <c r="D423" s="29"/>
      <c r="E423" s="11"/>
      <c r="F423" s="30">
        <f>Source!AN152</f>
        <v>17.149999999999999</v>
      </c>
      <c r="G423" s="31" t="str">
        <f>Source!DF152</f>
        <v>)*1,25</v>
      </c>
      <c r="H423" s="33">
        <f>ROUND(Source!AE152*Source!I152, 2)</f>
        <v>21.65</v>
      </c>
      <c r="I423" s="31"/>
      <c r="J423" s="31">
        <f>IF(Source!BS152&lt;&gt; 0, Source!BS152, 1)</f>
        <v>6.56</v>
      </c>
      <c r="K423" s="33">
        <f>Source!R152</f>
        <v>142.05000000000001</v>
      </c>
      <c r="L423" s="32"/>
      <c r="R423">
        <f>H423</f>
        <v>21.65</v>
      </c>
    </row>
    <row r="424" spans="1:26" ht="14.25" x14ac:dyDescent="0.2">
      <c r="A424" s="45"/>
      <c r="B424" s="46"/>
      <c r="C424" s="46" t="s">
        <v>1643</v>
      </c>
      <c r="D424" s="29"/>
      <c r="E424" s="11"/>
      <c r="F424" s="30">
        <f>Source!AL152</f>
        <v>8.5399999999999991</v>
      </c>
      <c r="G424" s="31" t="str">
        <f>Source!DD152</f>
        <v/>
      </c>
      <c r="H424" s="30">
        <f>ROUND(Source!AC152*Source!I152, 2)</f>
        <v>8.6300000000000008</v>
      </c>
      <c r="I424" s="31"/>
      <c r="J424" s="31">
        <f>IF(Source!BC152&lt;&gt; 0, Source!BC152, 1)</f>
        <v>6.56</v>
      </c>
      <c r="K424" s="30">
        <f>Source!P152</f>
        <v>56.58</v>
      </c>
      <c r="L424" s="32"/>
    </row>
    <row r="425" spans="1:26" ht="14.25" x14ac:dyDescent="0.2">
      <c r="A425" s="45"/>
      <c r="B425" s="46"/>
      <c r="C425" s="46" t="s">
        <v>1638</v>
      </c>
      <c r="D425" s="29" t="s">
        <v>1639</v>
      </c>
      <c r="E425" s="11">
        <f>Source!BZ152</f>
        <v>123</v>
      </c>
      <c r="F425" s="71" t="str">
        <f>CONCATENATE(" )", Source!DL152, Source!FT152, "=", Source!FX152)</f>
        <v xml:space="preserve"> )*0,9=110,7</v>
      </c>
      <c r="G425" s="72"/>
      <c r="H425" s="30">
        <f>SUM(S419:S429)</f>
        <v>431.65</v>
      </c>
      <c r="I425" s="34"/>
      <c r="J425" s="27">
        <f>Source!AT152</f>
        <v>111</v>
      </c>
      <c r="K425" s="30">
        <f>SUM(T419:T429)</f>
        <v>2839.31</v>
      </c>
      <c r="L425" s="32"/>
    </row>
    <row r="426" spans="1:26" ht="14.25" x14ac:dyDescent="0.2">
      <c r="A426" s="45"/>
      <c r="B426" s="46"/>
      <c r="C426" s="46" t="s">
        <v>1640</v>
      </c>
      <c r="D426" s="29" t="s">
        <v>1639</v>
      </c>
      <c r="E426" s="11">
        <f>Source!CA152</f>
        <v>75</v>
      </c>
      <c r="F426" s="71" t="str">
        <f>CONCATENATE(" )", Source!DM152, Source!FU152, "=", Source!FY152)</f>
        <v xml:space="preserve"> )*0,85=63,75</v>
      </c>
      <c r="G426" s="72"/>
      <c r="H426" s="30">
        <f>SUM(U419:U429)</f>
        <v>248.58</v>
      </c>
      <c r="I426" s="34"/>
      <c r="J426" s="27">
        <f>Source!AU152</f>
        <v>64</v>
      </c>
      <c r="K426" s="30">
        <f>SUM(V419:V429)</f>
        <v>1637.08</v>
      </c>
      <c r="L426" s="32"/>
    </row>
    <row r="427" spans="1:26" ht="14.25" x14ac:dyDescent="0.2">
      <c r="A427" s="45"/>
      <c r="B427" s="46"/>
      <c r="C427" s="46" t="s">
        <v>1641</v>
      </c>
      <c r="D427" s="29" t="s">
        <v>1642</v>
      </c>
      <c r="E427" s="11">
        <f>Source!AQ152</f>
        <v>40.65</v>
      </c>
      <c r="F427" s="30"/>
      <c r="G427" s="31" t="str">
        <f>Source!DI152</f>
        <v>)*1,15</v>
      </c>
      <c r="H427" s="30"/>
      <c r="I427" s="31"/>
      <c r="J427" s="31"/>
      <c r="K427" s="30"/>
      <c r="L427" s="41">
        <f>Source!U152</f>
        <v>47.214974999999995</v>
      </c>
    </row>
    <row r="428" spans="1:26" ht="28.5" x14ac:dyDescent="0.2">
      <c r="A428" s="45" t="str">
        <f>Source!E153</f>
        <v>38,1</v>
      </c>
      <c r="B428" s="46" t="str">
        <f>Source!F153</f>
        <v>04.1.02.01-0008</v>
      </c>
      <c r="C428" s="46" t="str">
        <f>Source!G153</f>
        <v>Бетон мелкозернистый, класс В22,5 (М300)</v>
      </c>
      <c r="D428" s="29" t="str">
        <f>Source!H153</f>
        <v>м3</v>
      </c>
      <c r="E428" s="11">
        <f>Source!I153</f>
        <v>2.0604</v>
      </c>
      <c r="F428" s="30">
        <f>Source!AL153+Source!AM153+Source!AO153</f>
        <v>643.42999999999995</v>
      </c>
      <c r="G428" s="42" t="s">
        <v>6</v>
      </c>
      <c r="H428" s="30">
        <f>ROUND(Source!AC153*Source!I153, 2)+ROUND(Source!AD153*Source!I153, 2)+ROUND(Source!AF153*Source!I153, 2)</f>
        <v>1325.72</v>
      </c>
      <c r="I428" s="31"/>
      <c r="J428" s="31">
        <f>IF(Source!BC153&lt;&gt; 0, Source!BC153, 1)</f>
        <v>6.56</v>
      </c>
      <c r="K428" s="30">
        <f>Source!O153</f>
        <v>8696.74</v>
      </c>
      <c r="L428" s="32"/>
      <c r="S428">
        <f>ROUND((Source!FX153/100)*((ROUND(Source!AF153*Source!I153, 2)+ROUND(Source!AE153*Source!I153, 2))), 2)</f>
        <v>0</v>
      </c>
      <c r="T428">
        <f>Source!X153</f>
        <v>0</v>
      </c>
      <c r="U428">
        <f>ROUND((Source!FY153/100)*((ROUND(Source!AF153*Source!I153, 2)+ROUND(Source!AE153*Source!I153, 2))), 2)</f>
        <v>0</v>
      </c>
      <c r="V428">
        <f>Source!Y153</f>
        <v>0</v>
      </c>
      <c r="W428">
        <f>IF(Source!BI153&lt;=1,H428, 0)</f>
        <v>1325.72</v>
      </c>
      <c r="X428">
        <f>IF(Source!BI153=2,H428, 0)</f>
        <v>0</v>
      </c>
      <c r="Y428">
        <f>IF(Source!BI153=3,H428, 0)</f>
        <v>0</v>
      </c>
      <c r="Z428">
        <f>IF(Source!BI153=4,H428, 0)</f>
        <v>0</v>
      </c>
    </row>
    <row r="429" spans="1:26" ht="14.25" x14ac:dyDescent="0.2">
      <c r="A429" s="47" t="str">
        <f>Source!E154</f>
        <v>38,2</v>
      </c>
      <c r="B429" s="48" t="str">
        <f>Source!F154</f>
        <v>04.1.02.06</v>
      </c>
      <c r="C429" s="48" t="str">
        <f>Source!G154</f>
        <v>Бетон тяжелый</v>
      </c>
      <c r="D429" s="35" t="str">
        <f>Source!H154</f>
        <v>м3</v>
      </c>
      <c r="E429" s="36">
        <f>Source!I154</f>
        <v>2.0604</v>
      </c>
      <c r="F429" s="37">
        <f>Source!AL154+Source!AM154+Source!AO154</f>
        <v>0</v>
      </c>
      <c r="G429" s="43" t="s">
        <v>6</v>
      </c>
      <c r="H429" s="37">
        <f>ROUND(Source!AC154*Source!I154, 2)+ROUND(Source!AD154*Source!I154, 2)+ROUND(Source!AF154*Source!I154, 2)</f>
        <v>0</v>
      </c>
      <c r="I429" s="38"/>
      <c r="J429" s="38">
        <f>IF(Source!BC154&lt;&gt; 0, Source!BC154, 1)</f>
        <v>6.56</v>
      </c>
      <c r="K429" s="37">
        <f>Source!O154</f>
        <v>0</v>
      </c>
      <c r="L429" s="44"/>
      <c r="S429">
        <f>ROUND((Source!FX154/100)*((ROUND(Source!AF154*Source!I154, 2)+ROUND(Source!AE154*Source!I154, 2))), 2)</f>
        <v>0</v>
      </c>
      <c r="T429">
        <f>Source!X154</f>
        <v>0</v>
      </c>
      <c r="U429">
        <f>ROUND((Source!FY154/100)*((ROUND(Source!AF154*Source!I154, 2)+ROUND(Source!AE154*Source!I154, 2))), 2)</f>
        <v>0</v>
      </c>
      <c r="V429">
        <f>Source!Y154</f>
        <v>0</v>
      </c>
      <c r="W429">
        <f>IF(Source!BI154&lt;=1,H429, 0)</f>
        <v>0</v>
      </c>
      <c r="X429">
        <f>IF(Source!BI154=2,H429, 0)</f>
        <v>0</v>
      </c>
      <c r="Y429">
        <f>IF(Source!BI154=3,H429, 0)</f>
        <v>0</v>
      </c>
      <c r="Z429">
        <f>IF(Source!BI154=4,H429, 0)</f>
        <v>0</v>
      </c>
    </row>
    <row r="430" spans="1:26" ht="15" x14ac:dyDescent="0.25">
      <c r="G430" s="70">
        <f>H421+H422+H424+H425+H426+SUM(H428:H429)</f>
        <v>2435.96</v>
      </c>
      <c r="H430" s="70"/>
      <c r="J430" s="70">
        <f>K421+K422+K424+K425+K426+SUM(K428:K429)</f>
        <v>15993.91</v>
      </c>
      <c r="K430" s="70"/>
      <c r="L430" s="40">
        <f>Source!U152</f>
        <v>47.214974999999995</v>
      </c>
      <c r="O430" s="24">
        <f>G430</f>
        <v>2435.96</v>
      </c>
      <c r="P430" s="24">
        <f>J430</f>
        <v>15993.91</v>
      </c>
      <c r="Q430" s="24">
        <f>L430</f>
        <v>47.214974999999995</v>
      </c>
      <c r="W430">
        <f>IF(Source!BI152&lt;=1,H421+H422+H424+H425+H426, 0)</f>
        <v>1110.24</v>
      </c>
      <c r="X430">
        <f>IF(Source!BI152=2,H421+H422+H424+H425+H426, 0)</f>
        <v>0</v>
      </c>
      <c r="Y430">
        <f>IF(Source!BI152=3,H421+H422+H424+H425+H426, 0)</f>
        <v>0</v>
      </c>
      <c r="Z430">
        <f>IF(Source!BI152=4,H421+H422+H424+H425+H426, 0)</f>
        <v>0</v>
      </c>
    </row>
    <row r="431" spans="1:26" ht="57" x14ac:dyDescent="0.2">
      <c r="A431" s="45" t="str">
        <f>Source!E155</f>
        <v>39</v>
      </c>
      <c r="B431" s="46" t="str">
        <f>Source!F155</f>
        <v>11-01-011-04</v>
      </c>
      <c r="C431" s="46" t="str">
        <f>Source!G155</f>
        <v>Устройство стяжек на каждые 5 мм изменения толщины стяжки добавлять или исключать к расценке 11-01-011-03 (тол.30мм)</v>
      </c>
      <c r="D431" s="29" t="str">
        <f>Source!H155</f>
        <v>100 м2</v>
      </c>
      <c r="E431" s="11">
        <f>Source!I155</f>
        <v>1.01</v>
      </c>
      <c r="F431" s="30">
        <f>Source!AL155+Source!AM155+Source!AO155</f>
        <v>11.62</v>
      </c>
      <c r="G431" s="31"/>
      <c r="H431" s="30"/>
      <c r="I431" s="31" t="str">
        <f>Source!BO155</f>
        <v/>
      </c>
      <c r="J431" s="31"/>
      <c r="K431" s="30"/>
      <c r="L431" s="32"/>
      <c r="S431">
        <f>ROUND((Source!FX155/100)*((ROUND(Source!AF155*Source!I155, 2)+ROUND(Source!AE155*Source!I155, 2))), 2)</f>
        <v>53.9</v>
      </c>
      <c r="T431">
        <f>Source!X155</f>
        <v>354.56</v>
      </c>
      <c r="U431">
        <f>ROUND((Source!FY155/100)*((ROUND(Source!AF155*Source!I155, 2)+ROUND(Source!AE155*Source!I155, 2))), 2)</f>
        <v>31.04</v>
      </c>
      <c r="V431">
        <f>Source!Y155</f>
        <v>204.43</v>
      </c>
    </row>
    <row r="432" spans="1:26" x14ac:dyDescent="0.2">
      <c r="C432" s="23" t="str">
        <f>"Объем: "&amp;Source!I155&amp;"=101/"&amp;"100"</f>
        <v>Объем: 1,01=101/100</v>
      </c>
    </row>
    <row r="433" spans="1:26" ht="14.25" x14ac:dyDescent="0.2">
      <c r="A433" s="45"/>
      <c r="B433" s="46"/>
      <c r="C433" s="46" t="s">
        <v>1636</v>
      </c>
      <c r="D433" s="29"/>
      <c r="E433" s="11"/>
      <c r="F433" s="30">
        <f>Source!AO155</f>
        <v>3.9</v>
      </c>
      <c r="G433" s="31" t="str">
        <f>Source!DG155</f>
        <v>)*1,15*6</v>
      </c>
      <c r="H433" s="30">
        <f>ROUND(Source!AF155*Source!I155, 2)</f>
        <v>27.18</v>
      </c>
      <c r="I433" s="31"/>
      <c r="J433" s="31">
        <f>IF(Source!BA155&lt;&gt; 0, Source!BA155, 1)</f>
        <v>6.56</v>
      </c>
      <c r="K433" s="30">
        <f>Source!S155</f>
        <v>178.29</v>
      </c>
      <c r="L433" s="32"/>
      <c r="R433">
        <f>H433</f>
        <v>27.18</v>
      </c>
    </row>
    <row r="434" spans="1:26" ht="14.25" x14ac:dyDescent="0.2">
      <c r="A434" s="45"/>
      <c r="B434" s="46"/>
      <c r="C434" s="46" t="s">
        <v>136</v>
      </c>
      <c r="D434" s="29"/>
      <c r="E434" s="11"/>
      <c r="F434" s="30">
        <f>Source!AM155</f>
        <v>7.72</v>
      </c>
      <c r="G434" s="31" t="str">
        <f>Source!DE155</f>
        <v>)*1,25*6</v>
      </c>
      <c r="H434" s="30">
        <f>ROUND(Source!AD155*Source!I155, 2)</f>
        <v>58.48</v>
      </c>
      <c r="I434" s="31"/>
      <c r="J434" s="31">
        <f>IF(Source!BB155&lt;&gt; 0, Source!BB155, 1)</f>
        <v>6.56</v>
      </c>
      <c r="K434" s="30">
        <f>Source!Q155</f>
        <v>383.62</v>
      </c>
      <c r="L434" s="32"/>
    </row>
    <row r="435" spans="1:26" ht="14.25" x14ac:dyDescent="0.2">
      <c r="A435" s="45"/>
      <c r="B435" s="46"/>
      <c r="C435" s="46" t="s">
        <v>1637</v>
      </c>
      <c r="D435" s="29"/>
      <c r="E435" s="11"/>
      <c r="F435" s="30">
        <f>Source!AN155</f>
        <v>2.84</v>
      </c>
      <c r="G435" s="31" t="str">
        <f>Source!DF155</f>
        <v>)*1,25*6</v>
      </c>
      <c r="H435" s="33">
        <f>ROUND(Source!AE155*Source!I155, 2)</f>
        <v>21.51</v>
      </c>
      <c r="I435" s="31"/>
      <c r="J435" s="31">
        <f>IF(Source!BS155&lt;&gt; 0, Source!BS155, 1)</f>
        <v>6.56</v>
      </c>
      <c r="K435" s="33">
        <f>Source!R155</f>
        <v>141.13</v>
      </c>
      <c r="L435" s="32"/>
      <c r="R435">
        <f>H435</f>
        <v>21.51</v>
      </c>
    </row>
    <row r="436" spans="1:26" ht="14.25" x14ac:dyDescent="0.2">
      <c r="A436" s="45"/>
      <c r="B436" s="46"/>
      <c r="C436" s="46" t="s">
        <v>1638</v>
      </c>
      <c r="D436" s="29" t="s">
        <v>1639</v>
      </c>
      <c r="E436" s="11">
        <f>Source!BZ155</f>
        <v>123</v>
      </c>
      <c r="F436" s="71" t="str">
        <f>CONCATENATE(" )", Source!DL155, Source!FT155, "=", Source!FX155)</f>
        <v xml:space="preserve"> )*0,9=110,7</v>
      </c>
      <c r="G436" s="72"/>
      <c r="H436" s="30">
        <f>SUM(S431:S440)</f>
        <v>53.9</v>
      </c>
      <c r="I436" s="34"/>
      <c r="J436" s="27">
        <f>Source!AT155</f>
        <v>111</v>
      </c>
      <c r="K436" s="30">
        <f>SUM(T431:T440)</f>
        <v>354.56</v>
      </c>
      <c r="L436" s="32"/>
    </row>
    <row r="437" spans="1:26" ht="14.25" x14ac:dyDescent="0.2">
      <c r="A437" s="45"/>
      <c r="B437" s="46"/>
      <c r="C437" s="46" t="s">
        <v>1640</v>
      </c>
      <c r="D437" s="29" t="s">
        <v>1639</v>
      </c>
      <c r="E437" s="11">
        <f>Source!CA155</f>
        <v>75</v>
      </c>
      <c r="F437" s="71" t="str">
        <f>CONCATENATE(" )", Source!DM155, Source!FU155, "=", Source!FY155)</f>
        <v xml:space="preserve"> )*0,85=63,75</v>
      </c>
      <c r="G437" s="72"/>
      <c r="H437" s="30">
        <f>SUM(U431:U440)</f>
        <v>31.04</v>
      </c>
      <c r="I437" s="34"/>
      <c r="J437" s="27">
        <f>Source!AU155</f>
        <v>64</v>
      </c>
      <c r="K437" s="30">
        <f>SUM(V431:V440)</f>
        <v>204.43</v>
      </c>
      <c r="L437" s="32"/>
    </row>
    <row r="438" spans="1:26" ht="14.25" x14ac:dyDescent="0.2">
      <c r="A438" s="45"/>
      <c r="B438" s="46"/>
      <c r="C438" s="46" t="s">
        <v>1641</v>
      </c>
      <c r="D438" s="29" t="s">
        <v>1642</v>
      </c>
      <c r="E438" s="11">
        <f>Source!AQ155</f>
        <v>0.5</v>
      </c>
      <c r="F438" s="30"/>
      <c r="G438" s="31" t="str">
        <f>Source!DI155</f>
        <v>)*1,15*6</v>
      </c>
      <c r="H438" s="30"/>
      <c r="I438" s="31"/>
      <c r="J438" s="31"/>
      <c r="K438" s="30"/>
      <c r="L438" s="41">
        <f>Source!U155</f>
        <v>3.4844999999999997</v>
      </c>
    </row>
    <row r="439" spans="1:26" ht="28.5" x14ac:dyDescent="0.2">
      <c r="A439" s="45" t="str">
        <f>Source!E156</f>
        <v>39,1</v>
      </c>
      <c r="B439" s="46" t="str">
        <f>Source!F156</f>
        <v>04.1.02.01-0008</v>
      </c>
      <c r="C439" s="46" t="str">
        <f>Source!G156</f>
        <v>Бетон мелкозернистый, класс В22,5 (М300)</v>
      </c>
      <c r="D439" s="29" t="str">
        <f>Source!H156</f>
        <v>м3</v>
      </c>
      <c r="E439" s="11">
        <f>Source!I156</f>
        <v>3.0905999999999998</v>
      </c>
      <c r="F439" s="30">
        <f>Source!AL156+Source!AM156+Source!AO156</f>
        <v>643.42999999999995</v>
      </c>
      <c r="G439" s="42" t="s">
        <v>1644</v>
      </c>
      <c r="H439" s="30">
        <f>ROUND(Source!AC156*Source!I156, 2)+ROUND(Source!AD156*Source!I156, 2)+ROUND(Source!AF156*Source!I156, 2)</f>
        <v>1988.58</v>
      </c>
      <c r="I439" s="31"/>
      <c r="J439" s="31">
        <f>IF(Source!BC156&lt;&gt; 0, Source!BC156, 1)</f>
        <v>6.56</v>
      </c>
      <c r="K439" s="30">
        <f>Source!O156</f>
        <v>13045.12</v>
      </c>
      <c r="L439" s="32"/>
      <c r="S439">
        <f>ROUND((Source!FX156/100)*((ROUND(Source!AF156*Source!I156, 2)+ROUND(Source!AE156*Source!I156, 2))), 2)</f>
        <v>0</v>
      </c>
      <c r="T439">
        <f>Source!X156</f>
        <v>0</v>
      </c>
      <c r="U439">
        <f>ROUND((Source!FY156/100)*((ROUND(Source!AF156*Source!I156, 2)+ROUND(Source!AE156*Source!I156, 2))), 2)</f>
        <v>0</v>
      </c>
      <c r="V439">
        <f>Source!Y156</f>
        <v>0</v>
      </c>
      <c r="W439">
        <f>IF(Source!BI156&lt;=1,H439, 0)</f>
        <v>1988.58</v>
      </c>
      <c r="X439">
        <f>IF(Source!BI156=2,H439, 0)</f>
        <v>0</v>
      </c>
      <c r="Y439">
        <f>IF(Source!BI156=3,H439, 0)</f>
        <v>0</v>
      </c>
      <c r="Z439">
        <f>IF(Source!BI156=4,H439, 0)</f>
        <v>0</v>
      </c>
    </row>
    <row r="440" spans="1:26" ht="14.25" x14ac:dyDescent="0.2">
      <c r="A440" s="47" t="str">
        <f>Source!E157</f>
        <v>39,2</v>
      </c>
      <c r="B440" s="48" t="str">
        <f>Source!F157</f>
        <v>04.1.02.06</v>
      </c>
      <c r="C440" s="48" t="str">
        <f>Source!G157</f>
        <v>Бетон тяжелый</v>
      </c>
      <c r="D440" s="35" t="str">
        <f>Source!H157</f>
        <v>м3</v>
      </c>
      <c r="E440" s="36">
        <f>Source!I157</f>
        <v>3.0905999999999998</v>
      </c>
      <c r="F440" s="37">
        <f>Source!AL157+Source!AM157+Source!AO157</f>
        <v>0</v>
      </c>
      <c r="G440" s="43" t="s">
        <v>1644</v>
      </c>
      <c r="H440" s="37">
        <f>ROUND(Source!AC157*Source!I157, 2)+ROUND(Source!AD157*Source!I157, 2)+ROUND(Source!AF157*Source!I157, 2)</f>
        <v>0</v>
      </c>
      <c r="I440" s="38"/>
      <c r="J440" s="38">
        <f>IF(Source!BC157&lt;&gt; 0, Source!BC157, 1)</f>
        <v>6.56</v>
      </c>
      <c r="K440" s="37">
        <f>Source!O157</f>
        <v>0</v>
      </c>
      <c r="L440" s="44"/>
      <c r="S440">
        <f>ROUND((Source!FX157/100)*((ROUND(Source!AF157*Source!I157, 2)+ROUND(Source!AE157*Source!I157, 2))), 2)</f>
        <v>0</v>
      </c>
      <c r="T440">
        <f>Source!X157</f>
        <v>0</v>
      </c>
      <c r="U440">
        <f>ROUND((Source!FY157/100)*((ROUND(Source!AF157*Source!I157, 2)+ROUND(Source!AE157*Source!I157, 2))), 2)</f>
        <v>0</v>
      </c>
      <c r="V440">
        <f>Source!Y157</f>
        <v>0</v>
      </c>
      <c r="W440">
        <f>IF(Source!BI157&lt;=1,H440, 0)</f>
        <v>0</v>
      </c>
      <c r="X440">
        <f>IF(Source!BI157=2,H440, 0)</f>
        <v>0</v>
      </c>
      <c r="Y440">
        <f>IF(Source!BI157=3,H440, 0)</f>
        <v>0</v>
      </c>
      <c r="Z440">
        <f>IF(Source!BI157=4,H440, 0)</f>
        <v>0</v>
      </c>
    </row>
    <row r="441" spans="1:26" ht="15" x14ac:dyDescent="0.25">
      <c r="G441" s="70">
        <f>H433+H434+H436+H437+SUM(H439:H440)</f>
        <v>2159.1799999999998</v>
      </c>
      <c r="H441" s="70"/>
      <c r="J441" s="70">
        <f>K433+K434+K436+K437+SUM(K439:K440)</f>
        <v>14166.02</v>
      </c>
      <c r="K441" s="70"/>
      <c r="L441" s="40">
        <f>Source!U155</f>
        <v>3.4844999999999997</v>
      </c>
      <c r="O441" s="24">
        <f>G441</f>
        <v>2159.1799999999998</v>
      </c>
      <c r="P441" s="24">
        <f>J441</f>
        <v>14166.02</v>
      </c>
      <c r="Q441" s="24">
        <f>L441</f>
        <v>3.4844999999999997</v>
      </c>
      <c r="W441">
        <f>IF(Source!BI155&lt;=1,H433+H434+H436+H437, 0)</f>
        <v>170.6</v>
      </c>
      <c r="X441">
        <f>IF(Source!BI155=2,H433+H434+H436+H437, 0)</f>
        <v>0</v>
      </c>
      <c r="Y441">
        <f>IF(Source!BI155=3,H433+H434+H436+H437, 0)</f>
        <v>0</v>
      </c>
      <c r="Z441">
        <f>IF(Source!BI155=4,H433+H434+H436+H437, 0)</f>
        <v>0</v>
      </c>
    </row>
    <row r="442" spans="1:26" ht="42.75" x14ac:dyDescent="0.2">
      <c r="A442" s="45" t="str">
        <f>Source!E158</f>
        <v>40</v>
      </c>
      <c r="B442" s="46" t="str">
        <f>Source!F158</f>
        <v>11-01-011-08</v>
      </c>
      <c r="C442" s="46" t="str">
        <f>Source!G158</f>
        <v>Устройство стяжек из выравнивающей смеси типа "Ветонит" 5000, толщиной 5 мм</v>
      </c>
      <c r="D442" s="29" t="str">
        <f>Source!H158</f>
        <v>100 м2</v>
      </c>
      <c r="E442" s="11">
        <f>Source!I158</f>
        <v>1.01</v>
      </c>
      <c r="F442" s="30">
        <f>Source!AL158+Source!AM158+Source!AO158</f>
        <v>11028.89</v>
      </c>
      <c r="G442" s="31"/>
      <c r="H442" s="30"/>
      <c r="I442" s="31" t="str">
        <f>Source!BO158</f>
        <v/>
      </c>
      <c r="J442" s="31"/>
      <c r="K442" s="30"/>
      <c r="L442" s="32"/>
      <c r="S442">
        <f>ROUND((Source!FX158/100)*((ROUND(Source!AF158*Source!I158, 2)+ROUND(Source!AE158*Source!I158, 2))), 2)</f>
        <v>415.91</v>
      </c>
      <c r="T442">
        <f>Source!X158</f>
        <v>2735.77</v>
      </c>
      <c r="U442">
        <f>ROUND((Source!FY158/100)*((ROUND(Source!AF158*Source!I158, 2)+ROUND(Source!AE158*Source!I158, 2))), 2)</f>
        <v>239.52</v>
      </c>
      <c r="V442">
        <f>Source!Y158</f>
        <v>1577.38</v>
      </c>
    </row>
    <row r="443" spans="1:26" x14ac:dyDescent="0.2">
      <c r="C443" s="23" t="str">
        <f>"Объем: "&amp;Source!I158&amp;"=101/"&amp;"100"</f>
        <v>Объем: 1,01=101/100</v>
      </c>
    </row>
    <row r="444" spans="1:26" ht="14.25" x14ac:dyDescent="0.2">
      <c r="A444" s="45"/>
      <c r="B444" s="46"/>
      <c r="C444" s="46" t="s">
        <v>1636</v>
      </c>
      <c r="D444" s="29"/>
      <c r="E444" s="11"/>
      <c r="F444" s="30">
        <f>Source!AO158</f>
        <v>321.33</v>
      </c>
      <c r="G444" s="31" t="str">
        <f>Source!DG158</f>
        <v>)*1,15</v>
      </c>
      <c r="H444" s="30">
        <f>ROUND(Source!AF158*Source!I158, 2)</f>
        <v>373.23</v>
      </c>
      <c r="I444" s="31"/>
      <c r="J444" s="31">
        <f>IF(Source!BA158&lt;&gt; 0, Source!BA158, 1)</f>
        <v>6.56</v>
      </c>
      <c r="K444" s="30">
        <f>Source!S158</f>
        <v>2448.36</v>
      </c>
      <c r="L444" s="32"/>
      <c r="R444">
        <f>H444</f>
        <v>373.23</v>
      </c>
    </row>
    <row r="445" spans="1:26" ht="14.25" x14ac:dyDescent="0.2">
      <c r="A445" s="45"/>
      <c r="B445" s="46"/>
      <c r="C445" s="46" t="s">
        <v>136</v>
      </c>
      <c r="D445" s="29"/>
      <c r="E445" s="11"/>
      <c r="F445" s="30">
        <f>Source!AM158</f>
        <v>6.23</v>
      </c>
      <c r="G445" s="31" t="str">
        <f>Source!DE158</f>
        <v>)*1,25</v>
      </c>
      <c r="H445" s="30">
        <f>ROUND(Source!AD158*Source!I158, 2)</f>
        <v>7.87</v>
      </c>
      <c r="I445" s="31"/>
      <c r="J445" s="31">
        <f>IF(Source!BB158&lt;&gt; 0, Source!BB158, 1)</f>
        <v>6.56</v>
      </c>
      <c r="K445" s="30">
        <f>Source!Q158</f>
        <v>51.61</v>
      </c>
      <c r="L445" s="32"/>
    </row>
    <row r="446" spans="1:26" ht="14.25" x14ac:dyDescent="0.2">
      <c r="A446" s="45"/>
      <c r="B446" s="46"/>
      <c r="C446" s="46" t="s">
        <v>1637</v>
      </c>
      <c r="D446" s="29"/>
      <c r="E446" s="11"/>
      <c r="F446" s="30">
        <f>Source!AN158</f>
        <v>1.97</v>
      </c>
      <c r="G446" s="31" t="str">
        <f>Source!DF158</f>
        <v>)*1,25</v>
      </c>
      <c r="H446" s="33">
        <f>ROUND(Source!AE158*Source!I158, 2)</f>
        <v>2.48</v>
      </c>
      <c r="I446" s="31"/>
      <c r="J446" s="31">
        <f>IF(Source!BS158&lt;&gt; 0, Source!BS158, 1)</f>
        <v>6.56</v>
      </c>
      <c r="K446" s="33">
        <f>Source!R158</f>
        <v>16.3</v>
      </c>
      <c r="L446" s="32"/>
      <c r="R446">
        <f>H446</f>
        <v>2.48</v>
      </c>
    </row>
    <row r="447" spans="1:26" ht="14.25" x14ac:dyDescent="0.2">
      <c r="A447" s="45"/>
      <c r="B447" s="46"/>
      <c r="C447" s="46" t="s">
        <v>1643</v>
      </c>
      <c r="D447" s="29"/>
      <c r="E447" s="11"/>
      <c r="F447" s="30">
        <f>Source!AL158</f>
        <v>10701.33</v>
      </c>
      <c r="G447" s="31" t="str">
        <f>Source!DD158</f>
        <v/>
      </c>
      <c r="H447" s="30">
        <f>ROUND(Source!AC158*Source!I158, 2)</f>
        <v>10808.34</v>
      </c>
      <c r="I447" s="31"/>
      <c r="J447" s="31">
        <f>IF(Source!BC158&lt;&gt; 0, Source!BC158, 1)</f>
        <v>6.56</v>
      </c>
      <c r="K447" s="30">
        <f>Source!P158</f>
        <v>70902.73</v>
      </c>
      <c r="L447" s="32"/>
    </row>
    <row r="448" spans="1:26" ht="14.25" x14ac:dyDescent="0.2">
      <c r="A448" s="45"/>
      <c r="B448" s="46"/>
      <c r="C448" s="46" t="s">
        <v>1638</v>
      </c>
      <c r="D448" s="29" t="s">
        <v>1639</v>
      </c>
      <c r="E448" s="11">
        <f>Source!BZ158</f>
        <v>123</v>
      </c>
      <c r="F448" s="71" t="str">
        <f>CONCATENATE(" )", Source!DL158, Source!FT158, "=", Source!FX158)</f>
        <v xml:space="preserve"> )*0,9=110,7</v>
      </c>
      <c r="G448" s="72"/>
      <c r="H448" s="30">
        <f>SUM(S442:S450)</f>
        <v>415.91</v>
      </c>
      <c r="I448" s="34"/>
      <c r="J448" s="27">
        <f>Source!AT158</f>
        <v>111</v>
      </c>
      <c r="K448" s="30">
        <f>SUM(T442:T450)</f>
        <v>2735.77</v>
      </c>
      <c r="L448" s="32"/>
    </row>
    <row r="449" spans="1:26" ht="14.25" x14ac:dyDescent="0.2">
      <c r="A449" s="45"/>
      <c r="B449" s="46"/>
      <c r="C449" s="46" t="s">
        <v>1640</v>
      </c>
      <c r="D449" s="29" t="s">
        <v>1639</v>
      </c>
      <c r="E449" s="11">
        <f>Source!CA158</f>
        <v>75</v>
      </c>
      <c r="F449" s="71" t="str">
        <f>CONCATENATE(" )", Source!DM158, Source!FU158, "=", Source!FY158)</f>
        <v xml:space="preserve"> )*0,85=63,75</v>
      </c>
      <c r="G449" s="72"/>
      <c r="H449" s="30">
        <f>SUM(U442:U450)</f>
        <v>239.52</v>
      </c>
      <c r="I449" s="34"/>
      <c r="J449" s="27">
        <f>Source!AU158</f>
        <v>64</v>
      </c>
      <c r="K449" s="30">
        <f>SUM(V442:V450)</f>
        <v>1577.38</v>
      </c>
      <c r="L449" s="32"/>
    </row>
    <row r="450" spans="1:26" ht="14.25" x14ac:dyDescent="0.2">
      <c r="A450" s="47"/>
      <c r="B450" s="48"/>
      <c r="C450" s="48" t="s">
        <v>1641</v>
      </c>
      <c r="D450" s="35" t="s">
        <v>1642</v>
      </c>
      <c r="E450" s="36">
        <f>Source!AQ158</f>
        <v>37.67</v>
      </c>
      <c r="F450" s="37"/>
      <c r="G450" s="38" t="str">
        <f>Source!DI158</f>
        <v>)*1,15</v>
      </c>
      <c r="H450" s="37"/>
      <c r="I450" s="38"/>
      <c r="J450" s="38"/>
      <c r="K450" s="37"/>
      <c r="L450" s="39">
        <f>Source!U158</f>
        <v>43.753704999999997</v>
      </c>
    </row>
    <row r="451" spans="1:26" ht="15" x14ac:dyDescent="0.25">
      <c r="G451" s="70">
        <f>H444+H445+H447+H448+H449</f>
        <v>11844.87</v>
      </c>
      <c r="H451" s="70"/>
      <c r="J451" s="70">
        <f>K444+K445+K447+K448+K449</f>
        <v>77715.850000000006</v>
      </c>
      <c r="K451" s="70"/>
      <c r="L451" s="40">
        <f>Source!U158</f>
        <v>43.753704999999997</v>
      </c>
      <c r="O451" s="24">
        <f>G451</f>
        <v>11844.87</v>
      </c>
      <c r="P451" s="24">
        <f>J451</f>
        <v>77715.850000000006</v>
      </c>
      <c r="Q451" s="24">
        <f>L451</f>
        <v>43.753704999999997</v>
      </c>
      <c r="W451">
        <f>IF(Source!BI158&lt;=1,H444+H445+H447+H448+H449, 0)</f>
        <v>11844.87</v>
      </c>
      <c r="X451">
        <f>IF(Source!BI158=2,H444+H445+H447+H448+H449, 0)</f>
        <v>0</v>
      </c>
      <c r="Y451">
        <f>IF(Source!BI158=3,H444+H445+H447+H448+H449, 0)</f>
        <v>0</v>
      </c>
      <c r="Z451">
        <f>IF(Source!BI158=4,H444+H445+H447+H448+H449, 0)</f>
        <v>0</v>
      </c>
    </row>
    <row r="452" spans="1:26" ht="57" x14ac:dyDescent="0.2">
      <c r="A452" s="45" t="str">
        <f>Source!E159</f>
        <v>41</v>
      </c>
      <c r="B452" s="46" t="str">
        <f>Source!F159</f>
        <v>11-01-011-10</v>
      </c>
      <c r="C452" s="46" t="str">
        <f>Source!G159</f>
        <v>Устройство стяжек на каждый последующий слой толщиной 1 мм добавлять к расценке 11-01-011-08 (тол.5мм)</v>
      </c>
      <c r="D452" s="29" t="str">
        <f>Source!H159</f>
        <v>100 м2</v>
      </c>
      <c r="E452" s="11">
        <f>Source!I159</f>
        <v>1.01</v>
      </c>
      <c r="F452" s="30">
        <f>Source!AL159+Source!AM159+Source!AO159</f>
        <v>2070.6</v>
      </c>
      <c r="G452" s="31"/>
      <c r="H452" s="30"/>
      <c r="I452" s="31" t="str">
        <f>Source!BO159</f>
        <v/>
      </c>
      <c r="J452" s="31"/>
      <c r="K452" s="30"/>
      <c r="L452" s="32"/>
      <c r="S452">
        <f>ROUND((Source!FX159/100)*((ROUND(Source!AF159*Source!I159, 2)+ROUND(Source!AE159*Source!I159, 2))), 2)</f>
        <v>135.13999999999999</v>
      </c>
      <c r="T452">
        <f>Source!X159</f>
        <v>888.93</v>
      </c>
      <c r="U452">
        <f>ROUND((Source!FY159/100)*((ROUND(Source!AF159*Source!I159, 2)+ROUND(Source!AE159*Source!I159, 2))), 2)</f>
        <v>77.83</v>
      </c>
      <c r="V452">
        <f>Source!Y159</f>
        <v>512.54</v>
      </c>
    </row>
    <row r="453" spans="1:26" x14ac:dyDescent="0.2">
      <c r="C453" s="23" t="str">
        <f>"Объем: "&amp;Source!I159&amp;"=101/"&amp;"100"</f>
        <v>Объем: 1,01=101/100</v>
      </c>
    </row>
    <row r="454" spans="1:26" ht="14.25" x14ac:dyDescent="0.2">
      <c r="A454" s="45"/>
      <c r="B454" s="46"/>
      <c r="C454" s="46" t="s">
        <v>1636</v>
      </c>
      <c r="D454" s="29"/>
      <c r="E454" s="11"/>
      <c r="F454" s="30">
        <f>Source!AO159</f>
        <v>20.64</v>
      </c>
      <c r="G454" s="31" t="str">
        <f>Source!DG159</f>
        <v>)*1,15*5</v>
      </c>
      <c r="H454" s="30">
        <f>ROUND(Source!AF159*Source!I159, 2)</f>
        <v>119.87</v>
      </c>
      <c r="I454" s="31"/>
      <c r="J454" s="31">
        <f>IF(Source!BA159&lt;&gt; 0, Source!BA159, 1)</f>
        <v>6.56</v>
      </c>
      <c r="K454" s="30">
        <f>Source!S159</f>
        <v>786.33</v>
      </c>
      <c r="L454" s="32"/>
      <c r="R454">
        <f>H454</f>
        <v>119.87</v>
      </c>
    </row>
    <row r="455" spans="1:26" ht="14.25" x14ac:dyDescent="0.2">
      <c r="A455" s="45"/>
      <c r="B455" s="46"/>
      <c r="C455" s="46" t="s">
        <v>136</v>
      </c>
      <c r="D455" s="29"/>
      <c r="E455" s="11"/>
      <c r="F455" s="30">
        <f>Source!AM159</f>
        <v>1.21</v>
      </c>
      <c r="G455" s="31" t="str">
        <f>Source!DE159</f>
        <v>)*1,25*5</v>
      </c>
      <c r="H455" s="30">
        <f>ROUND(Source!AD159*Source!I159, 2)</f>
        <v>7.65</v>
      </c>
      <c r="I455" s="31"/>
      <c r="J455" s="31">
        <f>IF(Source!BB159&lt;&gt; 0, Source!BB159, 1)</f>
        <v>6.56</v>
      </c>
      <c r="K455" s="30">
        <f>Source!Q159</f>
        <v>50.16</v>
      </c>
      <c r="L455" s="32"/>
    </row>
    <row r="456" spans="1:26" ht="14.25" x14ac:dyDescent="0.2">
      <c r="A456" s="45"/>
      <c r="B456" s="46"/>
      <c r="C456" s="46" t="s">
        <v>1637</v>
      </c>
      <c r="D456" s="29"/>
      <c r="E456" s="11"/>
      <c r="F456" s="30">
        <f>Source!AN159</f>
        <v>0.35</v>
      </c>
      <c r="G456" s="31" t="str">
        <f>Source!DF159</f>
        <v>)*1,25*5</v>
      </c>
      <c r="H456" s="33">
        <f>ROUND(Source!AE159*Source!I159, 2)</f>
        <v>2.21</v>
      </c>
      <c r="I456" s="31"/>
      <c r="J456" s="31">
        <f>IF(Source!BS159&lt;&gt; 0, Source!BS159, 1)</f>
        <v>6.56</v>
      </c>
      <c r="K456" s="33">
        <f>Source!R159</f>
        <v>14.51</v>
      </c>
      <c r="L456" s="32"/>
      <c r="R456">
        <f>H456</f>
        <v>2.21</v>
      </c>
    </row>
    <row r="457" spans="1:26" ht="14.25" x14ac:dyDescent="0.2">
      <c r="A457" s="45"/>
      <c r="B457" s="46"/>
      <c r="C457" s="46" t="s">
        <v>1643</v>
      </c>
      <c r="D457" s="29"/>
      <c r="E457" s="11"/>
      <c r="F457" s="30">
        <f>Source!AL159</f>
        <v>2048.75</v>
      </c>
      <c r="G457" s="31" t="str">
        <f>Source!DD159</f>
        <v>*5</v>
      </c>
      <c r="H457" s="30">
        <f>ROUND(Source!AC159*Source!I159, 2)</f>
        <v>10346.19</v>
      </c>
      <c r="I457" s="31"/>
      <c r="J457" s="31">
        <f>IF(Source!BC159&lt;&gt; 0, Source!BC159, 1)</f>
        <v>6.56</v>
      </c>
      <c r="K457" s="30">
        <f>Source!P159</f>
        <v>67870.990000000005</v>
      </c>
      <c r="L457" s="32"/>
    </row>
    <row r="458" spans="1:26" ht="14.25" x14ac:dyDescent="0.2">
      <c r="A458" s="45"/>
      <c r="B458" s="46"/>
      <c r="C458" s="46" t="s">
        <v>1638</v>
      </c>
      <c r="D458" s="29" t="s">
        <v>1639</v>
      </c>
      <c r="E458" s="11">
        <f>Source!BZ159</f>
        <v>123</v>
      </c>
      <c r="F458" s="71" t="str">
        <f>CONCATENATE(" )", Source!DL159, Source!FT159, "=", Source!FX159)</f>
        <v xml:space="preserve"> )*0,9=110,7</v>
      </c>
      <c r="G458" s="72"/>
      <c r="H458" s="30">
        <f>SUM(S452:S460)</f>
        <v>135.13999999999999</v>
      </c>
      <c r="I458" s="34"/>
      <c r="J458" s="27">
        <f>Source!AT159</f>
        <v>111</v>
      </c>
      <c r="K458" s="30">
        <f>SUM(T452:T460)</f>
        <v>888.93</v>
      </c>
      <c r="L458" s="32"/>
    </row>
    <row r="459" spans="1:26" ht="14.25" x14ac:dyDescent="0.2">
      <c r="A459" s="45"/>
      <c r="B459" s="46"/>
      <c r="C459" s="46" t="s">
        <v>1640</v>
      </c>
      <c r="D459" s="29" t="s">
        <v>1639</v>
      </c>
      <c r="E459" s="11">
        <f>Source!CA159</f>
        <v>75</v>
      </c>
      <c r="F459" s="71" t="str">
        <f>CONCATENATE(" )", Source!DM159, Source!FU159, "=", Source!FY159)</f>
        <v xml:space="preserve"> )*0,85=63,75</v>
      </c>
      <c r="G459" s="72"/>
      <c r="H459" s="30">
        <f>SUM(U452:U460)</f>
        <v>77.83</v>
      </c>
      <c r="I459" s="34"/>
      <c r="J459" s="27">
        <f>Source!AU159</f>
        <v>64</v>
      </c>
      <c r="K459" s="30">
        <f>SUM(V452:V460)</f>
        <v>512.54</v>
      </c>
      <c r="L459" s="32"/>
    </row>
    <row r="460" spans="1:26" ht="14.25" x14ac:dyDescent="0.2">
      <c r="A460" s="47"/>
      <c r="B460" s="48"/>
      <c r="C460" s="48" t="s">
        <v>1641</v>
      </c>
      <c r="D460" s="35" t="s">
        <v>1642</v>
      </c>
      <c r="E460" s="36">
        <f>Source!AQ159</f>
        <v>2.42</v>
      </c>
      <c r="F460" s="37"/>
      <c r="G460" s="38" t="str">
        <f>Source!DI159</f>
        <v>)*1,15*5</v>
      </c>
      <c r="H460" s="37"/>
      <c r="I460" s="38"/>
      <c r="J460" s="38"/>
      <c r="K460" s="37"/>
      <c r="L460" s="39">
        <f>Source!U159</f>
        <v>14.05415</v>
      </c>
    </row>
    <row r="461" spans="1:26" ht="15" x14ac:dyDescent="0.25">
      <c r="G461" s="70">
        <f>H454+H455+H457+H458+H459</f>
        <v>10686.68</v>
      </c>
      <c r="H461" s="70"/>
      <c r="J461" s="70">
        <f>K454+K455+K457+K458+K459</f>
        <v>70108.95</v>
      </c>
      <c r="K461" s="70"/>
      <c r="L461" s="40">
        <f>Source!U159</f>
        <v>14.05415</v>
      </c>
      <c r="O461" s="24">
        <f>G461</f>
        <v>10686.68</v>
      </c>
      <c r="P461" s="24">
        <f>J461</f>
        <v>70108.95</v>
      </c>
      <c r="Q461" s="24">
        <f>L461</f>
        <v>14.05415</v>
      </c>
      <c r="W461">
        <f>IF(Source!BI159&lt;=1,H454+H455+H457+H458+H459, 0)</f>
        <v>10686.68</v>
      </c>
      <c r="X461">
        <f>IF(Source!BI159=2,H454+H455+H457+H458+H459, 0)</f>
        <v>0</v>
      </c>
      <c r="Y461">
        <f>IF(Source!BI159=3,H454+H455+H457+H458+H459, 0)</f>
        <v>0</v>
      </c>
      <c r="Z461">
        <f>IF(Source!BI159=4,H454+H455+H457+H458+H459, 0)</f>
        <v>0</v>
      </c>
    </row>
    <row r="462" spans="1:26" ht="42.75" x14ac:dyDescent="0.2">
      <c r="A462" s="45" t="str">
        <f>Source!E160</f>
        <v>42</v>
      </c>
      <c r="B462" s="46" t="str">
        <f>Source!F160</f>
        <v>11-01-015-07 прим.</v>
      </c>
      <c r="C462" s="46" t="str">
        <f>Source!G160</f>
        <v>Шлифовка бетонных или металлоцементных покрытий (из мрамора)</v>
      </c>
      <c r="D462" s="29" t="str">
        <f>Source!H160</f>
        <v>100 м2</v>
      </c>
      <c r="E462" s="11">
        <f>Source!I160</f>
        <v>0.23</v>
      </c>
      <c r="F462" s="30">
        <f>Source!AL160+Source!AM160+Source!AO160</f>
        <v>978.36</v>
      </c>
      <c r="G462" s="31"/>
      <c r="H462" s="30"/>
      <c r="I462" s="31" t="str">
        <f>Source!BO160</f>
        <v/>
      </c>
      <c r="J462" s="31"/>
      <c r="K462" s="30"/>
      <c r="L462" s="32"/>
      <c r="S462">
        <f>ROUND((Source!FX160/100)*((ROUND(Source!AF160*Source!I160, 2)+ROUND(Source!AE160*Source!I160, 2))), 2)</f>
        <v>219.26</v>
      </c>
      <c r="T462">
        <f>Source!X160</f>
        <v>1442.21</v>
      </c>
      <c r="U462">
        <f>ROUND((Source!FY160/100)*((ROUND(Source!AF160*Source!I160, 2)+ROUND(Source!AE160*Source!I160, 2))), 2)</f>
        <v>126.27</v>
      </c>
      <c r="V462">
        <f>Source!Y160</f>
        <v>831.55</v>
      </c>
    </row>
    <row r="463" spans="1:26" x14ac:dyDescent="0.2">
      <c r="C463" s="23" t="str">
        <f>"Объем: "&amp;Source!I160&amp;"=23/"&amp;"100"</f>
        <v>Объем: 0,23=23/100</v>
      </c>
    </row>
    <row r="464" spans="1:26" ht="14.25" x14ac:dyDescent="0.2">
      <c r="A464" s="45"/>
      <c r="B464" s="46"/>
      <c r="C464" s="46" t="s">
        <v>1636</v>
      </c>
      <c r="D464" s="29"/>
      <c r="E464" s="11"/>
      <c r="F464" s="30">
        <f>Source!AO160</f>
        <v>725.96</v>
      </c>
      <c r="G464" s="31" t="str">
        <f>Source!DG160</f>
        <v>)*1,15</v>
      </c>
      <c r="H464" s="30">
        <f>ROUND(Source!AF160*Source!I160, 2)</f>
        <v>192.02</v>
      </c>
      <c r="I464" s="31"/>
      <c r="J464" s="31">
        <f>IF(Source!BA160&lt;&gt; 0, Source!BA160, 1)</f>
        <v>6.56</v>
      </c>
      <c r="K464" s="30">
        <f>Source!S160</f>
        <v>1259.6199999999999</v>
      </c>
      <c r="L464" s="32"/>
      <c r="R464">
        <f>H464</f>
        <v>192.02</v>
      </c>
    </row>
    <row r="465" spans="1:26" ht="14.25" x14ac:dyDescent="0.2">
      <c r="A465" s="45"/>
      <c r="B465" s="46"/>
      <c r="C465" s="46" t="s">
        <v>136</v>
      </c>
      <c r="D465" s="29"/>
      <c r="E465" s="11"/>
      <c r="F465" s="30">
        <f>Source!AM160</f>
        <v>236.1</v>
      </c>
      <c r="G465" s="31" t="str">
        <f>Source!DE160</f>
        <v>)*1,25</v>
      </c>
      <c r="H465" s="30">
        <f>ROUND(Source!AD160*Source!I160, 2)</f>
        <v>67.88</v>
      </c>
      <c r="I465" s="31"/>
      <c r="J465" s="31">
        <f>IF(Source!BB160&lt;&gt; 0, Source!BB160, 1)</f>
        <v>6.56</v>
      </c>
      <c r="K465" s="30">
        <f>Source!Q160</f>
        <v>445.29</v>
      </c>
      <c r="L465" s="32"/>
    </row>
    <row r="466" spans="1:26" ht="14.25" x14ac:dyDescent="0.2">
      <c r="A466" s="45"/>
      <c r="B466" s="46"/>
      <c r="C466" s="46" t="s">
        <v>1637</v>
      </c>
      <c r="D466" s="29"/>
      <c r="E466" s="11"/>
      <c r="F466" s="30">
        <f>Source!AN160</f>
        <v>21.03</v>
      </c>
      <c r="G466" s="31" t="str">
        <f>Source!DF160</f>
        <v>)*1,25</v>
      </c>
      <c r="H466" s="33">
        <f>ROUND(Source!AE160*Source!I160, 2)</f>
        <v>6.05</v>
      </c>
      <c r="I466" s="31"/>
      <c r="J466" s="31">
        <f>IF(Source!BS160&lt;&gt; 0, Source!BS160, 1)</f>
        <v>6.56</v>
      </c>
      <c r="K466" s="33">
        <f>Source!R160</f>
        <v>39.67</v>
      </c>
      <c r="L466" s="32"/>
      <c r="R466">
        <f>H466</f>
        <v>6.05</v>
      </c>
    </row>
    <row r="467" spans="1:26" ht="14.25" x14ac:dyDescent="0.2">
      <c r="A467" s="45"/>
      <c r="B467" s="46"/>
      <c r="C467" s="46" t="s">
        <v>1643</v>
      </c>
      <c r="D467" s="29"/>
      <c r="E467" s="11"/>
      <c r="F467" s="30">
        <f>Source!AL160</f>
        <v>16.3</v>
      </c>
      <c r="G467" s="31" t="str">
        <f>Source!DD160</f>
        <v/>
      </c>
      <c r="H467" s="30">
        <f>ROUND(Source!AC160*Source!I160, 2)</f>
        <v>3.75</v>
      </c>
      <c r="I467" s="31"/>
      <c r="J467" s="31">
        <f>IF(Source!BC160&lt;&gt; 0, Source!BC160, 1)</f>
        <v>6.56</v>
      </c>
      <c r="K467" s="30">
        <f>Source!P160</f>
        <v>24.59</v>
      </c>
      <c r="L467" s="32"/>
    </row>
    <row r="468" spans="1:26" ht="14.25" x14ac:dyDescent="0.2">
      <c r="A468" s="45"/>
      <c r="B468" s="46"/>
      <c r="C468" s="46" t="s">
        <v>1638</v>
      </c>
      <c r="D468" s="29" t="s">
        <v>1639</v>
      </c>
      <c r="E468" s="11">
        <f>Source!BZ160</f>
        <v>123</v>
      </c>
      <c r="F468" s="71" t="str">
        <f>CONCATENATE(" )", Source!DL160, Source!FT160, "=", Source!FX160)</f>
        <v xml:space="preserve"> )*0,9=110,7</v>
      </c>
      <c r="G468" s="72"/>
      <c r="H468" s="30">
        <f>SUM(S462:S470)</f>
        <v>219.26</v>
      </c>
      <c r="I468" s="34"/>
      <c r="J468" s="27">
        <f>Source!AT160</f>
        <v>111</v>
      </c>
      <c r="K468" s="30">
        <f>SUM(T462:T470)</f>
        <v>1442.21</v>
      </c>
      <c r="L468" s="32"/>
    </row>
    <row r="469" spans="1:26" ht="14.25" x14ac:dyDescent="0.2">
      <c r="A469" s="45"/>
      <c r="B469" s="46"/>
      <c r="C469" s="46" t="s">
        <v>1640</v>
      </c>
      <c r="D469" s="29" t="s">
        <v>1639</v>
      </c>
      <c r="E469" s="11">
        <f>Source!CA160</f>
        <v>75</v>
      </c>
      <c r="F469" s="71" t="str">
        <f>CONCATENATE(" )", Source!DM160, Source!FU160, "=", Source!FY160)</f>
        <v xml:space="preserve"> )*0,85=63,75</v>
      </c>
      <c r="G469" s="72"/>
      <c r="H469" s="30">
        <f>SUM(U462:U470)</f>
        <v>126.27</v>
      </c>
      <c r="I469" s="34"/>
      <c r="J469" s="27">
        <f>Source!AU160</f>
        <v>64</v>
      </c>
      <c r="K469" s="30">
        <f>SUM(V462:V470)</f>
        <v>831.55</v>
      </c>
      <c r="L469" s="32"/>
    </row>
    <row r="470" spans="1:26" ht="14.25" x14ac:dyDescent="0.2">
      <c r="A470" s="47"/>
      <c r="B470" s="48"/>
      <c r="C470" s="48" t="s">
        <v>1641</v>
      </c>
      <c r="D470" s="35" t="s">
        <v>1642</v>
      </c>
      <c r="E470" s="36">
        <f>Source!AQ160</f>
        <v>80.040000000000006</v>
      </c>
      <c r="F470" s="37"/>
      <c r="G470" s="38" t="str">
        <f>Source!DI160</f>
        <v>)*1,15</v>
      </c>
      <c r="H470" s="37"/>
      <c r="I470" s="38"/>
      <c r="J470" s="38"/>
      <c r="K470" s="37"/>
      <c r="L470" s="39">
        <f>Source!U160</f>
        <v>21.170580000000001</v>
      </c>
    </row>
    <row r="471" spans="1:26" ht="15" x14ac:dyDescent="0.25">
      <c r="G471" s="70">
        <f>H464+H465+H467+H468+H469</f>
        <v>609.17999999999995</v>
      </c>
      <c r="H471" s="70"/>
      <c r="J471" s="70">
        <f>K464+K465+K467+K468+K469</f>
        <v>4003.26</v>
      </c>
      <c r="K471" s="70"/>
      <c r="L471" s="40">
        <f>Source!U160</f>
        <v>21.170580000000001</v>
      </c>
      <c r="O471" s="24">
        <f>G471</f>
        <v>609.17999999999995</v>
      </c>
      <c r="P471" s="24">
        <f>J471</f>
        <v>4003.26</v>
      </c>
      <c r="Q471" s="24">
        <f>L471</f>
        <v>21.170580000000001</v>
      </c>
      <c r="W471">
        <f>IF(Source!BI160&lt;=1,H464+H465+H467+H468+H469, 0)</f>
        <v>609.17999999999995</v>
      </c>
      <c r="X471">
        <f>IF(Source!BI160=2,H464+H465+H467+H468+H469, 0)</f>
        <v>0</v>
      </c>
      <c r="Y471">
        <f>IF(Source!BI160=3,H464+H465+H467+H468+H469, 0)</f>
        <v>0</v>
      </c>
      <c r="Z471">
        <f>IF(Source!BI160=4,H464+H465+H467+H468+H469, 0)</f>
        <v>0</v>
      </c>
    </row>
    <row r="472" spans="1:26" ht="28.5" x14ac:dyDescent="0.2">
      <c r="A472" s="45" t="str">
        <f>Source!E161</f>
        <v>43</v>
      </c>
      <c r="B472" s="46" t="str">
        <f>Source!F161</f>
        <v>11-01-047-01</v>
      </c>
      <c r="C472" s="46" t="str">
        <f>Source!G161</f>
        <v>Устройство покрытий из плит керамогранитных размером 40х40 см</v>
      </c>
      <c r="D472" s="29" t="str">
        <f>Source!H161</f>
        <v>100 м2</v>
      </c>
      <c r="E472" s="11">
        <f>Source!I161</f>
        <v>0.114</v>
      </c>
      <c r="F472" s="30">
        <f>Source!AL161+Source!AM161+Source!AO161</f>
        <v>21576.86</v>
      </c>
      <c r="G472" s="31"/>
      <c r="H472" s="30"/>
      <c r="I472" s="31" t="str">
        <f>Source!BO161</f>
        <v/>
      </c>
      <c r="J472" s="31"/>
      <c r="K472" s="30"/>
      <c r="L472" s="32"/>
      <c r="S472">
        <f>ROUND((Source!FX161/100)*((ROUND(Source!AF161*Source!I161, 2)+ROUND(Source!AE161*Source!I161, 2))), 2)</f>
        <v>396.51</v>
      </c>
      <c r="T472">
        <f>Source!X161</f>
        <v>2608.11</v>
      </c>
      <c r="U472">
        <f>ROUND((Source!FY161/100)*((ROUND(Source!AF161*Source!I161, 2)+ROUND(Source!AE161*Source!I161, 2))), 2)</f>
        <v>228.34</v>
      </c>
      <c r="V472">
        <f>Source!Y161</f>
        <v>1503.78</v>
      </c>
    </row>
    <row r="473" spans="1:26" x14ac:dyDescent="0.2">
      <c r="C473" s="23" t="str">
        <f>"Объем: "&amp;Source!I161&amp;"=11,4/"&amp;"100"</f>
        <v>Объем: 0,114=11,4/100</v>
      </c>
    </row>
    <row r="474" spans="1:26" ht="14.25" x14ac:dyDescent="0.2">
      <c r="A474" s="45"/>
      <c r="B474" s="46"/>
      <c r="C474" s="46" t="s">
        <v>1636</v>
      </c>
      <c r="D474" s="29"/>
      <c r="E474" s="11"/>
      <c r="F474" s="30">
        <f>Source!AO161</f>
        <v>2713.07</v>
      </c>
      <c r="G474" s="31" t="str">
        <f>Source!DG161</f>
        <v>)*1,15</v>
      </c>
      <c r="H474" s="30">
        <f>ROUND(Source!AF161*Source!I161, 2)</f>
        <v>355.68</v>
      </c>
      <c r="I474" s="31"/>
      <c r="J474" s="31">
        <f>IF(Source!BA161&lt;&gt; 0, Source!BA161, 1)</f>
        <v>6.56</v>
      </c>
      <c r="K474" s="30">
        <f>Source!S161</f>
        <v>2333.2800000000002</v>
      </c>
      <c r="L474" s="32"/>
      <c r="R474">
        <f>H474</f>
        <v>355.68</v>
      </c>
    </row>
    <row r="475" spans="1:26" ht="14.25" x14ac:dyDescent="0.2">
      <c r="A475" s="45"/>
      <c r="B475" s="46"/>
      <c r="C475" s="46" t="s">
        <v>136</v>
      </c>
      <c r="D475" s="29"/>
      <c r="E475" s="11"/>
      <c r="F475" s="30">
        <f>Source!AM161</f>
        <v>24.15</v>
      </c>
      <c r="G475" s="31" t="str">
        <f>Source!DE161</f>
        <v>)*1,25</v>
      </c>
      <c r="H475" s="30">
        <f>ROUND(Source!AD161*Source!I161, 2)</f>
        <v>3.44</v>
      </c>
      <c r="I475" s="31"/>
      <c r="J475" s="31">
        <f>IF(Source!BB161&lt;&gt; 0, Source!BB161, 1)</f>
        <v>6.56</v>
      </c>
      <c r="K475" s="30">
        <f>Source!Q161</f>
        <v>22.58</v>
      </c>
      <c r="L475" s="32"/>
    </row>
    <row r="476" spans="1:26" ht="14.25" x14ac:dyDescent="0.2">
      <c r="A476" s="45"/>
      <c r="B476" s="46"/>
      <c r="C476" s="46" t="s">
        <v>1637</v>
      </c>
      <c r="D476" s="29"/>
      <c r="E476" s="11"/>
      <c r="F476" s="30">
        <f>Source!AN161</f>
        <v>17.510000000000002</v>
      </c>
      <c r="G476" s="31" t="str">
        <f>Source!DF161</f>
        <v>)*1,25</v>
      </c>
      <c r="H476" s="33">
        <f>ROUND(Source!AE161*Source!I161, 2)</f>
        <v>2.5</v>
      </c>
      <c r="I476" s="31"/>
      <c r="J476" s="31">
        <f>IF(Source!BS161&lt;&gt; 0, Source!BS161, 1)</f>
        <v>6.56</v>
      </c>
      <c r="K476" s="33">
        <f>Source!R161</f>
        <v>16.37</v>
      </c>
      <c r="L476" s="32"/>
      <c r="R476">
        <f>H476</f>
        <v>2.5</v>
      </c>
    </row>
    <row r="477" spans="1:26" ht="14.25" x14ac:dyDescent="0.2">
      <c r="A477" s="45"/>
      <c r="B477" s="46"/>
      <c r="C477" s="46" t="s">
        <v>1643</v>
      </c>
      <c r="D477" s="29"/>
      <c r="E477" s="11"/>
      <c r="F477" s="30">
        <f>Source!AL161</f>
        <v>18839.64</v>
      </c>
      <c r="G477" s="31" t="str">
        <f>Source!DD161</f>
        <v/>
      </c>
      <c r="H477" s="30">
        <f>ROUND(Source!AC161*Source!I161, 2)</f>
        <v>2147.7199999999998</v>
      </c>
      <c r="I477" s="31"/>
      <c r="J477" s="31">
        <f>IF(Source!BC161&lt;&gt; 0, Source!BC161, 1)</f>
        <v>6.56</v>
      </c>
      <c r="K477" s="30">
        <f>Source!P161</f>
        <v>14089.04</v>
      </c>
      <c r="L477" s="32"/>
    </row>
    <row r="478" spans="1:26" ht="14.25" x14ac:dyDescent="0.2">
      <c r="A478" s="45"/>
      <c r="B478" s="46"/>
      <c r="C478" s="46" t="s">
        <v>1638</v>
      </c>
      <c r="D478" s="29" t="s">
        <v>1639</v>
      </c>
      <c r="E478" s="11">
        <f>Source!BZ161</f>
        <v>123</v>
      </c>
      <c r="F478" s="71" t="str">
        <f>CONCATENATE(" )", Source!DL161, Source!FT161, "=", Source!FX161)</f>
        <v xml:space="preserve"> )*0,9=110,7</v>
      </c>
      <c r="G478" s="72"/>
      <c r="H478" s="30">
        <f>SUM(S472:S482)</f>
        <v>396.51</v>
      </c>
      <c r="I478" s="34"/>
      <c r="J478" s="27">
        <f>Source!AT161</f>
        <v>111</v>
      </c>
      <c r="K478" s="30">
        <f>SUM(T472:T482)</f>
        <v>2608.11</v>
      </c>
      <c r="L478" s="32"/>
    </row>
    <row r="479" spans="1:26" ht="14.25" x14ac:dyDescent="0.2">
      <c r="A479" s="45"/>
      <c r="B479" s="46"/>
      <c r="C479" s="46" t="s">
        <v>1640</v>
      </c>
      <c r="D479" s="29" t="s">
        <v>1639</v>
      </c>
      <c r="E479" s="11">
        <f>Source!CA161</f>
        <v>75</v>
      </c>
      <c r="F479" s="71" t="str">
        <f>CONCATENATE(" )", Source!DM161, Source!FU161, "=", Source!FY161)</f>
        <v xml:space="preserve"> )*0,85=63,75</v>
      </c>
      <c r="G479" s="72"/>
      <c r="H479" s="30">
        <f>SUM(U472:U482)</f>
        <v>228.34</v>
      </c>
      <c r="I479" s="34"/>
      <c r="J479" s="27">
        <f>Source!AU161</f>
        <v>64</v>
      </c>
      <c r="K479" s="30">
        <f>SUM(V472:V482)</f>
        <v>1503.78</v>
      </c>
      <c r="L479" s="32"/>
    </row>
    <row r="480" spans="1:26" ht="14.25" x14ac:dyDescent="0.2">
      <c r="A480" s="45"/>
      <c r="B480" s="46"/>
      <c r="C480" s="46" t="s">
        <v>1641</v>
      </c>
      <c r="D480" s="29" t="s">
        <v>1642</v>
      </c>
      <c r="E480" s="11">
        <f>Source!AQ161</f>
        <v>310.42</v>
      </c>
      <c r="F480" s="30"/>
      <c r="G480" s="31" t="str">
        <f>Source!DI161</f>
        <v>)*1,15</v>
      </c>
      <c r="H480" s="30"/>
      <c r="I480" s="31"/>
      <c r="J480" s="31"/>
      <c r="K480" s="30"/>
      <c r="L480" s="41">
        <f>Source!U161</f>
        <v>40.696062000000005</v>
      </c>
    </row>
    <row r="481" spans="1:26" ht="42.75" x14ac:dyDescent="0.2">
      <c r="A481" s="45" t="str">
        <f>Source!E162</f>
        <v>43,1</v>
      </c>
      <c r="B481" s="46" t="str">
        <f>Source!F162</f>
        <v>06.2.05.03-0003</v>
      </c>
      <c r="C481" s="46" t="str">
        <f>Source!G162</f>
        <v>Гранит керамический многоцветный неполированный, размером 400х400х9 мм</v>
      </c>
      <c r="D481" s="29" t="str">
        <f>Source!H162</f>
        <v>м2</v>
      </c>
      <c r="E481" s="11">
        <f>Source!I162</f>
        <v>-11.628</v>
      </c>
      <c r="F481" s="30">
        <f>Source!AL162+Source!AM162+Source!AO162</f>
        <v>140.44999999999999</v>
      </c>
      <c r="G481" s="42" t="s">
        <v>6</v>
      </c>
      <c r="H481" s="30">
        <f>ROUND(Source!AC162*Source!I162, 2)+ROUND(Source!AD162*Source!I162, 2)+ROUND(Source!AF162*Source!I162, 2)</f>
        <v>-1633.15</v>
      </c>
      <c r="I481" s="31"/>
      <c r="J481" s="31">
        <f>IF(Source!BC162&lt;&gt; 0, Source!BC162, 1)</f>
        <v>6.56</v>
      </c>
      <c r="K481" s="30">
        <f>Source!O162</f>
        <v>-10713.48</v>
      </c>
      <c r="L481" s="32"/>
      <c r="S481">
        <f>ROUND((Source!FX162/100)*((ROUND(Source!AF162*Source!I162, 2)+ROUND(Source!AE162*Source!I162, 2))), 2)</f>
        <v>0</v>
      </c>
      <c r="T481">
        <f>Source!X162</f>
        <v>0</v>
      </c>
      <c r="U481">
        <f>ROUND((Source!FY162/100)*((ROUND(Source!AF162*Source!I162, 2)+ROUND(Source!AE162*Source!I162, 2))), 2)</f>
        <v>0</v>
      </c>
      <c r="V481">
        <f>Source!Y162</f>
        <v>0</v>
      </c>
      <c r="W481">
        <f>IF(Source!BI162&lt;=1,H481, 0)</f>
        <v>-1633.15</v>
      </c>
      <c r="X481">
        <f>IF(Source!BI162=2,H481, 0)</f>
        <v>0</v>
      </c>
      <c r="Y481">
        <f>IF(Source!BI162=3,H481, 0)</f>
        <v>0</v>
      </c>
      <c r="Z481">
        <f>IF(Source!BI162=4,H481, 0)</f>
        <v>0</v>
      </c>
    </row>
    <row r="482" spans="1:26" ht="42.75" x14ac:dyDescent="0.2">
      <c r="A482" s="47" t="str">
        <f>Source!E163</f>
        <v>43,2</v>
      </c>
      <c r="B482" s="48" t="str">
        <f>Source!F163</f>
        <v>06.2.05.03-0021</v>
      </c>
      <c r="C482" s="48" t="str">
        <f>Source!G163</f>
        <v>Плитка керамогранитная неполированная Керабуд (коллекция "Грес" К001) размером 300х300 мм</v>
      </c>
      <c r="D482" s="35" t="str">
        <f>Source!H163</f>
        <v>м2</v>
      </c>
      <c r="E482" s="36">
        <f>Source!I163</f>
        <v>11.628</v>
      </c>
      <c r="F482" s="37">
        <f>Source!AL163+Source!AM163+Source!AO163</f>
        <v>56.77</v>
      </c>
      <c r="G482" s="43" t="s">
        <v>6</v>
      </c>
      <c r="H482" s="37">
        <f>ROUND(Source!AC163*Source!I163, 2)+ROUND(Source!AD163*Source!I163, 2)+ROUND(Source!AF163*Source!I163, 2)</f>
        <v>660.12</v>
      </c>
      <c r="I482" s="38"/>
      <c r="J482" s="38">
        <f>IF(Source!BC163&lt;&gt; 0, Source!BC163, 1)</f>
        <v>6.56</v>
      </c>
      <c r="K482" s="37">
        <f>Source!O163</f>
        <v>4330.3999999999996</v>
      </c>
      <c r="L482" s="44"/>
      <c r="S482">
        <f>ROUND((Source!FX163/100)*((ROUND(Source!AF163*Source!I163, 2)+ROUND(Source!AE163*Source!I163, 2))), 2)</f>
        <v>0</v>
      </c>
      <c r="T482">
        <f>Source!X163</f>
        <v>0</v>
      </c>
      <c r="U482">
        <f>ROUND((Source!FY163/100)*((ROUND(Source!AF163*Source!I163, 2)+ROUND(Source!AE163*Source!I163, 2))), 2)</f>
        <v>0</v>
      </c>
      <c r="V482">
        <f>Source!Y163</f>
        <v>0</v>
      </c>
      <c r="W482">
        <f>IF(Source!BI163&lt;=1,H482, 0)</f>
        <v>660.12</v>
      </c>
      <c r="X482">
        <f>IF(Source!BI163=2,H482, 0)</f>
        <v>0</v>
      </c>
      <c r="Y482">
        <f>IF(Source!BI163=3,H482, 0)</f>
        <v>0</v>
      </c>
      <c r="Z482">
        <f>IF(Source!BI163=4,H482, 0)</f>
        <v>0</v>
      </c>
    </row>
    <row r="483" spans="1:26" ht="15" x14ac:dyDescent="0.25">
      <c r="G483" s="70">
        <f>H474+H475+H477+H478+H479+SUM(H481:H482)</f>
        <v>2158.6599999999994</v>
      </c>
      <c r="H483" s="70"/>
      <c r="J483" s="70">
        <f>K474+K475+K477+K478+K479+SUM(K481:K482)</f>
        <v>14173.710000000001</v>
      </c>
      <c r="K483" s="70"/>
      <c r="L483" s="40">
        <f>Source!U161</f>
        <v>40.696062000000005</v>
      </c>
      <c r="O483" s="24">
        <f>G483</f>
        <v>2158.6599999999994</v>
      </c>
      <c r="P483" s="24">
        <f>J483</f>
        <v>14173.710000000001</v>
      </c>
      <c r="Q483" s="24">
        <f>L483</f>
        <v>40.696062000000005</v>
      </c>
      <c r="W483">
        <f>IF(Source!BI161&lt;=1,H474+H475+H477+H478+H479, 0)</f>
        <v>3131.6899999999996</v>
      </c>
      <c r="X483">
        <f>IF(Source!BI161=2,H474+H475+H477+H478+H479, 0)</f>
        <v>0</v>
      </c>
      <c r="Y483">
        <f>IF(Source!BI161=3,H474+H475+H477+H478+H479, 0)</f>
        <v>0</v>
      </c>
      <c r="Z483">
        <f>IF(Source!BI161=4,H474+H475+H477+H478+H479, 0)</f>
        <v>0</v>
      </c>
    </row>
    <row r="484" spans="1:26" ht="42.75" x14ac:dyDescent="0.2">
      <c r="A484" s="45" t="str">
        <f>Source!E164</f>
        <v>44</v>
      </c>
      <c r="B484" s="46" t="str">
        <f>Source!F164</f>
        <v>11-01-004-05</v>
      </c>
      <c r="C484" s="46" t="str">
        <f>Source!G164</f>
        <v>Устройство гидроизоляции обмазочной в один слой толщиной 2 мм</v>
      </c>
      <c r="D484" s="29" t="str">
        <f>Source!H164</f>
        <v>100 м2</v>
      </c>
      <c r="E484" s="11">
        <f>Source!I164</f>
        <v>0.114</v>
      </c>
      <c r="F484" s="30">
        <f>Source!AL164+Source!AM164+Source!AO164</f>
        <v>1144.8800000000001</v>
      </c>
      <c r="G484" s="31"/>
      <c r="H484" s="30"/>
      <c r="I484" s="31" t="str">
        <f>Source!BO164</f>
        <v/>
      </c>
      <c r="J484" s="31"/>
      <c r="K484" s="30"/>
      <c r="L484" s="32"/>
      <c r="S484">
        <f>ROUND((Source!FX164/100)*((ROUND(Source!AF164*Source!I164, 2)+ROUND(Source!AE164*Source!I164, 2))), 2)</f>
        <v>43.66</v>
      </c>
      <c r="T484">
        <f>Source!X164</f>
        <v>287.19</v>
      </c>
      <c r="U484">
        <f>ROUND((Source!FY164/100)*((ROUND(Source!AF164*Source!I164, 2)+ROUND(Source!AE164*Source!I164, 2))), 2)</f>
        <v>25.14</v>
      </c>
      <c r="V484">
        <f>Source!Y164</f>
        <v>165.59</v>
      </c>
    </row>
    <row r="485" spans="1:26" x14ac:dyDescent="0.2">
      <c r="C485" s="23" t="str">
        <f>"Объем: "&amp;Source!I164&amp;"=11,4/"&amp;"100"</f>
        <v>Объем: 0,114=11,4/100</v>
      </c>
    </row>
    <row r="486" spans="1:26" ht="14.25" x14ac:dyDescent="0.2">
      <c r="A486" s="45"/>
      <c r="B486" s="46"/>
      <c r="C486" s="46" t="s">
        <v>1636</v>
      </c>
      <c r="D486" s="29"/>
      <c r="E486" s="11"/>
      <c r="F486" s="30">
        <f>Source!AO164</f>
        <v>295.05</v>
      </c>
      <c r="G486" s="31" t="str">
        <f>Source!DG164</f>
        <v>)*1,15</v>
      </c>
      <c r="H486" s="30">
        <f>ROUND(Source!AF164*Source!I164, 2)</f>
        <v>38.68</v>
      </c>
      <c r="I486" s="31"/>
      <c r="J486" s="31">
        <f>IF(Source!BA164&lt;&gt; 0, Source!BA164, 1)</f>
        <v>6.56</v>
      </c>
      <c r="K486" s="30">
        <f>Source!S164</f>
        <v>253.75</v>
      </c>
      <c r="L486" s="32"/>
      <c r="R486">
        <f>H486</f>
        <v>38.68</v>
      </c>
    </row>
    <row r="487" spans="1:26" ht="14.25" x14ac:dyDescent="0.2">
      <c r="A487" s="45"/>
      <c r="B487" s="46"/>
      <c r="C487" s="46" t="s">
        <v>136</v>
      </c>
      <c r="D487" s="29"/>
      <c r="E487" s="11"/>
      <c r="F487" s="30">
        <f>Source!AM164</f>
        <v>157.21</v>
      </c>
      <c r="G487" s="31" t="str">
        <f>Source!DE164</f>
        <v>)*1,25</v>
      </c>
      <c r="H487" s="30">
        <f>ROUND(Source!AD164*Source!I164, 2)</f>
        <v>22.4</v>
      </c>
      <c r="I487" s="31"/>
      <c r="J487" s="31">
        <f>IF(Source!BB164&lt;&gt; 0, Source!BB164, 1)</f>
        <v>6.56</v>
      </c>
      <c r="K487" s="30">
        <f>Source!Q164</f>
        <v>146.96</v>
      </c>
      <c r="L487" s="32"/>
    </row>
    <row r="488" spans="1:26" ht="14.25" x14ac:dyDescent="0.2">
      <c r="A488" s="45"/>
      <c r="B488" s="46"/>
      <c r="C488" s="46" t="s">
        <v>1637</v>
      </c>
      <c r="D488" s="29"/>
      <c r="E488" s="11"/>
      <c r="F488" s="30">
        <f>Source!AN164</f>
        <v>5.33</v>
      </c>
      <c r="G488" s="31" t="str">
        <f>Source!DF164</f>
        <v>)*1,25</v>
      </c>
      <c r="H488" s="33">
        <f>ROUND(Source!AE164*Source!I164, 2)</f>
        <v>0.76</v>
      </c>
      <c r="I488" s="31"/>
      <c r="J488" s="31">
        <f>IF(Source!BS164&lt;&gt; 0, Source!BS164, 1)</f>
        <v>6.56</v>
      </c>
      <c r="K488" s="33">
        <f>Source!R164</f>
        <v>4.9800000000000004</v>
      </c>
      <c r="L488" s="32"/>
      <c r="R488">
        <f>H488</f>
        <v>0.76</v>
      </c>
    </row>
    <row r="489" spans="1:26" ht="14.25" x14ac:dyDescent="0.2">
      <c r="A489" s="45"/>
      <c r="B489" s="46"/>
      <c r="C489" s="46" t="s">
        <v>1643</v>
      </c>
      <c r="D489" s="29"/>
      <c r="E489" s="11"/>
      <c r="F489" s="30">
        <f>Source!AL164</f>
        <v>692.62</v>
      </c>
      <c r="G489" s="31" t="str">
        <f>Source!DD164</f>
        <v/>
      </c>
      <c r="H489" s="30">
        <f>ROUND(Source!AC164*Source!I164, 2)</f>
        <v>78.959999999999994</v>
      </c>
      <c r="I489" s="31"/>
      <c r="J489" s="31">
        <f>IF(Source!BC164&lt;&gt; 0, Source!BC164, 1)</f>
        <v>6.56</v>
      </c>
      <c r="K489" s="30">
        <f>Source!P164</f>
        <v>517.97</v>
      </c>
      <c r="L489" s="32"/>
    </row>
    <row r="490" spans="1:26" ht="14.25" x14ac:dyDescent="0.2">
      <c r="A490" s="45"/>
      <c r="B490" s="46"/>
      <c r="C490" s="46" t="s">
        <v>1638</v>
      </c>
      <c r="D490" s="29" t="s">
        <v>1639</v>
      </c>
      <c r="E490" s="11">
        <f>Source!BZ164</f>
        <v>123</v>
      </c>
      <c r="F490" s="71" t="str">
        <f>CONCATENATE(" )", Source!DL164, Source!FT164, "=", Source!FX164)</f>
        <v xml:space="preserve"> )*0,9=110,7</v>
      </c>
      <c r="G490" s="72"/>
      <c r="H490" s="30">
        <f>SUM(S484:S492)</f>
        <v>43.66</v>
      </c>
      <c r="I490" s="34"/>
      <c r="J490" s="27">
        <f>Source!AT164</f>
        <v>111</v>
      </c>
      <c r="K490" s="30">
        <f>SUM(T484:T492)</f>
        <v>287.19</v>
      </c>
      <c r="L490" s="32"/>
    </row>
    <row r="491" spans="1:26" ht="14.25" x14ac:dyDescent="0.2">
      <c r="A491" s="45"/>
      <c r="B491" s="46"/>
      <c r="C491" s="46" t="s">
        <v>1640</v>
      </c>
      <c r="D491" s="29" t="s">
        <v>1639</v>
      </c>
      <c r="E491" s="11">
        <f>Source!CA164</f>
        <v>75</v>
      </c>
      <c r="F491" s="71" t="str">
        <f>CONCATENATE(" )", Source!DM164, Source!FU164, "=", Source!FY164)</f>
        <v xml:space="preserve"> )*0,85=63,75</v>
      </c>
      <c r="G491" s="72"/>
      <c r="H491" s="30">
        <f>SUM(U484:U492)</f>
        <v>25.14</v>
      </c>
      <c r="I491" s="34"/>
      <c r="J491" s="27">
        <f>Source!AU164</f>
        <v>64</v>
      </c>
      <c r="K491" s="30">
        <f>SUM(V484:V492)</f>
        <v>165.59</v>
      </c>
      <c r="L491" s="32"/>
    </row>
    <row r="492" spans="1:26" ht="14.25" x14ac:dyDescent="0.2">
      <c r="A492" s="47"/>
      <c r="B492" s="48"/>
      <c r="C492" s="48" t="s">
        <v>1641</v>
      </c>
      <c r="D492" s="35" t="s">
        <v>1642</v>
      </c>
      <c r="E492" s="36">
        <f>Source!AQ164</f>
        <v>26.97</v>
      </c>
      <c r="F492" s="37"/>
      <c r="G492" s="38" t="str">
        <f>Source!DI164</f>
        <v>)*1,15</v>
      </c>
      <c r="H492" s="37"/>
      <c r="I492" s="38"/>
      <c r="J492" s="38"/>
      <c r="K492" s="37"/>
      <c r="L492" s="39">
        <f>Source!U164</f>
        <v>3.5357669999999994</v>
      </c>
    </row>
    <row r="493" spans="1:26" ht="15" x14ac:dyDescent="0.25">
      <c r="G493" s="70">
        <f>H486+H487+H489+H490+H491</f>
        <v>208.83999999999997</v>
      </c>
      <c r="H493" s="70"/>
      <c r="J493" s="70">
        <f>K486+K487+K489+K490+K491</f>
        <v>1371.46</v>
      </c>
      <c r="K493" s="70"/>
      <c r="L493" s="40">
        <f>Source!U164</f>
        <v>3.5357669999999994</v>
      </c>
      <c r="O493" s="24">
        <f>G493</f>
        <v>208.83999999999997</v>
      </c>
      <c r="P493" s="24">
        <f>J493</f>
        <v>1371.46</v>
      </c>
      <c r="Q493" s="24">
        <f>L493</f>
        <v>3.5357669999999994</v>
      </c>
      <c r="W493">
        <f>IF(Source!BI164&lt;=1,H486+H487+H489+H490+H491, 0)</f>
        <v>208.83999999999997</v>
      </c>
      <c r="X493">
        <f>IF(Source!BI164=2,H486+H487+H489+H490+H491, 0)</f>
        <v>0</v>
      </c>
      <c r="Y493">
        <f>IF(Source!BI164=3,H486+H487+H489+H490+H491, 0)</f>
        <v>0</v>
      </c>
      <c r="Z493">
        <f>IF(Source!BI164=4,H486+H487+H489+H490+H491, 0)</f>
        <v>0</v>
      </c>
    </row>
    <row r="494" spans="1:26" ht="28.5" x14ac:dyDescent="0.2">
      <c r="A494" s="45" t="str">
        <f>Source!E165</f>
        <v>45</v>
      </c>
      <c r="B494" s="46" t="str">
        <f>Source!F165</f>
        <v>11-01-034-04</v>
      </c>
      <c r="C494" s="46" t="str">
        <f>Source!G165</f>
        <v>Устройство покрытий из досок ламинированных замковым способом</v>
      </c>
      <c r="D494" s="29" t="str">
        <f>Source!H165</f>
        <v>100 м2</v>
      </c>
      <c r="E494" s="11">
        <f>Source!I165</f>
        <v>1.01</v>
      </c>
      <c r="F494" s="30">
        <f>Source!AL165+Source!AM165+Source!AO165</f>
        <v>613.75</v>
      </c>
      <c r="G494" s="31"/>
      <c r="H494" s="30"/>
      <c r="I494" s="31" t="str">
        <f>Source!BO165</f>
        <v/>
      </c>
      <c r="J494" s="31"/>
      <c r="K494" s="30"/>
      <c r="L494" s="32"/>
      <c r="S494">
        <f>ROUND((Source!FX165/100)*((ROUND(Source!AF165*Source!I165, 2)+ROUND(Source!AE165*Source!I165, 2))), 2)</f>
        <v>311.14</v>
      </c>
      <c r="T494">
        <f>Source!X165</f>
        <v>2046.66</v>
      </c>
      <c r="U494">
        <f>ROUND((Source!FY165/100)*((ROUND(Source!AF165*Source!I165, 2)+ROUND(Source!AE165*Source!I165, 2))), 2)</f>
        <v>179.18</v>
      </c>
      <c r="V494">
        <f>Source!Y165</f>
        <v>1180.06</v>
      </c>
    </row>
    <row r="495" spans="1:26" x14ac:dyDescent="0.2">
      <c r="C495" s="23" t="str">
        <f>"Объем: "&amp;Source!I165&amp;"=101/"&amp;"100"</f>
        <v>Объем: 1,01=101/100</v>
      </c>
    </row>
    <row r="496" spans="1:26" ht="14.25" x14ac:dyDescent="0.2">
      <c r="A496" s="45"/>
      <c r="B496" s="46"/>
      <c r="C496" s="46" t="s">
        <v>1636</v>
      </c>
      <c r="D496" s="29"/>
      <c r="E496" s="11"/>
      <c r="F496" s="30">
        <f>Source!AO165</f>
        <v>240.73</v>
      </c>
      <c r="G496" s="31" t="str">
        <f>Source!DG165</f>
        <v>)*1,15</v>
      </c>
      <c r="H496" s="30">
        <f>ROUND(Source!AF165*Source!I165, 2)</f>
        <v>279.61</v>
      </c>
      <c r="I496" s="31"/>
      <c r="J496" s="31">
        <f>IF(Source!BA165&lt;&gt; 0, Source!BA165, 1)</f>
        <v>6.56</v>
      </c>
      <c r="K496" s="30">
        <f>Source!S165</f>
        <v>1834.23</v>
      </c>
      <c r="L496" s="32"/>
      <c r="R496">
        <f>H496</f>
        <v>279.61</v>
      </c>
    </row>
    <row r="497" spans="1:26" ht="14.25" x14ac:dyDescent="0.2">
      <c r="A497" s="45"/>
      <c r="B497" s="46"/>
      <c r="C497" s="46" t="s">
        <v>136</v>
      </c>
      <c r="D497" s="29"/>
      <c r="E497" s="11"/>
      <c r="F497" s="30">
        <f>Source!AM165</f>
        <v>6.57</v>
      </c>
      <c r="G497" s="31" t="str">
        <f>Source!DE165</f>
        <v>)*1,25</v>
      </c>
      <c r="H497" s="30">
        <f>ROUND(Source!AD165*Source!I165, 2)</f>
        <v>8.2899999999999991</v>
      </c>
      <c r="I497" s="31"/>
      <c r="J497" s="31">
        <f>IF(Source!BB165&lt;&gt; 0, Source!BB165, 1)</f>
        <v>6.56</v>
      </c>
      <c r="K497" s="30">
        <f>Source!Q165</f>
        <v>54.4</v>
      </c>
      <c r="L497" s="32"/>
    </row>
    <row r="498" spans="1:26" ht="14.25" x14ac:dyDescent="0.2">
      <c r="A498" s="45"/>
      <c r="B498" s="46"/>
      <c r="C498" s="46" t="s">
        <v>1637</v>
      </c>
      <c r="D498" s="29"/>
      <c r="E498" s="11"/>
      <c r="F498" s="30">
        <f>Source!AN165</f>
        <v>1.1599999999999999</v>
      </c>
      <c r="G498" s="31" t="str">
        <f>Source!DF165</f>
        <v>)*1,25</v>
      </c>
      <c r="H498" s="33">
        <f>ROUND(Source!AE165*Source!I165, 2)</f>
        <v>1.46</v>
      </c>
      <c r="I498" s="31"/>
      <c r="J498" s="31">
        <f>IF(Source!BS165&lt;&gt; 0, Source!BS165, 1)</f>
        <v>6.56</v>
      </c>
      <c r="K498" s="33">
        <f>Source!R165</f>
        <v>9.61</v>
      </c>
      <c r="L498" s="32"/>
      <c r="R498">
        <f>H498</f>
        <v>1.46</v>
      </c>
    </row>
    <row r="499" spans="1:26" ht="14.25" x14ac:dyDescent="0.2">
      <c r="A499" s="45"/>
      <c r="B499" s="46"/>
      <c r="C499" s="46" t="s">
        <v>1643</v>
      </c>
      <c r="D499" s="29"/>
      <c r="E499" s="11"/>
      <c r="F499" s="30">
        <f>Source!AL165</f>
        <v>366.45</v>
      </c>
      <c r="G499" s="31" t="str">
        <f>Source!DD165</f>
        <v/>
      </c>
      <c r="H499" s="30">
        <f>ROUND(Source!AC165*Source!I165, 2)</f>
        <v>370.11</v>
      </c>
      <c r="I499" s="31"/>
      <c r="J499" s="31">
        <f>IF(Source!BC165&lt;&gt; 0, Source!BC165, 1)</f>
        <v>6.56</v>
      </c>
      <c r="K499" s="30">
        <f>Source!P165</f>
        <v>2427.9499999999998</v>
      </c>
      <c r="L499" s="32"/>
    </row>
    <row r="500" spans="1:26" ht="14.25" x14ac:dyDescent="0.2">
      <c r="A500" s="45"/>
      <c r="B500" s="46"/>
      <c r="C500" s="46" t="s">
        <v>1638</v>
      </c>
      <c r="D500" s="29" t="s">
        <v>1639</v>
      </c>
      <c r="E500" s="11">
        <f>Source!BZ165</f>
        <v>123</v>
      </c>
      <c r="F500" s="71" t="str">
        <f>CONCATENATE(" )", Source!DL165, Source!FT165, "=", Source!FX165)</f>
        <v xml:space="preserve"> )*0,9=110,7</v>
      </c>
      <c r="G500" s="72"/>
      <c r="H500" s="30">
        <f>SUM(S494:S504)</f>
        <v>311.14</v>
      </c>
      <c r="I500" s="34"/>
      <c r="J500" s="27">
        <f>Source!AT165</f>
        <v>111</v>
      </c>
      <c r="K500" s="30">
        <f>SUM(T494:T504)</f>
        <v>2046.66</v>
      </c>
      <c r="L500" s="32"/>
    </row>
    <row r="501" spans="1:26" ht="14.25" x14ac:dyDescent="0.2">
      <c r="A501" s="45"/>
      <c r="B501" s="46"/>
      <c r="C501" s="46" t="s">
        <v>1640</v>
      </c>
      <c r="D501" s="29" t="s">
        <v>1639</v>
      </c>
      <c r="E501" s="11">
        <f>Source!CA165</f>
        <v>75</v>
      </c>
      <c r="F501" s="71" t="str">
        <f>CONCATENATE(" )", Source!DM165, Source!FU165, "=", Source!FY165)</f>
        <v xml:space="preserve"> )*0,85=63,75</v>
      </c>
      <c r="G501" s="72"/>
      <c r="H501" s="30">
        <f>SUM(U494:U504)</f>
        <v>179.18</v>
      </c>
      <c r="I501" s="34"/>
      <c r="J501" s="27">
        <f>Source!AU165</f>
        <v>64</v>
      </c>
      <c r="K501" s="30">
        <f>SUM(V494:V504)</f>
        <v>1180.06</v>
      </c>
      <c r="L501" s="32"/>
    </row>
    <row r="502" spans="1:26" ht="14.25" x14ac:dyDescent="0.2">
      <c r="A502" s="45"/>
      <c r="B502" s="46"/>
      <c r="C502" s="46" t="s">
        <v>1641</v>
      </c>
      <c r="D502" s="29" t="s">
        <v>1642</v>
      </c>
      <c r="E502" s="11">
        <f>Source!AQ165</f>
        <v>25.61</v>
      </c>
      <c r="F502" s="30"/>
      <c r="G502" s="31" t="str">
        <f>Source!DI165</f>
        <v>)*1,15</v>
      </c>
      <c r="H502" s="30"/>
      <c r="I502" s="31"/>
      <c r="J502" s="31"/>
      <c r="K502" s="30"/>
      <c r="L502" s="41">
        <f>Source!U165</f>
        <v>29.746014999999996</v>
      </c>
    </row>
    <row r="503" spans="1:26" ht="28.5" x14ac:dyDescent="0.2">
      <c r="A503" s="45" t="str">
        <f>Source!E166</f>
        <v>45,1</v>
      </c>
      <c r="B503" s="46" t="str">
        <f>Source!F166</f>
        <v>11.2.03.02-0008</v>
      </c>
      <c r="C503" s="46" t="str">
        <f>Source!G166</f>
        <v>Ламинат "TARKETT " (33 класс, размер 1292х194 мм, толщина 8 мм) прим.</v>
      </c>
      <c r="D503" s="29" t="str">
        <f>Source!H166</f>
        <v>м2</v>
      </c>
      <c r="E503" s="11">
        <f>Source!I166</f>
        <v>103.52500000000001</v>
      </c>
      <c r="F503" s="30">
        <f>Source!AL166+Source!AM166+Source!AO166</f>
        <v>120.14</v>
      </c>
      <c r="G503" s="42" t="s">
        <v>6</v>
      </c>
      <c r="H503" s="30">
        <f>ROUND(Source!AC166*Source!I166, 2)+ROUND(Source!AD166*Source!I166, 2)+ROUND(Source!AF166*Source!I166, 2)</f>
        <v>12437.49</v>
      </c>
      <c r="I503" s="31"/>
      <c r="J503" s="31">
        <f>IF(Source!BC166&lt;&gt; 0, Source!BC166, 1)</f>
        <v>6.56</v>
      </c>
      <c r="K503" s="30">
        <f>Source!O166</f>
        <v>81589.960000000006</v>
      </c>
      <c r="L503" s="32"/>
      <c r="S503">
        <f>ROUND((Source!FX166/100)*((ROUND(Source!AF166*Source!I166, 2)+ROUND(Source!AE166*Source!I166, 2))), 2)</f>
        <v>0</v>
      </c>
      <c r="T503">
        <f>Source!X166</f>
        <v>0</v>
      </c>
      <c r="U503">
        <f>ROUND((Source!FY166/100)*((ROUND(Source!AF166*Source!I166, 2)+ROUND(Source!AE166*Source!I166, 2))), 2)</f>
        <v>0</v>
      </c>
      <c r="V503">
        <f>Source!Y166</f>
        <v>0</v>
      </c>
      <c r="W503">
        <f>IF(Source!BI166&lt;=1,H503, 0)</f>
        <v>12437.49</v>
      </c>
      <c r="X503">
        <f>IF(Source!BI166=2,H503, 0)</f>
        <v>0</v>
      </c>
      <c r="Y503">
        <f>IF(Source!BI166=3,H503, 0)</f>
        <v>0</v>
      </c>
      <c r="Z503">
        <f>IF(Source!BI166=4,H503, 0)</f>
        <v>0</v>
      </c>
    </row>
    <row r="504" spans="1:26" ht="28.5" x14ac:dyDescent="0.2">
      <c r="A504" s="47" t="str">
        <f>Source!E167</f>
        <v>45,2</v>
      </c>
      <c r="B504" s="48" t="str">
        <f>Source!F167</f>
        <v>11.2.03.02</v>
      </c>
      <c r="C504" s="48" t="str">
        <f>Source!G167</f>
        <v>Покрытие напольное ламинированное (ламинат)</v>
      </c>
      <c r="D504" s="35" t="str">
        <f>Source!H167</f>
        <v>м2</v>
      </c>
      <c r="E504" s="36">
        <f>Source!I167</f>
        <v>103.52500000000001</v>
      </c>
      <c r="F504" s="37">
        <f>Source!AL167+Source!AM167+Source!AO167</f>
        <v>0</v>
      </c>
      <c r="G504" s="43" t="s">
        <v>6</v>
      </c>
      <c r="H504" s="37">
        <f>ROUND(Source!AC167*Source!I167, 2)+ROUND(Source!AD167*Source!I167, 2)+ROUND(Source!AF167*Source!I167, 2)</f>
        <v>0</v>
      </c>
      <c r="I504" s="38"/>
      <c r="J504" s="38">
        <f>IF(Source!BC167&lt;&gt; 0, Source!BC167, 1)</f>
        <v>6.56</v>
      </c>
      <c r="K504" s="37">
        <f>Source!O167</f>
        <v>0</v>
      </c>
      <c r="L504" s="44"/>
      <c r="S504">
        <f>ROUND((Source!FX167/100)*((ROUND(Source!AF167*Source!I167, 2)+ROUND(Source!AE167*Source!I167, 2))), 2)</f>
        <v>0</v>
      </c>
      <c r="T504">
        <f>Source!X167</f>
        <v>0</v>
      </c>
      <c r="U504">
        <f>ROUND((Source!FY167/100)*((ROUND(Source!AF167*Source!I167, 2)+ROUND(Source!AE167*Source!I167, 2))), 2)</f>
        <v>0</v>
      </c>
      <c r="V504">
        <f>Source!Y167</f>
        <v>0</v>
      </c>
      <c r="W504">
        <f>IF(Source!BI167&lt;=1,H504, 0)</f>
        <v>0</v>
      </c>
      <c r="X504">
        <f>IF(Source!BI167=2,H504, 0)</f>
        <v>0</v>
      </c>
      <c r="Y504">
        <f>IF(Source!BI167=3,H504, 0)</f>
        <v>0</v>
      </c>
      <c r="Z504">
        <f>IF(Source!BI167=4,H504, 0)</f>
        <v>0</v>
      </c>
    </row>
    <row r="505" spans="1:26" ht="15" x14ac:dyDescent="0.25">
      <c r="G505" s="70">
        <f>H496+H497+H499+H500+H501+SUM(H503:H504)</f>
        <v>13585.82</v>
      </c>
      <c r="H505" s="70"/>
      <c r="J505" s="70">
        <f>K496+K497+K499+K500+K501+SUM(K503:K504)</f>
        <v>89133.260000000009</v>
      </c>
      <c r="K505" s="70"/>
      <c r="L505" s="40">
        <f>Source!U165</f>
        <v>29.746014999999996</v>
      </c>
      <c r="O505" s="24">
        <f>G505</f>
        <v>13585.82</v>
      </c>
      <c r="P505" s="24">
        <f>J505</f>
        <v>89133.260000000009</v>
      </c>
      <c r="Q505" s="24">
        <f>L505</f>
        <v>29.746014999999996</v>
      </c>
      <c r="W505">
        <f>IF(Source!BI165&lt;=1,H496+H497+H499+H500+H501, 0)</f>
        <v>1148.33</v>
      </c>
      <c r="X505">
        <f>IF(Source!BI165=2,H496+H497+H499+H500+H501, 0)</f>
        <v>0</v>
      </c>
      <c r="Y505">
        <f>IF(Source!BI165=3,H496+H497+H499+H500+H501, 0)</f>
        <v>0</v>
      </c>
      <c r="Z505">
        <f>IF(Source!BI165=4,H496+H497+H499+H500+H501, 0)</f>
        <v>0</v>
      </c>
    </row>
    <row r="506" spans="1:26" ht="28.5" x14ac:dyDescent="0.2">
      <c r="A506" s="45" t="str">
        <f>Source!E168</f>
        <v>46</v>
      </c>
      <c r="B506" s="46" t="str">
        <f>Source!F168</f>
        <v>11-01-040-01</v>
      </c>
      <c r="C506" s="46" t="str">
        <f>Source!G168</f>
        <v>Устройство плинтусов поливинилхлоридных на клее КН-2</v>
      </c>
      <c r="D506" s="29" t="str">
        <f>Source!H168</f>
        <v>100 м</v>
      </c>
      <c r="E506" s="11">
        <f>Source!I168</f>
        <v>0.64700000000000002</v>
      </c>
      <c r="F506" s="30">
        <f>Source!AL168+Source!AM168+Source!AO168</f>
        <v>133.12</v>
      </c>
      <c r="G506" s="31"/>
      <c r="H506" s="30"/>
      <c r="I506" s="31" t="str">
        <f>Source!BO168</f>
        <v/>
      </c>
      <c r="J506" s="31"/>
      <c r="K506" s="30"/>
      <c r="L506" s="32"/>
      <c r="S506">
        <f>ROUND((Source!FX168/100)*((ROUND(Source!AF168*Source!I168, 2)+ROUND(Source!AE168*Source!I168, 2))), 2)</f>
        <v>72.81</v>
      </c>
      <c r="T506">
        <f>Source!X168</f>
        <v>478.94</v>
      </c>
      <c r="U506">
        <f>ROUND((Source!FY168/100)*((ROUND(Source!AF168*Source!I168, 2)+ROUND(Source!AE168*Source!I168, 2))), 2)</f>
        <v>41.93</v>
      </c>
      <c r="V506">
        <f>Source!Y168</f>
        <v>276.14999999999998</v>
      </c>
    </row>
    <row r="507" spans="1:26" x14ac:dyDescent="0.2">
      <c r="C507" s="23" t="str">
        <f>"Объем: "&amp;Source!I168&amp;"=64,7/"&amp;"100"</f>
        <v>Объем: 0,647=64,7/100</v>
      </c>
    </row>
    <row r="508" spans="1:26" ht="14.25" x14ac:dyDescent="0.2">
      <c r="A508" s="45"/>
      <c r="B508" s="46"/>
      <c r="C508" s="46" t="s">
        <v>1636</v>
      </c>
      <c r="D508" s="29"/>
      <c r="E508" s="11"/>
      <c r="F508" s="30">
        <f>Source!AO168</f>
        <v>87.94</v>
      </c>
      <c r="G508" s="31" t="str">
        <f>Source!DG168</f>
        <v>)*1,15</v>
      </c>
      <c r="H508" s="30">
        <f>ROUND(Source!AF168*Source!I168, 2)</f>
        <v>65.430000000000007</v>
      </c>
      <c r="I508" s="31"/>
      <c r="J508" s="31">
        <f>IF(Source!BA168&lt;&gt; 0, Source!BA168, 1)</f>
        <v>6.56</v>
      </c>
      <c r="K508" s="30">
        <f>Source!S168</f>
        <v>429.23</v>
      </c>
      <c r="L508" s="32"/>
      <c r="R508">
        <f>H508</f>
        <v>65.430000000000007</v>
      </c>
    </row>
    <row r="509" spans="1:26" ht="14.25" x14ac:dyDescent="0.2">
      <c r="A509" s="45"/>
      <c r="B509" s="46"/>
      <c r="C509" s="46" t="s">
        <v>136</v>
      </c>
      <c r="D509" s="29"/>
      <c r="E509" s="11"/>
      <c r="F509" s="30">
        <f>Source!AM168</f>
        <v>2.13</v>
      </c>
      <c r="G509" s="31" t="str">
        <f>Source!DE168</f>
        <v>)*1,25</v>
      </c>
      <c r="H509" s="30">
        <f>ROUND(Source!AD168*Source!I168, 2)</f>
        <v>1.73</v>
      </c>
      <c r="I509" s="31"/>
      <c r="J509" s="31">
        <f>IF(Source!BB168&lt;&gt; 0, Source!BB168, 1)</f>
        <v>6.56</v>
      </c>
      <c r="K509" s="30">
        <f>Source!Q168</f>
        <v>11.33</v>
      </c>
      <c r="L509" s="32"/>
    </row>
    <row r="510" spans="1:26" ht="14.25" x14ac:dyDescent="0.2">
      <c r="A510" s="45"/>
      <c r="B510" s="46"/>
      <c r="C510" s="46" t="s">
        <v>1637</v>
      </c>
      <c r="D510" s="29"/>
      <c r="E510" s="11"/>
      <c r="F510" s="30">
        <f>Source!AN168</f>
        <v>0.42</v>
      </c>
      <c r="G510" s="31" t="str">
        <f>Source!DF168</f>
        <v>)*1,25</v>
      </c>
      <c r="H510" s="33">
        <f>ROUND(Source!AE168*Source!I168, 2)</f>
        <v>0.34</v>
      </c>
      <c r="I510" s="31"/>
      <c r="J510" s="31">
        <f>IF(Source!BS168&lt;&gt; 0, Source!BS168, 1)</f>
        <v>6.56</v>
      </c>
      <c r="K510" s="33">
        <f>Source!R168</f>
        <v>2.25</v>
      </c>
      <c r="L510" s="32"/>
      <c r="R510">
        <f>H510</f>
        <v>0.34</v>
      </c>
    </row>
    <row r="511" spans="1:26" ht="14.25" x14ac:dyDescent="0.2">
      <c r="A511" s="45"/>
      <c r="B511" s="46"/>
      <c r="C511" s="46" t="s">
        <v>1643</v>
      </c>
      <c r="D511" s="29"/>
      <c r="E511" s="11"/>
      <c r="F511" s="30">
        <f>Source!AL168</f>
        <v>43.05</v>
      </c>
      <c r="G511" s="31" t="str">
        <f>Source!DD168</f>
        <v/>
      </c>
      <c r="H511" s="30">
        <f>ROUND(Source!AC168*Source!I168, 2)</f>
        <v>27.85</v>
      </c>
      <c r="I511" s="31"/>
      <c r="J511" s="31">
        <f>IF(Source!BC168&lt;&gt; 0, Source!BC168, 1)</f>
        <v>6.56</v>
      </c>
      <c r="K511" s="30">
        <f>Source!P168</f>
        <v>182.72</v>
      </c>
      <c r="L511" s="32"/>
    </row>
    <row r="512" spans="1:26" ht="14.25" x14ac:dyDescent="0.2">
      <c r="A512" s="45"/>
      <c r="B512" s="46"/>
      <c r="C512" s="46" t="s">
        <v>1638</v>
      </c>
      <c r="D512" s="29" t="s">
        <v>1639</v>
      </c>
      <c r="E512" s="11">
        <f>Source!BZ168</f>
        <v>123</v>
      </c>
      <c r="F512" s="71" t="str">
        <f>CONCATENATE(" )", Source!DL168, Source!FT168, "=", Source!FX168)</f>
        <v xml:space="preserve"> )*0,9=110,7</v>
      </c>
      <c r="G512" s="72"/>
      <c r="H512" s="30">
        <f>SUM(S506:S516)</f>
        <v>72.81</v>
      </c>
      <c r="I512" s="34"/>
      <c r="J512" s="27">
        <f>Source!AT168</f>
        <v>111</v>
      </c>
      <c r="K512" s="30">
        <f>SUM(T506:T516)</f>
        <v>478.94</v>
      </c>
      <c r="L512" s="32"/>
    </row>
    <row r="513" spans="1:26" ht="14.25" x14ac:dyDescent="0.2">
      <c r="A513" s="45"/>
      <c r="B513" s="46"/>
      <c r="C513" s="46" t="s">
        <v>1640</v>
      </c>
      <c r="D513" s="29" t="s">
        <v>1639</v>
      </c>
      <c r="E513" s="11">
        <f>Source!CA168</f>
        <v>75</v>
      </c>
      <c r="F513" s="71" t="str">
        <f>CONCATENATE(" )", Source!DM168, Source!FU168, "=", Source!FY168)</f>
        <v xml:space="preserve"> )*0,85=63,75</v>
      </c>
      <c r="G513" s="72"/>
      <c r="H513" s="30">
        <f>SUM(U506:U516)</f>
        <v>41.93</v>
      </c>
      <c r="I513" s="34"/>
      <c r="J513" s="27">
        <f>Source!AU168</f>
        <v>64</v>
      </c>
      <c r="K513" s="30">
        <f>SUM(V506:V516)</f>
        <v>276.14999999999998</v>
      </c>
      <c r="L513" s="32"/>
    </row>
    <row r="514" spans="1:26" ht="14.25" x14ac:dyDescent="0.2">
      <c r="A514" s="45"/>
      <c r="B514" s="46"/>
      <c r="C514" s="46" t="s">
        <v>1641</v>
      </c>
      <c r="D514" s="29" t="s">
        <v>1642</v>
      </c>
      <c r="E514" s="11">
        <f>Source!AQ168</f>
        <v>9.01</v>
      </c>
      <c r="F514" s="30"/>
      <c r="G514" s="31" t="str">
        <f>Source!DI168</f>
        <v>)*1,15</v>
      </c>
      <c r="H514" s="30"/>
      <c r="I514" s="31"/>
      <c r="J514" s="31"/>
      <c r="K514" s="30"/>
      <c r="L514" s="41">
        <f>Source!U168</f>
        <v>6.7038905</v>
      </c>
    </row>
    <row r="515" spans="1:26" ht="28.5" x14ac:dyDescent="0.2">
      <c r="A515" s="45" t="str">
        <f>Source!E169</f>
        <v>46,1</v>
      </c>
      <c r="B515" s="46" t="str">
        <f>Source!F169</f>
        <v>11.3.03.06-0002</v>
      </c>
      <c r="C515" s="46" t="str">
        <f>Source!G169</f>
        <v>Плинтуса для полов с кабель-каналом пластиковые, 22х49 мм</v>
      </c>
      <c r="D515" s="29" t="str">
        <f>Source!H169</f>
        <v>м</v>
      </c>
      <c r="E515" s="11">
        <f>Source!I169</f>
        <v>65.346999999999994</v>
      </c>
      <c r="F515" s="30">
        <f>Source!AL169+Source!AM169+Source!AO169</f>
        <v>20.5</v>
      </c>
      <c r="G515" s="42" t="s">
        <v>6</v>
      </c>
      <c r="H515" s="30">
        <f>ROUND(Source!AC169*Source!I169, 2)+ROUND(Source!AD169*Source!I169, 2)+ROUND(Source!AF169*Source!I169, 2)</f>
        <v>1339.61</v>
      </c>
      <c r="I515" s="31"/>
      <c r="J515" s="31">
        <f>IF(Source!BC169&lt;&gt; 0, Source!BC169, 1)</f>
        <v>6.56</v>
      </c>
      <c r="K515" s="30">
        <f>Source!O169</f>
        <v>8787.86</v>
      </c>
      <c r="L515" s="32"/>
      <c r="S515">
        <f>ROUND((Source!FX169/100)*((ROUND(Source!AF169*Source!I169, 2)+ROUND(Source!AE169*Source!I169, 2))), 2)</f>
        <v>0</v>
      </c>
      <c r="T515">
        <f>Source!X169</f>
        <v>0</v>
      </c>
      <c r="U515">
        <f>ROUND((Source!FY169/100)*((ROUND(Source!AF169*Source!I169, 2)+ROUND(Source!AE169*Source!I169, 2))), 2)</f>
        <v>0</v>
      </c>
      <c r="V515">
        <f>Source!Y169</f>
        <v>0</v>
      </c>
      <c r="W515">
        <f>IF(Source!BI169&lt;=1,H515, 0)</f>
        <v>1339.61</v>
      </c>
      <c r="X515">
        <f>IF(Source!BI169=2,H515, 0)</f>
        <v>0</v>
      </c>
      <c r="Y515">
        <f>IF(Source!BI169=3,H515, 0)</f>
        <v>0</v>
      </c>
      <c r="Z515">
        <f>IF(Source!BI169=4,H515, 0)</f>
        <v>0</v>
      </c>
    </row>
    <row r="516" spans="1:26" ht="14.25" x14ac:dyDescent="0.2">
      <c r="A516" s="47" t="str">
        <f>Source!E170</f>
        <v>46,2</v>
      </c>
      <c r="B516" s="48" t="str">
        <f>Source!F170</f>
        <v>11.3.03.06</v>
      </c>
      <c r="C516" s="48" t="str">
        <f>Source!G170</f>
        <v>Плинтуса для полов пластиковые</v>
      </c>
      <c r="D516" s="35" t="str">
        <f>Source!H170</f>
        <v>м</v>
      </c>
      <c r="E516" s="36">
        <f>Source!I170</f>
        <v>65.346999999999994</v>
      </c>
      <c r="F516" s="37">
        <f>Source!AL170+Source!AM170+Source!AO170</f>
        <v>0</v>
      </c>
      <c r="G516" s="43" t="s">
        <v>6</v>
      </c>
      <c r="H516" s="37">
        <f>ROUND(Source!AC170*Source!I170, 2)+ROUND(Source!AD170*Source!I170, 2)+ROUND(Source!AF170*Source!I170, 2)</f>
        <v>0</v>
      </c>
      <c r="I516" s="38"/>
      <c r="J516" s="38">
        <f>IF(Source!BC170&lt;&gt; 0, Source!BC170, 1)</f>
        <v>6.56</v>
      </c>
      <c r="K516" s="37">
        <f>Source!O170</f>
        <v>0</v>
      </c>
      <c r="L516" s="44"/>
      <c r="S516">
        <f>ROUND((Source!FX170/100)*((ROUND(Source!AF170*Source!I170, 2)+ROUND(Source!AE170*Source!I170, 2))), 2)</f>
        <v>0</v>
      </c>
      <c r="T516">
        <f>Source!X170</f>
        <v>0</v>
      </c>
      <c r="U516">
        <f>ROUND((Source!FY170/100)*((ROUND(Source!AF170*Source!I170, 2)+ROUND(Source!AE170*Source!I170, 2))), 2)</f>
        <v>0</v>
      </c>
      <c r="V516">
        <f>Source!Y170</f>
        <v>0</v>
      </c>
      <c r="W516">
        <f>IF(Source!BI170&lt;=1,H516, 0)</f>
        <v>0</v>
      </c>
      <c r="X516">
        <f>IF(Source!BI170=2,H516, 0)</f>
        <v>0</v>
      </c>
      <c r="Y516">
        <f>IF(Source!BI170=3,H516, 0)</f>
        <v>0</v>
      </c>
      <c r="Z516">
        <f>IF(Source!BI170=4,H516, 0)</f>
        <v>0</v>
      </c>
    </row>
    <row r="517" spans="1:26" ht="15" x14ac:dyDescent="0.25">
      <c r="G517" s="70">
        <f>H508+H509+H511+H512+H513+SUM(H515:H516)</f>
        <v>1549.36</v>
      </c>
      <c r="H517" s="70"/>
      <c r="J517" s="70">
        <f>K508+K509+K511+K512+K513+SUM(K515:K516)</f>
        <v>10166.23</v>
      </c>
      <c r="K517" s="70"/>
      <c r="L517" s="40">
        <f>Source!U168</f>
        <v>6.7038905</v>
      </c>
      <c r="O517" s="24">
        <f>G517</f>
        <v>1549.36</v>
      </c>
      <c r="P517" s="24">
        <f>J517</f>
        <v>10166.23</v>
      </c>
      <c r="Q517" s="24">
        <f>L517</f>
        <v>6.7038905</v>
      </c>
      <c r="W517">
        <f>IF(Source!BI168&lt;=1,H508+H509+H511+H512+H513, 0)</f>
        <v>209.75000000000003</v>
      </c>
      <c r="X517">
        <f>IF(Source!BI168=2,H508+H509+H511+H512+H513, 0)</f>
        <v>0</v>
      </c>
      <c r="Y517">
        <f>IF(Source!BI168=3,H508+H509+H511+H512+H513, 0)</f>
        <v>0</v>
      </c>
      <c r="Z517">
        <f>IF(Source!BI168=4,H508+H509+H511+H512+H513, 0)</f>
        <v>0</v>
      </c>
    </row>
    <row r="518" spans="1:26" ht="28.5" x14ac:dyDescent="0.2">
      <c r="A518" s="45" t="str">
        <f>Source!E171</f>
        <v>47</v>
      </c>
      <c r="B518" s="46" t="str">
        <f>Source!F171</f>
        <v>11-01-039-04</v>
      </c>
      <c r="C518" s="46" t="str">
        <f>Source!G171</f>
        <v>Устройство плинтусов из плиток керамических</v>
      </c>
      <c r="D518" s="29" t="str">
        <f>Source!H171</f>
        <v>100 м</v>
      </c>
      <c r="E518" s="11">
        <f>Source!I171</f>
        <v>0.14000000000000001</v>
      </c>
      <c r="F518" s="30">
        <f>Source!AL171+Source!AM171+Source!AO171</f>
        <v>232.03</v>
      </c>
      <c r="G518" s="31"/>
      <c r="H518" s="30"/>
      <c r="I518" s="31" t="str">
        <f>Source!BO171</f>
        <v/>
      </c>
      <c r="J518" s="31"/>
      <c r="K518" s="30"/>
      <c r="L518" s="32"/>
      <c r="S518">
        <f>ROUND((Source!FX171/100)*((ROUND(Source!AF171*Source!I171, 2)+ROUND(Source!AE171*Source!I171, 2))), 2)</f>
        <v>40.64</v>
      </c>
      <c r="T518">
        <f>Source!X171</f>
        <v>267.33</v>
      </c>
      <c r="U518">
        <f>ROUND((Source!FY171/100)*((ROUND(Source!AF171*Source!I171, 2)+ROUND(Source!AE171*Source!I171, 2))), 2)</f>
        <v>23.4</v>
      </c>
      <c r="V518">
        <f>Source!Y171</f>
        <v>154.13999999999999</v>
      </c>
    </row>
    <row r="519" spans="1:26" x14ac:dyDescent="0.2">
      <c r="C519" s="23" t="str">
        <f>"Объем: "&amp;Source!I171&amp;"=14/"&amp;"100"</f>
        <v>Объем: 0,14=14/100</v>
      </c>
    </row>
    <row r="520" spans="1:26" ht="14.25" x14ac:dyDescent="0.2">
      <c r="A520" s="45"/>
      <c r="B520" s="46"/>
      <c r="C520" s="46" t="s">
        <v>1636</v>
      </c>
      <c r="D520" s="29"/>
      <c r="E520" s="11"/>
      <c r="F520" s="30">
        <f>Source!AO171</f>
        <v>226.53</v>
      </c>
      <c r="G520" s="31" t="str">
        <f>Source!DG171</f>
        <v>)*1,15</v>
      </c>
      <c r="H520" s="30">
        <f>ROUND(Source!AF171*Source!I171, 2)</f>
        <v>36.47</v>
      </c>
      <c r="I520" s="31"/>
      <c r="J520" s="31">
        <f>IF(Source!BA171&lt;&gt; 0, Source!BA171, 1)</f>
        <v>6.56</v>
      </c>
      <c r="K520" s="30">
        <f>Source!S171</f>
        <v>239.25</v>
      </c>
      <c r="L520" s="32"/>
      <c r="R520">
        <f>H520</f>
        <v>36.47</v>
      </c>
    </row>
    <row r="521" spans="1:26" ht="14.25" x14ac:dyDescent="0.2">
      <c r="A521" s="45"/>
      <c r="B521" s="46"/>
      <c r="C521" s="46" t="s">
        <v>136</v>
      </c>
      <c r="D521" s="29"/>
      <c r="E521" s="11"/>
      <c r="F521" s="30">
        <f>Source!AM171</f>
        <v>5.5</v>
      </c>
      <c r="G521" s="31" t="str">
        <f>Source!DE171</f>
        <v>)*1,25</v>
      </c>
      <c r="H521" s="30">
        <f>ROUND(Source!AD171*Source!I171, 2)</f>
        <v>0.96</v>
      </c>
      <c r="I521" s="31"/>
      <c r="J521" s="31">
        <f>IF(Source!BB171&lt;&gt; 0, Source!BB171, 1)</f>
        <v>6.56</v>
      </c>
      <c r="K521" s="30">
        <f>Source!Q171</f>
        <v>6.32</v>
      </c>
      <c r="L521" s="32"/>
    </row>
    <row r="522" spans="1:26" ht="14.25" x14ac:dyDescent="0.2">
      <c r="A522" s="45"/>
      <c r="B522" s="46"/>
      <c r="C522" s="46" t="s">
        <v>1637</v>
      </c>
      <c r="D522" s="29"/>
      <c r="E522" s="11"/>
      <c r="F522" s="30">
        <f>Source!AN171</f>
        <v>1.38</v>
      </c>
      <c r="G522" s="31" t="str">
        <f>Source!DF171</f>
        <v>)*1,25</v>
      </c>
      <c r="H522" s="33">
        <f>ROUND(Source!AE171*Source!I171, 2)</f>
        <v>0.24</v>
      </c>
      <c r="I522" s="31"/>
      <c r="J522" s="31">
        <f>IF(Source!BS171&lt;&gt; 0, Source!BS171, 1)</f>
        <v>6.56</v>
      </c>
      <c r="K522" s="33">
        <f>Source!R171</f>
        <v>1.59</v>
      </c>
      <c r="L522" s="32"/>
      <c r="R522">
        <f>H522</f>
        <v>0.24</v>
      </c>
    </row>
    <row r="523" spans="1:26" ht="14.25" x14ac:dyDescent="0.2">
      <c r="A523" s="45"/>
      <c r="B523" s="46"/>
      <c r="C523" s="46" t="s">
        <v>1638</v>
      </c>
      <c r="D523" s="29" t="s">
        <v>1639</v>
      </c>
      <c r="E523" s="11">
        <f>Source!BZ171</f>
        <v>123</v>
      </c>
      <c r="F523" s="71" t="str">
        <f>CONCATENATE(" )", Source!DL171, Source!FT171, "=", Source!FX171)</f>
        <v xml:space="preserve"> )*0,9=110,7</v>
      </c>
      <c r="G523" s="72"/>
      <c r="H523" s="30">
        <f>SUM(S518:S527)</f>
        <v>40.64</v>
      </c>
      <c r="I523" s="34"/>
      <c r="J523" s="27">
        <f>Source!AT171</f>
        <v>111</v>
      </c>
      <c r="K523" s="30">
        <f>SUM(T518:T527)</f>
        <v>267.33</v>
      </c>
      <c r="L523" s="32"/>
    </row>
    <row r="524" spans="1:26" ht="14.25" x14ac:dyDescent="0.2">
      <c r="A524" s="45"/>
      <c r="B524" s="46"/>
      <c r="C524" s="46" t="s">
        <v>1640</v>
      </c>
      <c r="D524" s="29" t="s">
        <v>1639</v>
      </c>
      <c r="E524" s="11">
        <f>Source!CA171</f>
        <v>75</v>
      </c>
      <c r="F524" s="71" t="str">
        <f>CONCATENATE(" )", Source!DM171, Source!FU171, "=", Source!FY171)</f>
        <v xml:space="preserve"> )*0,85=63,75</v>
      </c>
      <c r="G524" s="72"/>
      <c r="H524" s="30">
        <f>SUM(U518:U527)</f>
        <v>23.4</v>
      </c>
      <c r="I524" s="34"/>
      <c r="J524" s="27">
        <f>Source!AU171</f>
        <v>64</v>
      </c>
      <c r="K524" s="30">
        <f>SUM(V518:V527)</f>
        <v>154.13999999999999</v>
      </c>
      <c r="L524" s="32"/>
    </row>
    <row r="525" spans="1:26" ht="14.25" x14ac:dyDescent="0.2">
      <c r="A525" s="45"/>
      <c r="B525" s="46"/>
      <c r="C525" s="46" t="s">
        <v>1641</v>
      </c>
      <c r="D525" s="29" t="s">
        <v>1642</v>
      </c>
      <c r="E525" s="11">
        <f>Source!AQ171</f>
        <v>23.82</v>
      </c>
      <c r="F525" s="30"/>
      <c r="G525" s="31" t="str">
        <f>Source!DI171</f>
        <v>)*1,15</v>
      </c>
      <c r="H525" s="30"/>
      <c r="I525" s="31"/>
      <c r="J525" s="31"/>
      <c r="K525" s="30"/>
      <c r="L525" s="41">
        <f>Source!U171</f>
        <v>3.8350200000000001</v>
      </c>
    </row>
    <row r="526" spans="1:26" ht="28.5" x14ac:dyDescent="0.2">
      <c r="A526" s="45" t="str">
        <f>Source!E172</f>
        <v>47,1</v>
      </c>
      <c r="B526" s="46" t="str">
        <f>Source!F172</f>
        <v>06.2.05.03-0031</v>
      </c>
      <c r="C526" s="46" t="str">
        <f>Source!G172</f>
        <v>Плитки керамические плинтусные прямые</v>
      </c>
      <c r="D526" s="29" t="str">
        <f>Source!H172</f>
        <v>м</v>
      </c>
      <c r="E526" s="11">
        <f>Source!I172</f>
        <v>14.14</v>
      </c>
      <c r="F526" s="30">
        <f>Source!AL172+Source!AM172+Source!AO172</f>
        <v>23.73</v>
      </c>
      <c r="G526" s="42" t="s">
        <v>6</v>
      </c>
      <c r="H526" s="30">
        <f>ROUND(Source!AC172*Source!I172, 2)+ROUND(Source!AD172*Source!I172, 2)+ROUND(Source!AF172*Source!I172, 2)</f>
        <v>335.54</v>
      </c>
      <c r="I526" s="31"/>
      <c r="J526" s="31">
        <f>IF(Source!BC172&lt;&gt; 0, Source!BC172, 1)</f>
        <v>6.56</v>
      </c>
      <c r="K526" s="30">
        <f>Source!O172</f>
        <v>2201.16</v>
      </c>
      <c r="L526" s="32"/>
      <c r="S526">
        <f>ROUND((Source!FX172/100)*((ROUND(Source!AF172*Source!I172, 2)+ROUND(Source!AE172*Source!I172, 2))), 2)</f>
        <v>0</v>
      </c>
      <c r="T526">
        <f>Source!X172</f>
        <v>0</v>
      </c>
      <c r="U526">
        <f>ROUND((Source!FY172/100)*((ROUND(Source!AF172*Source!I172, 2)+ROUND(Source!AE172*Source!I172, 2))), 2)</f>
        <v>0</v>
      </c>
      <c r="V526">
        <f>Source!Y172</f>
        <v>0</v>
      </c>
      <c r="W526">
        <f>IF(Source!BI172&lt;=1,H526, 0)</f>
        <v>335.54</v>
      </c>
      <c r="X526">
        <f>IF(Source!BI172=2,H526, 0)</f>
        <v>0</v>
      </c>
      <c r="Y526">
        <f>IF(Source!BI172=3,H526, 0)</f>
        <v>0</v>
      </c>
      <c r="Z526">
        <f>IF(Source!BI172=4,H526, 0)</f>
        <v>0</v>
      </c>
    </row>
    <row r="527" spans="1:26" ht="14.25" x14ac:dyDescent="0.2">
      <c r="A527" s="47" t="str">
        <f>Source!E173</f>
        <v>47,2</v>
      </c>
      <c r="B527" s="48" t="str">
        <f>Source!F173</f>
        <v>06.2.05.03</v>
      </c>
      <c r="C527" s="48" t="str">
        <f>Source!G173</f>
        <v>Плитки керамические плинтусные</v>
      </c>
      <c r="D527" s="35" t="str">
        <f>Source!H173</f>
        <v>м</v>
      </c>
      <c r="E527" s="36">
        <f>Source!I173</f>
        <v>14.14</v>
      </c>
      <c r="F527" s="37">
        <f>Source!AL173+Source!AM173+Source!AO173</f>
        <v>0</v>
      </c>
      <c r="G527" s="43" t="s">
        <v>6</v>
      </c>
      <c r="H527" s="37">
        <f>ROUND(Source!AC173*Source!I173, 2)+ROUND(Source!AD173*Source!I173, 2)+ROUND(Source!AF173*Source!I173, 2)</f>
        <v>0</v>
      </c>
      <c r="I527" s="38"/>
      <c r="J527" s="38">
        <f>IF(Source!BC173&lt;&gt; 0, Source!BC173, 1)</f>
        <v>6.56</v>
      </c>
      <c r="K527" s="37">
        <f>Source!O173</f>
        <v>0</v>
      </c>
      <c r="L527" s="44"/>
      <c r="S527">
        <f>ROUND((Source!FX173/100)*((ROUND(Source!AF173*Source!I173, 2)+ROUND(Source!AE173*Source!I173, 2))), 2)</f>
        <v>0</v>
      </c>
      <c r="T527">
        <f>Source!X173</f>
        <v>0</v>
      </c>
      <c r="U527">
        <f>ROUND((Source!FY173/100)*((ROUND(Source!AF173*Source!I173, 2)+ROUND(Source!AE173*Source!I173, 2))), 2)</f>
        <v>0</v>
      </c>
      <c r="V527">
        <f>Source!Y173</f>
        <v>0</v>
      </c>
      <c r="W527">
        <f>IF(Source!BI173&lt;=1,H527, 0)</f>
        <v>0</v>
      </c>
      <c r="X527">
        <f>IF(Source!BI173=2,H527, 0)</f>
        <v>0</v>
      </c>
      <c r="Y527">
        <f>IF(Source!BI173=3,H527, 0)</f>
        <v>0</v>
      </c>
      <c r="Z527">
        <f>IF(Source!BI173=4,H527, 0)</f>
        <v>0</v>
      </c>
    </row>
    <row r="528" spans="1:26" ht="15" x14ac:dyDescent="0.25">
      <c r="G528" s="70">
        <f>H520+H521+H523+H524+SUM(H526:H527)</f>
        <v>437.01</v>
      </c>
      <c r="H528" s="70"/>
      <c r="J528" s="70">
        <f>K520+K521+K523+K524+SUM(K526:K527)</f>
        <v>2868.2</v>
      </c>
      <c r="K528" s="70"/>
      <c r="L528" s="40">
        <f>Source!U171</f>
        <v>3.8350200000000001</v>
      </c>
      <c r="O528" s="24">
        <f>G528</f>
        <v>437.01</v>
      </c>
      <c r="P528" s="24">
        <f>J528</f>
        <v>2868.2</v>
      </c>
      <c r="Q528" s="24">
        <f>L528</f>
        <v>3.8350200000000001</v>
      </c>
      <c r="W528">
        <f>IF(Source!BI171&lt;=1,H520+H521+H523+H524, 0)</f>
        <v>101.47</v>
      </c>
      <c r="X528">
        <f>IF(Source!BI171=2,H520+H521+H523+H524, 0)</f>
        <v>0</v>
      </c>
      <c r="Y528">
        <f>IF(Source!BI171=3,H520+H521+H523+H524, 0)</f>
        <v>0</v>
      </c>
      <c r="Z528">
        <f>IF(Source!BI171=4,H520+H521+H523+H524, 0)</f>
        <v>0</v>
      </c>
    </row>
    <row r="529" spans="1:26" ht="28.5" x14ac:dyDescent="0.2">
      <c r="A529" s="45" t="str">
        <f>Source!E174</f>
        <v>48</v>
      </c>
      <c r="B529" s="46" t="str">
        <f>Source!F174</f>
        <v>11-01-049-01</v>
      </c>
      <c r="C529" s="46" t="str">
        <f>Source!G174</f>
        <v>Укладка металлического накладного профиля (порога)</v>
      </c>
      <c r="D529" s="29" t="str">
        <f>Source!H174</f>
        <v>100 м</v>
      </c>
      <c r="E529" s="11">
        <f>Source!I174</f>
        <v>4.1000000000000002E-2</v>
      </c>
      <c r="F529" s="30">
        <f>Source!AL174+Source!AM174+Source!AO174</f>
        <v>225.83</v>
      </c>
      <c r="G529" s="31"/>
      <c r="H529" s="30"/>
      <c r="I529" s="31" t="str">
        <f>Source!BO174</f>
        <v/>
      </c>
      <c r="J529" s="31"/>
      <c r="K529" s="30"/>
      <c r="L529" s="32"/>
      <c r="S529">
        <f>ROUND((Source!FX174/100)*((ROUND(Source!AF174*Source!I174, 2)+ROUND(Source!AE174*Source!I174, 2))), 2)</f>
        <v>7.59</v>
      </c>
      <c r="T529">
        <f>Source!X174</f>
        <v>49.93</v>
      </c>
      <c r="U529">
        <f>ROUND((Source!FY174/100)*((ROUND(Source!AF174*Source!I174, 2)+ROUND(Source!AE174*Source!I174, 2))), 2)</f>
        <v>4.37</v>
      </c>
      <c r="V529">
        <f>Source!Y174</f>
        <v>28.79</v>
      </c>
    </row>
    <row r="530" spans="1:26" x14ac:dyDescent="0.2">
      <c r="C530" s="23" t="str">
        <f>"Объем: "&amp;Source!I174&amp;"=4,1/"&amp;"100"</f>
        <v>Объем: 0,041=4,1/100</v>
      </c>
    </row>
    <row r="531" spans="1:26" ht="14.25" x14ac:dyDescent="0.2">
      <c r="A531" s="45"/>
      <c r="B531" s="46"/>
      <c r="C531" s="46" t="s">
        <v>1636</v>
      </c>
      <c r="D531" s="29"/>
      <c r="E531" s="11"/>
      <c r="F531" s="30">
        <f>Source!AO174</f>
        <v>145.43</v>
      </c>
      <c r="G531" s="31" t="str">
        <f>Source!DG174</f>
        <v>)*1,15</v>
      </c>
      <c r="H531" s="30">
        <f>ROUND(Source!AF174*Source!I174, 2)</f>
        <v>6.86</v>
      </c>
      <c r="I531" s="31"/>
      <c r="J531" s="31">
        <f>IF(Source!BA174&lt;&gt; 0, Source!BA174, 1)</f>
        <v>6.56</v>
      </c>
      <c r="K531" s="30">
        <f>Source!S174</f>
        <v>44.98</v>
      </c>
      <c r="L531" s="32"/>
      <c r="R531">
        <f>H531</f>
        <v>6.86</v>
      </c>
    </row>
    <row r="532" spans="1:26" ht="14.25" x14ac:dyDescent="0.2">
      <c r="A532" s="45"/>
      <c r="B532" s="46"/>
      <c r="C532" s="46" t="s">
        <v>1643</v>
      </c>
      <c r="D532" s="29"/>
      <c r="E532" s="11"/>
      <c r="F532" s="30">
        <f>Source!AL174</f>
        <v>80.400000000000006</v>
      </c>
      <c r="G532" s="31" t="str">
        <f>Source!DD174</f>
        <v/>
      </c>
      <c r="H532" s="30">
        <f>ROUND(Source!AC174*Source!I174, 2)</f>
        <v>3.3</v>
      </c>
      <c r="I532" s="31"/>
      <c r="J532" s="31">
        <f>IF(Source!BC174&lt;&gt; 0, Source!BC174, 1)</f>
        <v>6.56</v>
      </c>
      <c r="K532" s="30">
        <f>Source!P174</f>
        <v>21.62</v>
      </c>
      <c r="L532" s="32"/>
    </row>
    <row r="533" spans="1:26" ht="14.25" x14ac:dyDescent="0.2">
      <c r="A533" s="45"/>
      <c r="B533" s="46"/>
      <c r="C533" s="46" t="s">
        <v>1638</v>
      </c>
      <c r="D533" s="29" t="s">
        <v>1639</v>
      </c>
      <c r="E533" s="11">
        <f>Source!BZ174</f>
        <v>123</v>
      </c>
      <c r="F533" s="71" t="str">
        <f>CONCATENATE(" )", Source!DL174, Source!FT174, "=", Source!FX174)</f>
        <v xml:space="preserve"> )*0,9=110,7</v>
      </c>
      <c r="G533" s="72"/>
      <c r="H533" s="30">
        <f>SUM(S529:S538)</f>
        <v>7.59</v>
      </c>
      <c r="I533" s="34"/>
      <c r="J533" s="27">
        <f>Source!AT174</f>
        <v>111</v>
      </c>
      <c r="K533" s="30">
        <f>SUM(T529:T538)</f>
        <v>49.93</v>
      </c>
      <c r="L533" s="32"/>
    </row>
    <row r="534" spans="1:26" ht="14.25" x14ac:dyDescent="0.2">
      <c r="A534" s="45"/>
      <c r="B534" s="46"/>
      <c r="C534" s="46" t="s">
        <v>1640</v>
      </c>
      <c r="D534" s="29" t="s">
        <v>1639</v>
      </c>
      <c r="E534" s="11">
        <f>Source!CA174</f>
        <v>75</v>
      </c>
      <c r="F534" s="71" t="str">
        <f>CONCATENATE(" )", Source!DM174, Source!FU174, "=", Source!FY174)</f>
        <v xml:space="preserve"> )*0,85=63,75</v>
      </c>
      <c r="G534" s="72"/>
      <c r="H534" s="30">
        <f>SUM(U529:U538)</f>
        <v>4.37</v>
      </c>
      <c r="I534" s="34"/>
      <c r="J534" s="27">
        <f>Source!AU174</f>
        <v>64</v>
      </c>
      <c r="K534" s="30">
        <f>SUM(V529:V538)</f>
        <v>28.79</v>
      </c>
      <c r="L534" s="32"/>
    </row>
    <row r="535" spans="1:26" ht="14.25" x14ac:dyDescent="0.2">
      <c r="A535" s="45"/>
      <c r="B535" s="46"/>
      <c r="C535" s="46" t="s">
        <v>1641</v>
      </c>
      <c r="D535" s="29" t="s">
        <v>1642</v>
      </c>
      <c r="E535" s="11">
        <f>Source!AQ174</f>
        <v>16.64</v>
      </c>
      <c r="F535" s="30"/>
      <c r="G535" s="31" t="str">
        <f>Source!DI174</f>
        <v>)*1,15</v>
      </c>
      <c r="H535" s="30"/>
      <c r="I535" s="31"/>
      <c r="J535" s="31"/>
      <c r="K535" s="30"/>
      <c r="L535" s="41">
        <f>Source!U174</f>
        <v>0.78457600000000005</v>
      </c>
    </row>
    <row r="536" spans="1:26" ht="57" x14ac:dyDescent="0.2">
      <c r="A536" s="45" t="str">
        <f>Source!E175</f>
        <v>48,1</v>
      </c>
      <c r="B536" s="46" t="str">
        <f>Source!F175</f>
        <v>09.2.03.02-0001</v>
      </c>
      <c r="C536" s="46" t="str">
        <f>Source!G175</f>
        <v>Профили стыкоперекрывающие из алюминиевых сплавов (порожки) с покрытием и антискользящей вставкой, шириной 39 мм, длиной 0,9 м</v>
      </c>
      <c r="D536" s="29" t="str">
        <f>Source!H175</f>
        <v>шт.</v>
      </c>
      <c r="E536" s="11">
        <f>Source!I175</f>
        <v>4</v>
      </c>
      <c r="F536" s="30">
        <f>Source!AL175+Source!AM175+Source!AO175</f>
        <v>15.07</v>
      </c>
      <c r="G536" s="42" t="s">
        <v>6</v>
      </c>
      <c r="H536" s="30">
        <f>ROUND(Source!AC175*Source!I175, 2)+ROUND(Source!AD175*Source!I175, 2)+ROUND(Source!AF175*Source!I175, 2)</f>
        <v>60.28</v>
      </c>
      <c r="I536" s="31"/>
      <c r="J536" s="31">
        <f>IF(Source!BC175&lt;&gt; 0, Source!BC175, 1)</f>
        <v>6.56</v>
      </c>
      <c r="K536" s="30">
        <f>Source!O175</f>
        <v>395.44</v>
      </c>
      <c r="L536" s="32"/>
      <c r="S536">
        <f>ROUND((Source!FX175/100)*((ROUND(Source!AF175*Source!I175, 2)+ROUND(Source!AE175*Source!I175, 2))), 2)</f>
        <v>0</v>
      </c>
      <c r="T536">
        <f>Source!X175</f>
        <v>0</v>
      </c>
      <c r="U536">
        <f>ROUND((Source!FY175/100)*((ROUND(Source!AF175*Source!I175, 2)+ROUND(Source!AE175*Source!I175, 2))), 2)</f>
        <v>0</v>
      </c>
      <c r="V536">
        <f>Source!Y175</f>
        <v>0</v>
      </c>
      <c r="W536">
        <f>IF(Source!BI175&lt;=1,H536, 0)</f>
        <v>60.28</v>
      </c>
      <c r="X536">
        <f>IF(Source!BI175=2,H536, 0)</f>
        <v>0</v>
      </c>
      <c r="Y536">
        <f>IF(Source!BI175=3,H536, 0)</f>
        <v>0</v>
      </c>
      <c r="Z536">
        <f>IF(Source!BI175=4,H536, 0)</f>
        <v>0</v>
      </c>
    </row>
    <row r="537" spans="1:26" ht="57" x14ac:dyDescent="0.2">
      <c r="A537" s="45" t="str">
        <f>Source!E176</f>
        <v>48,2</v>
      </c>
      <c r="B537" s="46" t="str">
        <f>Source!F176</f>
        <v>09.2.03.02-0002</v>
      </c>
      <c r="C537" s="46" t="str">
        <f>Source!G176</f>
        <v>Профили стыкоперекрывающие из алюминиевых сплавов (порожки) с покрытием и антискользящей вставкой, шириной 39 мм, длиной 1,8 м</v>
      </c>
      <c r="D537" s="29" t="str">
        <f>Source!H176</f>
        <v>шт.</v>
      </c>
      <c r="E537" s="11">
        <f>Source!I176</f>
        <v>1</v>
      </c>
      <c r="F537" s="30">
        <f>Source!AL176+Source!AM176+Source!AO176</f>
        <v>31.28</v>
      </c>
      <c r="G537" s="42" t="s">
        <v>6</v>
      </c>
      <c r="H537" s="30">
        <f>ROUND(Source!AC176*Source!I176, 2)+ROUND(Source!AD176*Source!I176, 2)+ROUND(Source!AF176*Source!I176, 2)</f>
        <v>31.28</v>
      </c>
      <c r="I537" s="31"/>
      <c r="J537" s="31">
        <f>IF(Source!BC176&lt;&gt; 0, Source!BC176, 1)</f>
        <v>6.56</v>
      </c>
      <c r="K537" s="30">
        <f>Source!O176</f>
        <v>205.2</v>
      </c>
      <c r="L537" s="32"/>
      <c r="S537">
        <f>ROUND((Source!FX176/100)*((ROUND(Source!AF176*Source!I176, 2)+ROUND(Source!AE176*Source!I176, 2))), 2)</f>
        <v>0</v>
      </c>
      <c r="T537">
        <f>Source!X176</f>
        <v>0</v>
      </c>
      <c r="U537">
        <f>ROUND((Source!FY176/100)*((ROUND(Source!AF176*Source!I176, 2)+ROUND(Source!AE176*Source!I176, 2))), 2)</f>
        <v>0</v>
      </c>
      <c r="V537">
        <f>Source!Y176</f>
        <v>0</v>
      </c>
      <c r="W537">
        <f>IF(Source!BI176&lt;=1,H537, 0)</f>
        <v>31.28</v>
      </c>
      <c r="X537">
        <f>IF(Source!BI176=2,H537, 0)</f>
        <v>0</v>
      </c>
      <c r="Y537">
        <f>IF(Source!BI176=3,H537, 0)</f>
        <v>0</v>
      </c>
      <c r="Z537">
        <f>IF(Source!BI176=4,H537, 0)</f>
        <v>0</v>
      </c>
    </row>
    <row r="538" spans="1:26" ht="42.75" x14ac:dyDescent="0.2">
      <c r="A538" s="47" t="str">
        <f>Source!E177</f>
        <v>48,3</v>
      </c>
      <c r="B538" s="48" t="str">
        <f>Source!F177</f>
        <v>09.2.03.02</v>
      </c>
      <c r="C538" s="48" t="str">
        <f>Source!G177</f>
        <v>Профили стыкоперекрывающие из алюминиевых сплавов (порожки) с покрытием</v>
      </c>
      <c r="D538" s="35" t="str">
        <f>Source!H177</f>
        <v>м</v>
      </c>
      <c r="E538" s="36">
        <f>Source!I177</f>
        <v>4.3049999999999997</v>
      </c>
      <c r="F538" s="37">
        <f>Source!AL177+Source!AM177+Source!AO177</f>
        <v>0</v>
      </c>
      <c r="G538" s="43" t="s">
        <v>6</v>
      </c>
      <c r="H538" s="37">
        <f>ROUND(Source!AC177*Source!I177, 2)+ROUND(Source!AD177*Source!I177, 2)+ROUND(Source!AF177*Source!I177, 2)</f>
        <v>0</v>
      </c>
      <c r="I538" s="38"/>
      <c r="J538" s="38">
        <f>IF(Source!BC177&lt;&gt; 0, Source!BC177, 1)</f>
        <v>6.56</v>
      </c>
      <c r="K538" s="37">
        <f>Source!O177</f>
        <v>0</v>
      </c>
      <c r="L538" s="44"/>
      <c r="S538">
        <f>ROUND((Source!FX177/100)*((ROUND(Source!AF177*Source!I177, 2)+ROUND(Source!AE177*Source!I177, 2))), 2)</f>
        <v>0</v>
      </c>
      <c r="T538">
        <f>Source!X177</f>
        <v>0</v>
      </c>
      <c r="U538">
        <f>ROUND((Source!FY177/100)*((ROUND(Source!AF177*Source!I177, 2)+ROUND(Source!AE177*Source!I177, 2))), 2)</f>
        <v>0</v>
      </c>
      <c r="V538">
        <f>Source!Y177</f>
        <v>0</v>
      </c>
      <c r="W538">
        <f>IF(Source!BI177&lt;=1,H538, 0)</f>
        <v>0</v>
      </c>
      <c r="X538">
        <f>IF(Source!BI177=2,H538, 0)</f>
        <v>0</v>
      </c>
      <c r="Y538">
        <f>IF(Source!BI177=3,H538, 0)</f>
        <v>0</v>
      </c>
      <c r="Z538">
        <f>IF(Source!BI177=4,H538, 0)</f>
        <v>0</v>
      </c>
    </row>
    <row r="539" spans="1:26" ht="15" x14ac:dyDescent="0.25">
      <c r="G539" s="70">
        <f>H531+H532+H533+H534+SUM(H536:H538)</f>
        <v>113.68</v>
      </c>
      <c r="H539" s="70"/>
      <c r="J539" s="70">
        <f>K531+K532+K533+K534+SUM(K536:K538)</f>
        <v>745.96</v>
      </c>
      <c r="K539" s="70"/>
      <c r="L539" s="40">
        <f>Source!U174</f>
        <v>0.78457600000000005</v>
      </c>
      <c r="O539" s="24">
        <f>G539</f>
        <v>113.68</v>
      </c>
      <c r="P539" s="24">
        <f>J539</f>
        <v>745.96</v>
      </c>
      <c r="Q539" s="24">
        <f>L539</f>
        <v>0.78457600000000005</v>
      </c>
      <c r="W539">
        <f>IF(Source!BI174&lt;=1,H531+H532+H533+H534, 0)</f>
        <v>22.12</v>
      </c>
      <c r="X539">
        <f>IF(Source!BI174=2,H531+H532+H533+H534, 0)</f>
        <v>0</v>
      </c>
      <c r="Y539">
        <f>IF(Source!BI174=3,H531+H532+H533+H534, 0)</f>
        <v>0</v>
      </c>
      <c r="Z539">
        <f>IF(Source!BI174=4,H531+H532+H533+H534, 0)</f>
        <v>0</v>
      </c>
    </row>
    <row r="540" spans="1:26" ht="42.75" x14ac:dyDescent="0.2">
      <c r="A540" s="45" t="str">
        <f>Source!E178</f>
        <v>49</v>
      </c>
      <c r="B540" s="46" t="str">
        <f>Source!F178</f>
        <v>15-01-047-15</v>
      </c>
      <c r="C540" s="46" t="str">
        <f>Source!G178</f>
        <v>Устройство подвесных потолков типа &lt;Армстронг&gt; по каркасу из оцинкованного профиля</v>
      </c>
      <c r="D540" s="29" t="str">
        <f>Source!H178</f>
        <v>100 м2</v>
      </c>
      <c r="E540" s="11">
        <f>Source!I178</f>
        <v>1.24</v>
      </c>
      <c r="F540" s="30">
        <f>Source!AL178+Source!AM178+Source!AO178</f>
        <v>6623.23</v>
      </c>
      <c r="G540" s="31"/>
      <c r="H540" s="30"/>
      <c r="I540" s="31" t="str">
        <f>Source!BO178</f>
        <v/>
      </c>
      <c r="J540" s="31"/>
      <c r="K540" s="30"/>
      <c r="L540" s="32"/>
      <c r="S540">
        <f>ROUND((Source!FX178/100)*((ROUND(Source!AF178*Source!I178, 2)+ROUND(Source!AE178*Source!I178, 2))), 2)</f>
        <v>1390.73</v>
      </c>
      <c r="T540">
        <f>Source!X178</f>
        <v>9171.44</v>
      </c>
      <c r="U540">
        <f>ROUND((Source!FY178/100)*((ROUND(Source!AF178*Source!I178, 2)+ROUND(Source!AE178*Source!I178, 2))), 2)</f>
        <v>688.01</v>
      </c>
      <c r="V540">
        <f>Source!Y178</f>
        <v>4537.45</v>
      </c>
    </row>
    <row r="541" spans="1:26" x14ac:dyDescent="0.2">
      <c r="C541" s="23" t="str">
        <f>"Объем: "&amp;Source!I178&amp;"=124/"&amp;"100"</f>
        <v>Объем: 1,24=124/100</v>
      </c>
    </row>
    <row r="542" spans="1:26" ht="14.25" x14ac:dyDescent="0.2">
      <c r="A542" s="45"/>
      <c r="B542" s="46"/>
      <c r="C542" s="46" t="s">
        <v>1636</v>
      </c>
      <c r="D542" s="29"/>
      <c r="E542" s="11"/>
      <c r="F542" s="30">
        <f>Source!AO178</f>
        <v>963.12</v>
      </c>
      <c r="G542" s="31" t="str">
        <f>Source!DG178</f>
        <v>)*1,15</v>
      </c>
      <c r="H542" s="30">
        <f>ROUND(Source!AF178*Source!I178, 2)</f>
        <v>1373.41</v>
      </c>
      <c r="I542" s="31"/>
      <c r="J542" s="31">
        <f>IF(Source!BA178&lt;&gt; 0, Source!BA178, 1)</f>
        <v>6.56</v>
      </c>
      <c r="K542" s="30">
        <f>Source!S178</f>
        <v>9009.58</v>
      </c>
      <c r="L542" s="32"/>
      <c r="R542">
        <f>H542</f>
        <v>1373.41</v>
      </c>
    </row>
    <row r="543" spans="1:26" ht="14.25" x14ac:dyDescent="0.2">
      <c r="A543" s="45"/>
      <c r="B543" s="46"/>
      <c r="C543" s="46" t="s">
        <v>136</v>
      </c>
      <c r="D543" s="29"/>
      <c r="E543" s="11"/>
      <c r="F543" s="30">
        <f>Source!AM178</f>
        <v>324.70999999999998</v>
      </c>
      <c r="G543" s="31" t="str">
        <f>Source!DE178</f>
        <v>)*1,25</v>
      </c>
      <c r="H543" s="30">
        <f>ROUND(Source!AD178*Source!I178, 2)</f>
        <v>503.3</v>
      </c>
      <c r="I543" s="31"/>
      <c r="J543" s="31">
        <f>IF(Source!BB178&lt;&gt; 0, Source!BB178, 1)</f>
        <v>6.56</v>
      </c>
      <c r="K543" s="30">
        <f>Source!Q178</f>
        <v>3301.67</v>
      </c>
      <c r="L543" s="32"/>
    </row>
    <row r="544" spans="1:26" ht="14.25" x14ac:dyDescent="0.2">
      <c r="A544" s="45"/>
      <c r="B544" s="46"/>
      <c r="C544" s="46" t="s">
        <v>1637</v>
      </c>
      <c r="D544" s="29"/>
      <c r="E544" s="11"/>
      <c r="F544" s="30">
        <f>Source!AN178</f>
        <v>63.39</v>
      </c>
      <c r="G544" s="31" t="str">
        <f>Source!DF178</f>
        <v>)*1,25</v>
      </c>
      <c r="H544" s="33">
        <f>ROUND(Source!AE178*Source!I178, 2)</f>
        <v>98.26</v>
      </c>
      <c r="I544" s="31"/>
      <c r="J544" s="31">
        <f>IF(Source!BS178&lt;&gt; 0, Source!BS178, 1)</f>
        <v>6.56</v>
      </c>
      <c r="K544" s="33">
        <f>Source!R178</f>
        <v>644.57000000000005</v>
      </c>
      <c r="L544" s="32"/>
      <c r="R544">
        <f>H544</f>
        <v>98.26</v>
      </c>
    </row>
    <row r="545" spans="1:26" ht="14.25" x14ac:dyDescent="0.2">
      <c r="A545" s="45"/>
      <c r="B545" s="46"/>
      <c r="C545" s="46" t="s">
        <v>1643</v>
      </c>
      <c r="D545" s="29"/>
      <c r="E545" s="11"/>
      <c r="F545" s="30">
        <f>Source!AL178</f>
        <v>5335.4</v>
      </c>
      <c r="G545" s="31" t="str">
        <f>Source!DD178</f>
        <v/>
      </c>
      <c r="H545" s="30">
        <f>ROUND(Source!AC178*Source!I178, 2)</f>
        <v>6615.9</v>
      </c>
      <c r="I545" s="31"/>
      <c r="J545" s="31">
        <f>IF(Source!BC178&lt;&gt; 0, Source!BC178, 1)</f>
        <v>6.56</v>
      </c>
      <c r="K545" s="30">
        <f>Source!P178</f>
        <v>43400.28</v>
      </c>
      <c r="L545" s="32"/>
    </row>
    <row r="546" spans="1:26" ht="14.25" x14ac:dyDescent="0.2">
      <c r="A546" s="45"/>
      <c r="B546" s="46"/>
      <c r="C546" s="46" t="s">
        <v>1638</v>
      </c>
      <c r="D546" s="29" t="s">
        <v>1639</v>
      </c>
      <c r="E546" s="11">
        <f>Source!BZ178</f>
        <v>105</v>
      </c>
      <c r="F546" s="71" t="str">
        <f>CONCATENATE(" )", Source!DL178, Source!FT178, "=", Source!FX178)</f>
        <v xml:space="preserve"> )*0,9=94,5</v>
      </c>
      <c r="G546" s="72"/>
      <c r="H546" s="30">
        <f>SUM(S540:S548)</f>
        <v>1390.73</v>
      </c>
      <c r="I546" s="34"/>
      <c r="J546" s="27">
        <f>Source!AT178</f>
        <v>95</v>
      </c>
      <c r="K546" s="30">
        <f>SUM(T540:T548)</f>
        <v>9171.44</v>
      </c>
      <c r="L546" s="32"/>
    </row>
    <row r="547" spans="1:26" ht="14.25" x14ac:dyDescent="0.2">
      <c r="A547" s="45"/>
      <c r="B547" s="46"/>
      <c r="C547" s="46" t="s">
        <v>1640</v>
      </c>
      <c r="D547" s="29" t="s">
        <v>1639</v>
      </c>
      <c r="E547" s="11">
        <f>Source!CA178</f>
        <v>55</v>
      </c>
      <c r="F547" s="71" t="str">
        <f>CONCATENATE(" )", Source!DM178, Source!FU178, "=", Source!FY178)</f>
        <v xml:space="preserve"> )*0,85=46,75</v>
      </c>
      <c r="G547" s="72"/>
      <c r="H547" s="30">
        <f>SUM(U540:U548)</f>
        <v>688.01</v>
      </c>
      <c r="I547" s="34"/>
      <c r="J547" s="27">
        <f>Source!AU178</f>
        <v>47</v>
      </c>
      <c r="K547" s="30">
        <f>SUM(V540:V548)</f>
        <v>4537.45</v>
      </c>
      <c r="L547" s="32"/>
    </row>
    <row r="548" spans="1:26" ht="14.25" x14ac:dyDescent="0.2">
      <c r="A548" s="47"/>
      <c r="B548" s="48"/>
      <c r="C548" s="48" t="s">
        <v>1641</v>
      </c>
      <c r="D548" s="35" t="s">
        <v>1642</v>
      </c>
      <c r="E548" s="36">
        <f>Source!AQ178</f>
        <v>102.46</v>
      </c>
      <c r="F548" s="37"/>
      <c r="G548" s="38" t="str">
        <f>Source!DI178</f>
        <v>)*1,15</v>
      </c>
      <c r="H548" s="37"/>
      <c r="I548" s="38"/>
      <c r="J548" s="38"/>
      <c r="K548" s="37"/>
      <c r="L548" s="39">
        <f>Source!U178</f>
        <v>146.10795999999996</v>
      </c>
    </row>
    <row r="549" spans="1:26" ht="15" x14ac:dyDescent="0.25">
      <c r="G549" s="70">
        <f>H542+H543+H545+H546+H547</f>
        <v>10571.35</v>
      </c>
      <c r="H549" s="70"/>
      <c r="J549" s="70">
        <f>K542+K543+K545+K546+K547</f>
        <v>69420.42</v>
      </c>
      <c r="K549" s="70"/>
      <c r="L549" s="40">
        <f>Source!U178</f>
        <v>146.10795999999996</v>
      </c>
      <c r="O549" s="24">
        <f>G549</f>
        <v>10571.35</v>
      </c>
      <c r="P549" s="24">
        <f>J549</f>
        <v>69420.42</v>
      </c>
      <c r="Q549" s="24">
        <f>L549</f>
        <v>146.10795999999996</v>
      </c>
      <c r="W549">
        <f>IF(Source!BI178&lt;=1,H542+H543+H545+H546+H547, 0)</f>
        <v>10571.35</v>
      </c>
      <c r="X549">
        <f>IF(Source!BI178=2,H542+H543+H545+H546+H547, 0)</f>
        <v>0</v>
      </c>
      <c r="Y549">
        <f>IF(Source!BI178=3,H542+H543+H545+H546+H547, 0)</f>
        <v>0</v>
      </c>
      <c r="Z549">
        <f>IF(Source!BI178=4,H542+H543+H545+H546+H547, 0)</f>
        <v>0</v>
      </c>
    </row>
    <row r="550" spans="1:26" ht="28.5" x14ac:dyDescent="0.2">
      <c r="A550" s="45" t="str">
        <f>Source!E179</f>
        <v>50</v>
      </c>
      <c r="B550" s="46" t="str">
        <f>Source!F179</f>
        <v>15-01-047-16</v>
      </c>
      <c r="C550" s="46" t="str">
        <f>Source!G179</f>
        <v>Устройство потолков реечных алюминиевых прим.</v>
      </c>
      <c r="D550" s="29" t="str">
        <f>Source!H179</f>
        <v>100 м2</v>
      </c>
      <c r="E550" s="11">
        <f>Source!I179</f>
        <v>0.114</v>
      </c>
      <c r="F550" s="30">
        <f>Source!AL179+Source!AM179+Source!AO179</f>
        <v>29416.260000000002</v>
      </c>
      <c r="G550" s="31"/>
      <c r="H550" s="30"/>
      <c r="I550" s="31" t="str">
        <f>Source!BO179</f>
        <v/>
      </c>
      <c r="J550" s="31"/>
      <c r="K550" s="30"/>
      <c r="L550" s="32"/>
      <c r="S550">
        <f>ROUND((Source!FX179/100)*((ROUND(Source!AF179*Source!I179, 2)+ROUND(Source!AE179*Source!I179, 2))), 2)</f>
        <v>126.87</v>
      </c>
      <c r="T550">
        <f>Source!X179</f>
        <v>836.64</v>
      </c>
      <c r="U550">
        <f>ROUND((Source!FY179/100)*((ROUND(Source!AF179*Source!I179, 2)+ROUND(Source!AE179*Source!I179, 2))), 2)</f>
        <v>62.76</v>
      </c>
      <c r="V550">
        <f>Source!Y179</f>
        <v>413.91</v>
      </c>
    </row>
    <row r="551" spans="1:26" x14ac:dyDescent="0.2">
      <c r="C551" s="23" t="str">
        <f>"Объем: "&amp;Source!I179&amp;"=11,4/"&amp;"100"</f>
        <v>Объем: 0,114=11,4/100</v>
      </c>
    </row>
    <row r="552" spans="1:26" ht="14.25" x14ac:dyDescent="0.2">
      <c r="A552" s="45"/>
      <c r="B552" s="46"/>
      <c r="C552" s="46" t="s">
        <v>1636</v>
      </c>
      <c r="D552" s="29"/>
      <c r="E552" s="11"/>
      <c r="F552" s="30">
        <f>Source!AO179</f>
        <v>1018.58</v>
      </c>
      <c r="G552" s="31" t="str">
        <f>Source!DG179</f>
        <v>)*1,15</v>
      </c>
      <c r="H552" s="30">
        <f>ROUND(Source!AF179*Source!I179, 2)</f>
        <v>133.54</v>
      </c>
      <c r="I552" s="31"/>
      <c r="J552" s="31">
        <f>IF(Source!BA179&lt;&gt; 0, Source!BA179, 1)</f>
        <v>6.56</v>
      </c>
      <c r="K552" s="30">
        <f>Source!S179</f>
        <v>876</v>
      </c>
      <c r="L552" s="32"/>
      <c r="R552">
        <f>H552</f>
        <v>133.54</v>
      </c>
    </row>
    <row r="553" spans="1:26" ht="14.25" x14ac:dyDescent="0.2">
      <c r="A553" s="45"/>
      <c r="B553" s="46"/>
      <c r="C553" s="46" t="s">
        <v>136</v>
      </c>
      <c r="D553" s="29"/>
      <c r="E553" s="11"/>
      <c r="F553" s="30">
        <f>Source!AM179</f>
        <v>148.97999999999999</v>
      </c>
      <c r="G553" s="31" t="str">
        <f>Source!DE179</f>
        <v>)*1,25</v>
      </c>
      <c r="H553" s="30">
        <f>ROUND(Source!AD179*Source!I179, 2)</f>
        <v>21.23</v>
      </c>
      <c r="I553" s="31"/>
      <c r="J553" s="31">
        <f>IF(Source!BB179&lt;&gt; 0, Source!BB179, 1)</f>
        <v>6.56</v>
      </c>
      <c r="K553" s="30">
        <f>Source!Q179</f>
        <v>139.27000000000001</v>
      </c>
      <c r="L553" s="32"/>
    </row>
    <row r="554" spans="1:26" ht="14.25" x14ac:dyDescent="0.2">
      <c r="A554" s="45"/>
      <c r="B554" s="46"/>
      <c r="C554" s="46" t="s">
        <v>1637</v>
      </c>
      <c r="D554" s="29"/>
      <c r="E554" s="11"/>
      <c r="F554" s="30">
        <f>Source!AN179</f>
        <v>5</v>
      </c>
      <c r="G554" s="31" t="str">
        <f>Source!DF179</f>
        <v>)*1,25</v>
      </c>
      <c r="H554" s="33">
        <f>ROUND(Source!AE179*Source!I179, 2)</f>
        <v>0.71</v>
      </c>
      <c r="I554" s="31"/>
      <c r="J554" s="31">
        <f>IF(Source!BS179&lt;&gt; 0, Source!BS179, 1)</f>
        <v>6.56</v>
      </c>
      <c r="K554" s="33">
        <f>Source!R179</f>
        <v>4.67</v>
      </c>
      <c r="L554" s="32"/>
      <c r="R554">
        <f>H554</f>
        <v>0.71</v>
      </c>
    </row>
    <row r="555" spans="1:26" ht="14.25" x14ac:dyDescent="0.2">
      <c r="A555" s="45"/>
      <c r="B555" s="46"/>
      <c r="C555" s="46" t="s">
        <v>1643</v>
      </c>
      <c r="D555" s="29"/>
      <c r="E555" s="11"/>
      <c r="F555" s="30">
        <f>Source!AL179</f>
        <v>28248.7</v>
      </c>
      <c r="G555" s="31" t="str">
        <f>Source!DD179</f>
        <v/>
      </c>
      <c r="H555" s="30">
        <f>ROUND(Source!AC179*Source!I179, 2)</f>
        <v>3220.35</v>
      </c>
      <c r="I555" s="31"/>
      <c r="J555" s="31">
        <f>IF(Source!BC179&lt;&gt; 0, Source!BC179, 1)</f>
        <v>6.56</v>
      </c>
      <c r="K555" s="30">
        <f>Source!P179</f>
        <v>21125.51</v>
      </c>
      <c r="L555" s="32"/>
    </row>
    <row r="556" spans="1:26" ht="14.25" x14ac:dyDescent="0.2">
      <c r="A556" s="45"/>
      <c r="B556" s="46"/>
      <c r="C556" s="46" t="s">
        <v>1638</v>
      </c>
      <c r="D556" s="29" t="s">
        <v>1639</v>
      </c>
      <c r="E556" s="11">
        <f>Source!BZ179</f>
        <v>105</v>
      </c>
      <c r="F556" s="71" t="str">
        <f>CONCATENATE(" )", Source!DL179, Source!FT179, "=", Source!FX179)</f>
        <v xml:space="preserve"> )*0,9=94,5</v>
      </c>
      <c r="G556" s="72"/>
      <c r="H556" s="30">
        <f>SUM(S550:S561)</f>
        <v>126.87</v>
      </c>
      <c r="I556" s="34"/>
      <c r="J556" s="27">
        <f>Source!AT179</f>
        <v>95</v>
      </c>
      <c r="K556" s="30">
        <f>SUM(T550:T561)</f>
        <v>836.64</v>
      </c>
      <c r="L556" s="32"/>
    </row>
    <row r="557" spans="1:26" ht="14.25" x14ac:dyDescent="0.2">
      <c r="A557" s="45"/>
      <c r="B557" s="46"/>
      <c r="C557" s="46" t="s">
        <v>1640</v>
      </c>
      <c r="D557" s="29" t="s">
        <v>1639</v>
      </c>
      <c r="E557" s="11">
        <f>Source!CA179</f>
        <v>55</v>
      </c>
      <c r="F557" s="71" t="str">
        <f>CONCATENATE(" )", Source!DM179, Source!FU179, "=", Source!FY179)</f>
        <v xml:space="preserve"> )*0,85=46,75</v>
      </c>
      <c r="G557" s="72"/>
      <c r="H557" s="30">
        <f>SUM(U550:U561)</f>
        <v>62.76</v>
      </c>
      <c r="I557" s="34"/>
      <c r="J557" s="27">
        <f>Source!AU179</f>
        <v>47</v>
      </c>
      <c r="K557" s="30">
        <f>SUM(V550:V561)</f>
        <v>413.91</v>
      </c>
      <c r="L557" s="32"/>
    </row>
    <row r="558" spans="1:26" ht="14.25" x14ac:dyDescent="0.2">
      <c r="A558" s="45"/>
      <c r="B558" s="46"/>
      <c r="C558" s="46" t="s">
        <v>1641</v>
      </c>
      <c r="D558" s="29" t="s">
        <v>1642</v>
      </c>
      <c r="E558" s="11">
        <f>Source!AQ179</f>
        <v>108.36</v>
      </c>
      <c r="F558" s="30"/>
      <c r="G558" s="31" t="str">
        <f>Source!DI179</f>
        <v>)*1,15</v>
      </c>
      <c r="H558" s="30"/>
      <c r="I558" s="31"/>
      <c r="J558" s="31"/>
      <c r="K558" s="30"/>
      <c r="L558" s="41">
        <f>Source!U179</f>
        <v>14.205995999999999</v>
      </c>
    </row>
    <row r="559" spans="1:26" ht="28.5" x14ac:dyDescent="0.2">
      <c r="A559" s="45" t="str">
        <f>Source!E180</f>
        <v>50,1</v>
      </c>
      <c r="B559" s="46" t="str">
        <f>Source!F180</f>
        <v>09.2.01.05-0091</v>
      </c>
      <c r="C559" s="46" t="str">
        <f>Source!G180</f>
        <v>Уголок декоративный (пристенный)</v>
      </c>
      <c r="D559" s="29" t="str">
        <f>Source!H180</f>
        <v>м</v>
      </c>
      <c r="E559" s="11">
        <f>Source!I180</f>
        <v>6.5068489999999999</v>
      </c>
      <c r="F559" s="30">
        <f>Source!AL180+Source!AM180+Source!AO180</f>
        <v>6.28</v>
      </c>
      <c r="G559" s="42" t="s">
        <v>6</v>
      </c>
      <c r="H559" s="30">
        <f>ROUND(Source!AC180*Source!I180, 2)+ROUND(Source!AD180*Source!I180, 2)+ROUND(Source!AF180*Source!I180, 2)</f>
        <v>40.86</v>
      </c>
      <c r="I559" s="31"/>
      <c r="J559" s="31">
        <f>IF(Source!BC180&lt;&gt; 0, Source!BC180, 1)</f>
        <v>6.56</v>
      </c>
      <c r="K559" s="30">
        <f>Source!O180</f>
        <v>268.06</v>
      </c>
      <c r="L559" s="32"/>
      <c r="S559">
        <f>ROUND((Source!FX180/100)*((ROUND(Source!AF180*Source!I180, 2)+ROUND(Source!AE180*Source!I180, 2))), 2)</f>
        <v>0</v>
      </c>
      <c r="T559">
        <f>Source!X180</f>
        <v>0</v>
      </c>
      <c r="U559">
        <f>ROUND((Source!FY180/100)*((ROUND(Source!AF180*Source!I180, 2)+ROUND(Source!AE180*Source!I180, 2))), 2)</f>
        <v>0</v>
      </c>
      <c r="V559">
        <f>Source!Y180</f>
        <v>0</v>
      </c>
      <c r="W559">
        <f>IF(Source!BI180&lt;=1,H559, 0)</f>
        <v>40.86</v>
      </c>
      <c r="X559">
        <f>IF(Source!BI180=2,H559, 0)</f>
        <v>0</v>
      </c>
      <c r="Y559">
        <f>IF(Source!BI180=3,H559, 0)</f>
        <v>0</v>
      </c>
      <c r="Z559">
        <f>IF(Source!BI180=4,H559, 0)</f>
        <v>0</v>
      </c>
    </row>
    <row r="560" spans="1:26" ht="28.5" x14ac:dyDescent="0.2">
      <c r="A560" s="45" t="str">
        <f>Source!E181</f>
        <v>50,2</v>
      </c>
      <c r="B560" s="46" t="str">
        <f>Source!F181</f>
        <v>09.2.02.02-0011</v>
      </c>
      <c r="C560" s="46" t="str">
        <f>Source!G181</f>
        <v>Рейка алюминиевая потолочная 100 мм</v>
      </c>
      <c r="D560" s="29" t="str">
        <f>Source!H181</f>
        <v>м</v>
      </c>
      <c r="E560" s="11">
        <f>Source!I181</f>
        <v>-119.7</v>
      </c>
      <c r="F560" s="30">
        <f>Source!AL181+Source!AM181+Source!AO181</f>
        <v>24.71</v>
      </c>
      <c r="G560" s="42" t="s">
        <v>6</v>
      </c>
      <c r="H560" s="30">
        <f>ROUND(Source!AC181*Source!I181, 2)+ROUND(Source!AD181*Source!I181, 2)+ROUND(Source!AF181*Source!I181, 2)</f>
        <v>-2957.79</v>
      </c>
      <c r="I560" s="31"/>
      <c r="J560" s="31">
        <f>IF(Source!BC181&lt;&gt; 0, Source!BC181, 1)</f>
        <v>6.56</v>
      </c>
      <c r="K560" s="30">
        <f>Source!O181</f>
        <v>-19403.080000000002</v>
      </c>
      <c r="L560" s="32"/>
      <c r="S560">
        <f>ROUND((Source!FX181/100)*((ROUND(Source!AF181*Source!I181, 2)+ROUND(Source!AE181*Source!I181, 2))), 2)</f>
        <v>0</v>
      </c>
      <c r="T560">
        <f>Source!X181</f>
        <v>0</v>
      </c>
      <c r="U560">
        <f>ROUND((Source!FY181/100)*((ROUND(Source!AF181*Source!I181, 2)+ROUND(Source!AE181*Source!I181, 2))), 2)</f>
        <v>0</v>
      </c>
      <c r="V560">
        <f>Source!Y181</f>
        <v>0</v>
      </c>
      <c r="W560">
        <f>IF(Source!BI181&lt;=1,H560, 0)</f>
        <v>-2957.79</v>
      </c>
      <c r="X560">
        <f>IF(Source!BI181=2,H560, 0)</f>
        <v>0</v>
      </c>
      <c r="Y560">
        <f>IF(Source!BI181=3,H560, 0)</f>
        <v>0</v>
      </c>
      <c r="Z560">
        <f>IF(Source!BI181=4,H560, 0)</f>
        <v>0</v>
      </c>
    </row>
    <row r="561" spans="1:26" ht="28.5" x14ac:dyDescent="0.2">
      <c r="A561" s="47" t="str">
        <f>Source!E182</f>
        <v>50,3</v>
      </c>
      <c r="B561" s="48" t="str">
        <f>Source!F182</f>
        <v>09.2.02.02-0010</v>
      </c>
      <c r="C561" s="48" t="str">
        <f>Source!G182</f>
        <v>Комплекты элементов потолков реечных "Албест" АР 600А 6/45  прим.</v>
      </c>
      <c r="D561" s="35" t="str">
        <f>Source!H182</f>
        <v>100 м2</v>
      </c>
      <c r="E561" s="36">
        <f>Source!I182</f>
        <v>0.114</v>
      </c>
      <c r="F561" s="37">
        <f>Source!AL182+Source!AM182+Source!AO182</f>
        <v>16943</v>
      </c>
      <c r="G561" s="43" t="s">
        <v>6</v>
      </c>
      <c r="H561" s="37">
        <f>ROUND(Source!AC182*Source!I182, 2)+ROUND(Source!AD182*Source!I182, 2)+ROUND(Source!AF182*Source!I182, 2)</f>
        <v>1931.5</v>
      </c>
      <c r="I561" s="38"/>
      <c r="J561" s="38">
        <f>IF(Source!BC182&lt;&gt; 0, Source!BC182, 1)</f>
        <v>6.56</v>
      </c>
      <c r="K561" s="37">
        <f>Source!O182</f>
        <v>12670.65</v>
      </c>
      <c r="L561" s="44"/>
      <c r="S561">
        <f>ROUND((Source!FX182/100)*((ROUND(Source!AF182*Source!I182, 2)+ROUND(Source!AE182*Source!I182, 2))), 2)</f>
        <v>0</v>
      </c>
      <c r="T561">
        <f>Source!X182</f>
        <v>0</v>
      </c>
      <c r="U561">
        <f>ROUND((Source!FY182/100)*((ROUND(Source!AF182*Source!I182, 2)+ROUND(Source!AE182*Source!I182, 2))), 2)</f>
        <v>0</v>
      </c>
      <c r="V561">
        <f>Source!Y182</f>
        <v>0</v>
      </c>
      <c r="W561">
        <f>IF(Source!BI182&lt;=1,H561, 0)</f>
        <v>1931.5</v>
      </c>
      <c r="X561">
        <f>IF(Source!BI182=2,H561, 0)</f>
        <v>0</v>
      </c>
      <c r="Y561">
        <f>IF(Source!BI182=3,H561, 0)</f>
        <v>0</v>
      </c>
      <c r="Z561">
        <f>IF(Source!BI182=4,H561, 0)</f>
        <v>0</v>
      </c>
    </row>
    <row r="562" spans="1:26" ht="15" x14ac:dyDescent="0.25">
      <c r="G562" s="70">
        <f>H552+H553+H555+H556+H557+SUM(H559:H561)</f>
        <v>2579.3200000000002</v>
      </c>
      <c r="H562" s="70"/>
      <c r="J562" s="70">
        <f>K552+K553+K555+K556+K557+SUM(K559:K561)</f>
        <v>16926.96</v>
      </c>
      <c r="K562" s="70"/>
      <c r="L562" s="40">
        <f>Source!U179</f>
        <v>14.205995999999999</v>
      </c>
      <c r="O562" s="24">
        <f>G562</f>
        <v>2579.3200000000002</v>
      </c>
      <c r="P562" s="24">
        <f>J562</f>
        <v>16926.96</v>
      </c>
      <c r="Q562" s="24">
        <f>L562</f>
        <v>14.205995999999999</v>
      </c>
      <c r="W562">
        <f>IF(Source!BI179&lt;=1,H552+H553+H555+H556+H557, 0)</f>
        <v>3564.75</v>
      </c>
      <c r="X562">
        <f>IF(Source!BI179=2,H552+H553+H555+H556+H557, 0)</f>
        <v>0</v>
      </c>
      <c r="Y562">
        <f>IF(Source!BI179=3,H552+H553+H555+H556+H557, 0)</f>
        <v>0</v>
      </c>
      <c r="Z562">
        <f>IF(Source!BI179=4,H552+H553+H555+H556+H557, 0)</f>
        <v>0</v>
      </c>
    </row>
    <row r="563" spans="1:26" ht="28.5" x14ac:dyDescent="0.2">
      <c r="A563" s="45" t="str">
        <f>Source!E183</f>
        <v>51</v>
      </c>
      <c r="B563" s="46" t="str">
        <f>Source!F183</f>
        <v>69-15-1</v>
      </c>
      <c r="C563" s="46" t="str">
        <f>Source!G183</f>
        <v>Затаривание строительного мусора в мешки</v>
      </c>
      <c r="D563" s="29" t="str">
        <f>Source!H183</f>
        <v>т</v>
      </c>
      <c r="E563" s="11">
        <f>Source!I183</f>
        <v>18</v>
      </c>
      <c r="F563" s="30">
        <f>Source!AL183+Source!AM183+Source!AO183</f>
        <v>23.81</v>
      </c>
      <c r="G563" s="31"/>
      <c r="H563" s="30"/>
      <c r="I563" s="31" t="str">
        <f>Source!BO183</f>
        <v/>
      </c>
      <c r="J563" s="31"/>
      <c r="K563" s="30"/>
      <c r="L563" s="32"/>
      <c r="S563">
        <f>ROUND((Source!FX183/100)*((ROUND(Source!AF183*Source!I183, 2)+ROUND(Source!AE183*Source!I183, 2))), 2)</f>
        <v>104.04</v>
      </c>
      <c r="T563">
        <f>Source!X183</f>
        <v>682.48</v>
      </c>
      <c r="U563">
        <f>ROUND((Source!FY183/100)*((ROUND(Source!AF183*Source!I183, 2)+ROUND(Source!AE183*Source!I183, 2))), 2)</f>
        <v>66.69</v>
      </c>
      <c r="V563">
        <f>Source!Y183</f>
        <v>437.49</v>
      </c>
    </row>
    <row r="564" spans="1:26" ht="14.25" x14ac:dyDescent="0.2">
      <c r="A564" s="45"/>
      <c r="B564" s="46"/>
      <c r="C564" s="46" t="s">
        <v>1636</v>
      </c>
      <c r="D564" s="29"/>
      <c r="E564" s="11"/>
      <c r="F564" s="30">
        <f>Source!AO183</f>
        <v>7.41</v>
      </c>
      <c r="G564" s="31" t="str">
        <f>Source!DG183</f>
        <v/>
      </c>
      <c r="H564" s="30">
        <f>ROUND(Source!AF183*Source!I183, 2)</f>
        <v>133.38</v>
      </c>
      <c r="I564" s="31"/>
      <c r="J564" s="31">
        <f>IF(Source!BA183&lt;&gt; 0, Source!BA183, 1)</f>
        <v>6.56</v>
      </c>
      <c r="K564" s="30">
        <f>Source!S183</f>
        <v>874.97</v>
      </c>
      <c r="L564" s="32"/>
      <c r="R564">
        <f>H564</f>
        <v>133.38</v>
      </c>
    </row>
    <row r="565" spans="1:26" ht="14.25" x14ac:dyDescent="0.2">
      <c r="A565" s="45"/>
      <c r="B565" s="46"/>
      <c r="C565" s="46" t="s">
        <v>1643</v>
      </c>
      <c r="D565" s="29"/>
      <c r="E565" s="11"/>
      <c r="F565" s="30">
        <f>Source!AL183</f>
        <v>16.399999999999999</v>
      </c>
      <c r="G565" s="31" t="str">
        <f>Source!DD183</f>
        <v/>
      </c>
      <c r="H565" s="30">
        <f>ROUND(Source!AC183*Source!I183, 2)</f>
        <v>295.2</v>
      </c>
      <c r="I565" s="31"/>
      <c r="J565" s="31">
        <f>IF(Source!BC183&lt;&gt; 0, Source!BC183, 1)</f>
        <v>6.56</v>
      </c>
      <c r="K565" s="30">
        <f>Source!P183</f>
        <v>1936.51</v>
      </c>
      <c r="L565" s="32"/>
    </row>
    <row r="566" spans="1:26" ht="14.25" x14ac:dyDescent="0.2">
      <c r="A566" s="45"/>
      <c r="B566" s="46"/>
      <c r="C566" s="46" t="s">
        <v>1638</v>
      </c>
      <c r="D566" s="29" t="s">
        <v>1639</v>
      </c>
      <c r="E566" s="11">
        <f>Source!BZ183</f>
        <v>78</v>
      </c>
      <c r="F566" s="49"/>
      <c r="G566" s="31"/>
      <c r="H566" s="30">
        <f>SUM(S563:S568)</f>
        <v>104.04</v>
      </c>
      <c r="I566" s="34"/>
      <c r="J566" s="27">
        <f>Source!AT183</f>
        <v>78</v>
      </c>
      <c r="K566" s="30">
        <f>SUM(T563:T568)</f>
        <v>682.48</v>
      </c>
      <c r="L566" s="32"/>
    </row>
    <row r="567" spans="1:26" ht="14.25" x14ac:dyDescent="0.2">
      <c r="A567" s="45"/>
      <c r="B567" s="46"/>
      <c r="C567" s="46" t="s">
        <v>1640</v>
      </c>
      <c r="D567" s="29" t="s">
        <v>1639</v>
      </c>
      <c r="E567" s="11">
        <f>Source!CA183</f>
        <v>50</v>
      </c>
      <c r="F567" s="49"/>
      <c r="G567" s="31"/>
      <c r="H567" s="30">
        <f>SUM(U563:U568)</f>
        <v>66.69</v>
      </c>
      <c r="I567" s="34"/>
      <c r="J567" s="27">
        <f>Source!AU183</f>
        <v>50</v>
      </c>
      <c r="K567" s="30">
        <f>SUM(V563:V568)</f>
        <v>437.49</v>
      </c>
      <c r="L567" s="32"/>
    </row>
    <row r="568" spans="1:26" ht="14.25" x14ac:dyDescent="0.2">
      <c r="A568" s="47"/>
      <c r="B568" s="48"/>
      <c r="C568" s="48" t="s">
        <v>1641</v>
      </c>
      <c r="D568" s="35" t="s">
        <v>1642</v>
      </c>
      <c r="E568" s="36">
        <f>Source!AQ183</f>
        <v>1.03</v>
      </c>
      <c r="F568" s="37"/>
      <c r="G568" s="38" t="str">
        <f>Source!DI183</f>
        <v/>
      </c>
      <c r="H568" s="37"/>
      <c r="I568" s="38"/>
      <c r="J568" s="38"/>
      <c r="K568" s="37"/>
      <c r="L568" s="39">
        <f>Source!U183</f>
        <v>18.54</v>
      </c>
    </row>
    <row r="569" spans="1:26" ht="15" x14ac:dyDescent="0.25">
      <c r="G569" s="70">
        <f>H564+H565+H566+H567</f>
        <v>599.30999999999995</v>
      </c>
      <c r="H569" s="70"/>
      <c r="J569" s="70">
        <f>K564+K565+K566+K567</f>
        <v>3931.45</v>
      </c>
      <c r="K569" s="70"/>
      <c r="L569" s="40">
        <f>Source!U183</f>
        <v>18.54</v>
      </c>
      <c r="O569" s="24">
        <f>G569</f>
        <v>599.30999999999995</v>
      </c>
      <c r="P569" s="24">
        <f>J569</f>
        <v>3931.45</v>
      </c>
      <c r="Q569" s="24">
        <f>L569</f>
        <v>18.54</v>
      </c>
      <c r="W569">
        <f>IF(Source!BI183&lt;=1,H564+H565+H566+H567, 0)</f>
        <v>599.30999999999995</v>
      </c>
      <c r="X569">
        <f>IF(Source!BI183=2,H564+H565+H566+H567, 0)</f>
        <v>0</v>
      </c>
      <c r="Y569">
        <f>IF(Source!BI183=3,H564+H565+H566+H567, 0)</f>
        <v>0</v>
      </c>
      <c r="Z569">
        <f>IF(Source!BI183=4,H564+H565+H566+H567, 0)</f>
        <v>0</v>
      </c>
    </row>
    <row r="570" spans="1:26" ht="42.75" x14ac:dyDescent="0.2">
      <c r="A570" s="47" t="str">
        <f>Source!E184</f>
        <v>52</v>
      </c>
      <c r="B570" s="48" t="str">
        <f>Source!F184</f>
        <v>т01-01-01-041</v>
      </c>
      <c r="C570" s="48" t="str">
        <f>Source!G184</f>
        <v>Погрузочные работы при автомобильных перевозках мусора строительного с погрузкой вручную</v>
      </c>
      <c r="D570" s="35" t="str">
        <f>Source!H184</f>
        <v>1 Т ГРУЗА</v>
      </c>
      <c r="E570" s="36">
        <f>Source!I184</f>
        <v>18</v>
      </c>
      <c r="F570" s="37">
        <f>Source!AK184</f>
        <v>42.98</v>
      </c>
      <c r="G570" s="38" t="str">
        <f>Source!DC184</f>
        <v/>
      </c>
      <c r="H570" s="37">
        <f>ROUND(Source!AB184*Source!I184, 2)</f>
        <v>773.64</v>
      </c>
      <c r="I570" s="38" t="str">
        <f>Source!BO184</f>
        <v/>
      </c>
      <c r="J570" s="38">
        <f>Source!AZ184</f>
        <v>6.56</v>
      </c>
      <c r="K570" s="37">
        <f>Source!GM184</f>
        <v>5075.08</v>
      </c>
      <c r="L570" s="44"/>
      <c r="S570">
        <f>ROUND((Source!FX184/100)*((ROUND(0*Source!I184, 2)+ROUND(0*Source!I184, 2))), 2)</f>
        <v>0</v>
      </c>
      <c r="T570">
        <f>Source!X184</f>
        <v>0</v>
      </c>
      <c r="U570">
        <f>ROUND((Source!FY184/100)*((ROUND(0*Source!I184, 2)+ROUND(0*Source!I184, 2))), 2)</f>
        <v>0</v>
      </c>
      <c r="V570">
        <f>Source!Y184</f>
        <v>0</v>
      </c>
    </row>
    <row r="571" spans="1:26" ht="15" x14ac:dyDescent="0.25">
      <c r="G571" s="70">
        <f>H570</f>
        <v>773.64</v>
      </c>
      <c r="H571" s="70"/>
      <c r="J571" s="70">
        <f>K570</f>
        <v>5075.08</v>
      </c>
      <c r="K571" s="70"/>
      <c r="L571" s="40">
        <f>Source!U184</f>
        <v>0</v>
      </c>
      <c r="O571" s="24">
        <f>G571</f>
        <v>773.64</v>
      </c>
      <c r="P571" s="24">
        <f>J571</f>
        <v>5075.08</v>
      </c>
      <c r="Q571" s="24">
        <f>L571</f>
        <v>0</v>
      </c>
      <c r="W571">
        <f>IF(Source!BI184&lt;=1,H570, 0)</f>
        <v>773.64</v>
      </c>
      <c r="X571">
        <f>IF(Source!BI184=2,H570, 0)</f>
        <v>0</v>
      </c>
      <c r="Y571">
        <f>IF(Source!BI184=3,H570, 0)</f>
        <v>0</v>
      </c>
      <c r="Z571">
        <f>IF(Source!BI184=4,H570, 0)</f>
        <v>0</v>
      </c>
    </row>
    <row r="572" spans="1:26" ht="57" x14ac:dyDescent="0.2">
      <c r="A572" s="47" t="str">
        <f>Source!E185</f>
        <v>53</v>
      </c>
      <c r="B572" s="48" t="str">
        <f>Source!F185</f>
        <v>т03-01-01-035</v>
      </c>
      <c r="C572" s="48" t="str">
        <f>Source!G185</f>
        <v>Перевозка грузов I класса автомобилями бортовыми грузоподъемностью до 15 т на расстояние до 35 км</v>
      </c>
      <c r="D572" s="35" t="str">
        <f>Source!H185</f>
        <v>1 Т ГРУЗА</v>
      </c>
      <c r="E572" s="36">
        <f>Source!I185</f>
        <v>18</v>
      </c>
      <c r="F572" s="37">
        <f>Source!AK185</f>
        <v>19.54</v>
      </c>
      <c r="G572" s="38" t="str">
        <f>Source!DC185</f>
        <v/>
      </c>
      <c r="H572" s="37">
        <f>ROUND(Source!AB185*Source!I185, 2)</f>
        <v>351.72</v>
      </c>
      <c r="I572" s="38" t="str">
        <f>Source!BO185</f>
        <v/>
      </c>
      <c r="J572" s="38">
        <f>Source!AZ185</f>
        <v>6.56</v>
      </c>
      <c r="K572" s="37">
        <f>Source!GM185</f>
        <v>2307.2800000000002</v>
      </c>
      <c r="L572" s="44"/>
      <c r="S572">
        <f>ROUND((Source!FX185/100)*((ROUND(0*Source!I185, 2)+ROUND(0*Source!I185, 2))), 2)</f>
        <v>0</v>
      </c>
      <c r="T572">
        <f>Source!X185</f>
        <v>0</v>
      </c>
      <c r="U572">
        <f>ROUND((Source!FY185/100)*((ROUND(0*Source!I185, 2)+ROUND(0*Source!I185, 2))), 2)</f>
        <v>0</v>
      </c>
      <c r="V572">
        <f>Source!Y185</f>
        <v>0</v>
      </c>
    </row>
    <row r="573" spans="1:26" ht="15" x14ac:dyDescent="0.25">
      <c r="G573" s="70">
        <f>H572</f>
        <v>351.72</v>
      </c>
      <c r="H573" s="70"/>
      <c r="J573" s="70">
        <f>K572</f>
        <v>2307.2800000000002</v>
      </c>
      <c r="K573" s="70"/>
      <c r="L573" s="40">
        <f>Source!U185</f>
        <v>0</v>
      </c>
      <c r="O573" s="24">
        <f>G573</f>
        <v>351.72</v>
      </c>
      <c r="P573" s="24">
        <f>J573</f>
        <v>2307.2800000000002</v>
      </c>
      <c r="Q573" s="24">
        <f>L573</f>
        <v>0</v>
      </c>
      <c r="W573">
        <f>IF(Source!BI185&lt;=1,H572, 0)</f>
        <v>351.72</v>
      </c>
      <c r="X573">
        <f>IF(Source!BI185=2,H572, 0)</f>
        <v>0</v>
      </c>
      <c r="Y573">
        <f>IF(Source!BI185=3,H572, 0)</f>
        <v>0</v>
      </c>
      <c r="Z573">
        <f>IF(Source!BI185=4,H572, 0)</f>
        <v>0</v>
      </c>
    </row>
    <row r="575" spans="1:26" ht="15" x14ac:dyDescent="0.25">
      <c r="A575" s="74" t="str">
        <f>CONCATENATE("Итого по подразделу: ",IF(Source!G187&lt;&gt;"Новый подраздел", Source!G187, ""))</f>
        <v>Итого по подразделу: 2 Монтаж</v>
      </c>
      <c r="B575" s="74"/>
      <c r="C575" s="74"/>
      <c r="D575" s="74"/>
      <c r="E575" s="74"/>
      <c r="F575" s="74"/>
      <c r="G575" s="73">
        <f>SUM(O156:O574)</f>
        <v>212341.03000000003</v>
      </c>
      <c r="H575" s="73"/>
      <c r="I575" s="26"/>
      <c r="J575" s="73">
        <f>SUM(P156:P574)</f>
        <v>1393260.17</v>
      </c>
      <c r="K575" s="73"/>
      <c r="L575" s="40">
        <f>SUM(Q156:Q574)</f>
        <v>1008.9198497499999</v>
      </c>
    </row>
    <row r="577" spans="1:26" ht="15" x14ac:dyDescent="0.25">
      <c r="A577" s="74" t="str">
        <f>CONCATENATE("Итого по разделу: ",IF(Source!G216&lt;&gt;"Новый раздел", Source!G216, ""))</f>
        <v>Итого по разделу: 1 Общестроительные работы</v>
      </c>
      <c r="B577" s="74"/>
      <c r="C577" s="74"/>
      <c r="D577" s="74"/>
      <c r="E577" s="74"/>
      <c r="F577" s="74"/>
      <c r="G577" s="73">
        <f>SUM(O27:O576)</f>
        <v>217404.7</v>
      </c>
      <c r="H577" s="73"/>
      <c r="I577" s="26"/>
      <c r="J577" s="73">
        <f>SUM(P27:P576)</f>
        <v>1426500.14</v>
      </c>
      <c r="K577" s="73"/>
      <c r="L577" s="40">
        <f>SUM(Q27:Q576)</f>
        <v>1233.8907197499996</v>
      </c>
    </row>
    <row r="578" spans="1:26" ht="16.5" x14ac:dyDescent="0.25">
      <c r="A578" s="75" t="str">
        <f>CONCATENATE("Раздел: ",IF(Source!G245&lt;&gt;"Новый раздел", Source!G245, ""))</f>
        <v>Раздел: 2 Электромонтажные работы</v>
      </c>
      <c r="B578" s="75"/>
      <c r="C578" s="75"/>
      <c r="D578" s="75"/>
      <c r="E578" s="75"/>
      <c r="F578" s="75"/>
      <c r="G578" s="75"/>
      <c r="H578" s="75"/>
      <c r="I578" s="75"/>
      <c r="J578" s="75"/>
      <c r="K578" s="75"/>
      <c r="L578" s="75"/>
    </row>
    <row r="580" spans="1:26" ht="16.5" x14ac:dyDescent="0.25">
      <c r="A580" s="75" t="str">
        <f>CONCATENATE("Подраздел: ",IF(Source!G249&lt;&gt;"Новый подраздел", Source!G249, ""))</f>
        <v>Подраздел: 1Демонтаж</v>
      </c>
      <c r="B580" s="75"/>
      <c r="C580" s="75"/>
      <c r="D580" s="75"/>
      <c r="E580" s="75"/>
      <c r="F580" s="75"/>
      <c r="G580" s="75"/>
      <c r="H580" s="75"/>
      <c r="I580" s="75"/>
      <c r="J580" s="75"/>
      <c r="K580" s="75"/>
      <c r="L580" s="75"/>
    </row>
    <row r="581" spans="1:26" ht="28.5" x14ac:dyDescent="0.2">
      <c r="A581" s="45" t="str">
        <f>Source!E253</f>
        <v>54</v>
      </c>
      <c r="B581" s="46" t="str">
        <f>Source!F253</f>
        <v>67-4-5</v>
      </c>
      <c r="C581" s="46" t="str">
        <f>Source!G253</f>
        <v>Демонтаж светильников для люминесцентных ламп</v>
      </c>
      <c r="D581" s="29" t="str">
        <f>Source!H253</f>
        <v>100 ШТ</v>
      </c>
      <c r="E581" s="11">
        <f>Source!I253</f>
        <v>0.28000000000000003</v>
      </c>
      <c r="F581" s="30">
        <f>Source!AL253+Source!AM253+Source!AO253</f>
        <v>145.97999999999999</v>
      </c>
      <c r="G581" s="31"/>
      <c r="H581" s="30"/>
      <c r="I581" s="31" t="str">
        <f>Source!BO253</f>
        <v/>
      </c>
      <c r="J581" s="31"/>
      <c r="K581" s="30"/>
      <c r="L581" s="32"/>
      <c r="S581">
        <f>ROUND((Source!FX253/100)*((ROUND(Source!AF253*Source!I253, 2)+ROUND(Source!AE253*Source!I253, 2))), 2)</f>
        <v>34.4</v>
      </c>
      <c r="T581">
        <f>Source!X253</f>
        <v>225.69</v>
      </c>
      <c r="U581">
        <f>ROUND((Source!FY253/100)*((ROUND(Source!AF253*Source!I253, 2)+ROUND(Source!AE253*Source!I253, 2))), 2)</f>
        <v>26.31</v>
      </c>
      <c r="V581">
        <f>Source!Y253</f>
        <v>172.59</v>
      </c>
    </row>
    <row r="582" spans="1:26" x14ac:dyDescent="0.2">
      <c r="C582" s="23" t="str">
        <f>"Объем: "&amp;Source!I253&amp;"=28/"&amp;"100"</f>
        <v>Объем: 0,28=28/100</v>
      </c>
    </row>
    <row r="583" spans="1:26" ht="14.25" x14ac:dyDescent="0.2">
      <c r="A583" s="45"/>
      <c r="B583" s="46"/>
      <c r="C583" s="46" t="s">
        <v>1636</v>
      </c>
      <c r="D583" s="29"/>
      <c r="E583" s="11"/>
      <c r="F583" s="30">
        <f>Source!AO253</f>
        <v>143.47999999999999</v>
      </c>
      <c r="G583" s="31" t="str">
        <f>Source!DG253</f>
        <v/>
      </c>
      <c r="H583" s="30">
        <f>ROUND(Source!AF253*Source!I253, 2)</f>
        <v>40.17</v>
      </c>
      <c r="I583" s="31"/>
      <c r="J583" s="31">
        <f>IF(Source!BA253&lt;&gt; 0, Source!BA253, 1)</f>
        <v>6.56</v>
      </c>
      <c r="K583" s="30">
        <f>Source!S253</f>
        <v>263.54000000000002</v>
      </c>
      <c r="L583" s="32"/>
      <c r="R583">
        <f>H583</f>
        <v>40.17</v>
      </c>
    </row>
    <row r="584" spans="1:26" ht="14.25" x14ac:dyDescent="0.2">
      <c r="A584" s="45"/>
      <c r="B584" s="46"/>
      <c r="C584" s="46" t="s">
        <v>136</v>
      </c>
      <c r="D584" s="29"/>
      <c r="E584" s="11"/>
      <c r="F584" s="30">
        <f>Source!AM253</f>
        <v>2.5</v>
      </c>
      <c r="G584" s="31" t="str">
        <f>Source!DE253</f>
        <v/>
      </c>
      <c r="H584" s="30">
        <f>ROUND(Source!AD253*Source!I253, 2)</f>
        <v>0.7</v>
      </c>
      <c r="I584" s="31"/>
      <c r="J584" s="31">
        <f>IF(Source!BB253&lt;&gt; 0, Source!BB253, 1)</f>
        <v>6.56</v>
      </c>
      <c r="K584" s="30">
        <f>Source!Q253</f>
        <v>4.59</v>
      </c>
      <c r="L584" s="32"/>
    </row>
    <row r="585" spans="1:26" ht="14.25" x14ac:dyDescent="0.2">
      <c r="A585" s="45"/>
      <c r="B585" s="46"/>
      <c r="C585" s="46" t="s">
        <v>1637</v>
      </c>
      <c r="D585" s="29"/>
      <c r="E585" s="11"/>
      <c r="F585" s="30">
        <f>Source!AN253</f>
        <v>1.08</v>
      </c>
      <c r="G585" s="31" t="str">
        <f>Source!DF253</f>
        <v/>
      </c>
      <c r="H585" s="33">
        <f>ROUND(Source!AE253*Source!I253, 2)</f>
        <v>0.3</v>
      </c>
      <c r="I585" s="31"/>
      <c r="J585" s="31">
        <f>IF(Source!BS253&lt;&gt; 0, Source!BS253, 1)</f>
        <v>6.56</v>
      </c>
      <c r="K585" s="33">
        <f>Source!R253</f>
        <v>1.98</v>
      </c>
      <c r="L585" s="32"/>
      <c r="R585">
        <f>H585</f>
        <v>0.3</v>
      </c>
    </row>
    <row r="586" spans="1:26" ht="14.25" x14ac:dyDescent="0.2">
      <c r="A586" s="45"/>
      <c r="B586" s="46"/>
      <c r="C586" s="46" t="s">
        <v>1638</v>
      </c>
      <c r="D586" s="29" t="s">
        <v>1639</v>
      </c>
      <c r="E586" s="11">
        <f>Source!BZ253</f>
        <v>85</v>
      </c>
      <c r="F586" s="49"/>
      <c r="G586" s="31"/>
      <c r="H586" s="30">
        <f>SUM(S581:S588)</f>
        <v>34.4</v>
      </c>
      <c r="I586" s="34"/>
      <c r="J586" s="27">
        <f>Source!AT253</f>
        <v>85</v>
      </c>
      <c r="K586" s="30">
        <f>SUM(T581:T588)</f>
        <v>225.69</v>
      </c>
      <c r="L586" s="32"/>
    </row>
    <row r="587" spans="1:26" ht="14.25" x14ac:dyDescent="0.2">
      <c r="A587" s="45"/>
      <c r="B587" s="46"/>
      <c r="C587" s="46" t="s">
        <v>1640</v>
      </c>
      <c r="D587" s="29" t="s">
        <v>1639</v>
      </c>
      <c r="E587" s="11">
        <f>Source!CA253</f>
        <v>65</v>
      </c>
      <c r="F587" s="49"/>
      <c r="G587" s="31"/>
      <c r="H587" s="30">
        <f>SUM(U581:U588)</f>
        <v>26.31</v>
      </c>
      <c r="I587" s="34"/>
      <c r="J587" s="27">
        <f>Source!AU253</f>
        <v>65</v>
      </c>
      <c r="K587" s="30">
        <f>SUM(V581:V588)</f>
        <v>172.59</v>
      </c>
      <c r="L587" s="32"/>
    </row>
    <row r="588" spans="1:26" ht="14.25" x14ac:dyDescent="0.2">
      <c r="A588" s="47"/>
      <c r="B588" s="48"/>
      <c r="C588" s="48" t="s">
        <v>1641</v>
      </c>
      <c r="D588" s="35" t="s">
        <v>1642</v>
      </c>
      <c r="E588" s="36">
        <f>Source!AQ253</f>
        <v>17.89</v>
      </c>
      <c r="F588" s="37"/>
      <c r="G588" s="38" t="str">
        <f>Source!DI253</f>
        <v/>
      </c>
      <c r="H588" s="37"/>
      <c r="I588" s="38"/>
      <c r="J588" s="38"/>
      <c r="K588" s="37"/>
      <c r="L588" s="39">
        <f>Source!U253</f>
        <v>5.0092000000000008</v>
      </c>
    </row>
    <row r="589" spans="1:26" ht="15" x14ac:dyDescent="0.25">
      <c r="G589" s="70">
        <f>H583+H584+H586+H587</f>
        <v>101.58000000000001</v>
      </c>
      <c r="H589" s="70"/>
      <c r="J589" s="70">
        <f>K583+K584+K586+K587</f>
        <v>666.41</v>
      </c>
      <c r="K589" s="70"/>
      <c r="L589" s="40">
        <f>Source!U253</f>
        <v>5.0092000000000008</v>
      </c>
      <c r="O589" s="24">
        <f>G589</f>
        <v>101.58000000000001</v>
      </c>
      <c r="P589" s="24">
        <f>J589</f>
        <v>666.41</v>
      </c>
      <c r="Q589" s="24">
        <f>L589</f>
        <v>5.0092000000000008</v>
      </c>
      <c r="W589">
        <f>IF(Source!BI253&lt;=1,H583+H584+H586+H587, 0)</f>
        <v>101.58000000000001</v>
      </c>
      <c r="X589">
        <f>IF(Source!BI253=2,H583+H584+H586+H587, 0)</f>
        <v>0</v>
      </c>
      <c r="Y589">
        <f>IF(Source!BI253=3,H583+H584+H586+H587, 0)</f>
        <v>0</v>
      </c>
      <c r="Z589">
        <f>IF(Source!BI253=4,H583+H584+H586+H587, 0)</f>
        <v>0</v>
      </c>
    </row>
    <row r="590" spans="1:26" ht="14.25" x14ac:dyDescent="0.2">
      <c r="A590" s="45" t="str">
        <f>Source!E254</f>
        <v>55</v>
      </c>
      <c r="B590" s="46" t="str">
        <f>Source!F254</f>
        <v>67-3-1</v>
      </c>
      <c r="C590" s="46" t="str">
        <f>Source!G254</f>
        <v>Демонтаж кабеля</v>
      </c>
      <c r="D590" s="29" t="str">
        <f>Source!H254</f>
        <v>100 м</v>
      </c>
      <c r="E590" s="11">
        <f>Source!I254</f>
        <v>2.98</v>
      </c>
      <c r="F590" s="30">
        <f>Source!AL254+Source!AM254+Source!AO254</f>
        <v>75.5</v>
      </c>
      <c r="G590" s="31"/>
      <c r="H590" s="30"/>
      <c r="I590" s="31" t="str">
        <f>Source!BO254</f>
        <v/>
      </c>
      <c r="J590" s="31"/>
      <c r="K590" s="30"/>
      <c r="L590" s="32"/>
      <c r="S590">
        <f>ROUND((Source!FX254/100)*((ROUND(Source!AF254*Source!I254, 2)+ROUND(Source!AE254*Source!I254, 2))), 2)</f>
        <v>190.82</v>
      </c>
      <c r="T590">
        <f>Source!X254</f>
        <v>1251.72</v>
      </c>
      <c r="U590">
        <f>ROUND((Source!FY254/100)*((ROUND(Source!AF254*Source!I254, 2)+ROUND(Source!AE254*Source!I254, 2))), 2)</f>
        <v>145.91999999999999</v>
      </c>
      <c r="V590">
        <f>Source!Y254</f>
        <v>957.2</v>
      </c>
    </row>
    <row r="591" spans="1:26" x14ac:dyDescent="0.2">
      <c r="C591" s="23" t="str">
        <f>"Объем: "&amp;Source!I254&amp;"=298/"&amp;"100"</f>
        <v>Объем: 2,98=298/100</v>
      </c>
    </row>
    <row r="592" spans="1:26" ht="14.25" x14ac:dyDescent="0.2">
      <c r="A592" s="45"/>
      <c r="B592" s="46"/>
      <c r="C592" s="46" t="s">
        <v>1636</v>
      </c>
      <c r="D592" s="29"/>
      <c r="E592" s="11"/>
      <c r="F592" s="30">
        <f>Source!AO254</f>
        <v>75.19</v>
      </c>
      <c r="G592" s="31" t="str">
        <f>Source!DG254</f>
        <v/>
      </c>
      <c r="H592" s="30">
        <f>ROUND(Source!AF254*Source!I254, 2)</f>
        <v>224.07</v>
      </c>
      <c r="I592" s="31"/>
      <c r="J592" s="31">
        <f>IF(Source!BA254&lt;&gt; 0, Source!BA254, 1)</f>
        <v>6.56</v>
      </c>
      <c r="K592" s="30">
        <f>Source!S254</f>
        <v>1469.87</v>
      </c>
      <c r="L592" s="32"/>
      <c r="R592">
        <f>H592</f>
        <v>224.07</v>
      </c>
    </row>
    <row r="593" spans="1:26" ht="14.25" x14ac:dyDescent="0.2">
      <c r="A593" s="45"/>
      <c r="B593" s="46"/>
      <c r="C593" s="46" t="s">
        <v>136</v>
      </c>
      <c r="D593" s="29"/>
      <c r="E593" s="11"/>
      <c r="F593" s="30">
        <f>Source!AM254</f>
        <v>0.31</v>
      </c>
      <c r="G593" s="31" t="str">
        <f>Source!DE254</f>
        <v/>
      </c>
      <c r="H593" s="30">
        <f>ROUND(Source!AD254*Source!I254, 2)</f>
        <v>0.92</v>
      </c>
      <c r="I593" s="31"/>
      <c r="J593" s="31">
        <f>IF(Source!BB254&lt;&gt; 0, Source!BB254, 1)</f>
        <v>6.56</v>
      </c>
      <c r="K593" s="30">
        <f>Source!Q254</f>
        <v>6.06</v>
      </c>
      <c r="L593" s="32"/>
    </row>
    <row r="594" spans="1:26" ht="14.25" x14ac:dyDescent="0.2">
      <c r="A594" s="45"/>
      <c r="B594" s="46"/>
      <c r="C594" s="46" t="s">
        <v>1637</v>
      </c>
      <c r="D594" s="29"/>
      <c r="E594" s="11"/>
      <c r="F594" s="30">
        <f>Source!AN254</f>
        <v>0.14000000000000001</v>
      </c>
      <c r="G594" s="31" t="str">
        <f>Source!DF254</f>
        <v/>
      </c>
      <c r="H594" s="33">
        <f>ROUND(Source!AE254*Source!I254, 2)</f>
        <v>0.42</v>
      </c>
      <c r="I594" s="31"/>
      <c r="J594" s="31">
        <f>IF(Source!BS254&lt;&gt; 0, Source!BS254, 1)</f>
        <v>6.56</v>
      </c>
      <c r="K594" s="33">
        <f>Source!R254</f>
        <v>2.74</v>
      </c>
      <c r="L594" s="32"/>
      <c r="R594">
        <f>H594</f>
        <v>0.42</v>
      </c>
    </row>
    <row r="595" spans="1:26" ht="14.25" x14ac:dyDescent="0.2">
      <c r="A595" s="45"/>
      <c r="B595" s="46"/>
      <c r="C595" s="46" t="s">
        <v>1638</v>
      </c>
      <c r="D595" s="29" t="s">
        <v>1639</v>
      </c>
      <c r="E595" s="11">
        <f>Source!BZ254</f>
        <v>85</v>
      </c>
      <c r="F595" s="49"/>
      <c r="G595" s="31"/>
      <c r="H595" s="30">
        <f>SUM(S590:S597)</f>
        <v>190.82</v>
      </c>
      <c r="I595" s="34"/>
      <c r="J595" s="27">
        <f>Source!AT254</f>
        <v>85</v>
      </c>
      <c r="K595" s="30">
        <f>SUM(T590:T597)</f>
        <v>1251.72</v>
      </c>
      <c r="L595" s="32"/>
    </row>
    <row r="596" spans="1:26" ht="14.25" x14ac:dyDescent="0.2">
      <c r="A596" s="45"/>
      <c r="B596" s="46"/>
      <c r="C596" s="46" t="s">
        <v>1640</v>
      </c>
      <c r="D596" s="29" t="s">
        <v>1639</v>
      </c>
      <c r="E596" s="11">
        <f>Source!CA254</f>
        <v>65</v>
      </c>
      <c r="F596" s="49"/>
      <c r="G596" s="31"/>
      <c r="H596" s="30">
        <f>SUM(U590:U597)</f>
        <v>145.91999999999999</v>
      </c>
      <c r="I596" s="34"/>
      <c r="J596" s="27">
        <f>Source!AU254</f>
        <v>65</v>
      </c>
      <c r="K596" s="30">
        <f>SUM(V590:V597)</f>
        <v>957.2</v>
      </c>
      <c r="L596" s="32"/>
    </row>
    <row r="597" spans="1:26" ht="14.25" x14ac:dyDescent="0.2">
      <c r="A597" s="47"/>
      <c r="B597" s="48"/>
      <c r="C597" s="48" t="s">
        <v>1641</v>
      </c>
      <c r="D597" s="35" t="s">
        <v>1642</v>
      </c>
      <c r="E597" s="36">
        <f>Source!AQ254</f>
        <v>9.64</v>
      </c>
      <c r="F597" s="37"/>
      <c r="G597" s="38" t="str">
        <f>Source!DI254</f>
        <v/>
      </c>
      <c r="H597" s="37"/>
      <c r="I597" s="38"/>
      <c r="J597" s="38"/>
      <c r="K597" s="37"/>
      <c r="L597" s="39">
        <f>Source!U254</f>
        <v>28.7272</v>
      </c>
    </row>
    <row r="598" spans="1:26" ht="15" x14ac:dyDescent="0.25">
      <c r="G598" s="70">
        <f>H592+H593+H595+H596</f>
        <v>561.7299999999999</v>
      </c>
      <c r="H598" s="70"/>
      <c r="J598" s="70">
        <f>K592+K593+K595+K596</f>
        <v>3684.8499999999995</v>
      </c>
      <c r="K598" s="70"/>
      <c r="L598" s="40">
        <f>Source!U254</f>
        <v>28.7272</v>
      </c>
      <c r="O598" s="24">
        <f>G598</f>
        <v>561.7299999999999</v>
      </c>
      <c r="P598" s="24">
        <f>J598</f>
        <v>3684.8499999999995</v>
      </c>
      <c r="Q598" s="24">
        <f>L598</f>
        <v>28.7272</v>
      </c>
      <c r="W598">
        <f>IF(Source!BI254&lt;=1,H592+H593+H595+H596, 0)</f>
        <v>561.7299999999999</v>
      </c>
      <c r="X598">
        <f>IF(Source!BI254=2,H592+H593+H595+H596, 0)</f>
        <v>0</v>
      </c>
      <c r="Y598">
        <f>IF(Source!BI254=3,H592+H593+H595+H596, 0)</f>
        <v>0</v>
      </c>
      <c r="Z598">
        <f>IF(Source!BI254=4,H592+H593+H595+H596, 0)</f>
        <v>0</v>
      </c>
    </row>
    <row r="599" spans="1:26" ht="14.25" x14ac:dyDescent="0.2">
      <c r="A599" s="45" t="str">
        <f>Source!E255</f>
        <v>56</v>
      </c>
      <c r="B599" s="46" t="str">
        <f>Source!F255</f>
        <v>67-4-1</v>
      </c>
      <c r="C599" s="46" t="str">
        <f>Source!G255</f>
        <v>Демонтаж выключателей, розеток</v>
      </c>
      <c r="D599" s="29" t="str">
        <f>Source!H255</f>
        <v>100 ШТ</v>
      </c>
      <c r="E599" s="11">
        <f>Source!I255</f>
        <v>0.21</v>
      </c>
      <c r="F599" s="30">
        <f>Source!AL255+Source!AM255+Source!AO255</f>
        <v>45.55</v>
      </c>
      <c r="G599" s="31"/>
      <c r="H599" s="30"/>
      <c r="I599" s="31" t="str">
        <f>Source!BO255</f>
        <v/>
      </c>
      <c r="J599" s="31"/>
      <c r="K599" s="30"/>
      <c r="L599" s="32"/>
      <c r="S599">
        <f>ROUND((Source!FX255/100)*((ROUND(Source!AF255*Source!I255, 2)+ROUND(Source!AE255*Source!I255, 2))), 2)</f>
        <v>8.1300000000000008</v>
      </c>
      <c r="T599">
        <f>Source!X255</f>
        <v>53.34</v>
      </c>
      <c r="U599">
        <f>ROUND((Source!FY255/100)*((ROUND(Source!AF255*Source!I255, 2)+ROUND(Source!AE255*Source!I255, 2))), 2)</f>
        <v>6.22</v>
      </c>
      <c r="V599">
        <f>Source!Y255</f>
        <v>40.79</v>
      </c>
    </row>
    <row r="600" spans="1:26" x14ac:dyDescent="0.2">
      <c r="C600" s="23" t="str">
        <f>"Объем: "&amp;Source!I255&amp;"=21/"&amp;"100"</f>
        <v>Объем: 0,21=21/100</v>
      </c>
    </row>
    <row r="601" spans="1:26" ht="14.25" x14ac:dyDescent="0.2">
      <c r="A601" s="45"/>
      <c r="B601" s="46"/>
      <c r="C601" s="46" t="s">
        <v>1636</v>
      </c>
      <c r="D601" s="29"/>
      <c r="E601" s="11"/>
      <c r="F601" s="30">
        <f>Source!AO255</f>
        <v>45.55</v>
      </c>
      <c r="G601" s="31" t="str">
        <f>Source!DG255</f>
        <v/>
      </c>
      <c r="H601" s="30">
        <f>ROUND(Source!AF255*Source!I255, 2)</f>
        <v>9.57</v>
      </c>
      <c r="I601" s="31"/>
      <c r="J601" s="31">
        <f>IF(Source!BA255&lt;&gt; 0, Source!BA255, 1)</f>
        <v>6.56</v>
      </c>
      <c r="K601" s="30">
        <f>Source!S255</f>
        <v>62.75</v>
      </c>
      <c r="L601" s="32"/>
      <c r="R601">
        <f>H601</f>
        <v>9.57</v>
      </c>
    </row>
    <row r="602" spans="1:26" ht="14.25" x14ac:dyDescent="0.2">
      <c r="A602" s="45"/>
      <c r="B602" s="46"/>
      <c r="C602" s="46" t="s">
        <v>1638</v>
      </c>
      <c r="D602" s="29" t="s">
        <v>1639</v>
      </c>
      <c r="E602" s="11">
        <f>Source!BZ255</f>
        <v>85</v>
      </c>
      <c r="F602" s="49"/>
      <c r="G602" s="31"/>
      <c r="H602" s="30">
        <f>SUM(S599:S604)</f>
        <v>8.1300000000000008</v>
      </c>
      <c r="I602" s="34"/>
      <c r="J602" s="27">
        <f>Source!AT255</f>
        <v>85</v>
      </c>
      <c r="K602" s="30">
        <f>SUM(T599:T604)</f>
        <v>53.34</v>
      </c>
      <c r="L602" s="32"/>
    </row>
    <row r="603" spans="1:26" ht="14.25" x14ac:dyDescent="0.2">
      <c r="A603" s="45"/>
      <c r="B603" s="46"/>
      <c r="C603" s="46" t="s">
        <v>1640</v>
      </c>
      <c r="D603" s="29" t="s">
        <v>1639</v>
      </c>
      <c r="E603" s="11">
        <f>Source!CA255</f>
        <v>65</v>
      </c>
      <c r="F603" s="49"/>
      <c r="G603" s="31"/>
      <c r="H603" s="30">
        <f>SUM(U599:U604)</f>
        <v>6.22</v>
      </c>
      <c r="I603" s="34"/>
      <c r="J603" s="27">
        <f>Source!AU255</f>
        <v>65</v>
      </c>
      <c r="K603" s="30">
        <f>SUM(V599:V604)</f>
        <v>40.79</v>
      </c>
      <c r="L603" s="32"/>
    </row>
    <row r="604" spans="1:26" ht="14.25" x14ac:dyDescent="0.2">
      <c r="A604" s="47"/>
      <c r="B604" s="48"/>
      <c r="C604" s="48" t="s">
        <v>1641</v>
      </c>
      <c r="D604" s="35" t="s">
        <v>1642</v>
      </c>
      <c r="E604" s="36">
        <f>Source!AQ255</f>
        <v>5.84</v>
      </c>
      <c r="F604" s="37"/>
      <c r="G604" s="38" t="str">
        <f>Source!DI255</f>
        <v/>
      </c>
      <c r="H604" s="37"/>
      <c r="I604" s="38"/>
      <c r="J604" s="38"/>
      <c r="K604" s="37"/>
      <c r="L604" s="39">
        <f>Source!U255</f>
        <v>1.2263999999999999</v>
      </c>
    </row>
    <row r="605" spans="1:26" ht="15" x14ac:dyDescent="0.25">
      <c r="G605" s="70">
        <f>H601+H602+H603</f>
        <v>23.92</v>
      </c>
      <c r="H605" s="70"/>
      <c r="J605" s="70">
        <f>K601+K602+K603</f>
        <v>156.88</v>
      </c>
      <c r="K605" s="70"/>
      <c r="L605" s="40">
        <f>Source!U255</f>
        <v>1.2263999999999999</v>
      </c>
      <c r="O605" s="24">
        <f>G605</f>
        <v>23.92</v>
      </c>
      <c r="P605" s="24">
        <f>J605</f>
        <v>156.88</v>
      </c>
      <c r="Q605" s="24">
        <f>L605</f>
        <v>1.2263999999999999</v>
      </c>
      <c r="W605">
        <f>IF(Source!BI255&lt;=1,H601+H602+H603, 0)</f>
        <v>23.92</v>
      </c>
      <c r="X605">
        <f>IF(Source!BI255=2,H601+H602+H603, 0)</f>
        <v>0</v>
      </c>
      <c r="Y605">
        <f>IF(Source!BI255=3,H601+H602+H603, 0)</f>
        <v>0</v>
      </c>
      <c r="Z605">
        <f>IF(Source!BI255=4,H601+H602+H603, 0)</f>
        <v>0</v>
      </c>
    </row>
    <row r="606" spans="1:26" ht="28.5" x14ac:dyDescent="0.2">
      <c r="A606" s="45" t="str">
        <f>Source!E256</f>
        <v>57</v>
      </c>
      <c r="B606" s="46" t="str">
        <f>Source!F256</f>
        <v>м08-02-390-01</v>
      </c>
      <c r="C606" s="46" t="str">
        <f>Source!G256</f>
        <v>Демонтаж:Короба пластмассовые шириной до 40 мм</v>
      </c>
      <c r="D606" s="29" t="str">
        <f>Source!H256</f>
        <v>100 м</v>
      </c>
      <c r="E606" s="11">
        <f>Source!I256</f>
        <v>0.32</v>
      </c>
      <c r="F606" s="30">
        <f>Source!AL256+Source!AM256+Source!AO256</f>
        <v>206.76</v>
      </c>
      <c r="G606" s="31"/>
      <c r="H606" s="30"/>
      <c r="I606" s="31" t="str">
        <f>Source!BO256</f>
        <v/>
      </c>
      <c r="J606" s="31"/>
      <c r="K606" s="30"/>
      <c r="L606" s="32"/>
      <c r="S606">
        <f>ROUND((Source!FX256/100)*((ROUND(Source!AF256*Source!I256, 2)+ROUND(Source!AE256*Source!I256, 2))), 2)</f>
        <v>14.14</v>
      </c>
      <c r="T606">
        <f>Source!X256</f>
        <v>92.77</v>
      </c>
      <c r="U606">
        <f>ROUND((Source!FY256/100)*((ROUND(Source!AF256*Source!I256, 2)+ROUND(Source!AE256*Source!I256, 2))), 2)</f>
        <v>9.67</v>
      </c>
      <c r="V606">
        <f>Source!Y256</f>
        <v>63.47</v>
      </c>
    </row>
    <row r="607" spans="1:26" x14ac:dyDescent="0.2">
      <c r="C607" s="23" t="str">
        <f>"Объем: "&amp;Source!I256&amp;"=32/"&amp;"100"</f>
        <v>Объем: 0,32=32/100</v>
      </c>
    </row>
    <row r="608" spans="1:26" ht="14.25" x14ac:dyDescent="0.2">
      <c r="A608" s="45"/>
      <c r="B608" s="46"/>
      <c r="C608" s="46" t="s">
        <v>1636</v>
      </c>
      <c r="D608" s="29"/>
      <c r="E608" s="11"/>
      <c r="F608" s="30">
        <f>Source!AO256</f>
        <v>154.91999999999999</v>
      </c>
      <c r="G608" s="31" t="str">
        <f>Source!DG256</f>
        <v>)*0,3</v>
      </c>
      <c r="H608" s="30">
        <f>ROUND(Source!AF256*Source!I256, 2)</f>
        <v>14.87</v>
      </c>
      <c r="I608" s="31"/>
      <c r="J608" s="31">
        <f>IF(Source!BA256&lt;&gt; 0, Source!BA256, 1)</f>
        <v>6.56</v>
      </c>
      <c r="K608" s="30">
        <f>Source!S256</f>
        <v>97.57</v>
      </c>
      <c r="L608" s="32"/>
      <c r="R608">
        <f>H608</f>
        <v>14.87</v>
      </c>
    </row>
    <row r="609" spans="1:26" ht="14.25" x14ac:dyDescent="0.2">
      <c r="A609" s="45"/>
      <c r="B609" s="46"/>
      <c r="C609" s="46" t="s">
        <v>136</v>
      </c>
      <c r="D609" s="29"/>
      <c r="E609" s="11"/>
      <c r="F609" s="30">
        <f>Source!AM256</f>
        <v>0.31</v>
      </c>
      <c r="G609" s="31" t="str">
        <f>Source!DE256</f>
        <v>)*0,3</v>
      </c>
      <c r="H609" s="30">
        <f>ROUND(Source!AD256*Source!I256, 2)</f>
        <v>0.03</v>
      </c>
      <c r="I609" s="31"/>
      <c r="J609" s="31">
        <f>IF(Source!BB256&lt;&gt; 0, Source!BB256, 1)</f>
        <v>6.56</v>
      </c>
      <c r="K609" s="30">
        <f>Source!Q256</f>
        <v>0.19</v>
      </c>
      <c r="L609" s="32"/>
    </row>
    <row r="610" spans="1:26" ht="14.25" x14ac:dyDescent="0.2">
      <c r="A610" s="45"/>
      <c r="B610" s="46"/>
      <c r="C610" s="46" t="s">
        <v>1637</v>
      </c>
      <c r="D610" s="29"/>
      <c r="E610" s="11"/>
      <c r="F610" s="30">
        <f>Source!AN256</f>
        <v>0.14000000000000001</v>
      </c>
      <c r="G610" s="31" t="str">
        <f>Source!DF256</f>
        <v>)*0,3</v>
      </c>
      <c r="H610" s="33">
        <f>ROUND(Source!AE256*Source!I256, 2)</f>
        <v>0.01</v>
      </c>
      <c r="I610" s="31"/>
      <c r="J610" s="31">
        <f>IF(Source!BS256&lt;&gt; 0, Source!BS256, 1)</f>
        <v>6.56</v>
      </c>
      <c r="K610" s="33">
        <f>Source!R256</f>
        <v>0.08</v>
      </c>
      <c r="L610" s="32"/>
      <c r="R610">
        <f>H610</f>
        <v>0.01</v>
      </c>
    </row>
    <row r="611" spans="1:26" ht="14.25" x14ac:dyDescent="0.2">
      <c r="A611" s="45"/>
      <c r="B611" s="46"/>
      <c r="C611" s="46" t="s">
        <v>1638</v>
      </c>
      <c r="D611" s="29" t="s">
        <v>1639</v>
      </c>
      <c r="E611" s="11">
        <f>Source!BZ256</f>
        <v>95</v>
      </c>
      <c r="F611" s="49"/>
      <c r="G611" s="31"/>
      <c r="H611" s="30">
        <f>SUM(S606:S613)</f>
        <v>14.14</v>
      </c>
      <c r="I611" s="34"/>
      <c r="J611" s="27">
        <f>Source!AT256</f>
        <v>95</v>
      </c>
      <c r="K611" s="30">
        <f>SUM(T606:T613)</f>
        <v>92.77</v>
      </c>
      <c r="L611" s="32"/>
    </row>
    <row r="612" spans="1:26" ht="14.25" x14ac:dyDescent="0.2">
      <c r="A612" s="45"/>
      <c r="B612" s="46"/>
      <c r="C612" s="46" t="s">
        <v>1640</v>
      </c>
      <c r="D612" s="29" t="s">
        <v>1639</v>
      </c>
      <c r="E612" s="11">
        <f>Source!CA256</f>
        <v>65</v>
      </c>
      <c r="F612" s="49"/>
      <c r="G612" s="31"/>
      <c r="H612" s="30">
        <f>SUM(U606:U613)</f>
        <v>9.67</v>
      </c>
      <c r="I612" s="34"/>
      <c r="J612" s="27">
        <f>Source!AU256</f>
        <v>65</v>
      </c>
      <c r="K612" s="30">
        <f>SUM(V606:V613)</f>
        <v>63.47</v>
      </c>
      <c r="L612" s="32"/>
    </row>
    <row r="613" spans="1:26" ht="14.25" x14ac:dyDescent="0.2">
      <c r="A613" s="47"/>
      <c r="B613" s="48"/>
      <c r="C613" s="48" t="s">
        <v>1641</v>
      </c>
      <c r="D613" s="35" t="s">
        <v>1642</v>
      </c>
      <c r="E613" s="36">
        <f>Source!AQ256</f>
        <v>16.29</v>
      </c>
      <c r="F613" s="37"/>
      <c r="G613" s="38" t="str">
        <f>Source!DI256</f>
        <v>)*0,3</v>
      </c>
      <c r="H613" s="37"/>
      <c r="I613" s="38"/>
      <c r="J613" s="38"/>
      <c r="K613" s="37"/>
      <c r="L613" s="39">
        <f>Source!U256</f>
        <v>1.5638399999999999</v>
      </c>
    </row>
    <row r="614" spans="1:26" ht="15" x14ac:dyDescent="0.25">
      <c r="G614" s="70">
        <f>H608+H609+H611+H612</f>
        <v>38.71</v>
      </c>
      <c r="H614" s="70"/>
      <c r="J614" s="70">
        <f>K608+K609+K611+K612</f>
        <v>253.99999999999997</v>
      </c>
      <c r="K614" s="70"/>
      <c r="L614" s="40">
        <f>Source!U256</f>
        <v>1.5638399999999999</v>
      </c>
      <c r="O614" s="24">
        <f>G614</f>
        <v>38.71</v>
      </c>
      <c r="P614" s="24">
        <f>J614</f>
        <v>253.99999999999997</v>
      </c>
      <c r="Q614" s="24">
        <f>L614</f>
        <v>1.5638399999999999</v>
      </c>
      <c r="W614">
        <f>IF(Source!BI256&lt;=1,H608+H609+H611+H612, 0)</f>
        <v>0</v>
      </c>
      <c r="X614">
        <f>IF(Source!BI256=2,H608+H609+H611+H612, 0)</f>
        <v>38.71</v>
      </c>
      <c r="Y614">
        <f>IF(Source!BI256=3,H608+H609+H611+H612, 0)</f>
        <v>0</v>
      </c>
      <c r="Z614">
        <f>IF(Source!BI256=4,H608+H609+H611+H612, 0)</f>
        <v>0</v>
      </c>
    </row>
    <row r="615" spans="1:26" ht="28.5" x14ac:dyDescent="0.2">
      <c r="A615" s="45" t="str">
        <f>Source!E257</f>
        <v>58</v>
      </c>
      <c r="B615" s="46" t="str">
        <f>Source!F257</f>
        <v>м08-02-370-02</v>
      </c>
      <c r="C615" s="46" t="str">
        <f>Source!G257</f>
        <v>Демонтаж:Щиток до трех групп, устанавливаемый в нише цоколя</v>
      </c>
      <c r="D615" s="29" t="str">
        <f>Source!H257</f>
        <v>ШТ</v>
      </c>
      <c r="E615" s="11">
        <f>Source!I257</f>
        <v>6</v>
      </c>
      <c r="F615" s="30">
        <f>Source!AL257+Source!AM257+Source!AO257</f>
        <v>33.42</v>
      </c>
      <c r="G615" s="31"/>
      <c r="H615" s="30"/>
      <c r="I615" s="31" t="str">
        <f>Source!BO257</f>
        <v/>
      </c>
      <c r="J615" s="31"/>
      <c r="K615" s="30"/>
      <c r="L615" s="32"/>
      <c r="S615">
        <f>ROUND((Source!FX257/100)*((ROUND(Source!AF257*Source!I257, 2)+ROUND(Source!AE257*Source!I257, 2))), 2)</f>
        <v>20.46</v>
      </c>
      <c r="T615">
        <f>Source!X257</f>
        <v>134.24</v>
      </c>
      <c r="U615">
        <f>ROUND((Source!FY257/100)*((ROUND(Source!AF257*Source!I257, 2)+ROUND(Source!AE257*Source!I257, 2))), 2)</f>
        <v>14</v>
      </c>
      <c r="V615">
        <f>Source!Y257</f>
        <v>91.85</v>
      </c>
    </row>
    <row r="616" spans="1:26" ht="14.25" x14ac:dyDescent="0.2">
      <c r="A616" s="45"/>
      <c r="B616" s="46"/>
      <c r="C616" s="46" t="s">
        <v>1636</v>
      </c>
      <c r="D616" s="29"/>
      <c r="E616" s="11"/>
      <c r="F616" s="30">
        <f>Source!AO257</f>
        <v>9.4499999999999993</v>
      </c>
      <c r="G616" s="31" t="str">
        <f>Source!DG257</f>
        <v>)*0,3</v>
      </c>
      <c r="H616" s="30">
        <f>ROUND(Source!AF257*Source!I257, 2)</f>
        <v>17.04</v>
      </c>
      <c r="I616" s="31"/>
      <c r="J616" s="31">
        <f>IF(Source!BA257&lt;&gt; 0, Source!BA257, 1)</f>
        <v>6.56</v>
      </c>
      <c r="K616" s="30">
        <f>Source!S257</f>
        <v>111.78</v>
      </c>
      <c r="L616" s="32"/>
      <c r="R616">
        <f>H616</f>
        <v>17.04</v>
      </c>
    </row>
    <row r="617" spans="1:26" ht="14.25" x14ac:dyDescent="0.2">
      <c r="A617" s="45"/>
      <c r="B617" s="46"/>
      <c r="C617" s="46" t="s">
        <v>136</v>
      </c>
      <c r="D617" s="29"/>
      <c r="E617" s="11"/>
      <c r="F617" s="30">
        <f>Source!AM257</f>
        <v>17.77</v>
      </c>
      <c r="G617" s="31" t="str">
        <f>Source!DE257</f>
        <v>)*0,3</v>
      </c>
      <c r="H617" s="30">
        <f>ROUND(Source!AD257*Source!I257, 2)</f>
        <v>31.98</v>
      </c>
      <c r="I617" s="31"/>
      <c r="J617" s="31">
        <f>IF(Source!BB257&lt;&gt; 0, Source!BB257, 1)</f>
        <v>6.56</v>
      </c>
      <c r="K617" s="30">
        <f>Source!Q257</f>
        <v>209.79</v>
      </c>
      <c r="L617" s="32"/>
    </row>
    <row r="618" spans="1:26" ht="14.25" x14ac:dyDescent="0.2">
      <c r="A618" s="45"/>
      <c r="B618" s="46"/>
      <c r="C618" s="46" t="s">
        <v>1637</v>
      </c>
      <c r="D618" s="29"/>
      <c r="E618" s="11"/>
      <c r="F618" s="30">
        <f>Source!AN257</f>
        <v>2.5099999999999998</v>
      </c>
      <c r="G618" s="31" t="str">
        <f>Source!DF257</f>
        <v>)*0,3</v>
      </c>
      <c r="H618" s="33">
        <f>ROUND(Source!AE257*Source!I257, 2)</f>
        <v>4.5</v>
      </c>
      <c r="I618" s="31"/>
      <c r="J618" s="31">
        <f>IF(Source!BS257&lt;&gt; 0, Source!BS257, 1)</f>
        <v>6.56</v>
      </c>
      <c r="K618" s="33">
        <f>Source!R257</f>
        <v>29.52</v>
      </c>
      <c r="L618" s="32"/>
      <c r="R618">
        <f>H618</f>
        <v>4.5</v>
      </c>
    </row>
    <row r="619" spans="1:26" ht="14.25" x14ac:dyDescent="0.2">
      <c r="A619" s="45"/>
      <c r="B619" s="46"/>
      <c r="C619" s="46" t="s">
        <v>1638</v>
      </c>
      <c r="D619" s="29" t="s">
        <v>1639</v>
      </c>
      <c r="E619" s="11">
        <f>Source!BZ257</f>
        <v>95</v>
      </c>
      <c r="F619" s="49"/>
      <c r="G619" s="31"/>
      <c r="H619" s="30">
        <f>SUM(S615:S621)</f>
        <v>20.46</v>
      </c>
      <c r="I619" s="34"/>
      <c r="J619" s="27">
        <f>Source!AT257</f>
        <v>95</v>
      </c>
      <c r="K619" s="30">
        <f>SUM(T615:T621)</f>
        <v>134.24</v>
      </c>
      <c r="L619" s="32"/>
    </row>
    <row r="620" spans="1:26" ht="14.25" x14ac:dyDescent="0.2">
      <c r="A620" s="45"/>
      <c r="B620" s="46"/>
      <c r="C620" s="46" t="s">
        <v>1640</v>
      </c>
      <c r="D620" s="29" t="s">
        <v>1639</v>
      </c>
      <c r="E620" s="11">
        <f>Source!CA257</f>
        <v>65</v>
      </c>
      <c r="F620" s="49"/>
      <c r="G620" s="31"/>
      <c r="H620" s="30">
        <f>SUM(U615:U621)</f>
        <v>14</v>
      </c>
      <c r="I620" s="34"/>
      <c r="J620" s="27">
        <f>Source!AU257</f>
        <v>65</v>
      </c>
      <c r="K620" s="30">
        <f>SUM(V615:V621)</f>
        <v>91.85</v>
      </c>
      <c r="L620" s="32"/>
    </row>
    <row r="621" spans="1:26" ht="14.25" x14ac:dyDescent="0.2">
      <c r="A621" s="47"/>
      <c r="B621" s="48"/>
      <c r="C621" s="48" t="s">
        <v>1641</v>
      </c>
      <c r="D621" s="35" t="s">
        <v>1642</v>
      </c>
      <c r="E621" s="36">
        <f>Source!AQ257</f>
        <v>0.9</v>
      </c>
      <c r="F621" s="37"/>
      <c r="G621" s="38" t="str">
        <f>Source!DI257</f>
        <v>)*0,3</v>
      </c>
      <c r="H621" s="37"/>
      <c r="I621" s="38"/>
      <c r="J621" s="38"/>
      <c r="K621" s="37"/>
      <c r="L621" s="39">
        <f>Source!U257</f>
        <v>1.62</v>
      </c>
    </row>
    <row r="622" spans="1:26" ht="15" x14ac:dyDescent="0.25">
      <c r="G622" s="70">
        <f>H616+H617+H619+H620</f>
        <v>83.47999999999999</v>
      </c>
      <c r="H622" s="70"/>
      <c r="J622" s="70">
        <f>K616+K617+K619+K620</f>
        <v>547.66</v>
      </c>
      <c r="K622" s="70"/>
      <c r="L622" s="40">
        <f>Source!U257</f>
        <v>1.62</v>
      </c>
      <c r="O622" s="24">
        <f>G622</f>
        <v>83.47999999999999</v>
      </c>
      <c r="P622" s="24">
        <f>J622</f>
        <v>547.66</v>
      </c>
      <c r="Q622" s="24">
        <f>L622</f>
        <v>1.62</v>
      </c>
      <c r="W622">
        <f>IF(Source!BI257&lt;=1,H616+H617+H619+H620, 0)</f>
        <v>0</v>
      </c>
      <c r="X622">
        <f>IF(Source!BI257=2,H616+H617+H619+H620, 0)</f>
        <v>83.47999999999999</v>
      </c>
      <c r="Y622">
        <f>IF(Source!BI257=3,H616+H617+H619+H620, 0)</f>
        <v>0</v>
      </c>
      <c r="Z622">
        <f>IF(Source!BI257=4,H616+H617+H619+H620, 0)</f>
        <v>0</v>
      </c>
    </row>
    <row r="624" spans="1:26" ht="15" x14ac:dyDescent="0.25">
      <c r="A624" s="74" t="str">
        <f>CONCATENATE("Итого по подразделу: ",IF(Source!G259&lt;&gt;"Новый подраздел", Source!G259, ""))</f>
        <v>Итого по подразделу: 1Демонтаж</v>
      </c>
      <c r="B624" s="74"/>
      <c r="C624" s="74"/>
      <c r="D624" s="74"/>
      <c r="E624" s="74"/>
      <c r="F624" s="74"/>
      <c r="G624" s="73">
        <f>SUM(O580:O623)</f>
        <v>809.42</v>
      </c>
      <c r="H624" s="73"/>
      <c r="I624" s="26"/>
      <c r="J624" s="73">
        <f>SUM(P580:P623)</f>
        <v>5309.7999999999993</v>
      </c>
      <c r="K624" s="73"/>
      <c r="L624" s="40">
        <f>SUM(Q580:Q623)</f>
        <v>38.146639999999998</v>
      </c>
    </row>
    <row r="625" spans="1:26" ht="16.5" x14ac:dyDescent="0.25">
      <c r="A625" s="75" t="str">
        <f>CONCATENATE("Подраздел: ",IF(Source!G288&lt;&gt;"Новый подраздел", Source!G288, ""))</f>
        <v>Подраздел: 2 Монтаж освещения</v>
      </c>
      <c r="B625" s="75"/>
      <c r="C625" s="75"/>
      <c r="D625" s="75"/>
      <c r="E625" s="75"/>
      <c r="F625" s="75"/>
      <c r="G625" s="75"/>
      <c r="H625" s="75"/>
      <c r="I625" s="75"/>
      <c r="J625" s="75"/>
      <c r="K625" s="75"/>
      <c r="L625" s="75"/>
    </row>
    <row r="626" spans="1:26" ht="28.5" x14ac:dyDescent="0.2">
      <c r="A626" s="45" t="str">
        <f>Source!E292</f>
        <v>59</v>
      </c>
      <c r="B626" s="46" t="str">
        <f>Source!F292</f>
        <v>м08-03-593-19</v>
      </c>
      <c r="C626" s="46" t="str">
        <f>Source!G292</f>
        <v>Светильник в подвесных потолках</v>
      </c>
      <c r="D626" s="29" t="str">
        <f>Source!H292</f>
        <v>100 ШТ</v>
      </c>
      <c r="E626" s="11">
        <f>Source!I292</f>
        <v>0.43</v>
      </c>
      <c r="F626" s="30">
        <f>Source!AL292+Source!AM292+Source!AO292</f>
        <v>1092.72</v>
      </c>
      <c r="G626" s="31"/>
      <c r="H626" s="30"/>
      <c r="I626" s="31" t="str">
        <f>Source!BO292</f>
        <v/>
      </c>
      <c r="J626" s="31"/>
      <c r="K626" s="30"/>
      <c r="L626" s="32"/>
      <c r="S626">
        <f>ROUND((Source!FX292/100)*((ROUND(Source!AF292*Source!I292, 2)+ROUND(Source!AE292*Source!I292, 2))), 2)</f>
        <v>384.59</v>
      </c>
      <c r="T626">
        <f>Source!X292</f>
        <v>2522.92</v>
      </c>
      <c r="U626">
        <f>ROUND((Source!FY292/100)*((ROUND(Source!AF292*Source!I292, 2)+ROUND(Source!AE292*Source!I292, 2))), 2)</f>
        <v>263.14</v>
      </c>
      <c r="V626">
        <f>Source!Y292</f>
        <v>1726.21</v>
      </c>
    </row>
    <row r="627" spans="1:26" x14ac:dyDescent="0.2">
      <c r="C627" s="23" t="str">
        <f>"Объем: "&amp;Source!I292&amp;"=43/"&amp;"100"</f>
        <v>Объем: 0,43=43/100</v>
      </c>
    </row>
    <row r="628" spans="1:26" ht="14.25" x14ac:dyDescent="0.2">
      <c r="A628" s="45"/>
      <c r="B628" s="46"/>
      <c r="C628" s="46" t="s">
        <v>1636</v>
      </c>
      <c r="D628" s="29"/>
      <c r="E628" s="11"/>
      <c r="F628" s="30">
        <f>Source!AO292</f>
        <v>936.45</v>
      </c>
      <c r="G628" s="31" t="str">
        <f>Source!DG292</f>
        <v/>
      </c>
      <c r="H628" s="30">
        <f>ROUND(Source!AF292*Source!I292, 2)</f>
        <v>402.67</v>
      </c>
      <c r="I628" s="31"/>
      <c r="J628" s="31">
        <f>IF(Source!BA292&lt;&gt; 0, Source!BA292, 1)</f>
        <v>6.56</v>
      </c>
      <c r="K628" s="30">
        <f>Source!S292</f>
        <v>2641.54</v>
      </c>
      <c r="L628" s="32"/>
      <c r="R628">
        <f>H628</f>
        <v>402.67</v>
      </c>
    </row>
    <row r="629" spans="1:26" ht="14.25" x14ac:dyDescent="0.2">
      <c r="A629" s="45"/>
      <c r="B629" s="46"/>
      <c r="C629" s="46" t="s">
        <v>136</v>
      </c>
      <c r="D629" s="29"/>
      <c r="E629" s="11"/>
      <c r="F629" s="30">
        <f>Source!AM292</f>
        <v>35.54</v>
      </c>
      <c r="G629" s="31" t="str">
        <f>Source!DE292</f>
        <v/>
      </c>
      <c r="H629" s="30">
        <f>ROUND(Source!AD292*Source!I292, 2)</f>
        <v>15.28</v>
      </c>
      <c r="I629" s="31"/>
      <c r="J629" s="31">
        <f>IF(Source!BB292&lt;&gt; 0, Source!BB292, 1)</f>
        <v>6.56</v>
      </c>
      <c r="K629" s="30">
        <f>Source!Q292</f>
        <v>100.25</v>
      </c>
      <c r="L629" s="32"/>
    </row>
    <row r="630" spans="1:26" ht="14.25" x14ac:dyDescent="0.2">
      <c r="A630" s="45"/>
      <c r="B630" s="46"/>
      <c r="C630" s="46" t="s">
        <v>1637</v>
      </c>
      <c r="D630" s="29"/>
      <c r="E630" s="11"/>
      <c r="F630" s="30">
        <f>Source!AN292</f>
        <v>5.0199999999999996</v>
      </c>
      <c r="G630" s="31" t="str">
        <f>Source!DF292</f>
        <v/>
      </c>
      <c r="H630" s="33">
        <f>ROUND(Source!AE292*Source!I292, 2)</f>
        <v>2.16</v>
      </c>
      <c r="I630" s="31"/>
      <c r="J630" s="31">
        <f>IF(Source!BS292&lt;&gt; 0, Source!BS292, 1)</f>
        <v>6.56</v>
      </c>
      <c r="K630" s="33">
        <f>Source!R292</f>
        <v>14.16</v>
      </c>
      <c r="L630" s="32"/>
      <c r="R630">
        <f>H630</f>
        <v>2.16</v>
      </c>
    </row>
    <row r="631" spans="1:26" ht="14.25" x14ac:dyDescent="0.2">
      <c r="A631" s="45"/>
      <c r="B631" s="46"/>
      <c r="C631" s="46" t="s">
        <v>1643</v>
      </c>
      <c r="D631" s="29"/>
      <c r="E631" s="11"/>
      <c r="F631" s="30">
        <f>Source!AL292</f>
        <v>120.73</v>
      </c>
      <c r="G631" s="31" t="str">
        <f>Source!DD292</f>
        <v/>
      </c>
      <c r="H631" s="30">
        <f>ROUND(Source!AC292*Source!I292, 2)</f>
        <v>51.91</v>
      </c>
      <c r="I631" s="31"/>
      <c r="J631" s="31">
        <f>IF(Source!BC292&lt;&gt; 0, Source!BC292, 1)</f>
        <v>6.56</v>
      </c>
      <c r="K631" s="30">
        <f>Source!P292</f>
        <v>340.56</v>
      </c>
      <c r="L631" s="32"/>
    </row>
    <row r="632" spans="1:26" ht="14.25" x14ac:dyDescent="0.2">
      <c r="A632" s="45"/>
      <c r="B632" s="46"/>
      <c r="C632" s="46" t="s">
        <v>1638</v>
      </c>
      <c r="D632" s="29" t="s">
        <v>1639</v>
      </c>
      <c r="E632" s="11">
        <f>Source!BZ292</f>
        <v>95</v>
      </c>
      <c r="F632" s="49"/>
      <c r="G632" s="31"/>
      <c r="H632" s="30">
        <f>SUM(S626:S635)</f>
        <v>384.59</v>
      </c>
      <c r="I632" s="34"/>
      <c r="J632" s="27">
        <f>Source!AT292</f>
        <v>95</v>
      </c>
      <c r="K632" s="30">
        <f>SUM(T626:T635)</f>
        <v>2522.92</v>
      </c>
      <c r="L632" s="32"/>
    </row>
    <row r="633" spans="1:26" ht="14.25" x14ac:dyDescent="0.2">
      <c r="A633" s="45"/>
      <c r="B633" s="46"/>
      <c r="C633" s="46" t="s">
        <v>1640</v>
      </c>
      <c r="D633" s="29" t="s">
        <v>1639</v>
      </c>
      <c r="E633" s="11">
        <f>Source!CA292</f>
        <v>65</v>
      </c>
      <c r="F633" s="49"/>
      <c r="G633" s="31"/>
      <c r="H633" s="30">
        <f>SUM(U626:U635)</f>
        <v>263.14</v>
      </c>
      <c r="I633" s="34"/>
      <c r="J633" s="27">
        <f>Source!AU292</f>
        <v>65</v>
      </c>
      <c r="K633" s="30">
        <f>SUM(V626:V635)</f>
        <v>1726.21</v>
      </c>
      <c r="L633" s="32"/>
    </row>
    <row r="634" spans="1:26" ht="14.25" x14ac:dyDescent="0.2">
      <c r="A634" s="45"/>
      <c r="B634" s="46"/>
      <c r="C634" s="46" t="s">
        <v>1641</v>
      </c>
      <c r="D634" s="29" t="s">
        <v>1642</v>
      </c>
      <c r="E634" s="11">
        <f>Source!AQ292</f>
        <v>94.4</v>
      </c>
      <c r="F634" s="30"/>
      <c r="G634" s="31" t="str">
        <f>Source!DI292</f>
        <v/>
      </c>
      <c r="H634" s="30"/>
      <c r="I634" s="31"/>
      <c r="J634" s="31"/>
      <c r="K634" s="30"/>
      <c r="L634" s="41">
        <f>Source!U292</f>
        <v>40.591999999999999</v>
      </c>
    </row>
    <row r="635" spans="1:26" ht="57" x14ac:dyDescent="0.2">
      <c r="A635" s="47" t="str">
        <f>Source!E293</f>
        <v>59,1</v>
      </c>
      <c r="B635" s="48" t="str">
        <f>Source!F293</f>
        <v>20.3.03.04-0044</v>
      </c>
      <c r="C635" s="48" t="str">
        <f>Source!G293</f>
        <v>Светильник светодиодный,накладной мощностью 40W,цветовой температурой К4000,размером 595х595х40мм,IP40 прим.</v>
      </c>
      <c r="D635" s="35" t="str">
        <f>Source!H293</f>
        <v>шт.</v>
      </c>
      <c r="E635" s="36">
        <f>Source!I293</f>
        <v>43</v>
      </c>
      <c r="F635" s="37">
        <f>Source!AL293+Source!AM293+Source!AO293</f>
        <v>340.37</v>
      </c>
      <c r="G635" s="43" t="s">
        <v>6</v>
      </c>
      <c r="H635" s="37">
        <f>ROUND(Source!AC293*Source!I293, 2)+ROUND(Source!AD293*Source!I293, 2)+ROUND(Source!AF293*Source!I293, 2)</f>
        <v>14635.91</v>
      </c>
      <c r="I635" s="38"/>
      <c r="J635" s="38">
        <f>IF(Source!BC293&lt;&gt; 0, Source!BC293, 1)</f>
        <v>6.56</v>
      </c>
      <c r="K635" s="37">
        <f>Source!O293</f>
        <v>96011.57</v>
      </c>
      <c r="L635" s="44"/>
      <c r="S635">
        <f>ROUND((Source!FX293/100)*((ROUND(Source!AF293*Source!I293, 2)+ROUND(Source!AE293*Source!I293, 2))), 2)</f>
        <v>0</v>
      </c>
      <c r="T635">
        <f>Source!X293</f>
        <v>0</v>
      </c>
      <c r="U635">
        <f>ROUND((Source!FY293/100)*((ROUND(Source!AF293*Source!I293, 2)+ROUND(Source!AE293*Source!I293, 2))), 2)</f>
        <v>0</v>
      </c>
      <c r="V635">
        <f>Source!Y293</f>
        <v>0</v>
      </c>
      <c r="W635">
        <f>IF(Source!BI293&lt;=1,H635, 0)</f>
        <v>0</v>
      </c>
      <c r="X635">
        <f>IF(Source!BI293=2,H635, 0)</f>
        <v>14635.91</v>
      </c>
      <c r="Y635">
        <f>IF(Source!BI293=3,H635, 0)</f>
        <v>0</v>
      </c>
      <c r="Z635">
        <f>IF(Source!BI293=4,H635, 0)</f>
        <v>0</v>
      </c>
    </row>
    <row r="636" spans="1:26" ht="15" x14ac:dyDescent="0.25">
      <c r="G636" s="70">
        <f>H628+H629+H631+H632+H633+SUM(H635:H635)</f>
        <v>15753.5</v>
      </c>
      <c r="H636" s="70"/>
      <c r="J636" s="70">
        <f>K628+K629+K631+K632+K633+SUM(K635:K635)</f>
        <v>103343.05</v>
      </c>
      <c r="K636" s="70"/>
      <c r="L636" s="40">
        <f>Source!U292</f>
        <v>40.591999999999999</v>
      </c>
      <c r="O636" s="24">
        <f>G636</f>
        <v>15753.5</v>
      </c>
      <c r="P636" s="24">
        <f>J636</f>
        <v>103343.05</v>
      </c>
      <c r="Q636" s="24">
        <f>L636</f>
        <v>40.591999999999999</v>
      </c>
      <c r="W636">
        <f>IF(Source!BI292&lt;=1,H628+H629+H631+H632+H633, 0)</f>
        <v>0</v>
      </c>
      <c r="X636">
        <f>IF(Source!BI292=2,H628+H629+H631+H632+H633, 0)</f>
        <v>1117.5900000000001</v>
      </c>
      <c r="Y636">
        <f>IF(Source!BI292=3,H628+H629+H631+H632+H633, 0)</f>
        <v>0</v>
      </c>
      <c r="Z636">
        <f>IF(Source!BI292=4,H628+H629+H631+H632+H633, 0)</f>
        <v>0</v>
      </c>
    </row>
    <row r="637" spans="1:26" ht="42.75" x14ac:dyDescent="0.2">
      <c r="A637" s="45" t="str">
        <f>Source!E294</f>
        <v>60</v>
      </c>
      <c r="B637" s="46" t="str">
        <f>Source!F294</f>
        <v>м08-03-591-04</v>
      </c>
      <c r="C637" s="46" t="str">
        <f>Source!G294</f>
        <v>Выключатель двухклавишный неутопленного типа при открытой проводке</v>
      </c>
      <c r="D637" s="29" t="str">
        <f>Source!H294</f>
        <v>100 ШТ</v>
      </c>
      <c r="E637" s="11">
        <f>Source!I294</f>
        <v>0.02</v>
      </c>
      <c r="F637" s="30">
        <f>Source!AL294+Source!AM294+Source!AO294</f>
        <v>456.35</v>
      </c>
      <c r="G637" s="31"/>
      <c r="H637" s="30"/>
      <c r="I637" s="31" t="str">
        <f>Source!BO294</f>
        <v/>
      </c>
      <c r="J637" s="31"/>
      <c r="K637" s="30"/>
      <c r="L637" s="32"/>
      <c r="S637">
        <f>ROUND((Source!FX294/100)*((ROUND(Source!AF294*Source!I294, 2)+ROUND(Source!AE294*Source!I294, 2))), 2)</f>
        <v>6.63</v>
      </c>
      <c r="T637">
        <f>Source!X294</f>
        <v>43.51</v>
      </c>
      <c r="U637">
        <f>ROUND((Source!FY294/100)*((ROUND(Source!AF294*Source!I294, 2)+ROUND(Source!AE294*Source!I294, 2))), 2)</f>
        <v>4.54</v>
      </c>
      <c r="V637">
        <f>Source!Y294</f>
        <v>29.77</v>
      </c>
    </row>
    <row r="638" spans="1:26" x14ac:dyDescent="0.2">
      <c r="C638" s="23" t="str">
        <f>"Объем: "&amp;Source!I294&amp;"=2/"&amp;"100"</f>
        <v>Объем: 0,02=2/100</v>
      </c>
    </row>
    <row r="639" spans="1:26" ht="14.25" x14ac:dyDescent="0.2">
      <c r="A639" s="45"/>
      <c r="B639" s="46"/>
      <c r="C639" s="46" t="s">
        <v>1636</v>
      </c>
      <c r="D639" s="29"/>
      <c r="E639" s="11"/>
      <c r="F639" s="30">
        <f>Source!AO294</f>
        <v>348.49</v>
      </c>
      <c r="G639" s="31" t="str">
        <f>Source!DG294</f>
        <v/>
      </c>
      <c r="H639" s="30">
        <f>ROUND(Source!AF294*Source!I294, 2)</f>
        <v>6.97</v>
      </c>
      <c r="I639" s="31"/>
      <c r="J639" s="31">
        <f>IF(Source!BA294&lt;&gt; 0, Source!BA294, 1)</f>
        <v>6.56</v>
      </c>
      <c r="K639" s="30">
        <f>Source!S294</f>
        <v>45.72</v>
      </c>
      <c r="L639" s="32"/>
      <c r="R639">
        <f>H639</f>
        <v>6.97</v>
      </c>
    </row>
    <row r="640" spans="1:26" ht="14.25" x14ac:dyDescent="0.2">
      <c r="A640" s="45"/>
      <c r="B640" s="46"/>
      <c r="C640" s="46" t="s">
        <v>136</v>
      </c>
      <c r="D640" s="29"/>
      <c r="E640" s="11"/>
      <c r="F640" s="30">
        <f>Source!AM294</f>
        <v>4.67</v>
      </c>
      <c r="G640" s="31" t="str">
        <f>Source!DE294</f>
        <v/>
      </c>
      <c r="H640" s="30">
        <f>ROUND(Source!AD294*Source!I294, 2)</f>
        <v>0.09</v>
      </c>
      <c r="I640" s="31"/>
      <c r="J640" s="31">
        <f>IF(Source!BB294&lt;&gt; 0, Source!BB294, 1)</f>
        <v>6.56</v>
      </c>
      <c r="K640" s="30">
        <f>Source!Q294</f>
        <v>0.61</v>
      </c>
      <c r="L640" s="32"/>
    </row>
    <row r="641" spans="1:26" ht="14.25" x14ac:dyDescent="0.2">
      <c r="A641" s="45"/>
      <c r="B641" s="46"/>
      <c r="C641" s="46" t="s">
        <v>1637</v>
      </c>
      <c r="D641" s="29"/>
      <c r="E641" s="11"/>
      <c r="F641" s="30">
        <f>Source!AN294</f>
        <v>0.64</v>
      </c>
      <c r="G641" s="31" t="str">
        <f>Source!DF294</f>
        <v/>
      </c>
      <c r="H641" s="33">
        <f>ROUND(Source!AE294*Source!I294, 2)</f>
        <v>0.01</v>
      </c>
      <c r="I641" s="31"/>
      <c r="J641" s="31">
        <f>IF(Source!BS294&lt;&gt; 0, Source!BS294, 1)</f>
        <v>6.56</v>
      </c>
      <c r="K641" s="33">
        <f>Source!R294</f>
        <v>0.08</v>
      </c>
      <c r="L641" s="32"/>
      <c r="R641">
        <f>H641</f>
        <v>0.01</v>
      </c>
    </row>
    <row r="642" spans="1:26" ht="14.25" x14ac:dyDescent="0.2">
      <c r="A642" s="45"/>
      <c r="B642" s="46"/>
      <c r="C642" s="46" t="s">
        <v>1643</v>
      </c>
      <c r="D642" s="29"/>
      <c r="E642" s="11"/>
      <c r="F642" s="30">
        <f>Source!AL294</f>
        <v>103.19</v>
      </c>
      <c r="G642" s="31" t="str">
        <f>Source!DD294</f>
        <v/>
      </c>
      <c r="H642" s="30">
        <f>ROUND(Source!AC294*Source!I294, 2)</f>
        <v>2.06</v>
      </c>
      <c r="I642" s="31"/>
      <c r="J642" s="31">
        <f>IF(Source!BC294&lt;&gt; 0, Source!BC294, 1)</f>
        <v>6.56</v>
      </c>
      <c r="K642" s="30">
        <f>Source!P294</f>
        <v>13.54</v>
      </c>
      <c r="L642" s="32"/>
    </row>
    <row r="643" spans="1:26" ht="14.25" x14ac:dyDescent="0.2">
      <c r="A643" s="45"/>
      <c r="B643" s="46"/>
      <c r="C643" s="46" t="s">
        <v>1638</v>
      </c>
      <c r="D643" s="29" t="s">
        <v>1639</v>
      </c>
      <c r="E643" s="11">
        <f>Source!BZ294</f>
        <v>95</v>
      </c>
      <c r="F643" s="49"/>
      <c r="G643" s="31"/>
      <c r="H643" s="30">
        <f>SUM(S637:S646)</f>
        <v>6.63</v>
      </c>
      <c r="I643" s="34"/>
      <c r="J643" s="27">
        <f>Source!AT294</f>
        <v>95</v>
      </c>
      <c r="K643" s="30">
        <f>SUM(T637:T646)</f>
        <v>43.51</v>
      </c>
      <c r="L643" s="32"/>
    </row>
    <row r="644" spans="1:26" ht="14.25" x14ac:dyDescent="0.2">
      <c r="A644" s="45"/>
      <c r="B644" s="46"/>
      <c r="C644" s="46" t="s">
        <v>1640</v>
      </c>
      <c r="D644" s="29" t="s">
        <v>1639</v>
      </c>
      <c r="E644" s="11">
        <f>Source!CA294</f>
        <v>65</v>
      </c>
      <c r="F644" s="49"/>
      <c r="G644" s="31"/>
      <c r="H644" s="30">
        <f>SUM(U637:U646)</f>
        <v>4.54</v>
      </c>
      <c r="I644" s="34"/>
      <c r="J644" s="27">
        <f>Source!AU294</f>
        <v>65</v>
      </c>
      <c r="K644" s="30">
        <f>SUM(V637:V646)</f>
        <v>29.77</v>
      </c>
      <c r="L644" s="32"/>
    </row>
    <row r="645" spans="1:26" ht="14.25" x14ac:dyDescent="0.2">
      <c r="A645" s="45"/>
      <c r="B645" s="46"/>
      <c r="C645" s="46" t="s">
        <v>1641</v>
      </c>
      <c r="D645" s="29" t="s">
        <v>1642</v>
      </c>
      <c r="E645" s="11">
        <f>Source!AQ294</f>
        <v>35.130000000000003</v>
      </c>
      <c r="F645" s="30"/>
      <c r="G645" s="31" t="str">
        <f>Source!DI294</f>
        <v/>
      </c>
      <c r="H645" s="30"/>
      <c r="I645" s="31"/>
      <c r="J645" s="31"/>
      <c r="K645" s="30"/>
      <c r="L645" s="41">
        <f>Source!U294</f>
        <v>0.70260000000000011</v>
      </c>
    </row>
    <row r="646" spans="1:26" ht="28.5" x14ac:dyDescent="0.2">
      <c r="A646" s="47" t="str">
        <f>Source!E295</f>
        <v>60,1</v>
      </c>
      <c r="B646" s="48" t="str">
        <f>Source!F295</f>
        <v>20.4.01.01-0001</v>
      </c>
      <c r="C646" s="48" t="str">
        <f>Source!G295</f>
        <v>Выключатель двухклавишный для открытой проводки</v>
      </c>
      <c r="D646" s="35" t="str">
        <f>Source!H295</f>
        <v>10 шт.</v>
      </c>
      <c r="E646" s="36">
        <f>Source!I295</f>
        <v>0.2</v>
      </c>
      <c r="F646" s="37">
        <f>Source!AL295+Source!AM295+Source!AO295</f>
        <v>72.8</v>
      </c>
      <c r="G646" s="43" t="s">
        <v>6</v>
      </c>
      <c r="H646" s="37">
        <f>ROUND(Source!AC295*Source!I295, 2)+ROUND(Source!AD295*Source!I295, 2)+ROUND(Source!AF295*Source!I295, 2)</f>
        <v>14.56</v>
      </c>
      <c r="I646" s="38"/>
      <c r="J646" s="38">
        <f>IF(Source!BC295&lt;&gt; 0, Source!BC295, 1)</f>
        <v>6.56</v>
      </c>
      <c r="K646" s="37">
        <f>Source!O295</f>
        <v>95.51</v>
      </c>
      <c r="L646" s="44"/>
      <c r="S646">
        <f>ROUND((Source!FX295/100)*((ROUND(Source!AF295*Source!I295, 2)+ROUND(Source!AE295*Source!I295, 2))), 2)</f>
        <v>0</v>
      </c>
      <c r="T646">
        <f>Source!X295</f>
        <v>0</v>
      </c>
      <c r="U646">
        <f>ROUND((Source!FY295/100)*((ROUND(Source!AF295*Source!I295, 2)+ROUND(Source!AE295*Source!I295, 2))), 2)</f>
        <v>0</v>
      </c>
      <c r="V646">
        <f>Source!Y295</f>
        <v>0</v>
      </c>
      <c r="W646">
        <f>IF(Source!BI295&lt;=1,H646, 0)</f>
        <v>0</v>
      </c>
      <c r="X646">
        <f>IF(Source!BI295=2,H646, 0)</f>
        <v>14.56</v>
      </c>
      <c r="Y646">
        <f>IF(Source!BI295=3,H646, 0)</f>
        <v>0</v>
      </c>
      <c r="Z646">
        <f>IF(Source!BI295=4,H646, 0)</f>
        <v>0</v>
      </c>
    </row>
    <row r="647" spans="1:26" ht="15" x14ac:dyDescent="0.25">
      <c r="G647" s="70">
        <f>H639+H640+H642+H643+H644+SUM(H646:H646)</f>
        <v>34.85</v>
      </c>
      <c r="H647" s="70"/>
      <c r="J647" s="70">
        <f>K639+K640+K642+K643+K644+SUM(K646:K646)</f>
        <v>228.66000000000003</v>
      </c>
      <c r="K647" s="70"/>
      <c r="L647" s="40">
        <f>Source!U294</f>
        <v>0.70260000000000011</v>
      </c>
      <c r="O647" s="24">
        <f>G647</f>
        <v>34.85</v>
      </c>
      <c r="P647" s="24">
        <f>J647</f>
        <v>228.66000000000003</v>
      </c>
      <c r="Q647" s="24">
        <f>L647</f>
        <v>0.70260000000000011</v>
      </c>
      <c r="W647">
        <f>IF(Source!BI294&lt;=1,H639+H640+H642+H643+H644, 0)</f>
        <v>0</v>
      </c>
      <c r="X647">
        <f>IF(Source!BI294=2,H639+H640+H642+H643+H644, 0)</f>
        <v>20.29</v>
      </c>
      <c r="Y647">
        <f>IF(Source!BI294=3,H639+H640+H642+H643+H644, 0)</f>
        <v>0</v>
      </c>
      <c r="Z647">
        <f>IF(Source!BI294=4,H639+H640+H642+H643+H644, 0)</f>
        <v>0</v>
      </c>
    </row>
    <row r="648" spans="1:26" ht="42.75" x14ac:dyDescent="0.2">
      <c r="A648" s="45" t="str">
        <f>Source!E296</f>
        <v>61</v>
      </c>
      <c r="B648" s="46" t="str">
        <f>Source!F296</f>
        <v>м08-03-591-01</v>
      </c>
      <c r="C648" s="46" t="str">
        <f>Source!G296</f>
        <v>Выключатель одноклавишный неутопленного типа при открытой проводке</v>
      </c>
      <c r="D648" s="29" t="str">
        <f>Source!H296</f>
        <v>100 ШТ</v>
      </c>
      <c r="E648" s="11">
        <f>Source!I296</f>
        <v>0.05</v>
      </c>
      <c r="F648" s="30">
        <f>Source!AL296+Source!AM296+Source!AO296</f>
        <v>423.97</v>
      </c>
      <c r="G648" s="31"/>
      <c r="H648" s="30"/>
      <c r="I648" s="31" t="str">
        <f>Source!BO296</f>
        <v/>
      </c>
      <c r="J648" s="31"/>
      <c r="K648" s="30"/>
      <c r="L648" s="32"/>
      <c r="S648">
        <f>ROUND((Source!FX296/100)*((ROUND(Source!AF296*Source!I296, 2)+ROUND(Source!AE296*Source!I296, 2))), 2)</f>
        <v>14.92</v>
      </c>
      <c r="T648">
        <f>Source!X296</f>
        <v>97.88</v>
      </c>
      <c r="U648">
        <f>ROUND((Source!FY296/100)*((ROUND(Source!AF296*Source!I296, 2)+ROUND(Source!AE296*Source!I296, 2))), 2)</f>
        <v>10.210000000000001</v>
      </c>
      <c r="V648">
        <f>Source!Y296</f>
        <v>66.97</v>
      </c>
    </row>
    <row r="649" spans="1:26" x14ac:dyDescent="0.2">
      <c r="C649" s="23" t="str">
        <f>"Объем: "&amp;Source!I296&amp;"=5/"&amp;"100"</f>
        <v>Объем: 0,05=5/100</v>
      </c>
    </row>
    <row r="650" spans="1:26" ht="14.25" x14ac:dyDescent="0.2">
      <c r="A650" s="45"/>
      <c r="B650" s="46"/>
      <c r="C650" s="46" t="s">
        <v>1636</v>
      </c>
      <c r="D650" s="29"/>
      <c r="E650" s="11"/>
      <c r="F650" s="30">
        <f>Source!AO296</f>
        <v>313.47000000000003</v>
      </c>
      <c r="G650" s="31" t="str">
        <f>Source!DG296</f>
        <v/>
      </c>
      <c r="H650" s="30">
        <f>ROUND(Source!AF296*Source!I296, 2)</f>
        <v>15.67</v>
      </c>
      <c r="I650" s="31"/>
      <c r="J650" s="31">
        <f>IF(Source!BA296&lt;&gt; 0, Source!BA296, 1)</f>
        <v>6.56</v>
      </c>
      <c r="K650" s="30">
        <f>Source!S296</f>
        <v>102.82</v>
      </c>
      <c r="L650" s="32"/>
      <c r="R650">
        <f>H650</f>
        <v>15.67</v>
      </c>
    </row>
    <row r="651" spans="1:26" ht="14.25" x14ac:dyDescent="0.2">
      <c r="A651" s="45"/>
      <c r="B651" s="46"/>
      <c r="C651" s="46" t="s">
        <v>136</v>
      </c>
      <c r="D651" s="29"/>
      <c r="E651" s="11"/>
      <c r="F651" s="30">
        <f>Source!AM296</f>
        <v>4.67</v>
      </c>
      <c r="G651" s="31" t="str">
        <f>Source!DE296</f>
        <v/>
      </c>
      <c r="H651" s="30">
        <f>ROUND(Source!AD296*Source!I296, 2)</f>
        <v>0.23</v>
      </c>
      <c r="I651" s="31"/>
      <c r="J651" s="31">
        <f>IF(Source!BB296&lt;&gt; 0, Source!BB296, 1)</f>
        <v>6.56</v>
      </c>
      <c r="K651" s="30">
        <f>Source!Q296</f>
        <v>1.53</v>
      </c>
      <c r="L651" s="32"/>
    </row>
    <row r="652" spans="1:26" ht="14.25" x14ac:dyDescent="0.2">
      <c r="A652" s="45"/>
      <c r="B652" s="46"/>
      <c r="C652" s="46" t="s">
        <v>1637</v>
      </c>
      <c r="D652" s="29"/>
      <c r="E652" s="11"/>
      <c r="F652" s="30">
        <f>Source!AN296</f>
        <v>0.64</v>
      </c>
      <c r="G652" s="31" t="str">
        <f>Source!DF296</f>
        <v/>
      </c>
      <c r="H652" s="33">
        <f>ROUND(Source!AE296*Source!I296, 2)</f>
        <v>0.03</v>
      </c>
      <c r="I652" s="31"/>
      <c r="J652" s="31">
        <f>IF(Source!BS296&lt;&gt; 0, Source!BS296, 1)</f>
        <v>6.56</v>
      </c>
      <c r="K652" s="33">
        <f>Source!R296</f>
        <v>0.21</v>
      </c>
      <c r="L652" s="32"/>
      <c r="R652">
        <f>H652</f>
        <v>0.03</v>
      </c>
    </row>
    <row r="653" spans="1:26" ht="14.25" x14ac:dyDescent="0.2">
      <c r="A653" s="45"/>
      <c r="B653" s="46"/>
      <c r="C653" s="46" t="s">
        <v>1643</v>
      </c>
      <c r="D653" s="29"/>
      <c r="E653" s="11"/>
      <c r="F653" s="30">
        <f>Source!AL296</f>
        <v>105.83</v>
      </c>
      <c r="G653" s="31" t="str">
        <f>Source!DD296</f>
        <v/>
      </c>
      <c r="H653" s="30">
        <f>ROUND(Source!AC296*Source!I296, 2)</f>
        <v>5.29</v>
      </c>
      <c r="I653" s="31"/>
      <c r="J653" s="31">
        <f>IF(Source!BC296&lt;&gt; 0, Source!BC296, 1)</f>
        <v>6.56</v>
      </c>
      <c r="K653" s="30">
        <f>Source!P296</f>
        <v>34.71</v>
      </c>
      <c r="L653" s="32"/>
    </row>
    <row r="654" spans="1:26" ht="14.25" x14ac:dyDescent="0.2">
      <c r="A654" s="45"/>
      <c r="B654" s="46"/>
      <c r="C654" s="46" t="s">
        <v>1638</v>
      </c>
      <c r="D654" s="29" t="s">
        <v>1639</v>
      </c>
      <c r="E654" s="11">
        <f>Source!BZ296</f>
        <v>95</v>
      </c>
      <c r="F654" s="49"/>
      <c r="G654" s="31"/>
      <c r="H654" s="30">
        <f>SUM(S648:S657)</f>
        <v>14.92</v>
      </c>
      <c r="I654" s="34"/>
      <c r="J654" s="27">
        <f>Source!AT296</f>
        <v>95</v>
      </c>
      <c r="K654" s="30">
        <f>SUM(T648:T657)</f>
        <v>97.88</v>
      </c>
      <c r="L654" s="32"/>
    </row>
    <row r="655" spans="1:26" ht="14.25" x14ac:dyDescent="0.2">
      <c r="A655" s="45"/>
      <c r="B655" s="46"/>
      <c r="C655" s="46" t="s">
        <v>1640</v>
      </c>
      <c r="D655" s="29" t="s">
        <v>1639</v>
      </c>
      <c r="E655" s="11">
        <f>Source!CA296</f>
        <v>65</v>
      </c>
      <c r="F655" s="49"/>
      <c r="G655" s="31"/>
      <c r="H655" s="30">
        <f>SUM(U648:U657)</f>
        <v>10.210000000000001</v>
      </c>
      <c r="I655" s="34"/>
      <c r="J655" s="27">
        <f>Source!AU296</f>
        <v>65</v>
      </c>
      <c r="K655" s="30">
        <f>SUM(V648:V657)</f>
        <v>66.97</v>
      </c>
      <c r="L655" s="32"/>
    </row>
    <row r="656" spans="1:26" ht="14.25" x14ac:dyDescent="0.2">
      <c r="A656" s="45"/>
      <c r="B656" s="46"/>
      <c r="C656" s="46" t="s">
        <v>1641</v>
      </c>
      <c r="D656" s="29" t="s">
        <v>1642</v>
      </c>
      <c r="E656" s="11">
        <f>Source!AQ296</f>
        <v>31.6</v>
      </c>
      <c r="F656" s="30"/>
      <c r="G656" s="31" t="str">
        <f>Source!DI296</f>
        <v/>
      </c>
      <c r="H656" s="30"/>
      <c r="I656" s="31"/>
      <c r="J656" s="31"/>
      <c r="K656" s="30"/>
      <c r="L656" s="41">
        <f>Source!U296</f>
        <v>1.58</v>
      </c>
    </row>
    <row r="657" spans="1:26" ht="42.75" x14ac:dyDescent="0.2">
      <c r="A657" s="47" t="str">
        <f>Source!E297</f>
        <v>61,1</v>
      </c>
      <c r="B657" s="48" t="str">
        <f>Source!F297</f>
        <v>20.4.01.01-0044</v>
      </c>
      <c r="C657" s="48" t="str">
        <f>Source!G297</f>
        <v>Выключатель одноклавишный для открытой проводки серии "Прима", марка А16-051, цвет белый</v>
      </c>
      <c r="D657" s="35" t="str">
        <f>Source!H297</f>
        <v>10 шт.</v>
      </c>
      <c r="E657" s="36">
        <f>Source!I297</f>
        <v>0.5</v>
      </c>
      <c r="F657" s="37">
        <f>Source!AL297+Source!AM297+Source!AO297</f>
        <v>64.400000000000006</v>
      </c>
      <c r="G657" s="43" t="s">
        <v>6</v>
      </c>
      <c r="H657" s="37">
        <f>ROUND(Source!AC297*Source!I297, 2)+ROUND(Source!AD297*Source!I297, 2)+ROUND(Source!AF297*Source!I297, 2)</f>
        <v>32.200000000000003</v>
      </c>
      <c r="I657" s="38"/>
      <c r="J657" s="38">
        <f>IF(Source!BC297&lt;&gt; 0, Source!BC297, 1)</f>
        <v>6.56</v>
      </c>
      <c r="K657" s="37">
        <f>Source!O297</f>
        <v>211.23</v>
      </c>
      <c r="L657" s="44"/>
      <c r="S657">
        <f>ROUND((Source!FX297/100)*((ROUND(Source!AF297*Source!I297, 2)+ROUND(Source!AE297*Source!I297, 2))), 2)</f>
        <v>0</v>
      </c>
      <c r="T657">
        <f>Source!X297</f>
        <v>0</v>
      </c>
      <c r="U657">
        <f>ROUND((Source!FY297/100)*((ROUND(Source!AF297*Source!I297, 2)+ROUND(Source!AE297*Source!I297, 2))), 2)</f>
        <v>0</v>
      </c>
      <c r="V657">
        <f>Source!Y297</f>
        <v>0</v>
      </c>
      <c r="W657">
        <f>IF(Source!BI297&lt;=1,H657, 0)</f>
        <v>0</v>
      </c>
      <c r="X657">
        <f>IF(Source!BI297=2,H657, 0)</f>
        <v>32.200000000000003</v>
      </c>
      <c r="Y657">
        <f>IF(Source!BI297=3,H657, 0)</f>
        <v>0</v>
      </c>
      <c r="Z657">
        <f>IF(Source!BI297=4,H657, 0)</f>
        <v>0</v>
      </c>
    </row>
    <row r="658" spans="1:26" ht="15" x14ac:dyDescent="0.25">
      <c r="G658" s="70">
        <f>H650+H651+H653+H654+H655+SUM(H657:H657)</f>
        <v>78.52000000000001</v>
      </c>
      <c r="H658" s="70"/>
      <c r="J658" s="70">
        <f>K650+K651+K653+K654+K655+SUM(K657:K657)</f>
        <v>515.14</v>
      </c>
      <c r="K658" s="70"/>
      <c r="L658" s="40">
        <f>Source!U296</f>
        <v>1.58</v>
      </c>
      <c r="O658" s="24">
        <f>G658</f>
        <v>78.52000000000001</v>
      </c>
      <c r="P658" s="24">
        <f>J658</f>
        <v>515.14</v>
      </c>
      <c r="Q658" s="24">
        <f>L658</f>
        <v>1.58</v>
      </c>
      <c r="W658">
        <f>IF(Source!BI296&lt;=1,H650+H651+H653+H654+H655, 0)</f>
        <v>0</v>
      </c>
      <c r="X658">
        <f>IF(Source!BI296=2,H650+H651+H653+H654+H655, 0)</f>
        <v>46.32</v>
      </c>
      <c r="Y658">
        <f>IF(Source!BI296=3,H650+H651+H653+H654+H655, 0)</f>
        <v>0</v>
      </c>
      <c r="Z658">
        <f>IF(Source!BI296=4,H650+H651+H653+H654+H655, 0)</f>
        <v>0</v>
      </c>
    </row>
    <row r="659" spans="1:26" ht="28.5" x14ac:dyDescent="0.2">
      <c r="A659" s="45" t="str">
        <f>Source!E298</f>
        <v>62</v>
      </c>
      <c r="B659" s="46" t="str">
        <f>Source!F298</f>
        <v>м08-10-010-01</v>
      </c>
      <c r="C659" s="46" t="str">
        <f>Source!G298</f>
        <v>Прокладка труб гофрированных ПВХ для защиты проводов и кабелей</v>
      </c>
      <c r="D659" s="29" t="str">
        <f>Source!H298</f>
        <v>100 м</v>
      </c>
      <c r="E659" s="11">
        <f>Source!I298</f>
        <v>0.98</v>
      </c>
      <c r="F659" s="30">
        <f>Source!AL298+Source!AM298+Source!AO298</f>
        <v>156.32999999999998</v>
      </c>
      <c r="G659" s="31"/>
      <c r="H659" s="30"/>
      <c r="I659" s="31" t="str">
        <f>Source!BO298</f>
        <v/>
      </c>
      <c r="J659" s="31"/>
      <c r="K659" s="30"/>
      <c r="L659" s="32"/>
      <c r="S659">
        <f>ROUND((Source!FX298/100)*((ROUND(Source!AF298*Source!I298, 2)+ROUND(Source!AE298*Source!I298, 2))), 2)</f>
        <v>129.91</v>
      </c>
      <c r="T659">
        <f>Source!X298</f>
        <v>852.22</v>
      </c>
      <c r="U659">
        <f>ROUND((Source!FY298/100)*((ROUND(Source!AF298*Source!I298, 2)+ROUND(Source!AE298*Source!I298, 2))), 2)</f>
        <v>88.89</v>
      </c>
      <c r="V659">
        <f>Source!Y298</f>
        <v>583.1</v>
      </c>
    </row>
    <row r="660" spans="1:26" x14ac:dyDescent="0.2">
      <c r="C660" s="23" t="str">
        <f>"Объем: "&amp;Source!I298&amp;"=98/"&amp;"100"</f>
        <v>Объем: 0,98=98/100</v>
      </c>
    </row>
    <row r="661" spans="1:26" ht="14.25" x14ac:dyDescent="0.2">
      <c r="A661" s="45"/>
      <c r="B661" s="46"/>
      <c r="C661" s="46" t="s">
        <v>1636</v>
      </c>
      <c r="D661" s="29"/>
      <c r="E661" s="11"/>
      <c r="F661" s="30">
        <f>Source!AO298</f>
        <v>139.54</v>
      </c>
      <c r="G661" s="31" t="str">
        <f>Source!DG298</f>
        <v/>
      </c>
      <c r="H661" s="30">
        <f>ROUND(Source!AF298*Source!I298, 2)</f>
        <v>136.75</v>
      </c>
      <c r="I661" s="31"/>
      <c r="J661" s="31">
        <f>IF(Source!BA298&lt;&gt; 0, Source!BA298, 1)</f>
        <v>6.56</v>
      </c>
      <c r="K661" s="30">
        <f>Source!S298</f>
        <v>897.07</v>
      </c>
      <c r="L661" s="32"/>
      <c r="R661">
        <f>H661</f>
        <v>136.75</v>
      </c>
    </row>
    <row r="662" spans="1:26" ht="14.25" x14ac:dyDescent="0.2">
      <c r="A662" s="45"/>
      <c r="B662" s="46"/>
      <c r="C662" s="46" t="s">
        <v>1643</v>
      </c>
      <c r="D662" s="29"/>
      <c r="E662" s="11"/>
      <c r="F662" s="30">
        <f>Source!AL298</f>
        <v>16.79</v>
      </c>
      <c r="G662" s="31" t="str">
        <f>Source!DD298</f>
        <v/>
      </c>
      <c r="H662" s="30">
        <f>ROUND(Source!AC298*Source!I298, 2)</f>
        <v>16.45</v>
      </c>
      <c r="I662" s="31"/>
      <c r="J662" s="31">
        <f>IF(Source!BC298&lt;&gt; 0, Source!BC298, 1)</f>
        <v>6.56</v>
      </c>
      <c r="K662" s="30">
        <f>Source!P298</f>
        <v>107.94</v>
      </c>
      <c r="L662" s="32"/>
    </row>
    <row r="663" spans="1:26" ht="14.25" x14ac:dyDescent="0.2">
      <c r="A663" s="45"/>
      <c r="B663" s="46"/>
      <c r="C663" s="46" t="s">
        <v>1638</v>
      </c>
      <c r="D663" s="29" t="s">
        <v>1639</v>
      </c>
      <c r="E663" s="11">
        <f>Source!BZ298</f>
        <v>95</v>
      </c>
      <c r="F663" s="49"/>
      <c r="G663" s="31"/>
      <c r="H663" s="30">
        <f>SUM(S659:S666)</f>
        <v>129.91</v>
      </c>
      <c r="I663" s="34"/>
      <c r="J663" s="27">
        <f>Source!AT298</f>
        <v>95</v>
      </c>
      <c r="K663" s="30">
        <f>SUM(T659:T666)</f>
        <v>852.22</v>
      </c>
      <c r="L663" s="32"/>
    </row>
    <row r="664" spans="1:26" ht="14.25" x14ac:dyDescent="0.2">
      <c r="A664" s="45"/>
      <c r="B664" s="46"/>
      <c r="C664" s="46" t="s">
        <v>1640</v>
      </c>
      <c r="D664" s="29" t="s">
        <v>1639</v>
      </c>
      <c r="E664" s="11">
        <f>Source!CA298</f>
        <v>65</v>
      </c>
      <c r="F664" s="49"/>
      <c r="G664" s="31"/>
      <c r="H664" s="30">
        <f>SUM(U659:U666)</f>
        <v>88.89</v>
      </c>
      <c r="I664" s="34"/>
      <c r="J664" s="27">
        <f>Source!AU298</f>
        <v>65</v>
      </c>
      <c r="K664" s="30">
        <f>SUM(V659:V666)</f>
        <v>583.1</v>
      </c>
      <c r="L664" s="32"/>
    </row>
    <row r="665" spans="1:26" ht="14.25" x14ac:dyDescent="0.2">
      <c r="A665" s="45"/>
      <c r="B665" s="46"/>
      <c r="C665" s="46" t="s">
        <v>1641</v>
      </c>
      <c r="D665" s="29" t="s">
        <v>1642</v>
      </c>
      <c r="E665" s="11">
        <f>Source!AQ298</f>
        <v>15.2</v>
      </c>
      <c r="F665" s="30"/>
      <c r="G665" s="31" t="str">
        <f>Source!DI298</f>
        <v/>
      </c>
      <c r="H665" s="30"/>
      <c r="I665" s="31"/>
      <c r="J665" s="31"/>
      <c r="K665" s="30"/>
      <c r="L665" s="41">
        <f>Source!U298</f>
        <v>14.895999999999999</v>
      </c>
    </row>
    <row r="666" spans="1:26" ht="42.75" x14ac:dyDescent="0.2">
      <c r="A666" s="47" t="str">
        <f>Source!E299</f>
        <v>62,1</v>
      </c>
      <c r="B666" s="48" t="str">
        <f>Source!F299</f>
        <v>24.3.01.02-0021</v>
      </c>
      <c r="C666" s="48" t="str">
        <f>Source!G299</f>
        <v>Трубы гибкие гофрированные легкие из самозатухающего ПВХ (IP55) серии FL, с зондом, диаметром 16 мм</v>
      </c>
      <c r="D666" s="35" t="str">
        <f>Source!H299</f>
        <v>10 м</v>
      </c>
      <c r="E666" s="36">
        <f>Source!I299</f>
        <v>9.8000000000000007</v>
      </c>
      <c r="F666" s="37">
        <f>Source!AL299+Source!AM299+Source!AO299</f>
        <v>16.11</v>
      </c>
      <c r="G666" s="43" t="s">
        <v>6</v>
      </c>
      <c r="H666" s="37">
        <f>ROUND(Source!AC299*Source!I299, 2)+ROUND(Source!AD299*Source!I299, 2)+ROUND(Source!AF299*Source!I299, 2)</f>
        <v>157.88</v>
      </c>
      <c r="I666" s="38"/>
      <c r="J666" s="38">
        <f>IF(Source!BC299&lt;&gt; 0, Source!BC299, 1)</f>
        <v>6.56</v>
      </c>
      <c r="K666" s="37">
        <f>Source!O299</f>
        <v>1035.68</v>
      </c>
      <c r="L666" s="44"/>
      <c r="S666">
        <f>ROUND((Source!FX299/100)*((ROUND(Source!AF299*Source!I299, 2)+ROUND(Source!AE299*Source!I299, 2))), 2)</f>
        <v>0</v>
      </c>
      <c r="T666">
        <f>Source!X299</f>
        <v>0</v>
      </c>
      <c r="U666">
        <f>ROUND((Source!FY299/100)*((ROUND(Source!AF299*Source!I299, 2)+ROUND(Source!AE299*Source!I299, 2))), 2)</f>
        <v>0</v>
      </c>
      <c r="V666">
        <f>Source!Y299</f>
        <v>0</v>
      </c>
      <c r="W666">
        <f>IF(Source!BI299&lt;=1,H666, 0)</f>
        <v>0</v>
      </c>
      <c r="X666">
        <f>IF(Source!BI299=2,H666, 0)</f>
        <v>157.88</v>
      </c>
      <c r="Y666">
        <f>IF(Source!BI299=3,H666, 0)</f>
        <v>0</v>
      </c>
      <c r="Z666">
        <f>IF(Source!BI299=4,H666, 0)</f>
        <v>0</v>
      </c>
    </row>
    <row r="667" spans="1:26" ht="15" x14ac:dyDescent="0.25">
      <c r="G667" s="70">
        <f>H661+H662+H663+H664+SUM(H666:H666)</f>
        <v>529.88</v>
      </c>
      <c r="H667" s="70"/>
      <c r="J667" s="70">
        <f>K661+K662+K663+K664+SUM(K666:K666)</f>
        <v>3476.01</v>
      </c>
      <c r="K667" s="70"/>
      <c r="L667" s="40">
        <f>Source!U298</f>
        <v>14.895999999999999</v>
      </c>
      <c r="O667" s="24">
        <f>G667</f>
        <v>529.88</v>
      </c>
      <c r="P667" s="24">
        <f>J667</f>
        <v>3476.01</v>
      </c>
      <c r="Q667" s="24">
        <f>L667</f>
        <v>14.895999999999999</v>
      </c>
      <c r="W667">
        <f>IF(Source!BI298&lt;=1,H661+H662+H663+H664, 0)</f>
        <v>0</v>
      </c>
      <c r="X667">
        <f>IF(Source!BI298=2,H661+H662+H663+H664, 0)</f>
        <v>372</v>
      </c>
      <c r="Y667">
        <f>IF(Source!BI298=3,H661+H662+H663+H664, 0)</f>
        <v>0</v>
      </c>
      <c r="Z667">
        <f>IF(Source!BI298=4,H661+H662+H663+H664, 0)</f>
        <v>0</v>
      </c>
    </row>
    <row r="668" spans="1:26" ht="71.25" x14ac:dyDescent="0.2">
      <c r="A668" s="45" t="str">
        <f>Source!E300</f>
        <v>63</v>
      </c>
      <c r="B668" s="46" t="str">
        <f>Source!F300</f>
        <v>м08-02-412-02</v>
      </c>
      <c r="C668" s="46" t="str">
        <f>Source!G300</f>
        <v>Затягивание провода в проложенные трубы и металлические рукава первого одножильного или многожильного в общей оплетке, суммарное сечение до 6 мм2</v>
      </c>
      <c r="D668" s="29" t="str">
        <f>Source!H300</f>
        <v>100 м</v>
      </c>
      <c r="E668" s="11">
        <f>Source!I300</f>
        <v>2.0499999999999998</v>
      </c>
      <c r="F668" s="30">
        <f>Source!AL300+Source!AM300+Source!AO300</f>
        <v>68.7</v>
      </c>
      <c r="G668" s="31"/>
      <c r="H668" s="30"/>
      <c r="I668" s="31" t="str">
        <f>Source!BO300</f>
        <v/>
      </c>
      <c r="J668" s="31"/>
      <c r="K668" s="30"/>
      <c r="L668" s="32"/>
      <c r="S668">
        <f>ROUND((Source!FX300/100)*((ROUND(Source!AF300*Source!I300, 2)+ROUND(Source!AE300*Source!I300, 2))), 2)</f>
        <v>99.66</v>
      </c>
      <c r="T668">
        <f>Source!X300</f>
        <v>653.72</v>
      </c>
      <c r="U668">
        <f>ROUND((Source!FY300/100)*((ROUND(Source!AF300*Source!I300, 2)+ROUND(Source!AE300*Source!I300, 2))), 2)</f>
        <v>68.19</v>
      </c>
      <c r="V668">
        <f>Source!Y300</f>
        <v>447.28</v>
      </c>
    </row>
    <row r="669" spans="1:26" x14ac:dyDescent="0.2">
      <c r="C669" s="23" t="str">
        <f>"Объем: "&amp;Source!I300&amp;"=205/"&amp;"100"</f>
        <v>Объем: 2,05=205/100</v>
      </c>
    </row>
    <row r="670" spans="1:26" ht="14.25" x14ac:dyDescent="0.2">
      <c r="A670" s="45"/>
      <c r="B670" s="46"/>
      <c r="C670" s="46" t="s">
        <v>1636</v>
      </c>
      <c r="D670" s="29"/>
      <c r="E670" s="11"/>
      <c r="F670" s="30">
        <f>Source!AO300</f>
        <v>50.67</v>
      </c>
      <c r="G670" s="31" t="str">
        <f>Source!DG300</f>
        <v/>
      </c>
      <c r="H670" s="30">
        <f>ROUND(Source!AF300*Source!I300, 2)</f>
        <v>103.87</v>
      </c>
      <c r="I670" s="31"/>
      <c r="J670" s="31">
        <f>IF(Source!BA300&lt;&gt; 0, Source!BA300, 1)</f>
        <v>6.56</v>
      </c>
      <c r="K670" s="30">
        <f>Source!S300</f>
        <v>681.41</v>
      </c>
      <c r="L670" s="32"/>
      <c r="R670">
        <f>H670</f>
        <v>103.87</v>
      </c>
    </row>
    <row r="671" spans="1:26" ht="14.25" x14ac:dyDescent="0.2">
      <c r="A671" s="45"/>
      <c r="B671" s="46"/>
      <c r="C671" s="46" t="s">
        <v>136</v>
      </c>
      <c r="D671" s="29"/>
      <c r="E671" s="11"/>
      <c r="F671" s="30">
        <f>Source!AM300</f>
        <v>3.55</v>
      </c>
      <c r="G671" s="31" t="str">
        <f>Source!DE300</f>
        <v/>
      </c>
      <c r="H671" s="30">
        <f>ROUND(Source!AD300*Source!I300, 2)</f>
        <v>7.28</v>
      </c>
      <c r="I671" s="31"/>
      <c r="J671" s="31">
        <f>IF(Source!BB300&lt;&gt; 0, Source!BB300, 1)</f>
        <v>6.56</v>
      </c>
      <c r="K671" s="30">
        <f>Source!Q300</f>
        <v>47.74</v>
      </c>
      <c r="L671" s="32"/>
    </row>
    <row r="672" spans="1:26" ht="14.25" x14ac:dyDescent="0.2">
      <c r="A672" s="45"/>
      <c r="B672" s="46"/>
      <c r="C672" s="46" t="s">
        <v>1637</v>
      </c>
      <c r="D672" s="29"/>
      <c r="E672" s="11"/>
      <c r="F672" s="30">
        <f>Source!AN300</f>
        <v>0.5</v>
      </c>
      <c r="G672" s="31" t="str">
        <f>Source!DF300</f>
        <v/>
      </c>
      <c r="H672" s="33">
        <f>ROUND(Source!AE300*Source!I300, 2)</f>
        <v>1.03</v>
      </c>
      <c r="I672" s="31"/>
      <c r="J672" s="31">
        <f>IF(Source!BS300&lt;&gt; 0, Source!BS300, 1)</f>
        <v>6.56</v>
      </c>
      <c r="K672" s="33">
        <f>Source!R300</f>
        <v>6.72</v>
      </c>
      <c r="L672" s="32"/>
      <c r="R672">
        <f>H672</f>
        <v>1.03</v>
      </c>
    </row>
    <row r="673" spans="1:26" ht="14.25" x14ac:dyDescent="0.2">
      <c r="A673" s="45"/>
      <c r="B673" s="46"/>
      <c r="C673" s="46" t="s">
        <v>1643</v>
      </c>
      <c r="D673" s="29"/>
      <c r="E673" s="11"/>
      <c r="F673" s="30">
        <f>Source!AL300</f>
        <v>14.48</v>
      </c>
      <c r="G673" s="31" t="str">
        <f>Source!DD300</f>
        <v/>
      </c>
      <c r="H673" s="30">
        <f>ROUND(Source!AC300*Source!I300, 2)</f>
        <v>29.68</v>
      </c>
      <c r="I673" s="31"/>
      <c r="J673" s="31">
        <f>IF(Source!BC300&lt;&gt; 0, Source!BC300, 1)</f>
        <v>6.56</v>
      </c>
      <c r="K673" s="30">
        <f>Source!P300</f>
        <v>194.73</v>
      </c>
      <c r="L673" s="32"/>
    </row>
    <row r="674" spans="1:26" ht="14.25" x14ac:dyDescent="0.2">
      <c r="A674" s="45"/>
      <c r="B674" s="46"/>
      <c r="C674" s="46" t="s">
        <v>1638</v>
      </c>
      <c r="D674" s="29" t="s">
        <v>1639</v>
      </c>
      <c r="E674" s="11">
        <f>Source!BZ300</f>
        <v>95</v>
      </c>
      <c r="F674" s="49"/>
      <c r="G674" s="31"/>
      <c r="H674" s="30">
        <f>SUM(S668:S677)</f>
        <v>99.66</v>
      </c>
      <c r="I674" s="34"/>
      <c r="J674" s="27">
        <f>Source!AT300</f>
        <v>95</v>
      </c>
      <c r="K674" s="30">
        <f>SUM(T668:T677)</f>
        <v>653.72</v>
      </c>
      <c r="L674" s="32"/>
    </row>
    <row r="675" spans="1:26" ht="14.25" x14ac:dyDescent="0.2">
      <c r="A675" s="45"/>
      <c r="B675" s="46"/>
      <c r="C675" s="46" t="s">
        <v>1640</v>
      </c>
      <c r="D675" s="29" t="s">
        <v>1639</v>
      </c>
      <c r="E675" s="11">
        <f>Source!CA300</f>
        <v>65</v>
      </c>
      <c r="F675" s="49"/>
      <c r="G675" s="31"/>
      <c r="H675" s="30">
        <f>SUM(U668:U677)</f>
        <v>68.19</v>
      </c>
      <c r="I675" s="34"/>
      <c r="J675" s="27">
        <f>Source!AU300</f>
        <v>65</v>
      </c>
      <c r="K675" s="30">
        <f>SUM(V668:V677)</f>
        <v>447.28</v>
      </c>
      <c r="L675" s="32"/>
    </row>
    <row r="676" spans="1:26" ht="14.25" x14ac:dyDescent="0.2">
      <c r="A676" s="45"/>
      <c r="B676" s="46"/>
      <c r="C676" s="46" t="s">
        <v>1641</v>
      </c>
      <c r="D676" s="29" t="s">
        <v>1642</v>
      </c>
      <c r="E676" s="11">
        <f>Source!AQ300</f>
        <v>5.39</v>
      </c>
      <c r="F676" s="30"/>
      <c r="G676" s="31" t="str">
        <f>Source!DI300</f>
        <v/>
      </c>
      <c r="H676" s="30"/>
      <c r="I676" s="31"/>
      <c r="J676" s="31"/>
      <c r="K676" s="30"/>
      <c r="L676" s="41">
        <f>Source!U300</f>
        <v>11.049499999999998</v>
      </c>
    </row>
    <row r="677" spans="1:26" ht="85.5" x14ac:dyDescent="0.2">
      <c r="A677" s="47" t="str">
        <f>Source!E301</f>
        <v>63,1</v>
      </c>
      <c r="B677" s="48" t="str">
        <f>Source!F301</f>
        <v>21.1.06.10-0375</v>
      </c>
      <c r="C677" s="48" t="str">
        <f>Source!G301</f>
        <v>Кабель силовой с медными жилами с изоляцией и оболочкой из ПВХ, не распространяющий горение, с низким дымо- и газовыделением, напряжением 1,0 кВ (ГОСТ Р 53769-2010), марки ВВГнг(A)-LS 3х1,5ок(N,РЕ)</v>
      </c>
      <c r="D677" s="35" t="str">
        <f>Source!H301</f>
        <v>1000 м</v>
      </c>
      <c r="E677" s="36">
        <f>Source!I301</f>
        <v>0.20499999999999999</v>
      </c>
      <c r="F677" s="37">
        <f>Source!AL301+Source!AM301+Source!AO301</f>
        <v>10960.87</v>
      </c>
      <c r="G677" s="43" t="s">
        <v>6</v>
      </c>
      <c r="H677" s="37">
        <f>ROUND(Source!AC301*Source!I301, 2)+ROUND(Source!AD301*Source!I301, 2)+ROUND(Source!AF301*Source!I301, 2)</f>
        <v>2246.98</v>
      </c>
      <c r="I677" s="38"/>
      <c r="J677" s="38">
        <f>IF(Source!BC301&lt;&gt; 0, Source!BC301, 1)</f>
        <v>6.56</v>
      </c>
      <c r="K677" s="37">
        <f>Source!O301</f>
        <v>14740.18</v>
      </c>
      <c r="L677" s="44"/>
      <c r="S677">
        <f>ROUND((Source!FX301/100)*((ROUND(Source!AF301*Source!I301, 2)+ROUND(Source!AE301*Source!I301, 2))), 2)</f>
        <v>0</v>
      </c>
      <c r="T677">
        <f>Source!X301</f>
        <v>0</v>
      </c>
      <c r="U677">
        <f>ROUND((Source!FY301/100)*((ROUND(Source!AF301*Source!I301, 2)+ROUND(Source!AE301*Source!I301, 2))), 2)</f>
        <v>0</v>
      </c>
      <c r="V677">
        <f>Source!Y301</f>
        <v>0</v>
      </c>
      <c r="W677">
        <f>IF(Source!BI301&lt;=1,H677, 0)</f>
        <v>0</v>
      </c>
      <c r="X677">
        <f>IF(Source!BI301=2,H677, 0)</f>
        <v>2246.98</v>
      </c>
      <c r="Y677">
        <f>IF(Source!BI301=3,H677, 0)</f>
        <v>0</v>
      </c>
      <c r="Z677">
        <f>IF(Source!BI301=4,H677, 0)</f>
        <v>0</v>
      </c>
    </row>
    <row r="678" spans="1:26" ht="15" x14ac:dyDescent="0.25">
      <c r="G678" s="70">
        <f>H670+H671+H673+H674+H675+SUM(H677:H677)</f>
        <v>2555.66</v>
      </c>
      <c r="H678" s="70"/>
      <c r="J678" s="70">
        <f>K670+K671+K673+K674+K675+SUM(K677:K677)</f>
        <v>16765.060000000001</v>
      </c>
      <c r="K678" s="70"/>
      <c r="L678" s="40">
        <f>Source!U300</f>
        <v>11.049499999999998</v>
      </c>
      <c r="O678" s="24">
        <f>G678</f>
        <v>2555.66</v>
      </c>
      <c r="P678" s="24">
        <f>J678</f>
        <v>16765.060000000001</v>
      </c>
      <c r="Q678" s="24">
        <f>L678</f>
        <v>11.049499999999998</v>
      </c>
      <c r="W678">
        <f>IF(Source!BI300&lt;=1,H670+H671+H673+H674+H675, 0)</f>
        <v>0</v>
      </c>
      <c r="X678">
        <f>IF(Source!BI300=2,H670+H671+H673+H674+H675, 0)</f>
        <v>308.68</v>
      </c>
      <c r="Y678">
        <f>IF(Source!BI300=3,H670+H671+H673+H674+H675, 0)</f>
        <v>0</v>
      </c>
      <c r="Z678">
        <f>IF(Source!BI300=4,H670+H671+H673+H674+H675, 0)</f>
        <v>0</v>
      </c>
    </row>
    <row r="679" spans="1:26" ht="28.5" x14ac:dyDescent="0.2">
      <c r="A679" s="45" t="str">
        <f>Source!E302</f>
        <v>64</v>
      </c>
      <c r="B679" s="46" t="str">
        <f>Source!F302</f>
        <v>м10-08-019-01</v>
      </c>
      <c r="C679" s="46" t="str">
        <f>Source!G302</f>
        <v>Коробка ответвительная на стене</v>
      </c>
      <c r="D679" s="29" t="str">
        <f>Source!H302</f>
        <v>ШТ</v>
      </c>
      <c r="E679" s="11">
        <f>Source!I302</f>
        <v>51</v>
      </c>
      <c r="F679" s="30">
        <f>Source!AL302+Source!AM302+Source!AO302</f>
        <v>5.29</v>
      </c>
      <c r="G679" s="31"/>
      <c r="H679" s="30"/>
      <c r="I679" s="31" t="str">
        <f>Source!BO302</f>
        <v/>
      </c>
      <c r="J679" s="31"/>
      <c r="K679" s="30"/>
      <c r="L679" s="32"/>
      <c r="S679">
        <f>ROUND((Source!FX302/100)*((ROUND(Source!AF302*Source!I302, 2)+ROUND(Source!AE302*Source!I302, 2))), 2)</f>
        <v>199.1</v>
      </c>
      <c r="T679">
        <f>Source!X302</f>
        <v>1306.1199999999999</v>
      </c>
      <c r="U679">
        <f>ROUND((Source!FY302/100)*((ROUND(Source!AF302*Source!I302, 2)+ROUND(Source!AE302*Source!I302, 2))), 2)</f>
        <v>149.33000000000001</v>
      </c>
      <c r="V679">
        <f>Source!Y302</f>
        <v>979.59</v>
      </c>
    </row>
    <row r="680" spans="1:26" ht="14.25" x14ac:dyDescent="0.2">
      <c r="A680" s="45"/>
      <c r="B680" s="46"/>
      <c r="C680" s="46" t="s">
        <v>1636</v>
      </c>
      <c r="D680" s="29"/>
      <c r="E680" s="11"/>
      <c r="F680" s="30">
        <f>Source!AO302</f>
        <v>4.88</v>
      </c>
      <c r="G680" s="31" t="str">
        <f>Source!DG302</f>
        <v/>
      </c>
      <c r="H680" s="30">
        <f>ROUND(Source!AF302*Source!I302, 2)</f>
        <v>248.88</v>
      </c>
      <c r="I680" s="31"/>
      <c r="J680" s="31">
        <f>IF(Source!BA302&lt;&gt; 0, Source!BA302, 1)</f>
        <v>6.56</v>
      </c>
      <c r="K680" s="30">
        <f>Source!S302</f>
        <v>1632.65</v>
      </c>
      <c r="L680" s="32"/>
      <c r="R680">
        <f>H680</f>
        <v>248.88</v>
      </c>
    </row>
    <row r="681" spans="1:26" ht="14.25" x14ac:dyDescent="0.2">
      <c r="A681" s="45"/>
      <c r="B681" s="46"/>
      <c r="C681" s="46" t="s">
        <v>1643</v>
      </c>
      <c r="D681" s="29"/>
      <c r="E681" s="11"/>
      <c r="F681" s="30">
        <f>Source!AL302</f>
        <v>0.41</v>
      </c>
      <c r="G681" s="31" t="str">
        <f>Source!DD302</f>
        <v/>
      </c>
      <c r="H681" s="30">
        <f>ROUND(Source!AC302*Source!I302, 2)</f>
        <v>20.91</v>
      </c>
      <c r="I681" s="31"/>
      <c r="J681" s="31">
        <f>IF(Source!BC302&lt;&gt; 0, Source!BC302, 1)</f>
        <v>6.56</v>
      </c>
      <c r="K681" s="30">
        <f>Source!P302</f>
        <v>137.16999999999999</v>
      </c>
      <c r="L681" s="32"/>
    </row>
    <row r="682" spans="1:26" ht="14.25" x14ac:dyDescent="0.2">
      <c r="A682" s="45"/>
      <c r="B682" s="46"/>
      <c r="C682" s="46" t="s">
        <v>1638</v>
      </c>
      <c r="D682" s="29" t="s">
        <v>1639</v>
      </c>
      <c r="E682" s="11">
        <f>Source!BZ302</f>
        <v>80</v>
      </c>
      <c r="F682" s="49"/>
      <c r="G682" s="31"/>
      <c r="H682" s="30">
        <f>SUM(S679:S685)</f>
        <v>199.1</v>
      </c>
      <c r="I682" s="34"/>
      <c r="J682" s="27">
        <f>Source!AT302</f>
        <v>80</v>
      </c>
      <c r="K682" s="30">
        <f>SUM(T679:T685)</f>
        <v>1306.1199999999999</v>
      </c>
      <c r="L682" s="32"/>
    </row>
    <row r="683" spans="1:26" ht="14.25" x14ac:dyDescent="0.2">
      <c r="A683" s="45"/>
      <c r="B683" s="46"/>
      <c r="C683" s="46" t="s">
        <v>1640</v>
      </c>
      <c r="D683" s="29" t="s">
        <v>1639</v>
      </c>
      <c r="E683" s="11">
        <f>Source!CA302</f>
        <v>60</v>
      </c>
      <c r="F683" s="49"/>
      <c r="G683" s="31"/>
      <c r="H683" s="30">
        <f>SUM(U679:U685)</f>
        <v>149.33000000000001</v>
      </c>
      <c r="I683" s="34"/>
      <c r="J683" s="27">
        <f>Source!AU302</f>
        <v>60</v>
      </c>
      <c r="K683" s="30">
        <f>SUM(V679:V685)</f>
        <v>979.59</v>
      </c>
      <c r="L683" s="32"/>
    </row>
    <row r="684" spans="1:26" ht="14.25" x14ac:dyDescent="0.2">
      <c r="A684" s="45"/>
      <c r="B684" s="46"/>
      <c r="C684" s="46" t="s">
        <v>1641</v>
      </c>
      <c r="D684" s="29" t="s">
        <v>1642</v>
      </c>
      <c r="E684" s="11">
        <f>Source!AQ302</f>
        <v>0.5</v>
      </c>
      <c r="F684" s="30"/>
      <c r="G684" s="31" t="str">
        <f>Source!DI302</f>
        <v/>
      </c>
      <c r="H684" s="30"/>
      <c r="I684" s="31"/>
      <c r="J684" s="31"/>
      <c r="K684" s="30"/>
      <c r="L684" s="41">
        <f>Source!U302</f>
        <v>25.5</v>
      </c>
    </row>
    <row r="685" spans="1:26" ht="28.5" x14ac:dyDescent="0.2">
      <c r="A685" s="47" t="str">
        <f>Source!E303</f>
        <v>64,1</v>
      </c>
      <c r="B685" s="48" t="str">
        <f>Source!F303</f>
        <v>20.5.02.07-0003</v>
      </c>
      <c r="C685" s="48" t="str">
        <f>Source!G303</f>
        <v>Коробка распаечная ,наружная 75х75мм прим.</v>
      </c>
      <c r="D685" s="35" t="str">
        <f>Source!H303</f>
        <v>шт.</v>
      </c>
      <c r="E685" s="36">
        <f>Source!I303</f>
        <v>51</v>
      </c>
      <c r="F685" s="37">
        <f>Source!AL303+Source!AM303+Source!AO303</f>
        <v>8.6199999999999992</v>
      </c>
      <c r="G685" s="43" t="s">
        <v>6</v>
      </c>
      <c r="H685" s="37">
        <f>ROUND(Source!AC303*Source!I303, 2)+ROUND(Source!AD303*Source!I303, 2)+ROUND(Source!AF303*Source!I303, 2)</f>
        <v>439.62</v>
      </c>
      <c r="I685" s="38"/>
      <c r="J685" s="38">
        <f>IF(Source!BC303&lt;&gt; 0, Source!BC303, 1)</f>
        <v>6.56</v>
      </c>
      <c r="K685" s="37">
        <f>Source!O303</f>
        <v>2883.91</v>
      </c>
      <c r="L685" s="44"/>
      <c r="S685">
        <f>ROUND((Source!FX303/100)*((ROUND(Source!AF303*Source!I303, 2)+ROUND(Source!AE303*Source!I303, 2))), 2)</f>
        <v>0</v>
      </c>
      <c r="T685">
        <f>Source!X303</f>
        <v>0</v>
      </c>
      <c r="U685">
        <f>ROUND((Source!FY303/100)*((ROUND(Source!AF303*Source!I303, 2)+ROUND(Source!AE303*Source!I303, 2))), 2)</f>
        <v>0</v>
      </c>
      <c r="V685">
        <f>Source!Y303</f>
        <v>0</v>
      </c>
      <c r="W685">
        <f>IF(Source!BI303&lt;=1,H685, 0)</f>
        <v>0</v>
      </c>
      <c r="X685">
        <f>IF(Source!BI303=2,H685, 0)</f>
        <v>439.62</v>
      </c>
      <c r="Y685">
        <f>IF(Source!BI303=3,H685, 0)</f>
        <v>0</v>
      </c>
      <c r="Z685">
        <f>IF(Source!BI303=4,H685, 0)</f>
        <v>0</v>
      </c>
    </row>
    <row r="686" spans="1:26" ht="15" x14ac:dyDescent="0.25">
      <c r="G686" s="70">
        <f>H680+H681+H682+H683+SUM(H685:H685)</f>
        <v>1057.8400000000001</v>
      </c>
      <c r="H686" s="70"/>
      <c r="J686" s="70">
        <f>K680+K681+K682+K683+SUM(K685:K685)</f>
        <v>6939.4400000000005</v>
      </c>
      <c r="K686" s="70"/>
      <c r="L686" s="40">
        <f>Source!U302</f>
        <v>25.5</v>
      </c>
      <c r="O686" s="24">
        <f>G686</f>
        <v>1057.8400000000001</v>
      </c>
      <c r="P686" s="24">
        <f>J686</f>
        <v>6939.4400000000005</v>
      </c>
      <c r="Q686" s="24">
        <f>L686</f>
        <v>25.5</v>
      </c>
      <c r="W686">
        <f>IF(Source!BI302&lt;=1,H680+H681+H682+H683, 0)</f>
        <v>0</v>
      </c>
      <c r="X686">
        <f>IF(Source!BI302=2,H680+H681+H682+H683, 0)</f>
        <v>618.22</v>
      </c>
      <c r="Y686">
        <f>IF(Source!BI302=3,H680+H681+H682+H683, 0)</f>
        <v>0</v>
      </c>
      <c r="Z686">
        <f>IF(Source!BI302=4,H680+H681+H682+H683, 0)</f>
        <v>0</v>
      </c>
    </row>
    <row r="687" spans="1:26" ht="57" x14ac:dyDescent="0.2">
      <c r="A687" s="45" t="str">
        <f>Source!E304</f>
        <v>65</v>
      </c>
      <c r="B687" s="46" t="str">
        <f>Source!F304</f>
        <v>69-2-1 прим.</v>
      </c>
      <c r="C687" s="46" t="str">
        <f>Source!G304</f>
        <v>Сверление отверстий в кирпичных стенах электроперфоратором диаметром до 20 мм, толщина стен 0,5 кирпича</v>
      </c>
      <c r="D687" s="29" t="str">
        <f>Source!H304</f>
        <v>100 ШТ</v>
      </c>
      <c r="E687" s="11">
        <f>Source!I304</f>
        <v>0.11</v>
      </c>
      <c r="F687" s="30">
        <f>Source!AL304+Source!AM304+Source!AO304</f>
        <v>46.83</v>
      </c>
      <c r="G687" s="31"/>
      <c r="H687" s="30"/>
      <c r="I687" s="31" t="str">
        <f>Source!BO304</f>
        <v/>
      </c>
      <c r="J687" s="31"/>
      <c r="K687" s="30"/>
      <c r="L687" s="32"/>
      <c r="S687">
        <f>ROUND((Source!FX304/100)*((ROUND(Source!AF304*Source!I304, 2)+ROUND(Source!AE304*Source!I304, 2))), 2)</f>
        <v>4.0199999999999996</v>
      </c>
      <c r="T687">
        <f>Source!X304</f>
        <v>26.36</v>
      </c>
      <c r="U687">
        <f>ROUND((Source!FY304/100)*((ROUND(Source!AF304*Source!I304, 2)+ROUND(Source!AE304*Source!I304, 2))), 2)</f>
        <v>2.58</v>
      </c>
      <c r="V687">
        <f>Source!Y304</f>
        <v>16.899999999999999</v>
      </c>
    </row>
    <row r="688" spans="1:26" x14ac:dyDescent="0.2">
      <c r="C688" s="23" t="str">
        <f>"Объем: "&amp;Source!I304&amp;"=11/"&amp;"100"</f>
        <v>Объем: 0,11=11/100</v>
      </c>
    </row>
    <row r="689" spans="1:26" ht="14.25" x14ac:dyDescent="0.2">
      <c r="A689" s="45"/>
      <c r="B689" s="46"/>
      <c r="C689" s="46" t="s">
        <v>1636</v>
      </c>
      <c r="D689" s="29"/>
      <c r="E689" s="11"/>
      <c r="F689" s="30">
        <f>Source!AO304</f>
        <v>46.83</v>
      </c>
      <c r="G689" s="31" t="str">
        <f>Source!DG304</f>
        <v/>
      </c>
      <c r="H689" s="30">
        <f>ROUND(Source!AF304*Source!I304, 2)</f>
        <v>5.15</v>
      </c>
      <c r="I689" s="31"/>
      <c r="J689" s="31">
        <f>IF(Source!BA304&lt;&gt; 0, Source!BA304, 1)</f>
        <v>6.56</v>
      </c>
      <c r="K689" s="30">
        <f>Source!S304</f>
        <v>33.79</v>
      </c>
      <c r="L689" s="32"/>
      <c r="R689">
        <f>H689</f>
        <v>5.15</v>
      </c>
    </row>
    <row r="690" spans="1:26" ht="14.25" x14ac:dyDescent="0.2">
      <c r="A690" s="45"/>
      <c r="B690" s="46"/>
      <c r="C690" s="46" t="s">
        <v>1638</v>
      </c>
      <c r="D690" s="29" t="s">
        <v>1639</v>
      </c>
      <c r="E690" s="11">
        <f>Source!BZ304</f>
        <v>78</v>
      </c>
      <c r="F690" s="49"/>
      <c r="G690" s="31"/>
      <c r="H690" s="30">
        <f>SUM(S687:S692)</f>
        <v>4.0199999999999996</v>
      </c>
      <c r="I690" s="34"/>
      <c r="J690" s="27">
        <f>Source!AT304</f>
        <v>78</v>
      </c>
      <c r="K690" s="30">
        <f>SUM(T687:T692)</f>
        <v>26.36</v>
      </c>
      <c r="L690" s="32"/>
    </row>
    <row r="691" spans="1:26" ht="14.25" x14ac:dyDescent="0.2">
      <c r="A691" s="45"/>
      <c r="B691" s="46"/>
      <c r="C691" s="46" t="s">
        <v>1640</v>
      </c>
      <c r="D691" s="29" t="s">
        <v>1639</v>
      </c>
      <c r="E691" s="11">
        <f>Source!CA304</f>
        <v>50</v>
      </c>
      <c r="F691" s="49"/>
      <c r="G691" s="31"/>
      <c r="H691" s="30">
        <f>SUM(U687:U692)</f>
        <v>2.58</v>
      </c>
      <c r="I691" s="34"/>
      <c r="J691" s="27">
        <f>Source!AU304</f>
        <v>50</v>
      </c>
      <c r="K691" s="30">
        <f>SUM(V687:V692)</f>
        <v>16.899999999999999</v>
      </c>
      <c r="L691" s="32"/>
    </row>
    <row r="692" spans="1:26" ht="14.25" x14ac:dyDescent="0.2">
      <c r="A692" s="47"/>
      <c r="B692" s="48"/>
      <c r="C692" s="48" t="s">
        <v>1641</v>
      </c>
      <c r="D692" s="35" t="s">
        <v>1642</v>
      </c>
      <c r="E692" s="36">
        <f>Source!AQ304</f>
        <v>5.49</v>
      </c>
      <c r="F692" s="37"/>
      <c r="G692" s="38" t="str">
        <f>Source!DI304</f>
        <v/>
      </c>
      <c r="H692" s="37"/>
      <c r="I692" s="38"/>
      <c r="J692" s="38"/>
      <c r="K692" s="37"/>
      <c r="L692" s="39">
        <f>Source!U304</f>
        <v>0.60389999999999999</v>
      </c>
    </row>
    <row r="693" spans="1:26" ht="15" x14ac:dyDescent="0.25">
      <c r="G693" s="70">
        <f>H689+H690+H691</f>
        <v>11.75</v>
      </c>
      <c r="H693" s="70"/>
      <c r="J693" s="70">
        <f>K689+K690+K691</f>
        <v>77.05</v>
      </c>
      <c r="K693" s="70"/>
      <c r="L693" s="40">
        <f>Source!U304</f>
        <v>0.60389999999999999</v>
      </c>
      <c r="O693" s="24">
        <f>G693</f>
        <v>11.75</v>
      </c>
      <c r="P693" s="24">
        <f>J693</f>
        <v>77.05</v>
      </c>
      <c r="Q693" s="24">
        <f>L693</f>
        <v>0.60389999999999999</v>
      </c>
      <c r="W693">
        <f>IF(Source!BI304&lt;=1,H689+H690+H691, 0)</f>
        <v>11.75</v>
      </c>
      <c r="X693">
        <f>IF(Source!BI304=2,H689+H690+H691, 0)</f>
        <v>0</v>
      </c>
      <c r="Y693">
        <f>IF(Source!BI304=3,H689+H690+H691, 0)</f>
        <v>0</v>
      </c>
      <c r="Z693">
        <f>IF(Source!BI304=4,H689+H690+H691, 0)</f>
        <v>0</v>
      </c>
    </row>
    <row r="694" spans="1:26" ht="28.5" x14ac:dyDescent="0.2">
      <c r="A694" s="45" t="str">
        <f>Source!E305</f>
        <v>66</v>
      </c>
      <c r="B694" s="46" t="str">
        <f>Source!F305</f>
        <v>м08-02-410-02</v>
      </c>
      <c r="C694" s="46" t="str">
        <f>Source!G305</f>
        <v>Труба полиэтиленовая по основанию пола, диаметр до 50 мм (гильзы) прим.</v>
      </c>
      <c r="D694" s="29" t="str">
        <f>Source!H305</f>
        <v>100 м</v>
      </c>
      <c r="E694" s="11">
        <f>Source!I305</f>
        <v>6.6000000000000003E-2</v>
      </c>
      <c r="F694" s="30">
        <f>Source!AL305+Source!AM305+Source!AO305</f>
        <v>250.92</v>
      </c>
      <c r="G694" s="31"/>
      <c r="H694" s="30"/>
      <c r="I694" s="31" t="str">
        <f>Source!BO305</f>
        <v/>
      </c>
      <c r="J694" s="31"/>
      <c r="K694" s="30"/>
      <c r="L694" s="32"/>
      <c r="S694">
        <f>ROUND((Source!FX305/100)*((ROUND(Source!AF305*Source!I305, 2)+ROUND(Source!AE305*Source!I305, 2))), 2)</f>
        <v>9.18</v>
      </c>
      <c r="T694">
        <f>Source!X305</f>
        <v>60.22</v>
      </c>
      <c r="U694">
        <f>ROUND((Source!FY305/100)*((ROUND(Source!AF305*Source!I305, 2)+ROUND(Source!AE305*Source!I305, 2))), 2)</f>
        <v>6.28</v>
      </c>
      <c r="V694">
        <f>Source!Y305</f>
        <v>41.2</v>
      </c>
    </row>
    <row r="695" spans="1:26" x14ac:dyDescent="0.2">
      <c r="C695" s="23" t="str">
        <f>"Объем: "&amp;Source!I305&amp;"=6,6/"&amp;"100"</f>
        <v>Объем: 0,066=6,6/100</v>
      </c>
    </row>
    <row r="696" spans="1:26" ht="14.25" x14ac:dyDescent="0.2">
      <c r="A696" s="45"/>
      <c r="B696" s="46"/>
      <c r="C696" s="46" t="s">
        <v>1636</v>
      </c>
      <c r="D696" s="29"/>
      <c r="E696" s="11"/>
      <c r="F696" s="30">
        <f>Source!AO305</f>
        <v>143.63</v>
      </c>
      <c r="G696" s="31" t="str">
        <f>Source!DG305</f>
        <v/>
      </c>
      <c r="H696" s="30">
        <f>ROUND(Source!AF305*Source!I305, 2)</f>
        <v>9.48</v>
      </c>
      <c r="I696" s="31"/>
      <c r="J696" s="31">
        <f>IF(Source!BA305&lt;&gt; 0, Source!BA305, 1)</f>
        <v>6.56</v>
      </c>
      <c r="K696" s="30">
        <f>Source!S305</f>
        <v>62.19</v>
      </c>
      <c r="L696" s="32"/>
      <c r="R696">
        <f>H696</f>
        <v>9.48</v>
      </c>
    </row>
    <row r="697" spans="1:26" ht="14.25" x14ac:dyDescent="0.2">
      <c r="A697" s="45"/>
      <c r="B697" s="46"/>
      <c r="C697" s="46" t="s">
        <v>136</v>
      </c>
      <c r="D697" s="29"/>
      <c r="E697" s="11"/>
      <c r="F697" s="30">
        <f>Source!AM305</f>
        <v>19.55</v>
      </c>
      <c r="G697" s="31" t="str">
        <f>Source!DE305</f>
        <v/>
      </c>
      <c r="H697" s="30">
        <f>ROUND(Source!AD305*Source!I305, 2)</f>
        <v>1.29</v>
      </c>
      <c r="I697" s="31"/>
      <c r="J697" s="31">
        <f>IF(Source!BB305&lt;&gt; 0, Source!BB305, 1)</f>
        <v>6.56</v>
      </c>
      <c r="K697" s="30">
        <f>Source!Q305</f>
        <v>8.4600000000000009</v>
      </c>
      <c r="L697" s="32"/>
    </row>
    <row r="698" spans="1:26" ht="14.25" x14ac:dyDescent="0.2">
      <c r="A698" s="45"/>
      <c r="B698" s="46"/>
      <c r="C698" s="46" t="s">
        <v>1637</v>
      </c>
      <c r="D698" s="29"/>
      <c r="E698" s="11"/>
      <c r="F698" s="30">
        <f>Source!AN305</f>
        <v>2.77</v>
      </c>
      <c r="G698" s="31" t="str">
        <f>Source!DF305</f>
        <v/>
      </c>
      <c r="H698" s="33">
        <f>ROUND(Source!AE305*Source!I305, 2)</f>
        <v>0.18</v>
      </c>
      <c r="I698" s="31"/>
      <c r="J698" s="31">
        <f>IF(Source!BS305&lt;&gt; 0, Source!BS305, 1)</f>
        <v>6.56</v>
      </c>
      <c r="K698" s="33">
        <f>Source!R305</f>
        <v>1.2</v>
      </c>
      <c r="L698" s="32"/>
      <c r="R698">
        <f>H698</f>
        <v>0.18</v>
      </c>
    </row>
    <row r="699" spans="1:26" ht="14.25" x14ac:dyDescent="0.2">
      <c r="A699" s="45"/>
      <c r="B699" s="46"/>
      <c r="C699" s="46" t="s">
        <v>1643</v>
      </c>
      <c r="D699" s="29"/>
      <c r="E699" s="11"/>
      <c r="F699" s="30">
        <f>Source!AL305</f>
        <v>87.74</v>
      </c>
      <c r="G699" s="31" t="str">
        <f>Source!DD305</f>
        <v/>
      </c>
      <c r="H699" s="30">
        <f>ROUND(Source!AC305*Source!I305, 2)</f>
        <v>5.79</v>
      </c>
      <c r="I699" s="31"/>
      <c r="J699" s="31">
        <f>IF(Source!BC305&lt;&gt; 0, Source!BC305, 1)</f>
        <v>6.56</v>
      </c>
      <c r="K699" s="30">
        <f>Source!P305</f>
        <v>37.99</v>
      </c>
      <c r="L699" s="32"/>
    </row>
    <row r="700" spans="1:26" ht="14.25" x14ac:dyDescent="0.2">
      <c r="A700" s="45"/>
      <c r="B700" s="46"/>
      <c r="C700" s="46" t="s">
        <v>1638</v>
      </c>
      <c r="D700" s="29" t="s">
        <v>1639</v>
      </c>
      <c r="E700" s="11">
        <f>Source!BZ305</f>
        <v>95</v>
      </c>
      <c r="F700" s="49"/>
      <c r="G700" s="31"/>
      <c r="H700" s="30">
        <f>SUM(S694:S703)</f>
        <v>9.18</v>
      </c>
      <c r="I700" s="34"/>
      <c r="J700" s="27">
        <f>Source!AT305</f>
        <v>95</v>
      </c>
      <c r="K700" s="30">
        <f>SUM(T694:T703)</f>
        <v>60.22</v>
      </c>
      <c r="L700" s="32"/>
    </row>
    <row r="701" spans="1:26" ht="14.25" x14ac:dyDescent="0.2">
      <c r="A701" s="45"/>
      <c r="B701" s="46"/>
      <c r="C701" s="46" t="s">
        <v>1640</v>
      </c>
      <c r="D701" s="29" t="s">
        <v>1639</v>
      </c>
      <c r="E701" s="11">
        <f>Source!CA305</f>
        <v>65</v>
      </c>
      <c r="F701" s="49"/>
      <c r="G701" s="31"/>
      <c r="H701" s="30">
        <f>SUM(U694:U703)</f>
        <v>6.28</v>
      </c>
      <c r="I701" s="34"/>
      <c r="J701" s="27">
        <f>Source!AU305</f>
        <v>65</v>
      </c>
      <c r="K701" s="30">
        <f>SUM(V694:V703)</f>
        <v>41.2</v>
      </c>
      <c r="L701" s="32"/>
    </row>
    <row r="702" spans="1:26" ht="14.25" x14ac:dyDescent="0.2">
      <c r="A702" s="45"/>
      <c r="B702" s="46"/>
      <c r="C702" s="46" t="s">
        <v>1641</v>
      </c>
      <c r="D702" s="29" t="s">
        <v>1642</v>
      </c>
      <c r="E702" s="11">
        <f>Source!AQ305</f>
        <v>15.28</v>
      </c>
      <c r="F702" s="30"/>
      <c r="G702" s="31" t="str">
        <f>Source!DI305</f>
        <v/>
      </c>
      <c r="H702" s="30"/>
      <c r="I702" s="31"/>
      <c r="J702" s="31"/>
      <c r="K702" s="30"/>
      <c r="L702" s="41">
        <f>Source!U305</f>
        <v>1.00848</v>
      </c>
    </row>
    <row r="703" spans="1:26" ht="42.75" x14ac:dyDescent="0.2">
      <c r="A703" s="47" t="str">
        <f>Source!E306</f>
        <v>66,1</v>
      </c>
      <c r="B703" s="48" t="str">
        <f>Source!F306</f>
        <v>24.3.01.03-0014</v>
      </c>
      <c r="C703" s="48" t="str">
        <f>Source!G306</f>
        <v>Трубы жесткие гладкие легкие из самозатухающего ПВХ (IP55) серии RIG, диаметром 32 мм</v>
      </c>
      <c r="D703" s="35" t="str">
        <f>Source!H306</f>
        <v>10 м</v>
      </c>
      <c r="E703" s="36">
        <f>Source!I306</f>
        <v>0.66</v>
      </c>
      <c r="F703" s="37">
        <f>Source!AL306+Source!AM306+Source!AO306</f>
        <v>79.47</v>
      </c>
      <c r="G703" s="43" t="s">
        <v>6</v>
      </c>
      <c r="H703" s="37">
        <f>ROUND(Source!AC306*Source!I306, 2)+ROUND(Source!AD306*Source!I306, 2)+ROUND(Source!AF306*Source!I306, 2)</f>
        <v>52.45</v>
      </c>
      <c r="I703" s="38"/>
      <c r="J703" s="38">
        <f>IF(Source!BC306&lt;&gt; 0, Source!BC306, 1)</f>
        <v>6.56</v>
      </c>
      <c r="K703" s="37">
        <f>Source!O306</f>
        <v>344.07</v>
      </c>
      <c r="L703" s="44"/>
      <c r="S703">
        <f>ROUND((Source!FX306/100)*((ROUND(Source!AF306*Source!I306, 2)+ROUND(Source!AE306*Source!I306, 2))), 2)</f>
        <v>0</v>
      </c>
      <c r="T703">
        <f>Source!X306</f>
        <v>0</v>
      </c>
      <c r="U703">
        <f>ROUND((Source!FY306/100)*((ROUND(Source!AF306*Source!I306, 2)+ROUND(Source!AE306*Source!I306, 2))), 2)</f>
        <v>0</v>
      </c>
      <c r="V703">
        <f>Source!Y306</f>
        <v>0</v>
      </c>
      <c r="W703">
        <f>IF(Source!BI306&lt;=1,H703, 0)</f>
        <v>0</v>
      </c>
      <c r="X703">
        <f>IF(Source!BI306=2,H703, 0)</f>
        <v>52.45</v>
      </c>
      <c r="Y703">
        <f>IF(Source!BI306=3,H703, 0)</f>
        <v>0</v>
      </c>
      <c r="Z703">
        <f>IF(Source!BI306=4,H703, 0)</f>
        <v>0</v>
      </c>
    </row>
    <row r="704" spans="1:26" ht="15" x14ac:dyDescent="0.25">
      <c r="G704" s="70">
        <f>H696+H697+H699+H700+H701+SUM(H703:H703)</f>
        <v>84.47</v>
      </c>
      <c r="H704" s="70"/>
      <c r="J704" s="70">
        <f>K696+K697+K699+K700+K701+SUM(K703:K703)</f>
        <v>554.13</v>
      </c>
      <c r="K704" s="70"/>
      <c r="L704" s="40">
        <f>Source!U305</f>
        <v>1.00848</v>
      </c>
      <c r="O704" s="24">
        <f>G704</f>
        <v>84.47</v>
      </c>
      <c r="P704" s="24">
        <f>J704</f>
        <v>554.13</v>
      </c>
      <c r="Q704" s="24">
        <f>L704</f>
        <v>1.00848</v>
      </c>
      <c r="W704">
        <f>IF(Source!BI305&lt;=1,H696+H697+H699+H700+H701, 0)</f>
        <v>0</v>
      </c>
      <c r="X704">
        <f>IF(Source!BI305=2,H696+H697+H699+H700+H701, 0)</f>
        <v>32.019999999999996</v>
      </c>
      <c r="Y704">
        <f>IF(Source!BI305=3,H696+H697+H699+H700+H701, 0)</f>
        <v>0</v>
      </c>
      <c r="Z704">
        <f>IF(Source!BI305=4,H696+H697+H699+H700+H701, 0)</f>
        <v>0</v>
      </c>
    </row>
    <row r="705" spans="1:26" ht="28.5" x14ac:dyDescent="0.2">
      <c r="A705" s="45" t="str">
        <f>Source!E307</f>
        <v>67</v>
      </c>
      <c r="B705" s="46" t="str">
        <f>Source!F307</f>
        <v>м08-02-370-02</v>
      </c>
      <c r="C705" s="46" t="str">
        <f>Source!G307</f>
        <v>Щиток до трех групп, устанавливаемый в нише цоколя</v>
      </c>
      <c r="D705" s="29" t="str">
        <f>Source!H307</f>
        <v>ШТ</v>
      </c>
      <c r="E705" s="11">
        <f>Source!I307</f>
        <v>1</v>
      </c>
      <c r="F705" s="30">
        <f>Source!AL307+Source!AM307+Source!AO307</f>
        <v>33.42</v>
      </c>
      <c r="G705" s="31"/>
      <c r="H705" s="30"/>
      <c r="I705" s="31" t="str">
        <f>Source!BO307</f>
        <v/>
      </c>
      <c r="J705" s="31"/>
      <c r="K705" s="30"/>
      <c r="L705" s="32"/>
      <c r="S705">
        <f>ROUND((Source!FX307/100)*((ROUND(Source!AF307*Source!I307, 2)+ROUND(Source!AE307*Source!I307, 2))), 2)</f>
        <v>11.36</v>
      </c>
      <c r="T705">
        <f>Source!X307</f>
        <v>74.540000000000006</v>
      </c>
      <c r="U705">
        <f>ROUND((Source!FY307/100)*((ROUND(Source!AF307*Source!I307, 2)+ROUND(Source!AE307*Source!I307, 2))), 2)</f>
        <v>7.77</v>
      </c>
      <c r="V705">
        <f>Source!Y307</f>
        <v>51</v>
      </c>
    </row>
    <row r="706" spans="1:26" ht="14.25" x14ac:dyDescent="0.2">
      <c r="A706" s="45"/>
      <c r="B706" s="46"/>
      <c r="C706" s="46" t="s">
        <v>1636</v>
      </c>
      <c r="D706" s="29"/>
      <c r="E706" s="11"/>
      <c r="F706" s="30">
        <f>Source!AO307</f>
        <v>9.4499999999999993</v>
      </c>
      <c r="G706" s="31" t="str">
        <f>Source!DG307</f>
        <v/>
      </c>
      <c r="H706" s="30">
        <f>ROUND(Source!AF307*Source!I307, 2)</f>
        <v>9.4499999999999993</v>
      </c>
      <c r="I706" s="31"/>
      <c r="J706" s="31">
        <f>IF(Source!BA307&lt;&gt; 0, Source!BA307, 1)</f>
        <v>6.56</v>
      </c>
      <c r="K706" s="30">
        <f>Source!S307</f>
        <v>61.99</v>
      </c>
      <c r="L706" s="32"/>
      <c r="R706">
        <f>H706</f>
        <v>9.4499999999999993</v>
      </c>
    </row>
    <row r="707" spans="1:26" ht="14.25" x14ac:dyDescent="0.2">
      <c r="A707" s="45"/>
      <c r="B707" s="46"/>
      <c r="C707" s="46" t="s">
        <v>136</v>
      </c>
      <c r="D707" s="29"/>
      <c r="E707" s="11"/>
      <c r="F707" s="30">
        <f>Source!AM307</f>
        <v>17.77</v>
      </c>
      <c r="G707" s="31" t="str">
        <f>Source!DE307</f>
        <v/>
      </c>
      <c r="H707" s="30">
        <f>ROUND(Source!AD307*Source!I307, 2)</f>
        <v>17.77</v>
      </c>
      <c r="I707" s="31"/>
      <c r="J707" s="31">
        <f>IF(Source!BB307&lt;&gt; 0, Source!BB307, 1)</f>
        <v>6.56</v>
      </c>
      <c r="K707" s="30">
        <f>Source!Q307</f>
        <v>116.57</v>
      </c>
      <c r="L707" s="32"/>
    </row>
    <row r="708" spans="1:26" ht="14.25" x14ac:dyDescent="0.2">
      <c r="A708" s="45"/>
      <c r="B708" s="46"/>
      <c r="C708" s="46" t="s">
        <v>1637</v>
      </c>
      <c r="D708" s="29"/>
      <c r="E708" s="11"/>
      <c r="F708" s="30">
        <f>Source!AN307</f>
        <v>2.5099999999999998</v>
      </c>
      <c r="G708" s="31" t="str">
        <f>Source!DF307</f>
        <v/>
      </c>
      <c r="H708" s="33">
        <f>ROUND(Source!AE307*Source!I307, 2)</f>
        <v>2.5099999999999998</v>
      </c>
      <c r="I708" s="31"/>
      <c r="J708" s="31">
        <f>IF(Source!BS307&lt;&gt; 0, Source!BS307, 1)</f>
        <v>6.56</v>
      </c>
      <c r="K708" s="33">
        <f>Source!R307</f>
        <v>16.47</v>
      </c>
      <c r="L708" s="32"/>
      <c r="R708">
        <f>H708</f>
        <v>2.5099999999999998</v>
      </c>
    </row>
    <row r="709" spans="1:26" ht="14.25" x14ac:dyDescent="0.2">
      <c r="A709" s="45"/>
      <c r="B709" s="46"/>
      <c r="C709" s="46" t="s">
        <v>1643</v>
      </c>
      <c r="D709" s="29"/>
      <c r="E709" s="11"/>
      <c r="F709" s="30">
        <f>Source!AL307</f>
        <v>6.2</v>
      </c>
      <c r="G709" s="31" t="str">
        <f>Source!DD307</f>
        <v/>
      </c>
      <c r="H709" s="30">
        <f>ROUND(Source!AC307*Source!I307, 2)</f>
        <v>6.2</v>
      </c>
      <c r="I709" s="31"/>
      <c r="J709" s="31">
        <f>IF(Source!BC307&lt;&gt; 0, Source!BC307, 1)</f>
        <v>6.56</v>
      </c>
      <c r="K709" s="30">
        <f>Source!P307</f>
        <v>40.67</v>
      </c>
      <c r="L709" s="32"/>
    </row>
    <row r="710" spans="1:26" ht="14.25" x14ac:dyDescent="0.2">
      <c r="A710" s="45"/>
      <c r="B710" s="46"/>
      <c r="C710" s="46" t="s">
        <v>1638</v>
      </c>
      <c r="D710" s="29" t="s">
        <v>1639</v>
      </c>
      <c r="E710" s="11">
        <f>Source!BZ307</f>
        <v>95</v>
      </c>
      <c r="F710" s="49"/>
      <c r="G710" s="31"/>
      <c r="H710" s="30">
        <f>SUM(S705:S713)</f>
        <v>11.36</v>
      </c>
      <c r="I710" s="34"/>
      <c r="J710" s="27">
        <f>Source!AT307</f>
        <v>95</v>
      </c>
      <c r="K710" s="30">
        <f>SUM(T705:T713)</f>
        <v>74.540000000000006</v>
      </c>
      <c r="L710" s="32"/>
    </row>
    <row r="711" spans="1:26" ht="14.25" x14ac:dyDescent="0.2">
      <c r="A711" s="45"/>
      <c r="B711" s="46"/>
      <c r="C711" s="46" t="s">
        <v>1640</v>
      </c>
      <c r="D711" s="29" t="s">
        <v>1639</v>
      </c>
      <c r="E711" s="11">
        <f>Source!CA307</f>
        <v>65</v>
      </c>
      <c r="F711" s="49"/>
      <c r="G711" s="31"/>
      <c r="H711" s="30">
        <f>SUM(U705:U713)</f>
        <v>7.77</v>
      </c>
      <c r="I711" s="34"/>
      <c r="J711" s="27">
        <f>Source!AU307</f>
        <v>65</v>
      </c>
      <c r="K711" s="30">
        <f>SUM(V705:V713)</f>
        <v>51</v>
      </c>
      <c r="L711" s="32"/>
    </row>
    <row r="712" spans="1:26" ht="14.25" x14ac:dyDescent="0.2">
      <c r="A712" s="45"/>
      <c r="B712" s="46"/>
      <c r="C712" s="46" t="s">
        <v>1641</v>
      </c>
      <c r="D712" s="29" t="s">
        <v>1642</v>
      </c>
      <c r="E712" s="11">
        <f>Source!AQ307</f>
        <v>0.9</v>
      </c>
      <c r="F712" s="30"/>
      <c r="G712" s="31" t="str">
        <f>Source!DI307</f>
        <v/>
      </c>
      <c r="H712" s="30"/>
      <c r="I712" s="31"/>
      <c r="J712" s="31"/>
      <c r="K712" s="30"/>
      <c r="L712" s="41">
        <f>Source!U307</f>
        <v>0.9</v>
      </c>
    </row>
    <row r="713" spans="1:26" ht="28.5" x14ac:dyDescent="0.2">
      <c r="A713" s="47" t="str">
        <f>Source!E308</f>
        <v>67,1</v>
      </c>
      <c r="B713" s="48" t="str">
        <f>Source!F308</f>
        <v>62.1.02.17-0012</v>
      </c>
      <c r="C713" s="48" t="str">
        <f>Source!G308</f>
        <v>Щитки распределительные этажные  EKF ЩРВ-36(з) прим.</v>
      </c>
      <c r="D713" s="35" t="str">
        <f>Source!H308</f>
        <v>шт.</v>
      </c>
      <c r="E713" s="36">
        <f>Source!I308</f>
        <v>1</v>
      </c>
      <c r="F713" s="37">
        <f>Source!AL308+Source!AM308+Source!AO308</f>
        <v>1494.77</v>
      </c>
      <c r="G713" s="43" t="s">
        <v>6</v>
      </c>
      <c r="H713" s="37">
        <f>ROUND(Source!AC308*Source!I308, 2)+ROUND(Source!AD308*Source!I308, 2)+ROUND(Source!AF308*Source!I308, 2)</f>
        <v>1494.77</v>
      </c>
      <c r="I713" s="38"/>
      <c r="J713" s="38">
        <f>IF(Source!BC308&lt;&gt; 0, Source!BC308, 1)</f>
        <v>6.56</v>
      </c>
      <c r="K713" s="37">
        <f>Source!O308</f>
        <v>9805.69</v>
      </c>
      <c r="L713" s="44"/>
      <c r="S713">
        <f>ROUND((Source!FX308/100)*((ROUND(Source!AF308*Source!I308, 2)+ROUND(Source!AE308*Source!I308, 2))), 2)</f>
        <v>0</v>
      </c>
      <c r="T713">
        <f>Source!X308</f>
        <v>0</v>
      </c>
      <c r="U713">
        <f>ROUND((Source!FY308/100)*((ROUND(Source!AF308*Source!I308, 2)+ROUND(Source!AE308*Source!I308, 2))), 2)</f>
        <v>0</v>
      </c>
      <c r="V713">
        <f>Source!Y308</f>
        <v>0</v>
      </c>
      <c r="W713">
        <f>IF(Source!BI308&lt;=1,H713, 0)</f>
        <v>0</v>
      </c>
      <c r="X713">
        <f>IF(Source!BI308=2,H713, 0)</f>
        <v>1494.77</v>
      </c>
      <c r="Y713">
        <f>IF(Source!BI308=3,H713, 0)</f>
        <v>0</v>
      </c>
      <c r="Z713">
        <f>IF(Source!BI308=4,H713, 0)</f>
        <v>0</v>
      </c>
    </row>
    <row r="714" spans="1:26" ht="15" x14ac:dyDescent="0.25">
      <c r="G714" s="70">
        <f>H706+H707+H709+H710+H711+SUM(H713:H713)</f>
        <v>1547.32</v>
      </c>
      <c r="H714" s="70"/>
      <c r="J714" s="70">
        <f>K706+K707+K709+K710+K711+SUM(K713:K713)</f>
        <v>10150.460000000001</v>
      </c>
      <c r="K714" s="70"/>
      <c r="L714" s="40">
        <f>Source!U307</f>
        <v>0.9</v>
      </c>
      <c r="O714" s="24">
        <f>G714</f>
        <v>1547.32</v>
      </c>
      <c r="P714" s="24">
        <f>J714</f>
        <v>10150.460000000001</v>
      </c>
      <c r="Q714" s="24">
        <f>L714</f>
        <v>0.9</v>
      </c>
      <c r="W714">
        <f>IF(Source!BI307&lt;=1,H706+H707+H709+H710+H711, 0)</f>
        <v>0</v>
      </c>
      <c r="X714">
        <f>IF(Source!BI307=2,H706+H707+H709+H710+H711, 0)</f>
        <v>52.55</v>
      </c>
      <c r="Y714">
        <f>IF(Source!BI307=3,H706+H707+H709+H710+H711, 0)</f>
        <v>0</v>
      </c>
      <c r="Z714">
        <f>IF(Source!BI307=4,H706+H707+H709+H710+H711, 0)</f>
        <v>0</v>
      </c>
    </row>
    <row r="715" spans="1:26" ht="42.75" x14ac:dyDescent="0.2">
      <c r="A715" s="45" t="str">
        <f>Source!E309</f>
        <v>68</v>
      </c>
      <c r="B715" s="46" t="str">
        <f>Source!F309</f>
        <v>м08-03-526-06</v>
      </c>
      <c r="C715" s="46" t="str">
        <f>Source!G309</f>
        <v>Автомат одно-, двух-, трехполюсный, устанавливаемый на конструкции на полу, на ток до 25 А</v>
      </c>
      <c r="D715" s="29" t="str">
        <f>Source!H309</f>
        <v>ШТ</v>
      </c>
      <c r="E715" s="11">
        <f>Source!I309</f>
        <v>7</v>
      </c>
      <c r="F715" s="30">
        <f>Source!AL309+Source!AM309+Source!AO309</f>
        <v>71.97</v>
      </c>
      <c r="G715" s="31"/>
      <c r="H715" s="30"/>
      <c r="I715" s="31" t="str">
        <f>Source!BO309</f>
        <v/>
      </c>
      <c r="J715" s="31"/>
      <c r="K715" s="30"/>
      <c r="L715" s="32"/>
      <c r="S715">
        <f>ROUND((Source!FX309/100)*((ROUND(Source!AF309*Source!I309, 2)+ROUND(Source!AE309*Source!I309, 2))), 2)</f>
        <v>102.48</v>
      </c>
      <c r="T715">
        <f>Source!X309</f>
        <v>672.25</v>
      </c>
      <c r="U715">
        <f>ROUND((Source!FY309/100)*((ROUND(Source!AF309*Source!I309, 2)+ROUND(Source!AE309*Source!I309, 2))), 2)</f>
        <v>70.12</v>
      </c>
      <c r="V715">
        <f>Source!Y309</f>
        <v>459.96</v>
      </c>
    </row>
    <row r="716" spans="1:26" ht="14.25" x14ac:dyDescent="0.2">
      <c r="A716" s="45"/>
      <c r="B716" s="46"/>
      <c r="C716" s="46" t="s">
        <v>1636</v>
      </c>
      <c r="D716" s="29"/>
      <c r="E716" s="11"/>
      <c r="F716" s="30">
        <f>Source!AO309</f>
        <v>15.41</v>
      </c>
      <c r="G716" s="31" t="str">
        <f>Source!DG309</f>
        <v/>
      </c>
      <c r="H716" s="30">
        <f>ROUND(Source!AF309*Source!I309, 2)</f>
        <v>107.87</v>
      </c>
      <c r="I716" s="31"/>
      <c r="J716" s="31">
        <f>IF(Source!BA309&lt;&gt; 0, Source!BA309, 1)</f>
        <v>6.56</v>
      </c>
      <c r="K716" s="30">
        <f>Source!S309</f>
        <v>707.63</v>
      </c>
      <c r="L716" s="32"/>
      <c r="R716">
        <f>H716</f>
        <v>107.87</v>
      </c>
    </row>
    <row r="717" spans="1:26" ht="14.25" x14ac:dyDescent="0.2">
      <c r="A717" s="45"/>
      <c r="B717" s="46"/>
      <c r="C717" s="46" t="s">
        <v>136</v>
      </c>
      <c r="D717" s="29"/>
      <c r="E717" s="11"/>
      <c r="F717" s="30">
        <f>Source!AM309</f>
        <v>1.1299999999999999</v>
      </c>
      <c r="G717" s="31" t="str">
        <f>Source!DE309</f>
        <v/>
      </c>
      <c r="H717" s="30">
        <f>ROUND(Source!AD309*Source!I309, 2)</f>
        <v>7.91</v>
      </c>
      <c r="I717" s="31"/>
      <c r="J717" s="31">
        <f>IF(Source!BB309&lt;&gt; 0, Source!BB309, 1)</f>
        <v>6.56</v>
      </c>
      <c r="K717" s="30">
        <f>Source!Q309</f>
        <v>51.89</v>
      </c>
      <c r="L717" s="32"/>
    </row>
    <row r="718" spans="1:26" ht="14.25" x14ac:dyDescent="0.2">
      <c r="A718" s="45"/>
      <c r="B718" s="46"/>
      <c r="C718" s="46" t="s">
        <v>1643</v>
      </c>
      <c r="D718" s="29"/>
      <c r="E718" s="11"/>
      <c r="F718" s="30">
        <f>Source!AL309</f>
        <v>55.43</v>
      </c>
      <c r="G718" s="31" t="str">
        <f>Source!DD309</f>
        <v/>
      </c>
      <c r="H718" s="30">
        <f>ROUND(Source!AC309*Source!I309, 2)</f>
        <v>388.01</v>
      </c>
      <c r="I718" s="31"/>
      <c r="J718" s="31">
        <f>IF(Source!BC309&lt;&gt; 0, Source!BC309, 1)</f>
        <v>6.56</v>
      </c>
      <c r="K718" s="30">
        <f>Source!P309</f>
        <v>2545.35</v>
      </c>
      <c r="L718" s="32"/>
    </row>
    <row r="719" spans="1:26" ht="14.25" x14ac:dyDescent="0.2">
      <c r="A719" s="45"/>
      <c r="B719" s="46"/>
      <c r="C719" s="46" t="s">
        <v>1638</v>
      </c>
      <c r="D719" s="29" t="s">
        <v>1639</v>
      </c>
      <c r="E719" s="11">
        <f>Source!BZ309</f>
        <v>95</v>
      </c>
      <c r="F719" s="49"/>
      <c r="G719" s="31"/>
      <c r="H719" s="30">
        <f>SUM(S715:S722)</f>
        <v>102.48</v>
      </c>
      <c r="I719" s="34"/>
      <c r="J719" s="27">
        <f>Source!AT309</f>
        <v>95</v>
      </c>
      <c r="K719" s="30">
        <f>SUM(T715:T722)</f>
        <v>672.25</v>
      </c>
      <c r="L719" s="32"/>
    </row>
    <row r="720" spans="1:26" ht="14.25" x14ac:dyDescent="0.2">
      <c r="A720" s="45"/>
      <c r="B720" s="46"/>
      <c r="C720" s="46" t="s">
        <v>1640</v>
      </c>
      <c r="D720" s="29" t="s">
        <v>1639</v>
      </c>
      <c r="E720" s="11">
        <f>Source!CA309</f>
        <v>65</v>
      </c>
      <c r="F720" s="49"/>
      <c r="G720" s="31"/>
      <c r="H720" s="30">
        <f>SUM(U715:U722)</f>
        <v>70.12</v>
      </c>
      <c r="I720" s="34"/>
      <c r="J720" s="27">
        <f>Source!AU309</f>
        <v>65</v>
      </c>
      <c r="K720" s="30">
        <f>SUM(V715:V722)</f>
        <v>459.96</v>
      </c>
      <c r="L720" s="32"/>
    </row>
    <row r="721" spans="1:26" ht="14.25" x14ac:dyDescent="0.2">
      <c r="A721" s="45"/>
      <c r="B721" s="46"/>
      <c r="C721" s="46" t="s">
        <v>1641</v>
      </c>
      <c r="D721" s="29" t="s">
        <v>1642</v>
      </c>
      <c r="E721" s="11">
        <f>Source!AQ309</f>
        <v>1.62</v>
      </c>
      <c r="F721" s="30"/>
      <c r="G721" s="31" t="str">
        <f>Source!DI309</f>
        <v/>
      </c>
      <c r="H721" s="30"/>
      <c r="I721" s="31"/>
      <c r="J721" s="31"/>
      <c r="K721" s="30"/>
      <c r="L721" s="41">
        <f>Source!U309</f>
        <v>11.34</v>
      </c>
    </row>
    <row r="722" spans="1:26" ht="28.5" x14ac:dyDescent="0.2">
      <c r="A722" s="47" t="str">
        <f>Source!E310</f>
        <v>68,1</v>
      </c>
      <c r="B722" s="48" t="str">
        <f>Source!F310</f>
        <v>62.1.01.09-0048</v>
      </c>
      <c r="C722" s="48" t="str">
        <f>Source!G310</f>
        <v>Выключатели автоматические АВВ 1Р 6А прим.</v>
      </c>
      <c r="D722" s="35" t="str">
        <f>Source!H310</f>
        <v>шт.</v>
      </c>
      <c r="E722" s="36">
        <f>Source!I310</f>
        <v>7</v>
      </c>
      <c r="F722" s="37">
        <f>Source!AL310+Source!AM310+Source!AO310</f>
        <v>81.61</v>
      </c>
      <c r="G722" s="43" t="s">
        <v>6</v>
      </c>
      <c r="H722" s="37">
        <f>ROUND(Source!AC310*Source!I310, 2)+ROUND(Source!AD310*Source!I310, 2)+ROUND(Source!AF310*Source!I310, 2)</f>
        <v>571.27</v>
      </c>
      <c r="I722" s="38"/>
      <c r="J722" s="38">
        <f>IF(Source!BC310&lt;&gt; 0, Source!BC310, 1)</f>
        <v>6.56</v>
      </c>
      <c r="K722" s="37">
        <f>Source!O310</f>
        <v>3747.53</v>
      </c>
      <c r="L722" s="44"/>
      <c r="S722">
        <f>ROUND((Source!FX310/100)*((ROUND(Source!AF310*Source!I310, 2)+ROUND(Source!AE310*Source!I310, 2))), 2)</f>
        <v>0</v>
      </c>
      <c r="T722">
        <f>Source!X310</f>
        <v>0</v>
      </c>
      <c r="U722">
        <f>ROUND((Source!FY310/100)*((ROUND(Source!AF310*Source!I310, 2)+ROUND(Source!AE310*Source!I310, 2))), 2)</f>
        <v>0</v>
      </c>
      <c r="V722">
        <f>Source!Y310</f>
        <v>0</v>
      </c>
      <c r="W722">
        <f>IF(Source!BI310&lt;=1,H722, 0)</f>
        <v>0</v>
      </c>
      <c r="X722">
        <f>IF(Source!BI310=2,H722, 0)</f>
        <v>571.27</v>
      </c>
      <c r="Y722">
        <f>IF(Source!BI310=3,H722, 0)</f>
        <v>0</v>
      </c>
      <c r="Z722">
        <f>IF(Source!BI310=4,H722, 0)</f>
        <v>0</v>
      </c>
    </row>
    <row r="723" spans="1:26" ht="15" x14ac:dyDescent="0.25">
      <c r="G723" s="70">
        <f>H716+H717+H718+H719+H720+SUM(H722:H722)</f>
        <v>1247.6599999999999</v>
      </c>
      <c r="H723" s="70"/>
      <c r="J723" s="70">
        <f>K716+K717+K718+K719+K720+SUM(K722:K722)</f>
        <v>8184.6100000000006</v>
      </c>
      <c r="K723" s="70"/>
      <c r="L723" s="40">
        <f>Source!U309</f>
        <v>11.34</v>
      </c>
      <c r="O723" s="24">
        <f>G723</f>
        <v>1247.6599999999999</v>
      </c>
      <c r="P723" s="24">
        <f>J723</f>
        <v>8184.6100000000006</v>
      </c>
      <c r="Q723" s="24">
        <f>L723</f>
        <v>11.34</v>
      </c>
      <c r="W723">
        <f>IF(Source!BI309&lt;=1,H716+H717+H718+H719+H720, 0)</f>
        <v>0</v>
      </c>
      <c r="X723">
        <f>IF(Source!BI309=2,H716+H717+H718+H719+H720, 0)</f>
        <v>676.39</v>
      </c>
      <c r="Y723">
        <f>IF(Source!BI309=3,H716+H717+H718+H719+H720, 0)</f>
        <v>0</v>
      </c>
      <c r="Z723">
        <f>IF(Source!BI309=4,H716+H717+H718+H719+H720, 0)</f>
        <v>0</v>
      </c>
    </row>
    <row r="724" spans="1:26" ht="28.5" x14ac:dyDescent="0.2">
      <c r="A724" s="45" t="str">
        <f>Source!E311</f>
        <v>69</v>
      </c>
      <c r="B724" s="46" t="str">
        <f>Source!F311</f>
        <v>м08-03-575-01</v>
      </c>
      <c r="C724" s="46" t="str">
        <f>Source!G311</f>
        <v>Прибор или аппарат</v>
      </c>
      <c r="D724" s="29" t="str">
        <f>Source!H311</f>
        <v>ШТ</v>
      </c>
      <c r="E724" s="11">
        <f>Source!I311</f>
        <v>2</v>
      </c>
      <c r="F724" s="30">
        <f>Source!AL311+Source!AM311+Source!AO311</f>
        <v>11.51</v>
      </c>
      <c r="G724" s="31"/>
      <c r="H724" s="30"/>
      <c r="I724" s="31" t="str">
        <f>Source!BO311</f>
        <v/>
      </c>
      <c r="J724" s="31"/>
      <c r="K724" s="30"/>
      <c r="L724" s="32"/>
      <c r="S724">
        <f>ROUND((Source!FX311/100)*((ROUND(Source!AF311*Source!I311, 2)+ROUND(Source!AE311*Source!I311, 2))), 2)</f>
        <v>21.11</v>
      </c>
      <c r="T724">
        <f>Source!X311</f>
        <v>138.47</v>
      </c>
      <c r="U724">
        <f>ROUND((Source!FY311/100)*((ROUND(Source!AF311*Source!I311, 2)+ROUND(Source!AE311*Source!I311, 2))), 2)</f>
        <v>14.44</v>
      </c>
      <c r="V724">
        <f>Source!Y311</f>
        <v>94.74</v>
      </c>
    </row>
    <row r="725" spans="1:26" ht="14.25" x14ac:dyDescent="0.2">
      <c r="A725" s="45"/>
      <c r="B725" s="46"/>
      <c r="C725" s="46" t="s">
        <v>1636</v>
      </c>
      <c r="D725" s="29"/>
      <c r="E725" s="11"/>
      <c r="F725" s="30">
        <f>Source!AO311</f>
        <v>11.11</v>
      </c>
      <c r="G725" s="31" t="str">
        <f>Source!DG311</f>
        <v/>
      </c>
      <c r="H725" s="30">
        <f>ROUND(Source!AF311*Source!I311, 2)</f>
        <v>22.22</v>
      </c>
      <c r="I725" s="31"/>
      <c r="J725" s="31">
        <f>IF(Source!BA311&lt;&gt; 0, Source!BA311, 1)</f>
        <v>6.56</v>
      </c>
      <c r="K725" s="30">
        <f>Source!S311</f>
        <v>145.76</v>
      </c>
      <c r="L725" s="32"/>
      <c r="R725">
        <f>H725</f>
        <v>22.22</v>
      </c>
    </row>
    <row r="726" spans="1:26" ht="14.25" x14ac:dyDescent="0.2">
      <c r="A726" s="45"/>
      <c r="B726" s="46"/>
      <c r="C726" s="46" t="s">
        <v>1643</v>
      </c>
      <c r="D726" s="29"/>
      <c r="E726" s="11"/>
      <c r="F726" s="30">
        <f>Source!AL311</f>
        <v>0.4</v>
      </c>
      <c r="G726" s="31" t="str">
        <f>Source!DD311</f>
        <v/>
      </c>
      <c r="H726" s="30">
        <f>ROUND(Source!AC311*Source!I311, 2)</f>
        <v>0.8</v>
      </c>
      <c r="I726" s="31"/>
      <c r="J726" s="31">
        <f>IF(Source!BC311&lt;&gt; 0, Source!BC311, 1)</f>
        <v>6.56</v>
      </c>
      <c r="K726" s="30">
        <f>Source!P311</f>
        <v>5.25</v>
      </c>
      <c r="L726" s="32"/>
    </row>
    <row r="727" spans="1:26" ht="14.25" x14ac:dyDescent="0.2">
      <c r="A727" s="45"/>
      <c r="B727" s="46"/>
      <c r="C727" s="46" t="s">
        <v>1638</v>
      </c>
      <c r="D727" s="29" t="s">
        <v>1639</v>
      </c>
      <c r="E727" s="11">
        <f>Source!BZ311</f>
        <v>95</v>
      </c>
      <c r="F727" s="49"/>
      <c r="G727" s="31"/>
      <c r="H727" s="30">
        <f>SUM(S724:S731)</f>
        <v>21.11</v>
      </c>
      <c r="I727" s="34"/>
      <c r="J727" s="27">
        <f>Source!AT311</f>
        <v>95</v>
      </c>
      <c r="K727" s="30">
        <f>SUM(T724:T731)</f>
        <v>138.47</v>
      </c>
      <c r="L727" s="32"/>
    </row>
    <row r="728" spans="1:26" ht="14.25" x14ac:dyDescent="0.2">
      <c r="A728" s="45"/>
      <c r="B728" s="46"/>
      <c r="C728" s="46" t="s">
        <v>1640</v>
      </c>
      <c r="D728" s="29" t="s">
        <v>1639</v>
      </c>
      <c r="E728" s="11">
        <f>Source!CA311</f>
        <v>65</v>
      </c>
      <c r="F728" s="49"/>
      <c r="G728" s="31"/>
      <c r="H728" s="30">
        <f>SUM(U724:U731)</f>
        <v>14.44</v>
      </c>
      <c r="I728" s="34"/>
      <c r="J728" s="27">
        <f>Source!AU311</f>
        <v>65</v>
      </c>
      <c r="K728" s="30">
        <f>SUM(V724:V731)</f>
        <v>94.74</v>
      </c>
      <c r="L728" s="32"/>
    </row>
    <row r="729" spans="1:26" ht="14.25" x14ac:dyDescent="0.2">
      <c r="A729" s="45"/>
      <c r="B729" s="46"/>
      <c r="C729" s="46" t="s">
        <v>1641</v>
      </c>
      <c r="D729" s="29" t="s">
        <v>1642</v>
      </c>
      <c r="E729" s="11">
        <f>Source!AQ311</f>
        <v>1.1200000000000001</v>
      </c>
      <c r="F729" s="30"/>
      <c r="G729" s="31" t="str">
        <f>Source!DI311</f>
        <v/>
      </c>
      <c r="H729" s="30"/>
      <c r="I729" s="31"/>
      <c r="J729" s="31"/>
      <c r="K729" s="30"/>
      <c r="L729" s="41">
        <f>Source!U311</f>
        <v>2.2400000000000002</v>
      </c>
    </row>
    <row r="730" spans="1:26" ht="42.75" x14ac:dyDescent="0.2">
      <c r="A730" s="45" t="str">
        <f>Source!E312</f>
        <v>69,1</v>
      </c>
      <c r="B730" s="46" t="str">
        <f>Source!F312</f>
        <v>62.1.01.09-0070</v>
      </c>
      <c r="C730" s="46" t="str">
        <f>Source!G312</f>
        <v>Автомат вводной в щит освещения OptimaMat E100L050-УХЛЗ -50А/3Р/380В 10кА прим.</v>
      </c>
      <c r="D730" s="29" t="str">
        <f>Source!H312</f>
        <v>шт.</v>
      </c>
      <c r="E730" s="11">
        <f>Source!I312</f>
        <v>1</v>
      </c>
      <c r="F730" s="30">
        <f>Source!AL312+Source!AM312+Source!AO312</f>
        <v>428.4</v>
      </c>
      <c r="G730" s="42" t="s">
        <v>6</v>
      </c>
      <c r="H730" s="30">
        <f>ROUND(Source!AC312*Source!I312, 2)+ROUND(Source!AD312*Source!I312, 2)+ROUND(Source!AF312*Source!I312, 2)</f>
        <v>428.4</v>
      </c>
      <c r="I730" s="31"/>
      <c r="J730" s="31">
        <f>IF(Source!BC312&lt;&gt; 0, Source!BC312, 1)</f>
        <v>6.56</v>
      </c>
      <c r="K730" s="30">
        <f>Source!O312</f>
        <v>2810.3</v>
      </c>
      <c r="L730" s="32"/>
      <c r="S730">
        <f>ROUND((Source!FX312/100)*((ROUND(Source!AF312*Source!I312, 2)+ROUND(Source!AE312*Source!I312, 2))), 2)</f>
        <v>0</v>
      </c>
      <c r="T730">
        <f>Source!X312</f>
        <v>0</v>
      </c>
      <c r="U730">
        <f>ROUND((Source!FY312/100)*((ROUND(Source!AF312*Source!I312, 2)+ROUND(Source!AE312*Source!I312, 2))), 2)</f>
        <v>0</v>
      </c>
      <c r="V730">
        <f>Source!Y312</f>
        <v>0</v>
      </c>
      <c r="W730">
        <f>IF(Source!BI312&lt;=1,H730, 0)</f>
        <v>0</v>
      </c>
      <c r="X730">
        <f>IF(Source!BI312=2,H730, 0)</f>
        <v>428.4</v>
      </c>
      <c r="Y730">
        <f>IF(Source!BI312=3,H730, 0)</f>
        <v>0</v>
      </c>
      <c r="Z730">
        <f>IF(Source!BI312=4,H730, 0)</f>
        <v>0</v>
      </c>
    </row>
    <row r="731" spans="1:26" ht="28.5" x14ac:dyDescent="0.2">
      <c r="A731" s="47" t="str">
        <f>Source!E313</f>
        <v>69,2</v>
      </c>
      <c r="B731" s="48" t="str">
        <f>Source!F313</f>
        <v>62.1.01.09-0071</v>
      </c>
      <c r="C731" s="48" t="str">
        <f>Source!G313</f>
        <v>Автомат ВА57ф35-340019  63А-630/3Р/400В/10кА В ВРУ прим.</v>
      </c>
      <c r="D731" s="35" t="str">
        <f>Source!H313</f>
        <v>шт.</v>
      </c>
      <c r="E731" s="36">
        <f>Source!I313</f>
        <v>1</v>
      </c>
      <c r="F731" s="37">
        <f>Source!AL313+Source!AM313+Source!AO313</f>
        <v>428.4</v>
      </c>
      <c r="G731" s="43" t="s">
        <v>6</v>
      </c>
      <c r="H731" s="37">
        <f>ROUND(Source!AC313*Source!I313, 2)+ROUND(Source!AD313*Source!I313, 2)+ROUND(Source!AF313*Source!I313, 2)</f>
        <v>428.4</v>
      </c>
      <c r="I731" s="38"/>
      <c r="J731" s="38">
        <f>IF(Source!BC313&lt;&gt; 0, Source!BC313, 1)</f>
        <v>6.56</v>
      </c>
      <c r="K731" s="37">
        <f>Source!O313</f>
        <v>2810.3</v>
      </c>
      <c r="L731" s="44"/>
      <c r="S731">
        <f>ROUND((Source!FX313/100)*((ROUND(Source!AF313*Source!I313, 2)+ROUND(Source!AE313*Source!I313, 2))), 2)</f>
        <v>0</v>
      </c>
      <c r="T731">
        <f>Source!X313</f>
        <v>0</v>
      </c>
      <c r="U731">
        <f>ROUND((Source!FY313/100)*((ROUND(Source!AF313*Source!I313, 2)+ROUND(Source!AE313*Source!I313, 2))), 2)</f>
        <v>0</v>
      </c>
      <c r="V731">
        <f>Source!Y313</f>
        <v>0</v>
      </c>
      <c r="W731">
        <f>IF(Source!BI313&lt;=1,H731, 0)</f>
        <v>0</v>
      </c>
      <c r="X731">
        <f>IF(Source!BI313=2,H731, 0)</f>
        <v>428.4</v>
      </c>
      <c r="Y731">
        <f>IF(Source!BI313=3,H731, 0)</f>
        <v>0</v>
      </c>
      <c r="Z731">
        <f>IF(Source!BI313=4,H731, 0)</f>
        <v>0</v>
      </c>
    </row>
    <row r="732" spans="1:26" ht="15" x14ac:dyDescent="0.25">
      <c r="G732" s="70">
        <f>H725+H726+H727+H728+SUM(H730:H731)</f>
        <v>915.36999999999989</v>
      </c>
      <c r="H732" s="70"/>
      <c r="J732" s="70">
        <f>K725+K726+K727+K728+SUM(K730:K731)</f>
        <v>6004.8200000000006</v>
      </c>
      <c r="K732" s="70"/>
      <c r="L732" s="40">
        <f>Source!U311</f>
        <v>2.2400000000000002</v>
      </c>
      <c r="O732" s="24">
        <f>G732</f>
        <v>915.36999999999989</v>
      </c>
      <c r="P732" s="24">
        <f>J732</f>
        <v>6004.8200000000006</v>
      </c>
      <c r="Q732" s="24">
        <f>L732</f>
        <v>2.2400000000000002</v>
      </c>
      <c r="W732">
        <f>IF(Source!BI311&lt;=1,H725+H726+H727+H728, 0)</f>
        <v>0</v>
      </c>
      <c r="X732">
        <f>IF(Source!BI311=2,H725+H726+H727+H728, 0)</f>
        <v>58.569999999999993</v>
      </c>
      <c r="Y732">
        <f>IF(Source!BI311=3,H725+H726+H727+H728, 0)</f>
        <v>0</v>
      </c>
      <c r="Z732">
        <f>IF(Source!BI311=4,H725+H726+H727+H728, 0)</f>
        <v>0</v>
      </c>
    </row>
    <row r="733" spans="1:26" ht="42.75" x14ac:dyDescent="0.2">
      <c r="A733" s="45" t="str">
        <f>Source!E314</f>
        <v>70</v>
      </c>
      <c r="B733" s="46" t="str">
        <f>Source!F314</f>
        <v>м08-02-397-01 прим.</v>
      </c>
      <c r="C733" s="46" t="str">
        <f>Source!G314</f>
        <v>Профиль перфорированный монтажный длиной 2 м (Лоток оцинкованный перфорированый)</v>
      </c>
      <c r="D733" s="29" t="str">
        <f>Source!H314</f>
        <v>100 м</v>
      </c>
      <c r="E733" s="11">
        <f>Source!I314</f>
        <v>5.6000000000000001E-2</v>
      </c>
      <c r="F733" s="30">
        <f>Source!AL314+Source!AM314+Source!AO314</f>
        <v>582.66</v>
      </c>
      <c r="G733" s="31"/>
      <c r="H733" s="30"/>
      <c r="I733" s="31" t="str">
        <f>Source!BO314</f>
        <v/>
      </c>
      <c r="J733" s="31"/>
      <c r="K733" s="30"/>
      <c r="L733" s="32"/>
      <c r="S733">
        <f>ROUND((Source!FX314/100)*((ROUND(Source!AF314*Source!I314, 2)+ROUND(Source!AE314*Source!I314, 2))), 2)</f>
        <v>5.53</v>
      </c>
      <c r="T733">
        <f>Source!X314</f>
        <v>36.22</v>
      </c>
      <c r="U733">
        <f>ROUND((Source!FY314/100)*((ROUND(Source!AF314*Source!I314, 2)+ROUND(Source!AE314*Source!I314, 2))), 2)</f>
        <v>3.78</v>
      </c>
      <c r="V733">
        <f>Source!Y314</f>
        <v>24.78</v>
      </c>
    </row>
    <row r="734" spans="1:26" x14ac:dyDescent="0.2">
      <c r="C734" s="23" t="str">
        <f>"Объем: "&amp;Source!I314&amp;"=5,6/"&amp;"100"</f>
        <v>Объем: 0,056=5,6/100</v>
      </c>
    </row>
    <row r="735" spans="1:26" ht="14.25" x14ac:dyDescent="0.2">
      <c r="A735" s="45"/>
      <c r="B735" s="46"/>
      <c r="C735" s="46" t="s">
        <v>1636</v>
      </c>
      <c r="D735" s="29"/>
      <c r="E735" s="11"/>
      <c r="F735" s="30">
        <f>Source!AO314</f>
        <v>80.459999999999994</v>
      </c>
      <c r="G735" s="31" t="str">
        <f>Source!DG314</f>
        <v/>
      </c>
      <c r="H735" s="30">
        <f>ROUND(Source!AF314*Source!I314, 2)</f>
        <v>4.51</v>
      </c>
      <c r="I735" s="31"/>
      <c r="J735" s="31">
        <f>IF(Source!BA314&lt;&gt; 0, Source!BA314, 1)</f>
        <v>6.56</v>
      </c>
      <c r="K735" s="30">
        <f>Source!S314</f>
        <v>29.56</v>
      </c>
      <c r="L735" s="32"/>
      <c r="R735">
        <f>H735</f>
        <v>4.51</v>
      </c>
    </row>
    <row r="736" spans="1:26" ht="14.25" x14ac:dyDescent="0.2">
      <c r="A736" s="45"/>
      <c r="B736" s="46"/>
      <c r="C736" s="46" t="s">
        <v>136</v>
      </c>
      <c r="D736" s="29"/>
      <c r="E736" s="11"/>
      <c r="F736" s="30">
        <f>Source!AM314</f>
        <v>94.67</v>
      </c>
      <c r="G736" s="31" t="str">
        <f>Source!DE314</f>
        <v/>
      </c>
      <c r="H736" s="30">
        <f>ROUND(Source!AD314*Source!I314, 2)</f>
        <v>5.3</v>
      </c>
      <c r="I736" s="31"/>
      <c r="J736" s="31">
        <f>IF(Source!BB314&lt;&gt; 0, Source!BB314, 1)</f>
        <v>6.56</v>
      </c>
      <c r="K736" s="30">
        <f>Source!Q314</f>
        <v>34.78</v>
      </c>
      <c r="L736" s="32"/>
    </row>
    <row r="737" spans="1:26" ht="14.25" x14ac:dyDescent="0.2">
      <c r="A737" s="45"/>
      <c r="B737" s="46"/>
      <c r="C737" s="46" t="s">
        <v>1637</v>
      </c>
      <c r="D737" s="29"/>
      <c r="E737" s="11"/>
      <c r="F737" s="30">
        <f>Source!AN314</f>
        <v>23.33</v>
      </c>
      <c r="G737" s="31" t="str">
        <f>Source!DF314</f>
        <v/>
      </c>
      <c r="H737" s="33">
        <f>ROUND(Source!AE314*Source!I314, 2)</f>
        <v>1.31</v>
      </c>
      <c r="I737" s="31"/>
      <c r="J737" s="31">
        <f>IF(Source!BS314&lt;&gt; 0, Source!BS314, 1)</f>
        <v>6.56</v>
      </c>
      <c r="K737" s="33">
        <f>Source!R314</f>
        <v>8.57</v>
      </c>
      <c r="L737" s="32"/>
      <c r="R737">
        <f>H737</f>
        <v>1.31</v>
      </c>
    </row>
    <row r="738" spans="1:26" ht="14.25" x14ac:dyDescent="0.2">
      <c r="A738" s="45"/>
      <c r="B738" s="46"/>
      <c r="C738" s="46" t="s">
        <v>1643</v>
      </c>
      <c r="D738" s="29"/>
      <c r="E738" s="11"/>
      <c r="F738" s="30">
        <f>Source!AL314</f>
        <v>407.53</v>
      </c>
      <c r="G738" s="31" t="str">
        <f>Source!DD314</f>
        <v/>
      </c>
      <c r="H738" s="30">
        <f>ROUND(Source!AC314*Source!I314, 2)</f>
        <v>22.82</v>
      </c>
      <c r="I738" s="31"/>
      <c r="J738" s="31">
        <f>IF(Source!BC314&lt;&gt; 0, Source!BC314, 1)</f>
        <v>6.56</v>
      </c>
      <c r="K738" s="30">
        <f>Source!P314</f>
        <v>149.71</v>
      </c>
      <c r="L738" s="32"/>
    </row>
    <row r="739" spans="1:26" ht="14.25" x14ac:dyDescent="0.2">
      <c r="A739" s="45"/>
      <c r="B739" s="46"/>
      <c r="C739" s="46" t="s">
        <v>1638</v>
      </c>
      <c r="D739" s="29" t="s">
        <v>1639</v>
      </c>
      <c r="E739" s="11">
        <f>Source!BZ314</f>
        <v>95</v>
      </c>
      <c r="F739" s="49"/>
      <c r="G739" s="31"/>
      <c r="H739" s="30">
        <f>SUM(S733:S742)</f>
        <v>5.53</v>
      </c>
      <c r="I739" s="34"/>
      <c r="J739" s="27">
        <f>Source!AT314</f>
        <v>95</v>
      </c>
      <c r="K739" s="30">
        <f>SUM(T733:T742)</f>
        <v>36.22</v>
      </c>
      <c r="L739" s="32"/>
    </row>
    <row r="740" spans="1:26" ht="14.25" x14ac:dyDescent="0.2">
      <c r="A740" s="45"/>
      <c r="B740" s="46"/>
      <c r="C740" s="46" t="s">
        <v>1640</v>
      </c>
      <c r="D740" s="29" t="s">
        <v>1639</v>
      </c>
      <c r="E740" s="11">
        <f>Source!CA314</f>
        <v>65</v>
      </c>
      <c r="F740" s="49"/>
      <c r="G740" s="31"/>
      <c r="H740" s="30">
        <f>SUM(U733:U742)</f>
        <v>3.78</v>
      </c>
      <c r="I740" s="34"/>
      <c r="J740" s="27">
        <f>Source!AU314</f>
        <v>65</v>
      </c>
      <c r="K740" s="30">
        <f>SUM(V733:V742)</f>
        <v>24.78</v>
      </c>
      <c r="L740" s="32"/>
    </row>
    <row r="741" spans="1:26" ht="14.25" x14ac:dyDescent="0.2">
      <c r="A741" s="45"/>
      <c r="B741" s="46"/>
      <c r="C741" s="46" t="s">
        <v>1641</v>
      </c>
      <c r="D741" s="29" t="s">
        <v>1642</v>
      </c>
      <c r="E741" s="11">
        <f>Source!AQ314</f>
        <v>8.56</v>
      </c>
      <c r="F741" s="30"/>
      <c r="G741" s="31" t="str">
        <f>Source!DI314</f>
        <v/>
      </c>
      <c r="H741" s="30"/>
      <c r="I741" s="31"/>
      <c r="J741" s="31"/>
      <c r="K741" s="30"/>
      <c r="L741" s="41">
        <f>Source!U314</f>
        <v>0.47936000000000006</v>
      </c>
    </row>
    <row r="742" spans="1:26" ht="42.75" x14ac:dyDescent="0.2">
      <c r="A742" s="47" t="str">
        <f>Source!E315</f>
        <v>70,1</v>
      </c>
      <c r="B742" s="48" t="str">
        <f>Source!F315</f>
        <v>20.2.07.02-0009</v>
      </c>
      <c r="C742" s="48" t="str">
        <f>Source!G315</f>
        <v>Лоток кабельный оцинкованный замковый перфорированный PNK 300-300х50 мм, длина 2,5 м</v>
      </c>
      <c r="D742" s="35" t="str">
        <f>Source!H315</f>
        <v>шт.</v>
      </c>
      <c r="E742" s="36">
        <f>Source!I315</f>
        <v>2.2400000000000002</v>
      </c>
      <c r="F742" s="37">
        <f>Source!AL315+Source!AM315+Source!AO315</f>
        <v>62.4</v>
      </c>
      <c r="G742" s="43" t="s">
        <v>6</v>
      </c>
      <c r="H742" s="37">
        <f>ROUND(Source!AC315*Source!I315, 2)+ROUND(Source!AD315*Source!I315, 2)+ROUND(Source!AF315*Source!I315, 2)</f>
        <v>139.78</v>
      </c>
      <c r="I742" s="38"/>
      <c r="J742" s="38">
        <f>IF(Source!BC315&lt;&gt; 0, Source!BC315, 1)</f>
        <v>6.56</v>
      </c>
      <c r="K742" s="37">
        <f>Source!O315</f>
        <v>916.93</v>
      </c>
      <c r="L742" s="44"/>
      <c r="S742">
        <f>ROUND((Source!FX315/100)*((ROUND(Source!AF315*Source!I315, 2)+ROUND(Source!AE315*Source!I315, 2))), 2)</f>
        <v>0</v>
      </c>
      <c r="T742">
        <f>Source!X315</f>
        <v>0</v>
      </c>
      <c r="U742">
        <f>ROUND((Source!FY315/100)*((ROUND(Source!AF315*Source!I315, 2)+ROUND(Source!AE315*Source!I315, 2))), 2)</f>
        <v>0</v>
      </c>
      <c r="V742">
        <f>Source!Y315</f>
        <v>0</v>
      </c>
      <c r="W742">
        <f>IF(Source!BI315&lt;=1,H742, 0)</f>
        <v>0</v>
      </c>
      <c r="X742">
        <f>IF(Source!BI315=2,H742, 0)</f>
        <v>139.78</v>
      </c>
      <c r="Y742">
        <f>IF(Source!BI315=3,H742, 0)</f>
        <v>0</v>
      </c>
      <c r="Z742">
        <f>IF(Source!BI315=4,H742, 0)</f>
        <v>0</v>
      </c>
    </row>
    <row r="743" spans="1:26" ht="15" x14ac:dyDescent="0.25">
      <c r="G743" s="70">
        <f>H735+H736+H738+H739+H740+SUM(H742:H742)</f>
        <v>181.72</v>
      </c>
      <c r="H743" s="70"/>
      <c r="J743" s="70">
        <f>K735+K736+K738+K739+K740+SUM(K742:K742)</f>
        <v>1191.98</v>
      </c>
      <c r="K743" s="70"/>
      <c r="L743" s="40">
        <f>Source!U314</f>
        <v>0.47936000000000006</v>
      </c>
      <c r="O743" s="24">
        <f>G743</f>
        <v>181.72</v>
      </c>
      <c r="P743" s="24">
        <f>J743</f>
        <v>1191.98</v>
      </c>
      <c r="Q743" s="24">
        <f>L743</f>
        <v>0.47936000000000006</v>
      </c>
      <c r="W743">
        <f>IF(Source!BI314&lt;=1,H735+H736+H738+H739+H740, 0)</f>
        <v>0</v>
      </c>
      <c r="X743">
        <f>IF(Source!BI314=2,H735+H736+H738+H739+H740, 0)</f>
        <v>41.94</v>
      </c>
      <c r="Y743">
        <f>IF(Source!BI314=3,H735+H736+H738+H739+H740, 0)</f>
        <v>0</v>
      </c>
      <c r="Z743">
        <f>IF(Source!BI314=4,H735+H736+H738+H739+H740, 0)</f>
        <v>0</v>
      </c>
    </row>
    <row r="744" spans="1:26" ht="42.75" x14ac:dyDescent="0.2">
      <c r="A744" s="45" t="str">
        <f>Source!E316</f>
        <v>71</v>
      </c>
      <c r="B744" s="46" t="str">
        <f>Source!F316</f>
        <v>м08-02-146-02</v>
      </c>
      <c r="C744" s="46" t="str">
        <f>Source!G316</f>
        <v>Кабель до 35 кВ с креплением накладными скобами, масса 1 м кабеля до 1 кг</v>
      </c>
      <c r="D744" s="29" t="str">
        <f>Source!H316</f>
        <v>100 м</v>
      </c>
      <c r="E744" s="11">
        <f>Source!I316</f>
        <v>0.7</v>
      </c>
      <c r="F744" s="30">
        <f>Source!AL316+Source!AM316+Source!AO316</f>
        <v>836.21</v>
      </c>
      <c r="G744" s="31"/>
      <c r="H744" s="30"/>
      <c r="I744" s="31" t="str">
        <f>Source!BO316</f>
        <v/>
      </c>
      <c r="J744" s="31"/>
      <c r="K744" s="30"/>
      <c r="L744" s="32"/>
      <c r="S744">
        <f>ROUND((Source!FX316/100)*((ROUND(Source!AF316*Source!I316, 2)+ROUND(Source!AE316*Source!I316, 2))), 2)</f>
        <v>126.65</v>
      </c>
      <c r="T744">
        <f>Source!X316</f>
        <v>830.82</v>
      </c>
      <c r="U744">
        <f>ROUND((Source!FY316/100)*((ROUND(Source!AF316*Source!I316, 2)+ROUND(Source!AE316*Source!I316, 2))), 2)</f>
        <v>86.66</v>
      </c>
      <c r="V744">
        <f>Source!Y316</f>
        <v>568.46</v>
      </c>
    </row>
    <row r="745" spans="1:26" x14ac:dyDescent="0.2">
      <c r="C745" s="23" t="str">
        <f>"Объем: "&amp;Source!I316&amp;"=70/"&amp;"100"</f>
        <v>Объем: 0,7=70/100</v>
      </c>
    </row>
    <row r="746" spans="1:26" ht="14.25" x14ac:dyDescent="0.2">
      <c r="A746" s="45"/>
      <c r="B746" s="46"/>
      <c r="C746" s="46" t="s">
        <v>1636</v>
      </c>
      <c r="D746" s="29"/>
      <c r="E746" s="11"/>
      <c r="F746" s="30">
        <f>Source!AO316</f>
        <v>129</v>
      </c>
      <c r="G746" s="31" t="str">
        <f>Source!DG316</f>
        <v/>
      </c>
      <c r="H746" s="30">
        <f>ROUND(Source!AF316*Source!I316, 2)</f>
        <v>90.3</v>
      </c>
      <c r="I746" s="31"/>
      <c r="J746" s="31">
        <f>IF(Source!BA316&lt;&gt; 0, Source!BA316, 1)</f>
        <v>6.56</v>
      </c>
      <c r="K746" s="30">
        <f>Source!S316</f>
        <v>592.37</v>
      </c>
      <c r="L746" s="32"/>
      <c r="R746">
        <f>H746</f>
        <v>90.3</v>
      </c>
    </row>
    <row r="747" spans="1:26" ht="14.25" x14ac:dyDescent="0.2">
      <c r="A747" s="45"/>
      <c r="B747" s="46"/>
      <c r="C747" s="46" t="s">
        <v>136</v>
      </c>
      <c r="D747" s="29"/>
      <c r="E747" s="11"/>
      <c r="F747" s="30">
        <f>Source!AM316</f>
        <v>645.12</v>
      </c>
      <c r="G747" s="31" t="str">
        <f>Source!DE316</f>
        <v/>
      </c>
      <c r="H747" s="30">
        <f>ROUND(Source!AD316*Source!I316, 2)</f>
        <v>451.58</v>
      </c>
      <c r="I747" s="31"/>
      <c r="J747" s="31">
        <f>IF(Source!BB316&lt;&gt; 0, Source!BB316, 1)</f>
        <v>6.56</v>
      </c>
      <c r="K747" s="30">
        <f>Source!Q316</f>
        <v>2962.39</v>
      </c>
      <c r="L747" s="32"/>
    </row>
    <row r="748" spans="1:26" ht="14.25" x14ac:dyDescent="0.2">
      <c r="A748" s="45"/>
      <c r="B748" s="46"/>
      <c r="C748" s="46" t="s">
        <v>1637</v>
      </c>
      <c r="D748" s="29"/>
      <c r="E748" s="11"/>
      <c r="F748" s="30">
        <f>Source!AN316</f>
        <v>61.45</v>
      </c>
      <c r="G748" s="31" t="str">
        <f>Source!DF316</f>
        <v/>
      </c>
      <c r="H748" s="33">
        <f>ROUND(Source!AE316*Source!I316, 2)</f>
        <v>43.02</v>
      </c>
      <c r="I748" s="31"/>
      <c r="J748" s="31">
        <f>IF(Source!BS316&lt;&gt; 0, Source!BS316, 1)</f>
        <v>6.56</v>
      </c>
      <c r="K748" s="33">
        <f>Source!R316</f>
        <v>282.18</v>
      </c>
      <c r="L748" s="32"/>
      <c r="R748">
        <f>H748</f>
        <v>43.02</v>
      </c>
    </row>
    <row r="749" spans="1:26" ht="14.25" x14ac:dyDescent="0.2">
      <c r="A749" s="45"/>
      <c r="B749" s="46"/>
      <c r="C749" s="46" t="s">
        <v>1643</v>
      </c>
      <c r="D749" s="29"/>
      <c r="E749" s="11"/>
      <c r="F749" s="30">
        <f>Source!AL316</f>
        <v>62.09</v>
      </c>
      <c r="G749" s="31" t="str">
        <f>Source!DD316</f>
        <v/>
      </c>
      <c r="H749" s="30">
        <f>ROUND(Source!AC316*Source!I316, 2)</f>
        <v>43.46</v>
      </c>
      <c r="I749" s="31"/>
      <c r="J749" s="31">
        <f>IF(Source!BC316&lt;&gt; 0, Source!BC316, 1)</f>
        <v>6.56</v>
      </c>
      <c r="K749" s="30">
        <f>Source!P316</f>
        <v>285.12</v>
      </c>
      <c r="L749" s="32"/>
    </row>
    <row r="750" spans="1:26" ht="14.25" x14ac:dyDescent="0.2">
      <c r="A750" s="45"/>
      <c r="B750" s="46"/>
      <c r="C750" s="46" t="s">
        <v>1638</v>
      </c>
      <c r="D750" s="29" t="s">
        <v>1639</v>
      </c>
      <c r="E750" s="11">
        <f>Source!BZ316</f>
        <v>95</v>
      </c>
      <c r="F750" s="49"/>
      <c r="G750" s="31"/>
      <c r="H750" s="30">
        <f>SUM(S744:S753)</f>
        <v>126.65</v>
      </c>
      <c r="I750" s="34"/>
      <c r="J750" s="27">
        <f>Source!AT316</f>
        <v>95</v>
      </c>
      <c r="K750" s="30">
        <f>SUM(T744:T753)</f>
        <v>830.82</v>
      </c>
      <c r="L750" s="32"/>
    </row>
    <row r="751" spans="1:26" ht="14.25" x14ac:dyDescent="0.2">
      <c r="A751" s="45"/>
      <c r="B751" s="46"/>
      <c r="C751" s="46" t="s">
        <v>1640</v>
      </c>
      <c r="D751" s="29" t="s">
        <v>1639</v>
      </c>
      <c r="E751" s="11">
        <f>Source!CA316</f>
        <v>65</v>
      </c>
      <c r="F751" s="49"/>
      <c r="G751" s="31"/>
      <c r="H751" s="30">
        <f>SUM(U744:U753)</f>
        <v>86.66</v>
      </c>
      <c r="I751" s="34"/>
      <c r="J751" s="27">
        <f>Source!AU316</f>
        <v>65</v>
      </c>
      <c r="K751" s="30">
        <f>SUM(V744:V753)</f>
        <v>568.46</v>
      </c>
      <c r="L751" s="32"/>
    </row>
    <row r="752" spans="1:26" ht="14.25" x14ac:dyDescent="0.2">
      <c r="A752" s="45"/>
      <c r="B752" s="46"/>
      <c r="C752" s="46" t="s">
        <v>1641</v>
      </c>
      <c r="D752" s="29" t="s">
        <v>1642</v>
      </c>
      <c r="E752" s="11">
        <f>Source!AQ316</f>
        <v>13.41</v>
      </c>
      <c r="F752" s="30"/>
      <c r="G752" s="31" t="str">
        <f>Source!DI316</f>
        <v/>
      </c>
      <c r="H752" s="30"/>
      <c r="I752" s="31"/>
      <c r="J752" s="31"/>
      <c r="K752" s="30"/>
      <c r="L752" s="41">
        <f>Source!U316</f>
        <v>9.3869999999999987</v>
      </c>
    </row>
    <row r="753" spans="1:26" ht="85.5" x14ac:dyDescent="0.2">
      <c r="A753" s="47" t="str">
        <f>Source!E317</f>
        <v>71,1</v>
      </c>
      <c r="B753" s="48" t="str">
        <f>Source!F317</f>
        <v>21.1.06.10-0408</v>
      </c>
      <c r="C753" s="48" t="str">
        <f>Source!G317</f>
        <v>Кабель силовой с медными жилами с изоляцией и оболочкой из ПВХ, не распространяющий горение, с низким дымо- и газовыделением, напряжением 1,0 кВ (ГОСТ Р 53769-2010), марки ВВГнг(A)-LS 5х4ок(N,РЕ)</v>
      </c>
      <c r="D753" s="35" t="str">
        <f>Source!H317</f>
        <v>1000 м</v>
      </c>
      <c r="E753" s="36">
        <f>Source!I317</f>
        <v>7.0000000000000007E-2</v>
      </c>
      <c r="F753" s="37">
        <f>Source!AL317+Source!AM317+Source!AO317</f>
        <v>31015.17</v>
      </c>
      <c r="G753" s="43" t="s">
        <v>6</v>
      </c>
      <c r="H753" s="37">
        <f>ROUND(Source!AC317*Source!I317, 2)+ROUND(Source!AD317*Source!I317, 2)+ROUND(Source!AF317*Source!I317, 2)</f>
        <v>2171.06</v>
      </c>
      <c r="I753" s="38"/>
      <c r="J753" s="38">
        <f>IF(Source!BC317&lt;&gt; 0, Source!BC317, 1)</f>
        <v>6.56</v>
      </c>
      <c r="K753" s="37">
        <f>Source!O317</f>
        <v>14242.17</v>
      </c>
      <c r="L753" s="44"/>
      <c r="S753">
        <f>ROUND((Source!FX317/100)*((ROUND(Source!AF317*Source!I317, 2)+ROUND(Source!AE317*Source!I317, 2))), 2)</f>
        <v>0</v>
      </c>
      <c r="T753">
        <f>Source!X317</f>
        <v>0</v>
      </c>
      <c r="U753">
        <f>ROUND((Source!FY317/100)*((ROUND(Source!AF317*Source!I317, 2)+ROUND(Source!AE317*Source!I317, 2))), 2)</f>
        <v>0</v>
      </c>
      <c r="V753">
        <f>Source!Y317</f>
        <v>0</v>
      </c>
      <c r="W753">
        <f>IF(Source!BI317&lt;=1,H753, 0)</f>
        <v>0</v>
      </c>
      <c r="X753">
        <f>IF(Source!BI317=2,H753, 0)</f>
        <v>2171.06</v>
      </c>
      <c r="Y753">
        <f>IF(Source!BI317=3,H753, 0)</f>
        <v>0</v>
      </c>
      <c r="Z753">
        <f>IF(Source!BI317=4,H753, 0)</f>
        <v>0</v>
      </c>
    </row>
    <row r="754" spans="1:26" ht="15" x14ac:dyDescent="0.25">
      <c r="G754" s="70">
        <f>H746+H747+H749+H750+H751+SUM(H753:H753)</f>
        <v>2969.71</v>
      </c>
      <c r="H754" s="70"/>
      <c r="J754" s="70">
        <f>K746+K747+K749+K750+K751+SUM(K753:K753)</f>
        <v>19481.330000000002</v>
      </c>
      <c r="K754" s="70"/>
      <c r="L754" s="40">
        <f>Source!U316</f>
        <v>9.3869999999999987</v>
      </c>
      <c r="O754" s="24">
        <f>G754</f>
        <v>2969.71</v>
      </c>
      <c r="P754" s="24">
        <f>J754</f>
        <v>19481.330000000002</v>
      </c>
      <c r="Q754" s="24">
        <f>L754</f>
        <v>9.3869999999999987</v>
      </c>
      <c r="W754">
        <f>IF(Source!BI316&lt;=1,H746+H747+H749+H750+H751, 0)</f>
        <v>0</v>
      </c>
      <c r="X754">
        <f>IF(Source!BI316=2,H746+H747+H749+H750+H751, 0)</f>
        <v>798.65</v>
      </c>
      <c r="Y754">
        <f>IF(Source!BI316=3,H746+H747+H749+H750+H751, 0)</f>
        <v>0</v>
      </c>
      <c r="Z754">
        <f>IF(Source!BI316=4,H746+H747+H749+H750+H751, 0)</f>
        <v>0</v>
      </c>
    </row>
    <row r="756" spans="1:26" ht="15" x14ac:dyDescent="0.25">
      <c r="A756" s="74" t="str">
        <f>CONCATENATE("Итого по подразделу: ",IF(Source!G319&lt;&gt;"Новый подраздел", Source!G319, ""))</f>
        <v>Итого по подразделу: 2 Монтаж освещения</v>
      </c>
      <c r="B756" s="74"/>
      <c r="C756" s="74"/>
      <c r="D756" s="74"/>
      <c r="E756" s="74"/>
      <c r="F756" s="74"/>
      <c r="G756" s="73">
        <f>SUM(O625:O755)</f>
        <v>26968.25</v>
      </c>
      <c r="H756" s="73"/>
      <c r="I756" s="26"/>
      <c r="J756" s="73">
        <f>SUM(P625:P755)</f>
        <v>176911.74</v>
      </c>
      <c r="K756" s="73"/>
      <c r="L756" s="40">
        <f>SUM(Q625:Q755)</f>
        <v>120.27884</v>
      </c>
    </row>
    <row r="757" spans="1:26" ht="16.5" x14ac:dyDescent="0.25">
      <c r="A757" s="75" t="str">
        <f>CONCATENATE("Подраздел: ",IF(Source!G348&lt;&gt;"Новый подраздел", Source!G348, ""))</f>
        <v>Подраздел: 3 Монтаж силовой части</v>
      </c>
      <c r="B757" s="75"/>
      <c r="C757" s="75"/>
      <c r="D757" s="75"/>
      <c r="E757" s="75"/>
      <c r="F757" s="75"/>
      <c r="G757" s="75"/>
      <c r="H757" s="75"/>
      <c r="I757" s="75"/>
      <c r="J757" s="75"/>
      <c r="K757" s="75"/>
      <c r="L757" s="75"/>
    </row>
    <row r="758" spans="1:26" ht="28.5" x14ac:dyDescent="0.2">
      <c r="A758" s="45" t="str">
        <f>Source!E352</f>
        <v>72</v>
      </c>
      <c r="B758" s="46" t="str">
        <f>Source!F352</f>
        <v>м08-02-390-03</v>
      </c>
      <c r="C758" s="46" t="str">
        <f>Source!G352</f>
        <v>Короба пластмассовые шириной до 120 мм</v>
      </c>
      <c r="D758" s="29" t="str">
        <f>Source!H352</f>
        <v>100 м</v>
      </c>
      <c r="E758" s="11">
        <f>Source!I352</f>
        <v>0.95</v>
      </c>
      <c r="F758" s="30">
        <f>Source!AL352+Source!AM352+Source!AO352</f>
        <v>286.92</v>
      </c>
      <c r="G758" s="31"/>
      <c r="H758" s="30"/>
      <c r="I758" s="31" t="str">
        <f>Source!BO352</f>
        <v/>
      </c>
      <c r="J758" s="31"/>
      <c r="K758" s="30"/>
      <c r="L758" s="32"/>
      <c r="S758">
        <f>ROUND((Source!FX352/100)*((ROUND(Source!AF352*Source!I352, 2)+ROUND(Source!AE352*Source!I352, 2))), 2)</f>
        <v>174.61</v>
      </c>
      <c r="T758">
        <f>Source!X352</f>
        <v>1145.47</v>
      </c>
      <c r="U758">
        <f>ROUND((Source!FY352/100)*((ROUND(Source!AF352*Source!I352, 2)+ROUND(Source!AE352*Source!I352, 2))), 2)</f>
        <v>119.47</v>
      </c>
      <c r="V758">
        <f>Source!Y352</f>
        <v>783.74</v>
      </c>
    </row>
    <row r="759" spans="1:26" x14ac:dyDescent="0.2">
      <c r="C759" s="23" t="str">
        <f>"Объем: "&amp;Source!I352&amp;"=95/"&amp;"100"</f>
        <v>Объем: 0,95=95/100</v>
      </c>
    </row>
    <row r="760" spans="1:26" ht="14.25" x14ac:dyDescent="0.2">
      <c r="A760" s="45"/>
      <c r="B760" s="46"/>
      <c r="C760" s="46" t="s">
        <v>1636</v>
      </c>
      <c r="D760" s="29"/>
      <c r="E760" s="11"/>
      <c r="F760" s="30">
        <f>Source!AO352</f>
        <v>193.34</v>
      </c>
      <c r="G760" s="31" t="str">
        <f>Source!DG352</f>
        <v/>
      </c>
      <c r="H760" s="30">
        <f>ROUND(Source!AF352*Source!I352, 2)</f>
        <v>183.67</v>
      </c>
      <c r="I760" s="31"/>
      <c r="J760" s="31">
        <f>IF(Source!BA352&lt;&gt; 0, Source!BA352, 1)</f>
        <v>6.56</v>
      </c>
      <c r="K760" s="30">
        <f>Source!S352</f>
        <v>1204.8900000000001</v>
      </c>
      <c r="L760" s="32"/>
      <c r="R760">
        <f>H760</f>
        <v>183.67</v>
      </c>
    </row>
    <row r="761" spans="1:26" ht="14.25" x14ac:dyDescent="0.2">
      <c r="A761" s="45"/>
      <c r="B761" s="46"/>
      <c r="C761" s="46" t="s">
        <v>136</v>
      </c>
      <c r="D761" s="29"/>
      <c r="E761" s="11"/>
      <c r="F761" s="30">
        <f>Source!AM352</f>
        <v>0.31</v>
      </c>
      <c r="G761" s="31" t="str">
        <f>Source!DE352</f>
        <v/>
      </c>
      <c r="H761" s="30">
        <f>ROUND(Source!AD352*Source!I352, 2)</f>
        <v>0.28999999999999998</v>
      </c>
      <c r="I761" s="31"/>
      <c r="J761" s="31">
        <f>IF(Source!BB352&lt;&gt; 0, Source!BB352, 1)</f>
        <v>6.56</v>
      </c>
      <c r="K761" s="30">
        <f>Source!Q352</f>
        <v>1.93</v>
      </c>
      <c r="L761" s="32"/>
    </row>
    <row r="762" spans="1:26" ht="14.25" x14ac:dyDescent="0.2">
      <c r="A762" s="45"/>
      <c r="B762" s="46"/>
      <c r="C762" s="46" t="s">
        <v>1637</v>
      </c>
      <c r="D762" s="29"/>
      <c r="E762" s="11"/>
      <c r="F762" s="30">
        <f>Source!AN352</f>
        <v>0.14000000000000001</v>
      </c>
      <c r="G762" s="31" t="str">
        <f>Source!DF352</f>
        <v/>
      </c>
      <c r="H762" s="33">
        <f>ROUND(Source!AE352*Source!I352, 2)</f>
        <v>0.13</v>
      </c>
      <c r="I762" s="31"/>
      <c r="J762" s="31">
        <f>IF(Source!BS352&lt;&gt; 0, Source!BS352, 1)</f>
        <v>6.56</v>
      </c>
      <c r="K762" s="33">
        <f>Source!R352</f>
        <v>0.87</v>
      </c>
      <c r="L762" s="32"/>
      <c r="R762">
        <f>H762</f>
        <v>0.13</v>
      </c>
    </row>
    <row r="763" spans="1:26" ht="14.25" x14ac:dyDescent="0.2">
      <c r="A763" s="45"/>
      <c r="B763" s="46"/>
      <c r="C763" s="46" t="s">
        <v>1643</v>
      </c>
      <c r="D763" s="29"/>
      <c r="E763" s="11"/>
      <c r="F763" s="30">
        <f>Source!AL352</f>
        <v>93.27</v>
      </c>
      <c r="G763" s="31" t="str">
        <f>Source!DD352</f>
        <v/>
      </c>
      <c r="H763" s="30">
        <f>ROUND(Source!AC352*Source!I352, 2)</f>
        <v>88.61</v>
      </c>
      <c r="I763" s="31"/>
      <c r="J763" s="31">
        <f>IF(Source!BC352&lt;&gt; 0, Source!BC352, 1)</f>
        <v>6.56</v>
      </c>
      <c r="K763" s="30">
        <f>Source!P352</f>
        <v>581.26</v>
      </c>
      <c r="L763" s="32"/>
    </row>
    <row r="764" spans="1:26" ht="14.25" x14ac:dyDescent="0.2">
      <c r="A764" s="45"/>
      <c r="B764" s="46"/>
      <c r="C764" s="46" t="s">
        <v>1638</v>
      </c>
      <c r="D764" s="29" t="s">
        <v>1639</v>
      </c>
      <c r="E764" s="11">
        <f>Source!BZ352</f>
        <v>95</v>
      </c>
      <c r="F764" s="49"/>
      <c r="G764" s="31"/>
      <c r="H764" s="30">
        <f>SUM(S758:S767)</f>
        <v>174.61</v>
      </c>
      <c r="I764" s="34"/>
      <c r="J764" s="27">
        <f>Source!AT352</f>
        <v>95</v>
      </c>
      <c r="K764" s="30">
        <f>SUM(T758:T767)</f>
        <v>1145.47</v>
      </c>
      <c r="L764" s="32"/>
    </row>
    <row r="765" spans="1:26" ht="14.25" x14ac:dyDescent="0.2">
      <c r="A765" s="45"/>
      <c r="B765" s="46"/>
      <c r="C765" s="46" t="s">
        <v>1640</v>
      </c>
      <c r="D765" s="29" t="s">
        <v>1639</v>
      </c>
      <c r="E765" s="11">
        <f>Source!CA352</f>
        <v>65</v>
      </c>
      <c r="F765" s="49"/>
      <c r="G765" s="31"/>
      <c r="H765" s="30">
        <f>SUM(U758:U767)</f>
        <v>119.47</v>
      </c>
      <c r="I765" s="34"/>
      <c r="J765" s="27">
        <f>Source!AU352</f>
        <v>65</v>
      </c>
      <c r="K765" s="30">
        <f>SUM(V758:V767)</f>
        <v>783.74</v>
      </c>
      <c r="L765" s="32"/>
    </row>
    <row r="766" spans="1:26" ht="14.25" x14ac:dyDescent="0.2">
      <c r="A766" s="45"/>
      <c r="B766" s="46"/>
      <c r="C766" s="46" t="s">
        <v>1641</v>
      </c>
      <c r="D766" s="29" t="s">
        <v>1642</v>
      </c>
      <c r="E766" s="11">
        <f>Source!AQ352</f>
        <v>20.329999999999998</v>
      </c>
      <c r="F766" s="30"/>
      <c r="G766" s="31" t="str">
        <f>Source!DI352</f>
        <v/>
      </c>
      <c r="H766" s="30"/>
      <c r="I766" s="31"/>
      <c r="J766" s="31"/>
      <c r="K766" s="30"/>
      <c r="L766" s="41">
        <f>Source!U352</f>
        <v>19.313499999999998</v>
      </c>
    </row>
    <row r="767" spans="1:26" ht="28.5" x14ac:dyDescent="0.2">
      <c r="A767" s="47" t="str">
        <f>Source!E353</f>
        <v>72,1</v>
      </c>
      <c r="B767" s="48" t="str">
        <f>Source!F353</f>
        <v>20.2.05.04-0034</v>
      </c>
      <c r="C767" s="48" t="str">
        <f>Source!G353</f>
        <v>Кабель-канал (короб) "Efapel " 110x50 мм прим.</v>
      </c>
      <c r="D767" s="35" t="str">
        <f>Source!H353</f>
        <v>100 м</v>
      </c>
      <c r="E767" s="36">
        <f>Source!I353</f>
        <v>0.95</v>
      </c>
      <c r="F767" s="37">
        <f>Source!AL353+Source!AM353+Source!AO353</f>
        <v>1360</v>
      </c>
      <c r="G767" s="43" t="s">
        <v>6</v>
      </c>
      <c r="H767" s="37">
        <f>ROUND(Source!AC353*Source!I353, 2)+ROUND(Source!AD353*Source!I353, 2)+ROUND(Source!AF353*Source!I353, 2)</f>
        <v>1292</v>
      </c>
      <c r="I767" s="38"/>
      <c r="J767" s="38">
        <f>IF(Source!BC353&lt;&gt; 0, Source!BC353, 1)</f>
        <v>6.56</v>
      </c>
      <c r="K767" s="37">
        <f>Source!O353</f>
        <v>8475.52</v>
      </c>
      <c r="L767" s="44"/>
      <c r="S767">
        <f>ROUND((Source!FX353/100)*((ROUND(Source!AF353*Source!I353, 2)+ROUND(Source!AE353*Source!I353, 2))), 2)</f>
        <v>0</v>
      </c>
      <c r="T767">
        <f>Source!X353</f>
        <v>0</v>
      </c>
      <c r="U767">
        <f>ROUND((Source!FY353/100)*((ROUND(Source!AF353*Source!I353, 2)+ROUND(Source!AE353*Source!I353, 2))), 2)</f>
        <v>0</v>
      </c>
      <c r="V767">
        <f>Source!Y353</f>
        <v>0</v>
      </c>
      <c r="W767">
        <f>IF(Source!BI353&lt;=1,H767, 0)</f>
        <v>0</v>
      </c>
      <c r="X767">
        <f>IF(Source!BI353=2,H767, 0)</f>
        <v>1292</v>
      </c>
      <c r="Y767">
        <f>IF(Source!BI353=3,H767, 0)</f>
        <v>0</v>
      </c>
      <c r="Z767">
        <f>IF(Source!BI353=4,H767, 0)</f>
        <v>0</v>
      </c>
    </row>
    <row r="768" spans="1:26" ht="15" x14ac:dyDescent="0.25">
      <c r="G768" s="70">
        <f>H760+H761+H763+H764+H765+SUM(H767:H767)</f>
        <v>1858.65</v>
      </c>
      <c r="H768" s="70"/>
      <c r="J768" s="70">
        <f>K760+K761+K763+K764+K765+SUM(K767:K767)</f>
        <v>12192.810000000001</v>
      </c>
      <c r="K768" s="70"/>
      <c r="L768" s="40">
        <f>Source!U352</f>
        <v>19.313499999999998</v>
      </c>
      <c r="O768" s="24">
        <f>G768</f>
        <v>1858.65</v>
      </c>
      <c r="P768" s="24">
        <f>J768</f>
        <v>12192.810000000001</v>
      </c>
      <c r="Q768" s="24">
        <f>L768</f>
        <v>19.313499999999998</v>
      </c>
      <c r="W768">
        <f>IF(Source!BI352&lt;=1,H760+H761+H763+H764+H765, 0)</f>
        <v>0</v>
      </c>
      <c r="X768">
        <f>IF(Source!BI352=2,H760+H761+H763+H764+H765, 0)</f>
        <v>566.65</v>
      </c>
      <c r="Y768">
        <f>IF(Source!BI352=3,H760+H761+H763+H764+H765, 0)</f>
        <v>0</v>
      </c>
      <c r="Z768">
        <f>IF(Source!BI352=4,H760+H761+H763+H764+H765, 0)</f>
        <v>0</v>
      </c>
    </row>
    <row r="769" spans="1:26" ht="28.5" x14ac:dyDescent="0.2">
      <c r="A769" s="45" t="str">
        <f>Source!E354</f>
        <v>73</v>
      </c>
      <c r="B769" s="46" t="str">
        <f>Source!F354</f>
        <v>м08-03-591-08</v>
      </c>
      <c r="C769" s="46" t="str">
        <f>Source!G354</f>
        <v>Розетка штепсельная неутопленного типа при открытой проводке</v>
      </c>
      <c r="D769" s="29" t="str">
        <f>Source!H354</f>
        <v>100 ШТ</v>
      </c>
      <c r="E769" s="11">
        <f>Source!I354</f>
        <v>1.1200000000000001</v>
      </c>
      <c r="F769" s="30">
        <f>Source!AL354+Source!AM354+Source!AO354</f>
        <v>453.92999999999995</v>
      </c>
      <c r="G769" s="31"/>
      <c r="H769" s="30"/>
      <c r="I769" s="31" t="str">
        <f>Source!BO354</f>
        <v/>
      </c>
      <c r="J769" s="31"/>
      <c r="K769" s="30"/>
      <c r="L769" s="32"/>
      <c r="S769">
        <f>ROUND((Source!FX354/100)*((ROUND(Source!AF354*Source!I354, 2)+ROUND(Source!AE354*Source!I354, 2))), 2)</f>
        <v>365.47</v>
      </c>
      <c r="T769">
        <f>Source!X354</f>
        <v>2397.4299999999998</v>
      </c>
      <c r="U769">
        <f>ROUND((Source!FY354/100)*((ROUND(Source!AF354*Source!I354, 2)+ROUND(Source!AE354*Source!I354, 2))), 2)</f>
        <v>250.06</v>
      </c>
      <c r="V769">
        <f>Source!Y354</f>
        <v>1640.35</v>
      </c>
    </row>
    <row r="770" spans="1:26" x14ac:dyDescent="0.2">
      <c r="C770" s="23" t="str">
        <f>"Объем: "&amp;Source!I354&amp;"=112/"&amp;"100"</f>
        <v>Объем: 1,12=112/100</v>
      </c>
    </row>
    <row r="771" spans="1:26" ht="14.25" x14ac:dyDescent="0.2">
      <c r="A771" s="45"/>
      <c r="B771" s="46"/>
      <c r="C771" s="46" t="s">
        <v>1636</v>
      </c>
      <c r="D771" s="29"/>
      <c r="E771" s="11"/>
      <c r="F771" s="30">
        <f>Source!AO354</f>
        <v>342.84</v>
      </c>
      <c r="G771" s="31" t="str">
        <f>Source!DG354</f>
        <v/>
      </c>
      <c r="H771" s="30">
        <f>ROUND(Source!AF354*Source!I354, 2)</f>
        <v>383.98</v>
      </c>
      <c r="I771" s="31"/>
      <c r="J771" s="31">
        <f>IF(Source!BA354&lt;&gt; 0, Source!BA354, 1)</f>
        <v>6.56</v>
      </c>
      <c r="K771" s="30">
        <f>Source!S354</f>
        <v>2518.91</v>
      </c>
      <c r="L771" s="32"/>
      <c r="R771">
        <f>H771</f>
        <v>383.98</v>
      </c>
    </row>
    <row r="772" spans="1:26" ht="14.25" x14ac:dyDescent="0.2">
      <c r="A772" s="45"/>
      <c r="B772" s="46"/>
      <c r="C772" s="46" t="s">
        <v>136</v>
      </c>
      <c r="D772" s="29"/>
      <c r="E772" s="11"/>
      <c r="F772" s="30">
        <f>Source!AM354</f>
        <v>4.67</v>
      </c>
      <c r="G772" s="31" t="str">
        <f>Source!DE354</f>
        <v/>
      </c>
      <c r="H772" s="30">
        <f>ROUND(Source!AD354*Source!I354, 2)</f>
        <v>5.23</v>
      </c>
      <c r="I772" s="31"/>
      <c r="J772" s="31">
        <f>IF(Source!BB354&lt;&gt; 0, Source!BB354, 1)</f>
        <v>6.56</v>
      </c>
      <c r="K772" s="30">
        <f>Source!Q354</f>
        <v>34.31</v>
      </c>
      <c r="L772" s="32"/>
    </row>
    <row r="773" spans="1:26" ht="14.25" x14ac:dyDescent="0.2">
      <c r="A773" s="45"/>
      <c r="B773" s="46"/>
      <c r="C773" s="46" t="s">
        <v>1637</v>
      </c>
      <c r="D773" s="29"/>
      <c r="E773" s="11"/>
      <c r="F773" s="30">
        <f>Source!AN354</f>
        <v>0.64</v>
      </c>
      <c r="G773" s="31" t="str">
        <f>Source!DF354</f>
        <v/>
      </c>
      <c r="H773" s="33">
        <f>ROUND(Source!AE354*Source!I354, 2)</f>
        <v>0.72</v>
      </c>
      <c r="I773" s="31"/>
      <c r="J773" s="31">
        <f>IF(Source!BS354&lt;&gt; 0, Source!BS354, 1)</f>
        <v>6.56</v>
      </c>
      <c r="K773" s="33">
        <f>Source!R354</f>
        <v>4.7</v>
      </c>
      <c r="L773" s="32"/>
      <c r="R773">
        <f>H773</f>
        <v>0.72</v>
      </c>
    </row>
    <row r="774" spans="1:26" ht="14.25" x14ac:dyDescent="0.2">
      <c r="A774" s="45"/>
      <c r="B774" s="46"/>
      <c r="C774" s="46" t="s">
        <v>1643</v>
      </c>
      <c r="D774" s="29"/>
      <c r="E774" s="11"/>
      <c r="F774" s="30">
        <f>Source!AL354</f>
        <v>106.42</v>
      </c>
      <c r="G774" s="31" t="str">
        <f>Source!DD354</f>
        <v/>
      </c>
      <c r="H774" s="30">
        <f>ROUND(Source!AC354*Source!I354, 2)</f>
        <v>119.19</v>
      </c>
      <c r="I774" s="31"/>
      <c r="J774" s="31">
        <f>IF(Source!BC354&lt;&gt; 0, Source!BC354, 1)</f>
        <v>6.56</v>
      </c>
      <c r="K774" s="30">
        <f>Source!P354</f>
        <v>781.89</v>
      </c>
      <c r="L774" s="32"/>
    </row>
    <row r="775" spans="1:26" ht="14.25" x14ac:dyDescent="0.2">
      <c r="A775" s="45"/>
      <c r="B775" s="46"/>
      <c r="C775" s="46" t="s">
        <v>1638</v>
      </c>
      <c r="D775" s="29" t="s">
        <v>1639</v>
      </c>
      <c r="E775" s="11">
        <f>Source!BZ354</f>
        <v>95</v>
      </c>
      <c r="F775" s="49"/>
      <c r="G775" s="31"/>
      <c r="H775" s="30">
        <f>SUM(S769:S778)</f>
        <v>365.47</v>
      </c>
      <c r="I775" s="34"/>
      <c r="J775" s="27">
        <f>Source!AT354</f>
        <v>95</v>
      </c>
      <c r="K775" s="30">
        <f>SUM(T769:T778)</f>
        <v>2397.4299999999998</v>
      </c>
      <c r="L775" s="32"/>
    </row>
    <row r="776" spans="1:26" ht="14.25" x14ac:dyDescent="0.2">
      <c r="A776" s="45"/>
      <c r="B776" s="46"/>
      <c r="C776" s="46" t="s">
        <v>1640</v>
      </c>
      <c r="D776" s="29" t="s">
        <v>1639</v>
      </c>
      <c r="E776" s="11">
        <f>Source!CA354</f>
        <v>65</v>
      </c>
      <c r="F776" s="49"/>
      <c r="G776" s="31"/>
      <c r="H776" s="30">
        <f>SUM(U769:U778)</f>
        <v>250.06</v>
      </c>
      <c r="I776" s="34"/>
      <c r="J776" s="27">
        <f>Source!AU354</f>
        <v>65</v>
      </c>
      <c r="K776" s="30">
        <f>SUM(V769:V778)</f>
        <v>1640.35</v>
      </c>
      <c r="L776" s="32"/>
    </row>
    <row r="777" spans="1:26" ht="14.25" x14ac:dyDescent="0.2">
      <c r="A777" s="45"/>
      <c r="B777" s="46"/>
      <c r="C777" s="46" t="s">
        <v>1641</v>
      </c>
      <c r="D777" s="29" t="s">
        <v>1642</v>
      </c>
      <c r="E777" s="11">
        <f>Source!AQ354</f>
        <v>34.56</v>
      </c>
      <c r="F777" s="30"/>
      <c r="G777" s="31" t="str">
        <f>Source!DI354</f>
        <v/>
      </c>
      <c r="H777" s="30"/>
      <c r="I777" s="31"/>
      <c r="J777" s="31"/>
      <c r="K777" s="30"/>
      <c r="L777" s="41">
        <f>Source!U354</f>
        <v>38.707200000000007</v>
      </c>
    </row>
    <row r="778" spans="1:26" ht="42.75" x14ac:dyDescent="0.2">
      <c r="A778" s="47" t="str">
        <f>Source!E355</f>
        <v>73,1</v>
      </c>
      <c r="B778" s="48" t="str">
        <f>Source!F355</f>
        <v>20.4.03.05-0001</v>
      </c>
      <c r="C778" s="48" t="str">
        <f>Source!G355</f>
        <v>Розетка открытой проводки в кабель-канал "Efapel" с супортом 220В 45х45мм прим.</v>
      </c>
      <c r="D778" s="35" t="str">
        <f>Source!H355</f>
        <v>100 шт.</v>
      </c>
      <c r="E778" s="36">
        <f>Source!I355</f>
        <v>1.1200000000000001</v>
      </c>
      <c r="F778" s="37">
        <f>Source!AL355+Source!AM355+Source!AO355</f>
        <v>577</v>
      </c>
      <c r="G778" s="43" t="s">
        <v>6</v>
      </c>
      <c r="H778" s="37">
        <f>ROUND(Source!AC355*Source!I355, 2)+ROUND(Source!AD355*Source!I355, 2)+ROUND(Source!AF355*Source!I355, 2)</f>
        <v>646.24</v>
      </c>
      <c r="I778" s="38"/>
      <c r="J778" s="38">
        <f>IF(Source!BC355&lt;&gt; 0, Source!BC355, 1)</f>
        <v>6.56</v>
      </c>
      <c r="K778" s="37">
        <f>Source!O355</f>
        <v>4239.33</v>
      </c>
      <c r="L778" s="44"/>
      <c r="S778">
        <f>ROUND((Source!FX355/100)*((ROUND(Source!AF355*Source!I355, 2)+ROUND(Source!AE355*Source!I355, 2))), 2)</f>
        <v>0</v>
      </c>
      <c r="T778">
        <f>Source!X355</f>
        <v>0</v>
      </c>
      <c r="U778">
        <f>ROUND((Source!FY355/100)*((ROUND(Source!AF355*Source!I355, 2)+ROUND(Source!AE355*Source!I355, 2))), 2)</f>
        <v>0</v>
      </c>
      <c r="V778">
        <f>Source!Y355</f>
        <v>0</v>
      </c>
      <c r="W778">
        <f>IF(Source!BI355&lt;=1,H778, 0)</f>
        <v>0</v>
      </c>
      <c r="X778">
        <f>IF(Source!BI355=2,H778, 0)</f>
        <v>646.24</v>
      </c>
      <c r="Y778">
        <f>IF(Source!BI355=3,H778, 0)</f>
        <v>0</v>
      </c>
      <c r="Z778">
        <f>IF(Source!BI355=4,H778, 0)</f>
        <v>0</v>
      </c>
    </row>
    <row r="779" spans="1:26" ht="15" x14ac:dyDescent="0.25">
      <c r="G779" s="70">
        <f>H771+H772+H774+H775+H776+SUM(H778:H778)</f>
        <v>1770.17</v>
      </c>
      <c r="H779" s="70"/>
      <c r="J779" s="70">
        <f>K771+K772+K774+K775+K776+SUM(K778:K778)</f>
        <v>11612.22</v>
      </c>
      <c r="K779" s="70"/>
      <c r="L779" s="40">
        <f>Source!U354</f>
        <v>38.707200000000007</v>
      </c>
      <c r="O779" s="24">
        <f>G779</f>
        <v>1770.17</v>
      </c>
      <c r="P779" s="24">
        <f>J779</f>
        <v>11612.22</v>
      </c>
      <c r="Q779" s="24">
        <f>L779</f>
        <v>38.707200000000007</v>
      </c>
      <c r="W779">
        <f>IF(Source!BI354&lt;=1,H771+H772+H774+H775+H776, 0)</f>
        <v>0</v>
      </c>
      <c r="X779">
        <f>IF(Source!BI354=2,H771+H772+H774+H775+H776, 0)</f>
        <v>1123.93</v>
      </c>
      <c r="Y779">
        <f>IF(Source!BI354=3,H771+H772+H774+H775+H776, 0)</f>
        <v>0</v>
      </c>
      <c r="Z779">
        <f>IF(Source!BI354=4,H771+H772+H774+H775+H776, 0)</f>
        <v>0</v>
      </c>
    </row>
    <row r="780" spans="1:26" ht="28.5" x14ac:dyDescent="0.2">
      <c r="A780" s="45" t="str">
        <f>Source!E356</f>
        <v>74</v>
      </c>
      <c r="B780" s="46" t="str">
        <f>Source!F356</f>
        <v>м08-03-591-10</v>
      </c>
      <c r="C780" s="46" t="str">
        <f>Source!G356</f>
        <v>Розетка штепсельная полугерметическая и герметическая</v>
      </c>
      <c r="D780" s="29" t="str">
        <f>Source!H356</f>
        <v>100 ШТ</v>
      </c>
      <c r="E780" s="11">
        <f>Source!I356</f>
        <v>0.01</v>
      </c>
      <c r="F780" s="30">
        <f>Source!AL356+Source!AM356+Source!AO356</f>
        <v>770.34999999999991</v>
      </c>
      <c r="G780" s="31"/>
      <c r="H780" s="30"/>
      <c r="I780" s="31" t="str">
        <f>Source!BO356</f>
        <v/>
      </c>
      <c r="J780" s="31"/>
      <c r="K780" s="30"/>
      <c r="L780" s="32"/>
      <c r="S780">
        <f>ROUND((Source!FX356/100)*((ROUND(Source!AF356*Source!I356, 2)+ROUND(Source!AE356*Source!I356, 2))), 2)</f>
        <v>5.76</v>
      </c>
      <c r="T780">
        <f>Source!X356</f>
        <v>37.76</v>
      </c>
      <c r="U780">
        <f>ROUND((Source!FY356/100)*((ROUND(Source!AF356*Source!I356, 2)+ROUND(Source!AE356*Source!I356, 2))), 2)</f>
        <v>3.94</v>
      </c>
      <c r="V780">
        <f>Source!Y356</f>
        <v>25.84</v>
      </c>
    </row>
    <row r="781" spans="1:26" x14ac:dyDescent="0.2">
      <c r="C781" s="23" t="str">
        <f>"Объем: "&amp;Source!I356&amp;"=1/"&amp;"100"</f>
        <v>Объем: 0,01=1/100</v>
      </c>
    </row>
    <row r="782" spans="1:26" ht="14.25" x14ac:dyDescent="0.2">
      <c r="A782" s="45"/>
      <c r="B782" s="46"/>
      <c r="C782" s="46" t="s">
        <v>1636</v>
      </c>
      <c r="D782" s="29"/>
      <c r="E782" s="11"/>
      <c r="F782" s="30">
        <f>Source!AO356</f>
        <v>603.92999999999995</v>
      </c>
      <c r="G782" s="31" t="str">
        <f>Source!DG356</f>
        <v/>
      </c>
      <c r="H782" s="30">
        <f>ROUND(Source!AF356*Source!I356, 2)</f>
        <v>6.04</v>
      </c>
      <c r="I782" s="31"/>
      <c r="J782" s="31">
        <f>IF(Source!BA356&lt;&gt; 0, Source!BA356, 1)</f>
        <v>6.56</v>
      </c>
      <c r="K782" s="30">
        <f>Source!S356</f>
        <v>39.619999999999997</v>
      </c>
      <c r="L782" s="32"/>
      <c r="R782">
        <f>H782</f>
        <v>6.04</v>
      </c>
    </row>
    <row r="783" spans="1:26" ht="14.25" x14ac:dyDescent="0.2">
      <c r="A783" s="45"/>
      <c r="B783" s="46"/>
      <c r="C783" s="46" t="s">
        <v>136</v>
      </c>
      <c r="D783" s="29"/>
      <c r="E783" s="11"/>
      <c r="F783" s="30">
        <f>Source!AM356</f>
        <v>38.28</v>
      </c>
      <c r="G783" s="31" t="str">
        <f>Source!DE356</f>
        <v/>
      </c>
      <c r="H783" s="30">
        <f>ROUND(Source!AD356*Source!I356, 2)</f>
        <v>0.38</v>
      </c>
      <c r="I783" s="31"/>
      <c r="J783" s="31">
        <f>IF(Source!BB356&lt;&gt; 0, Source!BB356, 1)</f>
        <v>6.56</v>
      </c>
      <c r="K783" s="30">
        <f>Source!Q356</f>
        <v>2.5099999999999998</v>
      </c>
      <c r="L783" s="32"/>
    </row>
    <row r="784" spans="1:26" ht="14.25" x14ac:dyDescent="0.2">
      <c r="A784" s="45"/>
      <c r="B784" s="46"/>
      <c r="C784" s="46" t="s">
        <v>1637</v>
      </c>
      <c r="D784" s="29"/>
      <c r="E784" s="11"/>
      <c r="F784" s="30">
        <f>Source!AN356</f>
        <v>2.0099999999999998</v>
      </c>
      <c r="G784" s="31" t="str">
        <f>Source!DF356</f>
        <v/>
      </c>
      <c r="H784" s="33">
        <f>ROUND(Source!AE356*Source!I356, 2)</f>
        <v>0.02</v>
      </c>
      <c r="I784" s="31"/>
      <c r="J784" s="31">
        <f>IF(Source!BS356&lt;&gt; 0, Source!BS356, 1)</f>
        <v>6.56</v>
      </c>
      <c r="K784" s="33">
        <f>Source!R356</f>
        <v>0.13</v>
      </c>
      <c r="L784" s="32"/>
      <c r="R784">
        <f>H784</f>
        <v>0.02</v>
      </c>
    </row>
    <row r="785" spans="1:26" ht="14.25" x14ac:dyDescent="0.2">
      <c r="A785" s="45"/>
      <c r="B785" s="46"/>
      <c r="C785" s="46" t="s">
        <v>1643</v>
      </c>
      <c r="D785" s="29"/>
      <c r="E785" s="11"/>
      <c r="F785" s="30">
        <f>Source!AL356</f>
        <v>128.13999999999999</v>
      </c>
      <c r="G785" s="31" t="str">
        <f>Source!DD356</f>
        <v/>
      </c>
      <c r="H785" s="30">
        <f>ROUND(Source!AC356*Source!I356, 2)</f>
        <v>1.28</v>
      </c>
      <c r="I785" s="31"/>
      <c r="J785" s="31">
        <f>IF(Source!BC356&lt;&gt; 0, Source!BC356, 1)</f>
        <v>6.56</v>
      </c>
      <c r="K785" s="30">
        <f>Source!P356</f>
        <v>8.41</v>
      </c>
      <c r="L785" s="32"/>
    </row>
    <row r="786" spans="1:26" ht="14.25" x14ac:dyDescent="0.2">
      <c r="A786" s="45"/>
      <c r="B786" s="46"/>
      <c r="C786" s="46" t="s">
        <v>1638</v>
      </c>
      <c r="D786" s="29" t="s">
        <v>1639</v>
      </c>
      <c r="E786" s="11">
        <f>Source!BZ356</f>
        <v>95</v>
      </c>
      <c r="F786" s="49"/>
      <c r="G786" s="31"/>
      <c r="H786" s="30">
        <f>SUM(S780:S789)</f>
        <v>5.76</v>
      </c>
      <c r="I786" s="34"/>
      <c r="J786" s="27">
        <f>Source!AT356</f>
        <v>95</v>
      </c>
      <c r="K786" s="30">
        <f>SUM(T780:T789)</f>
        <v>37.76</v>
      </c>
      <c r="L786" s="32"/>
    </row>
    <row r="787" spans="1:26" ht="14.25" x14ac:dyDescent="0.2">
      <c r="A787" s="45"/>
      <c r="B787" s="46"/>
      <c r="C787" s="46" t="s">
        <v>1640</v>
      </c>
      <c r="D787" s="29" t="s">
        <v>1639</v>
      </c>
      <c r="E787" s="11">
        <f>Source!CA356</f>
        <v>65</v>
      </c>
      <c r="F787" s="49"/>
      <c r="G787" s="31"/>
      <c r="H787" s="30">
        <f>SUM(U780:U789)</f>
        <v>3.94</v>
      </c>
      <c r="I787" s="34"/>
      <c r="J787" s="27">
        <f>Source!AU356</f>
        <v>65</v>
      </c>
      <c r="K787" s="30">
        <f>SUM(V780:V789)</f>
        <v>25.84</v>
      </c>
      <c r="L787" s="32"/>
    </row>
    <row r="788" spans="1:26" ht="14.25" x14ac:dyDescent="0.2">
      <c r="A788" s="45"/>
      <c r="B788" s="46"/>
      <c r="C788" s="46" t="s">
        <v>1641</v>
      </c>
      <c r="D788" s="29" t="s">
        <v>1642</v>
      </c>
      <c r="E788" s="11">
        <f>Source!AQ356</f>
        <v>60.88</v>
      </c>
      <c r="F788" s="30"/>
      <c r="G788" s="31" t="str">
        <f>Source!DI356</f>
        <v/>
      </c>
      <c r="H788" s="30"/>
      <c r="I788" s="31"/>
      <c r="J788" s="31"/>
      <c r="K788" s="30"/>
      <c r="L788" s="41">
        <f>Source!U356</f>
        <v>0.60880000000000001</v>
      </c>
    </row>
    <row r="789" spans="1:26" ht="42.75" x14ac:dyDescent="0.2">
      <c r="A789" s="47" t="str">
        <f>Source!E357</f>
        <v>74,1</v>
      </c>
      <c r="B789" s="48" t="str">
        <f>Source!F357</f>
        <v>20.4.03.07-0020</v>
      </c>
      <c r="C789" s="48" t="str">
        <f>Source!G357</f>
        <v>Розетка влагозащищённая скрытой проводки SCHNEIDER ELEKTRIK  PC16-0446 Этюд 220В,IP44 прим.</v>
      </c>
      <c r="D789" s="35" t="str">
        <f>Source!H357</f>
        <v>100 шт.</v>
      </c>
      <c r="E789" s="36">
        <f>Source!I357</f>
        <v>0.01</v>
      </c>
      <c r="F789" s="37">
        <f>Source!AL357+Source!AM357+Source!AO357</f>
        <v>303.13</v>
      </c>
      <c r="G789" s="43" t="s">
        <v>6</v>
      </c>
      <c r="H789" s="37">
        <f>ROUND(Source!AC357*Source!I357, 2)+ROUND(Source!AD357*Source!I357, 2)+ROUND(Source!AF357*Source!I357, 2)</f>
        <v>3.03</v>
      </c>
      <c r="I789" s="38"/>
      <c r="J789" s="38">
        <f>IF(Source!BC357&lt;&gt; 0, Source!BC357, 1)</f>
        <v>6.56</v>
      </c>
      <c r="K789" s="37">
        <f>Source!O357</f>
        <v>19.89</v>
      </c>
      <c r="L789" s="44"/>
      <c r="S789">
        <f>ROUND((Source!FX357/100)*((ROUND(Source!AF357*Source!I357, 2)+ROUND(Source!AE357*Source!I357, 2))), 2)</f>
        <v>0</v>
      </c>
      <c r="T789">
        <f>Source!X357</f>
        <v>0</v>
      </c>
      <c r="U789">
        <f>ROUND((Source!FY357/100)*((ROUND(Source!AF357*Source!I357, 2)+ROUND(Source!AE357*Source!I357, 2))), 2)</f>
        <v>0</v>
      </c>
      <c r="V789">
        <f>Source!Y357</f>
        <v>0</v>
      </c>
      <c r="W789">
        <f>IF(Source!BI357&lt;=1,H789, 0)</f>
        <v>0</v>
      </c>
      <c r="X789">
        <f>IF(Source!BI357=2,H789, 0)</f>
        <v>3.03</v>
      </c>
      <c r="Y789">
        <f>IF(Source!BI357=3,H789, 0)</f>
        <v>0</v>
      </c>
      <c r="Z789">
        <f>IF(Source!BI357=4,H789, 0)</f>
        <v>0</v>
      </c>
    </row>
    <row r="790" spans="1:26" ht="15" x14ac:dyDescent="0.25">
      <c r="G790" s="70">
        <f>H782+H783+H785+H786+H787+SUM(H789:H789)</f>
        <v>20.430000000000003</v>
      </c>
      <c r="H790" s="70"/>
      <c r="J790" s="70">
        <f>K782+K783+K785+K786+K787+SUM(K789:K789)</f>
        <v>134.02999999999997</v>
      </c>
      <c r="K790" s="70"/>
      <c r="L790" s="40">
        <f>Source!U356</f>
        <v>0.60880000000000001</v>
      </c>
      <c r="O790" s="24">
        <f>G790</f>
        <v>20.430000000000003</v>
      </c>
      <c r="P790" s="24">
        <f>J790</f>
        <v>134.02999999999997</v>
      </c>
      <c r="Q790" s="24">
        <f>L790</f>
        <v>0.60880000000000001</v>
      </c>
      <c r="W790">
        <f>IF(Source!BI356&lt;=1,H782+H783+H785+H786+H787, 0)</f>
        <v>0</v>
      </c>
      <c r="X790">
        <f>IF(Source!BI356=2,H782+H783+H785+H786+H787, 0)</f>
        <v>17.400000000000002</v>
      </c>
      <c r="Y790">
        <f>IF(Source!BI356=3,H782+H783+H785+H786+H787, 0)</f>
        <v>0</v>
      </c>
      <c r="Z790">
        <f>IF(Source!BI356=4,H782+H783+H785+H786+H787, 0)</f>
        <v>0</v>
      </c>
    </row>
    <row r="791" spans="1:26" ht="28.5" x14ac:dyDescent="0.2">
      <c r="A791" s="45" t="str">
        <f>Source!E358</f>
        <v>75</v>
      </c>
      <c r="B791" s="46" t="str">
        <f>Source!F358</f>
        <v>м08-02-399-02</v>
      </c>
      <c r="C791" s="46" t="str">
        <f>Source!G358</f>
        <v>Провод в коробах, сечением до 35 мм2</v>
      </c>
      <c r="D791" s="29" t="str">
        <f>Source!H358</f>
        <v>100 м</v>
      </c>
      <c r="E791" s="11">
        <f>Source!I358</f>
        <v>4.8099999999999996</v>
      </c>
      <c r="F791" s="30">
        <f>Source!AL358+Source!AM358+Source!AO358</f>
        <v>50.72</v>
      </c>
      <c r="G791" s="31"/>
      <c r="H791" s="30"/>
      <c r="I791" s="31" t="str">
        <f>Source!BO358</f>
        <v/>
      </c>
      <c r="J791" s="31"/>
      <c r="K791" s="30"/>
      <c r="L791" s="32"/>
      <c r="S791">
        <f>ROUND((Source!FX358/100)*((ROUND(Source!AF358*Source!I358, 2)+ROUND(Source!AE358*Source!I358, 2))), 2)</f>
        <v>162.68</v>
      </c>
      <c r="T791">
        <f>Source!X358</f>
        <v>1067.1400000000001</v>
      </c>
      <c r="U791">
        <f>ROUND((Source!FY358/100)*((ROUND(Source!AF358*Source!I358, 2)+ROUND(Source!AE358*Source!I358, 2))), 2)</f>
        <v>111.31</v>
      </c>
      <c r="V791">
        <f>Source!Y358</f>
        <v>730.15</v>
      </c>
    </row>
    <row r="792" spans="1:26" x14ac:dyDescent="0.2">
      <c r="C792" s="23" t="str">
        <f>"Объем: "&amp;Source!I358&amp;"=481/"&amp;"100"</f>
        <v>Объем: 4,81=481/100</v>
      </c>
    </row>
    <row r="793" spans="1:26" ht="14.25" x14ac:dyDescent="0.2">
      <c r="A793" s="45"/>
      <c r="B793" s="46"/>
      <c r="C793" s="46" t="s">
        <v>1636</v>
      </c>
      <c r="D793" s="29"/>
      <c r="E793" s="11"/>
      <c r="F793" s="30">
        <f>Source!AO358</f>
        <v>35.340000000000003</v>
      </c>
      <c r="G793" s="31" t="str">
        <f>Source!DG358</f>
        <v/>
      </c>
      <c r="H793" s="30">
        <f>ROUND(Source!AF358*Source!I358, 2)</f>
        <v>169.99</v>
      </c>
      <c r="I793" s="31"/>
      <c r="J793" s="31">
        <f>IF(Source!BA358&lt;&gt; 0, Source!BA358, 1)</f>
        <v>6.56</v>
      </c>
      <c r="K793" s="30">
        <f>Source!S358</f>
        <v>1115.0999999999999</v>
      </c>
      <c r="L793" s="32"/>
      <c r="R793">
        <f>H793</f>
        <v>169.99</v>
      </c>
    </row>
    <row r="794" spans="1:26" ht="14.25" x14ac:dyDescent="0.2">
      <c r="A794" s="45"/>
      <c r="B794" s="46"/>
      <c r="C794" s="46" t="s">
        <v>136</v>
      </c>
      <c r="D794" s="29"/>
      <c r="E794" s="11"/>
      <c r="F794" s="30">
        <f>Source!AM358</f>
        <v>1.78</v>
      </c>
      <c r="G794" s="31" t="str">
        <f>Source!DE358</f>
        <v/>
      </c>
      <c r="H794" s="30">
        <f>ROUND(Source!AD358*Source!I358, 2)</f>
        <v>8.56</v>
      </c>
      <c r="I794" s="31"/>
      <c r="J794" s="31">
        <f>IF(Source!BB358&lt;&gt; 0, Source!BB358, 1)</f>
        <v>6.56</v>
      </c>
      <c r="K794" s="30">
        <f>Source!Q358</f>
        <v>56.17</v>
      </c>
      <c r="L794" s="32"/>
    </row>
    <row r="795" spans="1:26" ht="14.25" x14ac:dyDescent="0.2">
      <c r="A795" s="45"/>
      <c r="B795" s="46"/>
      <c r="C795" s="46" t="s">
        <v>1637</v>
      </c>
      <c r="D795" s="29"/>
      <c r="E795" s="11"/>
      <c r="F795" s="30">
        <f>Source!AN358</f>
        <v>0.26</v>
      </c>
      <c r="G795" s="31" t="str">
        <f>Source!DF358</f>
        <v/>
      </c>
      <c r="H795" s="33">
        <f>ROUND(Source!AE358*Source!I358, 2)</f>
        <v>1.25</v>
      </c>
      <c r="I795" s="31"/>
      <c r="J795" s="31">
        <f>IF(Source!BS358&lt;&gt; 0, Source!BS358, 1)</f>
        <v>6.56</v>
      </c>
      <c r="K795" s="33">
        <f>Source!R358</f>
        <v>8.1999999999999993</v>
      </c>
      <c r="L795" s="32"/>
      <c r="R795">
        <f>H795</f>
        <v>1.25</v>
      </c>
    </row>
    <row r="796" spans="1:26" ht="14.25" x14ac:dyDescent="0.2">
      <c r="A796" s="45"/>
      <c r="B796" s="46"/>
      <c r="C796" s="46" t="s">
        <v>1643</v>
      </c>
      <c r="D796" s="29"/>
      <c r="E796" s="11"/>
      <c r="F796" s="30">
        <f>Source!AL358</f>
        <v>13.6</v>
      </c>
      <c r="G796" s="31" t="str">
        <f>Source!DD358</f>
        <v/>
      </c>
      <c r="H796" s="30">
        <f>ROUND(Source!AC358*Source!I358, 2)</f>
        <v>65.42</v>
      </c>
      <c r="I796" s="31"/>
      <c r="J796" s="31">
        <f>IF(Source!BC358&lt;&gt; 0, Source!BC358, 1)</f>
        <v>6.56</v>
      </c>
      <c r="K796" s="30">
        <f>Source!P358</f>
        <v>429.13</v>
      </c>
      <c r="L796" s="32"/>
    </row>
    <row r="797" spans="1:26" ht="14.25" x14ac:dyDescent="0.2">
      <c r="A797" s="45"/>
      <c r="B797" s="46"/>
      <c r="C797" s="46" t="s">
        <v>1638</v>
      </c>
      <c r="D797" s="29" t="s">
        <v>1639</v>
      </c>
      <c r="E797" s="11">
        <f>Source!BZ358</f>
        <v>95</v>
      </c>
      <c r="F797" s="49"/>
      <c r="G797" s="31"/>
      <c r="H797" s="30">
        <f>SUM(S791:S800)</f>
        <v>162.68</v>
      </c>
      <c r="I797" s="34"/>
      <c r="J797" s="27">
        <f>Source!AT358</f>
        <v>95</v>
      </c>
      <c r="K797" s="30">
        <f>SUM(T791:T800)</f>
        <v>1067.1400000000001</v>
      </c>
      <c r="L797" s="32"/>
    </row>
    <row r="798" spans="1:26" ht="14.25" x14ac:dyDescent="0.2">
      <c r="A798" s="45"/>
      <c r="B798" s="46"/>
      <c r="C798" s="46" t="s">
        <v>1640</v>
      </c>
      <c r="D798" s="29" t="s">
        <v>1639</v>
      </c>
      <c r="E798" s="11">
        <f>Source!CA358</f>
        <v>65</v>
      </c>
      <c r="F798" s="49"/>
      <c r="G798" s="31"/>
      <c r="H798" s="30">
        <f>SUM(U791:U800)</f>
        <v>111.31</v>
      </c>
      <c r="I798" s="34"/>
      <c r="J798" s="27">
        <f>Source!AU358</f>
        <v>65</v>
      </c>
      <c r="K798" s="30">
        <f>SUM(V791:V800)</f>
        <v>730.15</v>
      </c>
      <c r="L798" s="32"/>
    </row>
    <row r="799" spans="1:26" ht="14.25" x14ac:dyDescent="0.2">
      <c r="A799" s="45"/>
      <c r="B799" s="46"/>
      <c r="C799" s="46" t="s">
        <v>1641</v>
      </c>
      <c r="D799" s="29" t="s">
        <v>1642</v>
      </c>
      <c r="E799" s="11">
        <f>Source!AQ358</f>
        <v>3.76</v>
      </c>
      <c r="F799" s="30"/>
      <c r="G799" s="31" t="str">
        <f>Source!DI358</f>
        <v/>
      </c>
      <c r="H799" s="30"/>
      <c r="I799" s="31"/>
      <c r="J799" s="31"/>
      <c r="K799" s="30"/>
      <c r="L799" s="41">
        <f>Source!U358</f>
        <v>18.085599999999996</v>
      </c>
    </row>
    <row r="800" spans="1:26" ht="85.5" x14ac:dyDescent="0.2">
      <c r="A800" s="47" t="str">
        <f>Source!E359</f>
        <v>75,1</v>
      </c>
      <c r="B800" s="48" t="str">
        <f>Source!F359</f>
        <v>21.1.06.09-0152</v>
      </c>
      <c r="C800" s="48" t="str">
        <f>Source!G359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2,5 мм2</v>
      </c>
      <c r="D800" s="35" t="str">
        <f>Source!H359</f>
        <v>1000 м</v>
      </c>
      <c r="E800" s="36">
        <f>Source!I359</f>
        <v>0.48099999999999998</v>
      </c>
      <c r="F800" s="37">
        <f>Source!AL359+Source!AM359+Source!AO359</f>
        <v>6920.41</v>
      </c>
      <c r="G800" s="43" t="s">
        <v>6</v>
      </c>
      <c r="H800" s="37">
        <f>ROUND(Source!AC359*Source!I359, 2)+ROUND(Source!AD359*Source!I359, 2)+ROUND(Source!AF359*Source!I359, 2)</f>
        <v>3328.72</v>
      </c>
      <c r="I800" s="38"/>
      <c r="J800" s="38">
        <f>IF(Source!BC359&lt;&gt; 0, Source!BC359, 1)</f>
        <v>6.56</v>
      </c>
      <c r="K800" s="37">
        <f>Source!O359</f>
        <v>21836.38</v>
      </c>
      <c r="L800" s="44"/>
      <c r="S800">
        <f>ROUND((Source!FX359/100)*((ROUND(Source!AF359*Source!I359, 2)+ROUND(Source!AE359*Source!I359, 2))), 2)</f>
        <v>0</v>
      </c>
      <c r="T800">
        <f>Source!X359</f>
        <v>0</v>
      </c>
      <c r="U800">
        <f>ROUND((Source!FY359/100)*((ROUND(Source!AF359*Source!I359, 2)+ROUND(Source!AE359*Source!I359, 2))), 2)</f>
        <v>0</v>
      </c>
      <c r="V800">
        <f>Source!Y359</f>
        <v>0</v>
      </c>
      <c r="W800">
        <f>IF(Source!BI359&lt;=1,H800, 0)</f>
        <v>0</v>
      </c>
      <c r="X800">
        <f>IF(Source!BI359=2,H800, 0)</f>
        <v>3328.72</v>
      </c>
      <c r="Y800">
        <f>IF(Source!BI359=3,H800, 0)</f>
        <v>0</v>
      </c>
      <c r="Z800">
        <f>IF(Source!BI359=4,H800, 0)</f>
        <v>0</v>
      </c>
    </row>
    <row r="801" spans="1:26" ht="15" x14ac:dyDescent="0.25">
      <c r="G801" s="70">
        <f>H793+H794+H796+H797+H798+SUM(H800:H800)</f>
        <v>3846.68</v>
      </c>
      <c r="H801" s="70"/>
      <c r="J801" s="70">
        <f>K793+K794+K796+K797+K798+SUM(K800:K800)</f>
        <v>25234.07</v>
      </c>
      <c r="K801" s="70"/>
      <c r="L801" s="40">
        <f>Source!U358</f>
        <v>18.085599999999996</v>
      </c>
      <c r="O801" s="24">
        <f>G801</f>
        <v>3846.68</v>
      </c>
      <c r="P801" s="24">
        <f>J801</f>
        <v>25234.07</v>
      </c>
      <c r="Q801" s="24">
        <f>L801</f>
        <v>18.085599999999996</v>
      </c>
      <c r="W801">
        <f>IF(Source!BI358&lt;=1,H793+H794+H796+H797+H798, 0)</f>
        <v>0</v>
      </c>
      <c r="X801">
        <f>IF(Source!BI358=2,H793+H794+H796+H797+H798, 0)</f>
        <v>517.96</v>
      </c>
      <c r="Y801">
        <f>IF(Source!BI358=3,H793+H794+H796+H797+H798, 0)</f>
        <v>0</v>
      </c>
      <c r="Z801">
        <f>IF(Source!BI358=4,H793+H794+H796+H797+H798, 0)</f>
        <v>0</v>
      </c>
    </row>
    <row r="802" spans="1:26" ht="28.5" x14ac:dyDescent="0.2">
      <c r="A802" s="45" t="str">
        <f>Source!E360</f>
        <v>76</v>
      </c>
      <c r="B802" s="46" t="str">
        <f>Source!F360</f>
        <v>м08-10-010-01</v>
      </c>
      <c r="C802" s="46" t="str">
        <f>Source!G360</f>
        <v>Прокладка труб гофрированных ПВХ для защиты проводов и кабелей</v>
      </c>
      <c r="D802" s="29" t="str">
        <f>Source!H360</f>
        <v>100 м</v>
      </c>
      <c r="E802" s="11">
        <f>Source!I360</f>
        <v>0.56999999999999995</v>
      </c>
      <c r="F802" s="30">
        <f>Source!AL360+Source!AM360+Source!AO360</f>
        <v>156.32999999999998</v>
      </c>
      <c r="G802" s="31"/>
      <c r="H802" s="30"/>
      <c r="I802" s="31" t="str">
        <f>Source!BO360</f>
        <v/>
      </c>
      <c r="J802" s="31"/>
      <c r="K802" s="30"/>
      <c r="L802" s="32"/>
      <c r="S802">
        <f>ROUND((Source!FX360/100)*((ROUND(Source!AF360*Source!I360, 2)+ROUND(Source!AE360*Source!I360, 2))), 2)</f>
        <v>75.56</v>
      </c>
      <c r="T802">
        <f>Source!X360</f>
        <v>495.68</v>
      </c>
      <c r="U802">
        <f>ROUND((Source!FY360/100)*((ROUND(Source!AF360*Source!I360, 2)+ROUND(Source!AE360*Source!I360, 2))), 2)</f>
        <v>51.7</v>
      </c>
      <c r="V802">
        <f>Source!Y360</f>
        <v>339.15</v>
      </c>
    </row>
    <row r="803" spans="1:26" x14ac:dyDescent="0.2">
      <c r="C803" s="23" t="str">
        <f>"Объем: "&amp;Source!I360&amp;"=57/"&amp;"100"</f>
        <v>Объем: 0,57=57/100</v>
      </c>
    </row>
    <row r="804" spans="1:26" ht="14.25" x14ac:dyDescent="0.2">
      <c r="A804" s="45"/>
      <c r="B804" s="46"/>
      <c r="C804" s="46" t="s">
        <v>1636</v>
      </c>
      <c r="D804" s="29"/>
      <c r="E804" s="11"/>
      <c r="F804" s="30">
        <f>Source!AO360</f>
        <v>139.54</v>
      </c>
      <c r="G804" s="31" t="str">
        <f>Source!DG360</f>
        <v/>
      </c>
      <c r="H804" s="30">
        <f>ROUND(Source!AF360*Source!I360, 2)</f>
        <v>79.540000000000006</v>
      </c>
      <c r="I804" s="31"/>
      <c r="J804" s="31">
        <f>IF(Source!BA360&lt;&gt; 0, Source!BA360, 1)</f>
        <v>6.56</v>
      </c>
      <c r="K804" s="30">
        <f>Source!S360</f>
        <v>521.77</v>
      </c>
      <c r="L804" s="32"/>
      <c r="R804">
        <f>H804</f>
        <v>79.540000000000006</v>
      </c>
    </row>
    <row r="805" spans="1:26" ht="14.25" x14ac:dyDescent="0.2">
      <c r="A805" s="45"/>
      <c r="B805" s="46"/>
      <c r="C805" s="46" t="s">
        <v>1643</v>
      </c>
      <c r="D805" s="29"/>
      <c r="E805" s="11"/>
      <c r="F805" s="30">
        <f>Source!AL360</f>
        <v>16.79</v>
      </c>
      <c r="G805" s="31" t="str">
        <f>Source!DD360</f>
        <v/>
      </c>
      <c r="H805" s="30">
        <f>ROUND(Source!AC360*Source!I360, 2)</f>
        <v>9.57</v>
      </c>
      <c r="I805" s="31"/>
      <c r="J805" s="31">
        <f>IF(Source!BC360&lt;&gt; 0, Source!BC360, 1)</f>
        <v>6.56</v>
      </c>
      <c r="K805" s="30">
        <f>Source!P360</f>
        <v>62.78</v>
      </c>
      <c r="L805" s="32"/>
    </row>
    <row r="806" spans="1:26" ht="14.25" x14ac:dyDescent="0.2">
      <c r="A806" s="45"/>
      <c r="B806" s="46"/>
      <c r="C806" s="46" t="s">
        <v>1638</v>
      </c>
      <c r="D806" s="29" t="s">
        <v>1639</v>
      </c>
      <c r="E806" s="11">
        <f>Source!BZ360</f>
        <v>95</v>
      </c>
      <c r="F806" s="49"/>
      <c r="G806" s="31"/>
      <c r="H806" s="30">
        <f>SUM(S802:S809)</f>
        <v>75.56</v>
      </c>
      <c r="I806" s="34"/>
      <c r="J806" s="27">
        <f>Source!AT360</f>
        <v>95</v>
      </c>
      <c r="K806" s="30">
        <f>SUM(T802:T809)</f>
        <v>495.68</v>
      </c>
      <c r="L806" s="32"/>
    </row>
    <row r="807" spans="1:26" ht="14.25" x14ac:dyDescent="0.2">
      <c r="A807" s="45"/>
      <c r="B807" s="46"/>
      <c r="C807" s="46" t="s">
        <v>1640</v>
      </c>
      <c r="D807" s="29" t="s">
        <v>1639</v>
      </c>
      <c r="E807" s="11">
        <f>Source!CA360</f>
        <v>65</v>
      </c>
      <c r="F807" s="49"/>
      <c r="G807" s="31"/>
      <c r="H807" s="30">
        <f>SUM(U802:U809)</f>
        <v>51.7</v>
      </c>
      <c r="I807" s="34"/>
      <c r="J807" s="27">
        <f>Source!AU360</f>
        <v>65</v>
      </c>
      <c r="K807" s="30">
        <f>SUM(V802:V809)</f>
        <v>339.15</v>
      </c>
      <c r="L807" s="32"/>
    </row>
    <row r="808" spans="1:26" ht="14.25" x14ac:dyDescent="0.2">
      <c r="A808" s="45"/>
      <c r="B808" s="46"/>
      <c r="C808" s="46" t="s">
        <v>1641</v>
      </c>
      <c r="D808" s="29" t="s">
        <v>1642</v>
      </c>
      <c r="E808" s="11">
        <f>Source!AQ360</f>
        <v>15.2</v>
      </c>
      <c r="F808" s="30"/>
      <c r="G808" s="31" t="str">
        <f>Source!DI360</f>
        <v/>
      </c>
      <c r="H808" s="30"/>
      <c r="I808" s="31"/>
      <c r="J808" s="31"/>
      <c r="K808" s="30"/>
      <c r="L808" s="41">
        <f>Source!U360</f>
        <v>8.6639999999999997</v>
      </c>
    </row>
    <row r="809" spans="1:26" ht="42.75" x14ac:dyDescent="0.2">
      <c r="A809" s="47" t="str">
        <f>Source!E361</f>
        <v>76,1</v>
      </c>
      <c r="B809" s="48" t="str">
        <f>Source!F361</f>
        <v>24.3.01.02-0021</v>
      </c>
      <c r="C809" s="48" t="str">
        <f>Source!G361</f>
        <v>Трубы гибкие гофрированные легкие из самозатухающего ПВХ (IP55) серии FL, с зондом, диаметром 16 мм</v>
      </c>
      <c r="D809" s="35" t="str">
        <f>Source!H361</f>
        <v>10 м</v>
      </c>
      <c r="E809" s="36">
        <f>Source!I361</f>
        <v>5.7</v>
      </c>
      <c r="F809" s="37">
        <f>Source!AL361+Source!AM361+Source!AO361</f>
        <v>16.11</v>
      </c>
      <c r="G809" s="43" t="s">
        <v>6</v>
      </c>
      <c r="H809" s="37">
        <f>ROUND(Source!AC361*Source!I361, 2)+ROUND(Source!AD361*Source!I361, 2)+ROUND(Source!AF361*Source!I361, 2)</f>
        <v>91.83</v>
      </c>
      <c r="I809" s="38"/>
      <c r="J809" s="38">
        <f>IF(Source!BC361&lt;&gt; 0, Source!BC361, 1)</f>
        <v>6.56</v>
      </c>
      <c r="K809" s="37">
        <f>Source!O361</f>
        <v>602.39</v>
      </c>
      <c r="L809" s="44"/>
      <c r="S809">
        <f>ROUND((Source!FX361/100)*((ROUND(Source!AF361*Source!I361, 2)+ROUND(Source!AE361*Source!I361, 2))), 2)</f>
        <v>0</v>
      </c>
      <c r="T809">
        <f>Source!X361</f>
        <v>0</v>
      </c>
      <c r="U809">
        <f>ROUND((Source!FY361/100)*((ROUND(Source!AF361*Source!I361, 2)+ROUND(Source!AE361*Source!I361, 2))), 2)</f>
        <v>0</v>
      </c>
      <c r="V809">
        <f>Source!Y361</f>
        <v>0</v>
      </c>
      <c r="W809">
        <f>IF(Source!BI361&lt;=1,H809, 0)</f>
        <v>0</v>
      </c>
      <c r="X809">
        <f>IF(Source!BI361=2,H809, 0)</f>
        <v>91.83</v>
      </c>
      <c r="Y809">
        <f>IF(Source!BI361=3,H809, 0)</f>
        <v>0</v>
      </c>
      <c r="Z809">
        <f>IF(Source!BI361=4,H809, 0)</f>
        <v>0</v>
      </c>
    </row>
    <row r="810" spans="1:26" ht="15" x14ac:dyDescent="0.25">
      <c r="G810" s="70">
        <f>H804+H805+H806+H807+SUM(H809:H809)</f>
        <v>308.2</v>
      </c>
      <c r="H810" s="70"/>
      <c r="J810" s="70">
        <f>K804+K805+K806+K807+SUM(K809:K809)</f>
        <v>2021.77</v>
      </c>
      <c r="K810" s="70"/>
      <c r="L810" s="40">
        <f>Source!U360</f>
        <v>8.6639999999999997</v>
      </c>
      <c r="O810" s="24">
        <f>G810</f>
        <v>308.2</v>
      </c>
      <c r="P810" s="24">
        <f>J810</f>
        <v>2021.77</v>
      </c>
      <c r="Q810" s="24">
        <f>L810</f>
        <v>8.6639999999999997</v>
      </c>
      <c r="W810">
        <f>IF(Source!BI360&lt;=1,H804+H805+H806+H807, 0)</f>
        <v>0</v>
      </c>
      <c r="X810">
        <f>IF(Source!BI360=2,H804+H805+H806+H807, 0)</f>
        <v>216.37</v>
      </c>
      <c r="Y810">
        <f>IF(Source!BI360=3,H804+H805+H806+H807, 0)</f>
        <v>0</v>
      </c>
      <c r="Z810">
        <f>IF(Source!BI360=4,H804+H805+H806+H807, 0)</f>
        <v>0</v>
      </c>
    </row>
    <row r="811" spans="1:26" ht="71.25" x14ac:dyDescent="0.2">
      <c r="A811" s="45" t="str">
        <f>Source!E362</f>
        <v>77</v>
      </c>
      <c r="B811" s="46" t="str">
        <f>Source!F362</f>
        <v>м08-02-412-03</v>
      </c>
      <c r="C811" s="46" t="str">
        <f>Source!G362</f>
        <v>Затягивание провода в проложенные трубы и металлические рукава первого одножильного или многожильного в общей оплетке, суммарное сечение до 16 мм2</v>
      </c>
      <c r="D811" s="29" t="str">
        <f>Source!H362</f>
        <v>100 м</v>
      </c>
      <c r="E811" s="11">
        <f>Source!I362</f>
        <v>0.56999999999999995</v>
      </c>
      <c r="F811" s="30">
        <f>Source!AL362+Source!AM362+Source!AO362</f>
        <v>87.15</v>
      </c>
      <c r="G811" s="31"/>
      <c r="H811" s="30"/>
      <c r="I811" s="31" t="str">
        <f>Source!BO362</f>
        <v/>
      </c>
      <c r="J811" s="31"/>
      <c r="K811" s="30"/>
      <c r="L811" s="32"/>
      <c r="S811">
        <f>ROUND((Source!FX362/100)*((ROUND(Source!AF362*Source!I362, 2)+ROUND(Source!AE362*Source!I362, 2))), 2)</f>
        <v>32.42</v>
      </c>
      <c r="T811">
        <f>Source!X362</f>
        <v>212.74</v>
      </c>
      <c r="U811">
        <f>ROUND((Source!FY362/100)*((ROUND(Source!AF362*Source!I362, 2)+ROUND(Source!AE362*Source!I362, 2))), 2)</f>
        <v>22.18</v>
      </c>
      <c r="V811">
        <f>Source!Y362</f>
        <v>145.56</v>
      </c>
    </row>
    <row r="812" spans="1:26" x14ac:dyDescent="0.2">
      <c r="C812" s="23" t="str">
        <f>"Объем: "&amp;Source!I362&amp;"=57/"&amp;"100"</f>
        <v>Объем: 0,57=57/100</v>
      </c>
    </row>
    <row r="813" spans="1:26" ht="14.25" x14ac:dyDescent="0.2">
      <c r="A813" s="45"/>
      <c r="B813" s="46"/>
      <c r="C813" s="46" t="s">
        <v>1636</v>
      </c>
      <c r="D813" s="29"/>
      <c r="E813" s="11"/>
      <c r="F813" s="30">
        <f>Source!AO362</f>
        <v>59.13</v>
      </c>
      <c r="G813" s="31" t="str">
        <f>Source!DG362</f>
        <v/>
      </c>
      <c r="H813" s="30">
        <f>ROUND(Source!AF362*Source!I362, 2)</f>
        <v>33.700000000000003</v>
      </c>
      <c r="I813" s="31"/>
      <c r="J813" s="31">
        <f>IF(Source!BA362&lt;&gt; 0, Source!BA362, 1)</f>
        <v>6.56</v>
      </c>
      <c r="K813" s="30">
        <f>Source!S362</f>
        <v>221.1</v>
      </c>
      <c r="L813" s="32"/>
      <c r="R813">
        <f>H813</f>
        <v>33.700000000000003</v>
      </c>
    </row>
    <row r="814" spans="1:26" ht="14.25" x14ac:dyDescent="0.2">
      <c r="A814" s="45"/>
      <c r="B814" s="46"/>
      <c r="C814" s="46" t="s">
        <v>136</v>
      </c>
      <c r="D814" s="29"/>
      <c r="E814" s="11"/>
      <c r="F814" s="30">
        <f>Source!AM362</f>
        <v>5.33</v>
      </c>
      <c r="G814" s="31" t="str">
        <f>Source!DE362</f>
        <v/>
      </c>
      <c r="H814" s="30">
        <f>ROUND(Source!AD362*Source!I362, 2)</f>
        <v>3.04</v>
      </c>
      <c r="I814" s="31"/>
      <c r="J814" s="31">
        <f>IF(Source!BB362&lt;&gt; 0, Source!BB362, 1)</f>
        <v>6.56</v>
      </c>
      <c r="K814" s="30">
        <f>Source!Q362</f>
        <v>19.93</v>
      </c>
      <c r="L814" s="32"/>
    </row>
    <row r="815" spans="1:26" ht="14.25" x14ac:dyDescent="0.2">
      <c r="A815" s="45"/>
      <c r="B815" s="46"/>
      <c r="C815" s="46" t="s">
        <v>1637</v>
      </c>
      <c r="D815" s="29"/>
      <c r="E815" s="11"/>
      <c r="F815" s="30">
        <f>Source!AN362</f>
        <v>0.76</v>
      </c>
      <c r="G815" s="31" t="str">
        <f>Source!DF362</f>
        <v/>
      </c>
      <c r="H815" s="33">
        <f>ROUND(Source!AE362*Source!I362, 2)</f>
        <v>0.43</v>
      </c>
      <c r="I815" s="31"/>
      <c r="J815" s="31">
        <f>IF(Source!BS362&lt;&gt; 0, Source!BS362, 1)</f>
        <v>6.56</v>
      </c>
      <c r="K815" s="33">
        <f>Source!R362</f>
        <v>2.84</v>
      </c>
      <c r="L815" s="32"/>
      <c r="R815">
        <f>H815</f>
        <v>0.43</v>
      </c>
    </row>
    <row r="816" spans="1:26" ht="14.25" x14ac:dyDescent="0.2">
      <c r="A816" s="45"/>
      <c r="B816" s="46"/>
      <c r="C816" s="46" t="s">
        <v>1643</v>
      </c>
      <c r="D816" s="29"/>
      <c r="E816" s="11"/>
      <c r="F816" s="30">
        <f>Source!AL362</f>
        <v>22.69</v>
      </c>
      <c r="G816" s="31" t="str">
        <f>Source!DD362</f>
        <v/>
      </c>
      <c r="H816" s="30">
        <f>ROUND(Source!AC362*Source!I362, 2)</f>
        <v>12.93</v>
      </c>
      <c r="I816" s="31"/>
      <c r="J816" s="31">
        <f>IF(Source!BC362&lt;&gt; 0, Source!BC362, 1)</f>
        <v>6.56</v>
      </c>
      <c r="K816" s="30">
        <f>Source!P362</f>
        <v>84.84</v>
      </c>
      <c r="L816" s="32"/>
    </row>
    <row r="817" spans="1:26" ht="14.25" x14ac:dyDescent="0.2">
      <c r="A817" s="45"/>
      <c r="B817" s="46"/>
      <c r="C817" s="46" t="s">
        <v>1638</v>
      </c>
      <c r="D817" s="29" t="s">
        <v>1639</v>
      </c>
      <c r="E817" s="11">
        <f>Source!BZ362</f>
        <v>95</v>
      </c>
      <c r="F817" s="49"/>
      <c r="G817" s="31"/>
      <c r="H817" s="30">
        <f>SUM(S811:S820)</f>
        <v>32.42</v>
      </c>
      <c r="I817" s="34"/>
      <c r="J817" s="27">
        <f>Source!AT362</f>
        <v>95</v>
      </c>
      <c r="K817" s="30">
        <f>SUM(T811:T820)</f>
        <v>212.74</v>
      </c>
      <c r="L817" s="32"/>
    </row>
    <row r="818" spans="1:26" ht="14.25" x14ac:dyDescent="0.2">
      <c r="A818" s="45"/>
      <c r="B818" s="46"/>
      <c r="C818" s="46" t="s">
        <v>1640</v>
      </c>
      <c r="D818" s="29" t="s">
        <v>1639</v>
      </c>
      <c r="E818" s="11">
        <f>Source!CA362</f>
        <v>65</v>
      </c>
      <c r="F818" s="49"/>
      <c r="G818" s="31"/>
      <c r="H818" s="30">
        <f>SUM(U811:U820)</f>
        <v>22.18</v>
      </c>
      <c r="I818" s="34"/>
      <c r="J818" s="27">
        <f>Source!AU362</f>
        <v>65</v>
      </c>
      <c r="K818" s="30">
        <f>SUM(V811:V820)</f>
        <v>145.56</v>
      </c>
      <c r="L818" s="32"/>
    </row>
    <row r="819" spans="1:26" ht="14.25" x14ac:dyDescent="0.2">
      <c r="A819" s="45"/>
      <c r="B819" s="46"/>
      <c r="C819" s="46" t="s">
        <v>1641</v>
      </c>
      <c r="D819" s="29" t="s">
        <v>1642</v>
      </c>
      <c r="E819" s="11">
        <f>Source!AQ362</f>
        <v>6.29</v>
      </c>
      <c r="F819" s="30"/>
      <c r="G819" s="31" t="str">
        <f>Source!DI362</f>
        <v/>
      </c>
      <c r="H819" s="30"/>
      <c r="I819" s="31"/>
      <c r="J819" s="31"/>
      <c r="K819" s="30"/>
      <c r="L819" s="41">
        <f>Source!U362</f>
        <v>3.5852999999999997</v>
      </c>
    </row>
    <row r="820" spans="1:26" ht="85.5" x14ac:dyDescent="0.2">
      <c r="A820" s="47" t="str">
        <f>Source!E363</f>
        <v>77,1</v>
      </c>
      <c r="B820" s="48" t="str">
        <f>Source!F363</f>
        <v>21.1.06.09-0152</v>
      </c>
      <c r="C820" s="48" t="str">
        <f>Source!G363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2,5 мм2</v>
      </c>
      <c r="D820" s="35" t="str">
        <f>Source!H363</f>
        <v>1000 м</v>
      </c>
      <c r="E820" s="36">
        <f>Source!I363</f>
        <v>5.6999999999999995E-2</v>
      </c>
      <c r="F820" s="37">
        <f>Source!AL363+Source!AM363+Source!AO363</f>
        <v>6920.41</v>
      </c>
      <c r="G820" s="43" t="s">
        <v>6</v>
      </c>
      <c r="H820" s="37">
        <f>ROUND(Source!AC363*Source!I363, 2)+ROUND(Source!AD363*Source!I363, 2)+ROUND(Source!AF363*Source!I363, 2)</f>
        <v>394.46</v>
      </c>
      <c r="I820" s="38"/>
      <c r="J820" s="38">
        <f>IF(Source!BC363&lt;&gt; 0, Source!BC363, 1)</f>
        <v>6.56</v>
      </c>
      <c r="K820" s="37">
        <f>Source!O363</f>
        <v>2587.6799999999998</v>
      </c>
      <c r="L820" s="44"/>
      <c r="S820">
        <f>ROUND((Source!FX363/100)*((ROUND(Source!AF363*Source!I363, 2)+ROUND(Source!AE363*Source!I363, 2))), 2)</f>
        <v>0</v>
      </c>
      <c r="T820">
        <f>Source!X363</f>
        <v>0</v>
      </c>
      <c r="U820">
        <f>ROUND((Source!FY363/100)*((ROUND(Source!AF363*Source!I363, 2)+ROUND(Source!AE363*Source!I363, 2))), 2)</f>
        <v>0</v>
      </c>
      <c r="V820">
        <f>Source!Y363</f>
        <v>0</v>
      </c>
      <c r="W820">
        <f>IF(Source!BI363&lt;=1,H820, 0)</f>
        <v>0</v>
      </c>
      <c r="X820">
        <f>IF(Source!BI363=2,H820, 0)</f>
        <v>394.46</v>
      </c>
      <c r="Y820">
        <f>IF(Source!BI363=3,H820, 0)</f>
        <v>0</v>
      </c>
      <c r="Z820">
        <f>IF(Source!BI363=4,H820, 0)</f>
        <v>0</v>
      </c>
    </row>
    <row r="821" spans="1:26" ht="15" x14ac:dyDescent="0.25">
      <c r="G821" s="70">
        <f>H813+H814+H816+H817+H818+SUM(H820:H820)</f>
        <v>498.73</v>
      </c>
      <c r="H821" s="70"/>
      <c r="J821" s="70">
        <f>K813+K814+K816+K817+K818+SUM(K820:K820)</f>
        <v>3271.85</v>
      </c>
      <c r="K821" s="70"/>
      <c r="L821" s="40">
        <f>Source!U362</f>
        <v>3.5852999999999997</v>
      </c>
      <c r="O821" s="24">
        <f>G821</f>
        <v>498.73</v>
      </c>
      <c r="P821" s="24">
        <f>J821</f>
        <v>3271.85</v>
      </c>
      <c r="Q821" s="24">
        <f>L821</f>
        <v>3.5852999999999997</v>
      </c>
      <c r="W821">
        <f>IF(Source!BI362&lt;=1,H813+H814+H816+H817+H818, 0)</f>
        <v>0</v>
      </c>
      <c r="X821">
        <f>IF(Source!BI362=2,H813+H814+H816+H817+H818, 0)</f>
        <v>104.27000000000001</v>
      </c>
      <c r="Y821">
        <f>IF(Source!BI362=3,H813+H814+H816+H817+H818, 0)</f>
        <v>0</v>
      </c>
      <c r="Z821">
        <f>IF(Source!BI362=4,H813+H814+H816+H817+H818, 0)</f>
        <v>0</v>
      </c>
    </row>
    <row r="822" spans="1:26" ht="42.75" x14ac:dyDescent="0.2">
      <c r="A822" s="45" t="str">
        <f>Source!E364</f>
        <v>78</v>
      </c>
      <c r="B822" s="46" t="str">
        <f>Source!F364</f>
        <v>м08-02-397-01 прим.</v>
      </c>
      <c r="C822" s="46" t="str">
        <f>Source!G364</f>
        <v>Профиль перфорированный монтажный длиной 2 м (Лоток оцинкованный перфорированый)</v>
      </c>
      <c r="D822" s="29" t="str">
        <f>Source!H364</f>
        <v>100 м</v>
      </c>
      <c r="E822" s="11">
        <f>Source!I364</f>
        <v>5.6000000000000001E-2</v>
      </c>
      <c r="F822" s="30">
        <f>Source!AL364+Source!AM364+Source!AO364</f>
        <v>582.66</v>
      </c>
      <c r="G822" s="31"/>
      <c r="H822" s="30"/>
      <c r="I822" s="31" t="str">
        <f>Source!BO364</f>
        <v/>
      </c>
      <c r="J822" s="31"/>
      <c r="K822" s="30"/>
      <c r="L822" s="32"/>
      <c r="S822">
        <f>ROUND((Source!FX364/100)*((ROUND(Source!AF364*Source!I364, 2)+ROUND(Source!AE364*Source!I364, 2))), 2)</f>
        <v>5.53</v>
      </c>
      <c r="T822">
        <f>Source!X364</f>
        <v>36.22</v>
      </c>
      <c r="U822">
        <f>ROUND((Source!FY364/100)*((ROUND(Source!AF364*Source!I364, 2)+ROUND(Source!AE364*Source!I364, 2))), 2)</f>
        <v>3.78</v>
      </c>
      <c r="V822">
        <f>Source!Y364</f>
        <v>24.78</v>
      </c>
    </row>
    <row r="823" spans="1:26" x14ac:dyDescent="0.2">
      <c r="C823" s="23" t="str">
        <f>"Объем: "&amp;Source!I364&amp;"=5,6/"&amp;"100"</f>
        <v>Объем: 0,056=5,6/100</v>
      </c>
    </row>
    <row r="824" spans="1:26" ht="14.25" x14ac:dyDescent="0.2">
      <c r="A824" s="45"/>
      <c r="B824" s="46"/>
      <c r="C824" s="46" t="s">
        <v>1636</v>
      </c>
      <c r="D824" s="29"/>
      <c r="E824" s="11"/>
      <c r="F824" s="30">
        <f>Source!AO364</f>
        <v>80.459999999999994</v>
      </c>
      <c r="G824" s="31" t="str">
        <f>Source!DG364</f>
        <v/>
      </c>
      <c r="H824" s="30">
        <f>ROUND(Source!AF364*Source!I364, 2)</f>
        <v>4.51</v>
      </c>
      <c r="I824" s="31"/>
      <c r="J824" s="31">
        <f>IF(Source!BA364&lt;&gt; 0, Source!BA364, 1)</f>
        <v>6.56</v>
      </c>
      <c r="K824" s="30">
        <f>Source!S364</f>
        <v>29.56</v>
      </c>
      <c r="L824" s="32"/>
      <c r="R824">
        <f>H824</f>
        <v>4.51</v>
      </c>
    </row>
    <row r="825" spans="1:26" ht="14.25" x14ac:dyDescent="0.2">
      <c r="A825" s="45"/>
      <c r="B825" s="46"/>
      <c r="C825" s="46" t="s">
        <v>136</v>
      </c>
      <c r="D825" s="29"/>
      <c r="E825" s="11"/>
      <c r="F825" s="30">
        <f>Source!AM364</f>
        <v>94.67</v>
      </c>
      <c r="G825" s="31" t="str">
        <f>Source!DE364</f>
        <v/>
      </c>
      <c r="H825" s="30">
        <f>ROUND(Source!AD364*Source!I364, 2)</f>
        <v>5.3</v>
      </c>
      <c r="I825" s="31"/>
      <c r="J825" s="31">
        <f>IF(Source!BB364&lt;&gt; 0, Source!BB364, 1)</f>
        <v>6.56</v>
      </c>
      <c r="K825" s="30">
        <f>Source!Q364</f>
        <v>34.78</v>
      </c>
      <c r="L825" s="32"/>
    </row>
    <row r="826" spans="1:26" ht="14.25" x14ac:dyDescent="0.2">
      <c r="A826" s="45"/>
      <c r="B826" s="46"/>
      <c r="C826" s="46" t="s">
        <v>1637</v>
      </c>
      <c r="D826" s="29"/>
      <c r="E826" s="11"/>
      <c r="F826" s="30">
        <f>Source!AN364</f>
        <v>23.33</v>
      </c>
      <c r="G826" s="31" t="str">
        <f>Source!DF364</f>
        <v/>
      </c>
      <c r="H826" s="33">
        <f>ROUND(Source!AE364*Source!I364, 2)</f>
        <v>1.31</v>
      </c>
      <c r="I826" s="31"/>
      <c r="J826" s="31">
        <f>IF(Source!BS364&lt;&gt; 0, Source!BS364, 1)</f>
        <v>6.56</v>
      </c>
      <c r="K826" s="33">
        <f>Source!R364</f>
        <v>8.57</v>
      </c>
      <c r="L826" s="32"/>
      <c r="R826">
        <f>H826</f>
        <v>1.31</v>
      </c>
    </row>
    <row r="827" spans="1:26" ht="14.25" x14ac:dyDescent="0.2">
      <c r="A827" s="45"/>
      <c r="B827" s="46"/>
      <c r="C827" s="46" t="s">
        <v>1643</v>
      </c>
      <c r="D827" s="29"/>
      <c r="E827" s="11"/>
      <c r="F827" s="30">
        <f>Source!AL364</f>
        <v>407.53</v>
      </c>
      <c r="G827" s="31" t="str">
        <f>Source!DD364</f>
        <v/>
      </c>
      <c r="H827" s="30">
        <f>ROUND(Source!AC364*Source!I364, 2)</f>
        <v>22.82</v>
      </c>
      <c r="I827" s="31"/>
      <c r="J827" s="31">
        <f>IF(Source!BC364&lt;&gt; 0, Source!BC364, 1)</f>
        <v>6.56</v>
      </c>
      <c r="K827" s="30">
        <f>Source!P364</f>
        <v>149.71</v>
      </c>
      <c r="L827" s="32"/>
    </row>
    <row r="828" spans="1:26" ht="14.25" x14ac:dyDescent="0.2">
      <c r="A828" s="45"/>
      <c r="B828" s="46"/>
      <c r="C828" s="46" t="s">
        <v>1638</v>
      </c>
      <c r="D828" s="29" t="s">
        <v>1639</v>
      </c>
      <c r="E828" s="11">
        <f>Source!BZ364</f>
        <v>95</v>
      </c>
      <c r="F828" s="49"/>
      <c r="G828" s="31"/>
      <c r="H828" s="30">
        <f>SUM(S822:S831)</f>
        <v>5.53</v>
      </c>
      <c r="I828" s="34"/>
      <c r="J828" s="27">
        <f>Source!AT364</f>
        <v>95</v>
      </c>
      <c r="K828" s="30">
        <f>SUM(T822:T831)</f>
        <v>36.22</v>
      </c>
      <c r="L828" s="32"/>
    </row>
    <row r="829" spans="1:26" ht="14.25" x14ac:dyDescent="0.2">
      <c r="A829" s="45"/>
      <c r="B829" s="46"/>
      <c r="C829" s="46" t="s">
        <v>1640</v>
      </c>
      <c r="D829" s="29" t="s">
        <v>1639</v>
      </c>
      <c r="E829" s="11">
        <f>Source!CA364</f>
        <v>65</v>
      </c>
      <c r="F829" s="49"/>
      <c r="G829" s="31"/>
      <c r="H829" s="30">
        <f>SUM(U822:U831)</f>
        <v>3.78</v>
      </c>
      <c r="I829" s="34"/>
      <c r="J829" s="27">
        <f>Source!AU364</f>
        <v>65</v>
      </c>
      <c r="K829" s="30">
        <f>SUM(V822:V831)</f>
        <v>24.78</v>
      </c>
      <c r="L829" s="32"/>
    </row>
    <row r="830" spans="1:26" ht="14.25" x14ac:dyDescent="0.2">
      <c r="A830" s="45"/>
      <c r="B830" s="46"/>
      <c r="C830" s="46" t="s">
        <v>1641</v>
      </c>
      <c r="D830" s="29" t="s">
        <v>1642</v>
      </c>
      <c r="E830" s="11">
        <f>Source!AQ364</f>
        <v>8.56</v>
      </c>
      <c r="F830" s="30"/>
      <c r="G830" s="31" t="str">
        <f>Source!DI364</f>
        <v/>
      </c>
      <c r="H830" s="30"/>
      <c r="I830" s="31"/>
      <c r="J830" s="31"/>
      <c r="K830" s="30"/>
      <c r="L830" s="41">
        <f>Source!U364</f>
        <v>0.47936000000000006</v>
      </c>
    </row>
    <row r="831" spans="1:26" ht="42.75" x14ac:dyDescent="0.2">
      <c r="A831" s="47" t="str">
        <f>Source!E365</f>
        <v>78,1</v>
      </c>
      <c r="B831" s="48" t="str">
        <f>Source!F365</f>
        <v>20.2.07.02-0009</v>
      </c>
      <c r="C831" s="48" t="str">
        <f>Source!G365</f>
        <v>Лоток кабельный оцинкованный замковый перфорированный PNK 300-300х50 мм, длина 2,5 м</v>
      </c>
      <c r="D831" s="35" t="str">
        <f>Source!H365</f>
        <v>шт.</v>
      </c>
      <c r="E831" s="36">
        <f>Source!I365</f>
        <v>2</v>
      </c>
      <c r="F831" s="37">
        <f>Source!AL365+Source!AM365+Source!AO365</f>
        <v>62.4</v>
      </c>
      <c r="G831" s="43" t="s">
        <v>6</v>
      </c>
      <c r="H831" s="37">
        <f>ROUND(Source!AC365*Source!I365, 2)+ROUND(Source!AD365*Source!I365, 2)+ROUND(Source!AF365*Source!I365, 2)</f>
        <v>124.8</v>
      </c>
      <c r="I831" s="38"/>
      <c r="J831" s="38">
        <f>IF(Source!BC365&lt;&gt; 0, Source!BC365, 1)</f>
        <v>6.56</v>
      </c>
      <c r="K831" s="37">
        <f>Source!O365</f>
        <v>818.69</v>
      </c>
      <c r="L831" s="44"/>
      <c r="S831">
        <f>ROUND((Source!FX365/100)*((ROUND(Source!AF365*Source!I365, 2)+ROUND(Source!AE365*Source!I365, 2))), 2)</f>
        <v>0</v>
      </c>
      <c r="T831">
        <f>Source!X365</f>
        <v>0</v>
      </c>
      <c r="U831">
        <f>ROUND((Source!FY365/100)*((ROUND(Source!AF365*Source!I365, 2)+ROUND(Source!AE365*Source!I365, 2))), 2)</f>
        <v>0</v>
      </c>
      <c r="V831">
        <f>Source!Y365</f>
        <v>0</v>
      </c>
      <c r="W831">
        <f>IF(Source!BI365&lt;=1,H831, 0)</f>
        <v>0</v>
      </c>
      <c r="X831">
        <f>IF(Source!BI365=2,H831, 0)</f>
        <v>124.8</v>
      </c>
      <c r="Y831">
        <f>IF(Source!BI365=3,H831, 0)</f>
        <v>0</v>
      </c>
      <c r="Z831">
        <f>IF(Source!BI365=4,H831, 0)</f>
        <v>0</v>
      </c>
    </row>
    <row r="832" spans="1:26" ht="15" x14ac:dyDescent="0.25">
      <c r="G832" s="70">
        <f>H824+H825+H827+H828+H829+SUM(H831:H831)</f>
        <v>166.74</v>
      </c>
      <c r="H832" s="70"/>
      <c r="J832" s="70">
        <f>K824+K825+K827+K828+K829+SUM(K831:K831)</f>
        <v>1093.74</v>
      </c>
      <c r="K832" s="70"/>
      <c r="L832" s="40">
        <f>Source!U364</f>
        <v>0.47936000000000006</v>
      </c>
      <c r="O832" s="24">
        <f>G832</f>
        <v>166.74</v>
      </c>
      <c r="P832" s="24">
        <f>J832</f>
        <v>1093.74</v>
      </c>
      <c r="Q832" s="24">
        <f>L832</f>
        <v>0.47936000000000006</v>
      </c>
      <c r="W832">
        <f>IF(Source!BI364&lt;=1,H824+H825+H827+H828+H829, 0)</f>
        <v>0</v>
      </c>
      <c r="X832">
        <f>IF(Source!BI364=2,H824+H825+H827+H828+H829, 0)</f>
        <v>41.94</v>
      </c>
      <c r="Y832">
        <f>IF(Source!BI364=3,H824+H825+H827+H828+H829, 0)</f>
        <v>0</v>
      </c>
      <c r="Z832">
        <f>IF(Source!BI364=4,H824+H825+H827+H828+H829, 0)</f>
        <v>0</v>
      </c>
    </row>
    <row r="833" spans="1:26" ht="28.5" x14ac:dyDescent="0.2">
      <c r="A833" s="45" t="str">
        <f>Source!E366</f>
        <v>79</v>
      </c>
      <c r="B833" s="46" t="str">
        <f>Source!F366</f>
        <v>м08-02-398-02</v>
      </c>
      <c r="C833" s="46" t="str">
        <f>Source!G366</f>
        <v>Провод в лотках, сечением до 35 мм2</v>
      </c>
      <c r="D833" s="29" t="str">
        <f>Source!H366</f>
        <v>100 м</v>
      </c>
      <c r="E833" s="11">
        <f>Source!I366</f>
        <v>0.1</v>
      </c>
      <c r="F833" s="30">
        <f>Source!AL366+Source!AM366+Source!AO366</f>
        <v>36.19</v>
      </c>
      <c r="G833" s="31"/>
      <c r="H833" s="30"/>
      <c r="I833" s="31" t="str">
        <f>Source!BO366</f>
        <v/>
      </c>
      <c r="J833" s="31"/>
      <c r="K833" s="30"/>
      <c r="L833" s="32"/>
      <c r="S833">
        <f>ROUND((Source!FX366/100)*((ROUND(Source!AF366*Source!I366, 2)+ROUND(Source!AE366*Source!I366, 2))), 2)</f>
        <v>1.89</v>
      </c>
      <c r="T833">
        <f>Source!X366</f>
        <v>12.38</v>
      </c>
      <c r="U833">
        <f>ROUND((Source!FY366/100)*((ROUND(Source!AF366*Source!I366, 2)+ROUND(Source!AE366*Source!I366, 2))), 2)</f>
        <v>1.29</v>
      </c>
      <c r="V833">
        <f>Source!Y366</f>
        <v>8.4700000000000006</v>
      </c>
    </row>
    <row r="834" spans="1:26" x14ac:dyDescent="0.2">
      <c r="C834" s="23" t="str">
        <f>"Объем: "&amp;Source!I366&amp;"=10/"&amp;"100"</f>
        <v>Объем: 0,1=10/100</v>
      </c>
    </row>
    <row r="835" spans="1:26" ht="14.25" x14ac:dyDescent="0.2">
      <c r="A835" s="45"/>
      <c r="B835" s="46"/>
      <c r="C835" s="46" t="s">
        <v>1636</v>
      </c>
      <c r="D835" s="29"/>
      <c r="E835" s="11"/>
      <c r="F835" s="30">
        <f>Source!AO366</f>
        <v>19.36</v>
      </c>
      <c r="G835" s="31" t="str">
        <f>Source!DG366</f>
        <v/>
      </c>
      <c r="H835" s="30">
        <f>ROUND(Source!AF366*Source!I366, 2)</f>
        <v>1.94</v>
      </c>
      <c r="I835" s="31"/>
      <c r="J835" s="31">
        <f>IF(Source!BA366&lt;&gt; 0, Source!BA366, 1)</f>
        <v>6.56</v>
      </c>
      <c r="K835" s="30">
        <f>Source!S366</f>
        <v>12.7</v>
      </c>
      <c r="L835" s="32"/>
      <c r="R835">
        <f>H835</f>
        <v>1.94</v>
      </c>
    </row>
    <row r="836" spans="1:26" ht="14.25" x14ac:dyDescent="0.2">
      <c r="A836" s="45"/>
      <c r="B836" s="46"/>
      <c r="C836" s="46" t="s">
        <v>136</v>
      </c>
      <c r="D836" s="29"/>
      <c r="E836" s="11"/>
      <c r="F836" s="30">
        <f>Source!AM366</f>
        <v>3.55</v>
      </c>
      <c r="G836" s="31" t="str">
        <f>Source!DE366</f>
        <v/>
      </c>
      <c r="H836" s="30">
        <f>ROUND(Source!AD366*Source!I366, 2)</f>
        <v>0.36</v>
      </c>
      <c r="I836" s="31"/>
      <c r="J836" s="31">
        <f>IF(Source!BB366&lt;&gt; 0, Source!BB366, 1)</f>
        <v>6.56</v>
      </c>
      <c r="K836" s="30">
        <f>Source!Q366</f>
        <v>2.33</v>
      </c>
      <c r="L836" s="32"/>
    </row>
    <row r="837" spans="1:26" ht="14.25" x14ac:dyDescent="0.2">
      <c r="A837" s="45"/>
      <c r="B837" s="46"/>
      <c r="C837" s="46" t="s">
        <v>1637</v>
      </c>
      <c r="D837" s="29"/>
      <c r="E837" s="11"/>
      <c r="F837" s="30">
        <f>Source!AN366</f>
        <v>0.5</v>
      </c>
      <c r="G837" s="31" t="str">
        <f>Source!DF366</f>
        <v/>
      </c>
      <c r="H837" s="33">
        <f>ROUND(Source!AE366*Source!I366, 2)</f>
        <v>0.05</v>
      </c>
      <c r="I837" s="31"/>
      <c r="J837" s="31">
        <f>IF(Source!BS366&lt;&gt; 0, Source!BS366, 1)</f>
        <v>6.56</v>
      </c>
      <c r="K837" s="33">
        <f>Source!R366</f>
        <v>0.33</v>
      </c>
      <c r="L837" s="32"/>
      <c r="R837">
        <f>H837</f>
        <v>0.05</v>
      </c>
    </row>
    <row r="838" spans="1:26" ht="14.25" x14ac:dyDescent="0.2">
      <c r="A838" s="45"/>
      <c r="B838" s="46"/>
      <c r="C838" s="46" t="s">
        <v>1643</v>
      </c>
      <c r="D838" s="29"/>
      <c r="E838" s="11"/>
      <c r="F838" s="30">
        <f>Source!AL366</f>
        <v>13.28</v>
      </c>
      <c r="G838" s="31" t="str">
        <f>Source!DD366</f>
        <v/>
      </c>
      <c r="H838" s="30">
        <f>ROUND(Source!AC366*Source!I366, 2)</f>
        <v>1.33</v>
      </c>
      <c r="I838" s="31"/>
      <c r="J838" s="31">
        <f>IF(Source!BC366&lt;&gt; 0, Source!BC366, 1)</f>
        <v>6.56</v>
      </c>
      <c r="K838" s="30">
        <f>Source!P366</f>
        <v>8.7100000000000009</v>
      </c>
      <c r="L838" s="32"/>
    </row>
    <row r="839" spans="1:26" ht="14.25" x14ac:dyDescent="0.2">
      <c r="A839" s="45"/>
      <c r="B839" s="46"/>
      <c r="C839" s="46" t="s">
        <v>1638</v>
      </c>
      <c r="D839" s="29" t="s">
        <v>1639</v>
      </c>
      <c r="E839" s="11">
        <f>Source!BZ366</f>
        <v>95</v>
      </c>
      <c r="F839" s="49"/>
      <c r="G839" s="31"/>
      <c r="H839" s="30">
        <f>SUM(S833:S842)</f>
        <v>1.89</v>
      </c>
      <c r="I839" s="34"/>
      <c r="J839" s="27">
        <f>Source!AT366</f>
        <v>95</v>
      </c>
      <c r="K839" s="30">
        <f>SUM(T833:T842)</f>
        <v>12.38</v>
      </c>
      <c r="L839" s="32"/>
    </row>
    <row r="840" spans="1:26" ht="14.25" x14ac:dyDescent="0.2">
      <c r="A840" s="45"/>
      <c r="B840" s="46"/>
      <c r="C840" s="46" t="s">
        <v>1640</v>
      </c>
      <c r="D840" s="29" t="s">
        <v>1639</v>
      </c>
      <c r="E840" s="11">
        <f>Source!CA366</f>
        <v>65</v>
      </c>
      <c r="F840" s="49"/>
      <c r="G840" s="31"/>
      <c r="H840" s="30">
        <f>SUM(U833:U842)</f>
        <v>1.29</v>
      </c>
      <c r="I840" s="34"/>
      <c r="J840" s="27">
        <f>Source!AU366</f>
        <v>65</v>
      </c>
      <c r="K840" s="30">
        <f>SUM(V833:V842)</f>
        <v>8.4700000000000006</v>
      </c>
      <c r="L840" s="32"/>
    </row>
    <row r="841" spans="1:26" ht="14.25" x14ac:dyDescent="0.2">
      <c r="A841" s="45"/>
      <c r="B841" s="46"/>
      <c r="C841" s="46" t="s">
        <v>1641</v>
      </c>
      <c r="D841" s="29" t="s">
        <v>1642</v>
      </c>
      <c r="E841" s="11">
        <f>Source!AQ366</f>
        <v>2.06</v>
      </c>
      <c r="F841" s="30"/>
      <c r="G841" s="31" t="str">
        <f>Source!DI366</f>
        <v/>
      </c>
      <c r="H841" s="30"/>
      <c r="I841" s="31"/>
      <c r="J841" s="31"/>
      <c r="K841" s="30"/>
      <c r="L841" s="41">
        <f>Source!U366</f>
        <v>0.20600000000000002</v>
      </c>
    </row>
    <row r="842" spans="1:26" ht="85.5" x14ac:dyDescent="0.2">
      <c r="A842" s="47" t="str">
        <f>Source!E367</f>
        <v>79,1</v>
      </c>
      <c r="B842" s="48" t="str">
        <f>Source!F367</f>
        <v>21.1.06.09-0177</v>
      </c>
      <c r="C842" s="48" t="str">
        <f>Source!G367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- 5 и сечением 4 мм2</v>
      </c>
      <c r="D842" s="35" t="str">
        <f>Source!H367</f>
        <v>1000 м</v>
      </c>
      <c r="E842" s="36">
        <f>Source!I367</f>
        <v>0.01</v>
      </c>
      <c r="F842" s="37">
        <f>Source!AL367+Source!AM367+Source!AO367</f>
        <v>18047.849999999999</v>
      </c>
      <c r="G842" s="43" t="s">
        <v>6</v>
      </c>
      <c r="H842" s="37">
        <f>ROUND(Source!AC367*Source!I367, 2)+ROUND(Source!AD367*Source!I367, 2)+ROUND(Source!AF367*Source!I367, 2)</f>
        <v>180.48</v>
      </c>
      <c r="I842" s="38"/>
      <c r="J842" s="38">
        <f>IF(Source!BC367&lt;&gt; 0, Source!BC367, 1)</f>
        <v>6.56</v>
      </c>
      <c r="K842" s="37">
        <f>Source!O367</f>
        <v>1183.94</v>
      </c>
      <c r="L842" s="44"/>
      <c r="S842">
        <f>ROUND((Source!FX367/100)*((ROUND(Source!AF367*Source!I367, 2)+ROUND(Source!AE367*Source!I367, 2))), 2)</f>
        <v>0</v>
      </c>
      <c r="T842">
        <f>Source!X367</f>
        <v>0</v>
      </c>
      <c r="U842">
        <f>ROUND((Source!FY367/100)*((ROUND(Source!AF367*Source!I367, 2)+ROUND(Source!AE367*Source!I367, 2))), 2)</f>
        <v>0</v>
      </c>
      <c r="V842">
        <f>Source!Y367</f>
        <v>0</v>
      </c>
      <c r="W842">
        <f>IF(Source!BI367&lt;=1,H842, 0)</f>
        <v>0</v>
      </c>
      <c r="X842">
        <f>IF(Source!BI367=2,H842, 0)</f>
        <v>180.48</v>
      </c>
      <c r="Y842">
        <f>IF(Source!BI367=3,H842, 0)</f>
        <v>0</v>
      </c>
      <c r="Z842">
        <f>IF(Source!BI367=4,H842, 0)</f>
        <v>0</v>
      </c>
    </row>
    <row r="843" spans="1:26" ht="15" x14ac:dyDescent="0.25">
      <c r="G843" s="70">
        <f>H835+H836+H838+H839+H840+SUM(H842:H842)</f>
        <v>187.29</v>
      </c>
      <c r="H843" s="70"/>
      <c r="J843" s="70">
        <f>K835+K836+K838+K839+K840+SUM(K842:K842)</f>
        <v>1228.53</v>
      </c>
      <c r="K843" s="70"/>
      <c r="L843" s="40">
        <f>Source!U366</f>
        <v>0.20600000000000002</v>
      </c>
      <c r="O843" s="24">
        <f>G843</f>
        <v>187.29</v>
      </c>
      <c r="P843" s="24">
        <f>J843</f>
        <v>1228.53</v>
      </c>
      <c r="Q843" s="24">
        <f>L843</f>
        <v>0.20600000000000002</v>
      </c>
      <c r="W843">
        <f>IF(Source!BI366&lt;=1,H835+H836+H838+H839+H840, 0)</f>
        <v>0</v>
      </c>
      <c r="X843">
        <f>IF(Source!BI366=2,H835+H836+H838+H839+H840, 0)</f>
        <v>6.81</v>
      </c>
      <c r="Y843">
        <f>IF(Source!BI366=3,H835+H836+H838+H839+H840, 0)</f>
        <v>0</v>
      </c>
      <c r="Z843">
        <f>IF(Source!BI366=4,H835+H836+H838+H839+H840, 0)</f>
        <v>0</v>
      </c>
    </row>
    <row r="844" spans="1:26" ht="28.5" x14ac:dyDescent="0.2">
      <c r="A844" s="45" t="str">
        <f>Source!E368</f>
        <v>80</v>
      </c>
      <c r="B844" s="46" t="str">
        <f>Source!F368</f>
        <v>м08-02-398-05</v>
      </c>
      <c r="C844" s="46" t="str">
        <f>Source!G368</f>
        <v>Провод в лотках, сечением до 185 мм2</v>
      </c>
      <c r="D844" s="29" t="str">
        <f>Source!H368</f>
        <v>100 м</v>
      </c>
      <c r="E844" s="11">
        <f>Source!I368</f>
        <v>1.18</v>
      </c>
      <c r="F844" s="30">
        <f>Source!AL368+Source!AM368+Source!AO368</f>
        <v>122.17000000000002</v>
      </c>
      <c r="G844" s="31"/>
      <c r="H844" s="30"/>
      <c r="I844" s="31" t="str">
        <f>Source!BO368</f>
        <v/>
      </c>
      <c r="J844" s="31"/>
      <c r="K844" s="30"/>
      <c r="L844" s="32"/>
      <c r="S844">
        <f>ROUND((Source!FX368/100)*((ROUND(Source!AF368*Source!I368, 2)+ROUND(Source!AE368*Source!I368, 2))), 2)</f>
        <v>66.760000000000005</v>
      </c>
      <c r="T844">
        <f>Source!X368</f>
        <v>437.92</v>
      </c>
      <c r="U844">
        <f>ROUND((Source!FY368/100)*((ROUND(Source!AF368*Source!I368, 2)+ROUND(Source!AE368*Source!I368, 2))), 2)</f>
        <v>45.68</v>
      </c>
      <c r="V844">
        <f>Source!Y368</f>
        <v>299.63</v>
      </c>
    </row>
    <row r="845" spans="1:26" x14ac:dyDescent="0.2">
      <c r="C845" s="23" t="str">
        <f>"Объем: "&amp;Source!I368&amp;"=118/"&amp;"100"</f>
        <v>Объем: 1,18=118/100</v>
      </c>
    </row>
    <row r="846" spans="1:26" ht="14.25" x14ac:dyDescent="0.2">
      <c r="A846" s="45"/>
      <c r="B846" s="46"/>
      <c r="C846" s="46" t="s">
        <v>1636</v>
      </c>
      <c r="D846" s="29"/>
      <c r="E846" s="11"/>
      <c r="F846" s="30">
        <f>Source!AO368</f>
        <v>53.02</v>
      </c>
      <c r="G846" s="31" t="str">
        <f>Source!DG368</f>
        <v/>
      </c>
      <c r="H846" s="30">
        <f>ROUND(Source!AF368*Source!I368, 2)</f>
        <v>62.56</v>
      </c>
      <c r="I846" s="31"/>
      <c r="J846" s="31">
        <f>IF(Source!BA368&lt;&gt; 0, Source!BA368, 1)</f>
        <v>6.56</v>
      </c>
      <c r="K846" s="30">
        <f>Source!S368</f>
        <v>410.42</v>
      </c>
      <c r="L846" s="32"/>
      <c r="R846">
        <f>H846</f>
        <v>62.56</v>
      </c>
    </row>
    <row r="847" spans="1:26" ht="14.25" x14ac:dyDescent="0.2">
      <c r="A847" s="45"/>
      <c r="B847" s="46"/>
      <c r="C847" s="46" t="s">
        <v>136</v>
      </c>
      <c r="D847" s="29"/>
      <c r="E847" s="11"/>
      <c r="F847" s="30">
        <f>Source!AM368</f>
        <v>46.2</v>
      </c>
      <c r="G847" s="31" t="str">
        <f>Source!DE368</f>
        <v/>
      </c>
      <c r="H847" s="30">
        <f>ROUND(Source!AD368*Source!I368, 2)</f>
        <v>54.52</v>
      </c>
      <c r="I847" s="31"/>
      <c r="J847" s="31">
        <f>IF(Source!BB368&lt;&gt; 0, Source!BB368, 1)</f>
        <v>6.56</v>
      </c>
      <c r="K847" s="30">
        <f>Source!Q368</f>
        <v>357.62</v>
      </c>
      <c r="L847" s="32"/>
    </row>
    <row r="848" spans="1:26" ht="14.25" x14ac:dyDescent="0.2">
      <c r="A848" s="45"/>
      <c r="B848" s="46"/>
      <c r="C848" s="46" t="s">
        <v>1637</v>
      </c>
      <c r="D848" s="29"/>
      <c r="E848" s="11"/>
      <c r="F848" s="30">
        <f>Source!AN368</f>
        <v>6.53</v>
      </c>
      <c r="G848" s="31" t="str">
        <f>Source!DF368</f>
        <v/>
      </c>
      <c r="H848" s="33">
        <f>ROUND(Source!AE368*Source!I368, 2)</f>
        <v>7.71</v>
      </c>
      <c r="I848" s="31"/>
      <c r="J848" s="31">
        <f>IF(Source!BS368&lt;&gt; 0, Source!BS368, 1)</f>
        <v>6.56</v>
      </c>
      <c r="K848" s="33">
        <f>Source!R368</f>
        <v>50.55</v>
      </c>
      <c r="L848" s="32"/>
      <c r="R848">
        <f>H848</f>
        <v>7.71</v>
      </c>
    </row>
    <row r="849" spans="1:26" ht="14.25" x14ac:dyDescent="0.2">
      <c r="A849" s="45"/>
      <c r="B849" s="46"/>
      <c r="C849" s="46" t="s">
        <v>1643</v>
      </c>
      <c r="D849" s="29"/>
      <c r="E849" s="11"/>
      <c r="F849" s="30">
        <f>Source!AL368</f>
        <v>22.95</v>
      </c>
      <c r="G849" s="31" t="str">
        <f>Source!DD368</f>
        <v/>
      </c>
      <c r="H849" s="30">
        <f>ROUND(Source!AC368*Source!I368, 2)</f>
        <v>27.08</v>
      </c>
      <c r="I849" s="31"/>
      <c r="J849" s="31">
        <f>IF(Source!BC368&lt;&gt; 0, Source!BC368, 1)</f>
        <v>6.56</v>
      </c>
      <c r="K849" s="30">
        <f>Source!P368</f>
        <v>177.65</v>
      </c>
      <c r="L849" s="32"/>
    </row>
    <row r="850" spans="1:26" ht="14.25" x14ac:dyDescent="0.2">
      <c r="A850" s="45"/>
      <c r="B850" s="46"/>
      <c r="C850" s="46" t="s">
        <v>1638</v>
      </c>
      <c r="D850" s="29" t="s">
        <v>1639</v>
      </c>
      <c r="E850" s="11">
        <f>Source!BZ368</f>
        <v>95</v>
      </c>
      <c r="F850" s="49"/>
      <c r="G850" s="31"/>
      <c r="H850" s="30">
        <f>SUM(S844:S854)</f>
        <v>66.760000000000005</v>
      </c>
      <c r="I850" s="34"/>
      <c r="J850" s="27">
        <f>Source!AT368</f>
        <v>95</v>
      </c>
      <c r="K850" s="30">
        <f>SUM(T844:T854)</f>
        <v>437.92</v>
      </c>
      <c r="L850" s="32"/>
    </row>
    <row r="851" spans="1:26" ht="14.25" x14ac:dyDescent="0.2">
      <c r="A851" s="45"/>
      <c r="B851" s="46"/>
      <c r="C851" s="46" t="s">
        <v>1640</v>
      </c>
      <c r="D851" s="29" t="s">
        <v>1639</v>
      </c>
      <c r="E851" s="11">
        <f>Source!CA368</f>
        <v>65</v>
      </c>
      <c r="F851" s="49"/>
      <c r="G851" s="31"/>
      <c r="H851" s="30">
        <f>SUM(U844:U854)</f>
        <v>45.68</v>
      </c>
      <c r="I851" s="34"/>
      <c r="J851" s="27">
        <f>Source!AU368</f>
        <v>65</v>
      </c>
      <c r="K851" s="30">
        <f>SUM(V844:V854)</f>
        <v>299.63</v>
      </c>
      <c r="L851" s="32"/>
    </row>
    <row r="852" spans="1:26" ht="14.25" x14ac:dyDescent="0.2">
      <c r="A852" s="45"/>
      <c r="B852" s="46"/>
      <c r="C852" s="46" t="s">
        <v>1641</v>
      </c>
      <c r="D852" s="29" t="s">
        <v>1642</v>
      </c>
      <c r="E852" s="11">
        <f>Source!AQ368</f>
        <v>5.64</v>
      </c>
      <c r="F852" s="30"/>
      <c r="G852" s="31" t="str">
        <f>Source!DI368</f>
        <v/>
      </c>
      <c r="H852" s="30"/>
      <c r="I852" s="31"/>
      <c r="J852" s="31"/>
      <c r="K852" s="30"/>
      <c r="L852" s="41">
        <f>Source!U368</f>
        <v>6.6551999999999989</v>
      </c>
    </row>
    <row r="853" spans="1:26" ht="85.5" x14ac:dyDescent="0.2">
      <c r="A853" s="45" t="str">
        <f>Source!E369</f>
        <v>80,1</v>
      </c>
      <c r="B853" s="46" t="str">
        <f>Source!F369</f>
        <v>21.1.06.09-0184</v>
      </c>
      <c r="C853" s="46" t="str">
        <f>Source!G369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- 5 и сечением 70 мм2</v>
      </c>
      <c r="D853" s="29" t="str">
        <f>Source!H369</f>
        <v>1000 м</v>
      </c>
      <c r="E853" s="11">
        <f>Source!I369</f>
        <v>0.09</v>
      </c>
      <c r="F853" s="30">
        <f>Source!AL369+Source!AM369+Source!AO369</f>
        <v>271190.69</v>
      </c>
      <c r="G853" s="42" t="s">
        <v>6</v>
      </c>
      <c r="H853" s="30">
        <f>ROUND(Source!AC369*Source!I369, 2)+ROUND(Source!AD369*Source!I369, 2)+ROUND(Source!AF369*Source!I369, 2)</f>
        <v>24407.16</v>
      </c>
      <c r="I853" s="31"/>
      <c r="J853" s="31">
        <f>IF(Source!BC369&lt;&gt; 0, Source!BC369, 1)</f>
        <v>6.56</v>
      </c>
      <c r="K853" s="30">
        <f>Source!O369</f>
        <v>160110.98000000001</v>
      </c>
      <c r="L853" s="32"/>
      <c r="S853">
        <f>ROUND((Source!FX369/100)*((ROUND(Source!AF369*Source!I369, 2)+ROUND(Source!AE369*Source!I369, 2))), 2)</f>
        <v>0</v>
      </c>
      <c r="T853">
        <f>Source!X369</f>
        <v>0</v>
      </c>
      <c r="U853">
        <f>ROUND((Source!FY369/100)*((ROUND(Source!AF369*Source!I369, 2)+ROUND(Source!AE369*Source!I369, 2))), 2)</f>
        <v>0</v>
      </c>
      <c r="V853">
        <f>Source!Y369</f>
        <v>0</v>
      </c>
      <c r="W853">
        <f>IF(Source!BI369&lt;=1,H853, 0)</f>
        <v>0</v>
      </c>
      <c r="X853">
        <f>IF(Source!BI369=2,H853, 0)</f>
        <v>24407.16</v>
      </c>
      <c r="Y853">
        <f>IF(Source!BI369=3,H853, 0)</f>
        <v>0</v>
      </c>
      <c r="Z853">
        <f>IF(Source!BI369=4,H853, 0)</f>
        <v>0</v>
      </c>
    </row>
    <row r="854" spans="1:26" ht="85.5" x14ac:dyDescent="0.2">
      <c r="A854" s="47" t="str">
        <f>Source!E370</f>
        <v>80,2</v>
      </c>
      <c r="B854" s="48" t="str">
        <f>Source!F370</f>
        <v>21.1.06.09-0181</v>
      </c>
      <c r="C854" s="48" t="str">
        <f>Source!G370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- 5 и сечением 25 мм2</v>
      </c>
      <c r="D854" s="35" t="str">
        <f>Source!H370</f>
        <v>1000 м</v>
      </c>
      <c r="E854" s="36">
        <f>Source!I370</f>
        <v>2.8000000000000001E-2</v>
      </c>
      <c r="F854" s="37">
        <f>Source!AL370+Source!AM370+Source!AO370</f>
        <v>109675.42</v>
      </c>
      <c r="G854" s="43" t="s">
        <v>6</v>
      </c>
      <c r="H854" s="37">
        <f>ROUND(Source!AC370*Source!I370, 2)+ROUND(Source!AD370*Source!I370, 2)+ROUND(Source!AF370*Source!I370, 2)</f>
        <v>3070.91</v>
      </c>
      <c r="I854" s="38"/>
      <c r="J854" s="38">
        <f>IF(Source!BC370&lt;&gt; 0, Source!BC370, 1)</f>
        <v>6.56</v>
      </c>
      <c r="K854" s="37">
        <f>Source!O370</f>
        <v>20145.18</v>
      </c>
      <c r="L854" s="44"/>
      <c r="S854">
        <f>ROUND((Source!FX370/100)*((ROUND(Source!AF370*Source!I370, 2)+ROUND(Source!AE370*Source!I370, 2))), 2)</f>
        <v>0</v>
      </c>
      <c r="T854">
        <f>Source!X370</f>
        <v>0</v>
      </c>
      <c r="U854">
        <f>ROUND((Source!FY370/100)*((ROUND(Source!AF370*Source!I370, 2)+ROUND(Source!AE370*Source!I370, 2))), 2)</f>
        <v>0</v>
      </c>
      <c r="V854">
        <f>Source!Y370</f>
        <v>0</v>
      </c>
      <c r="W854">
        <f>IF(Source!BI370&lt;=1,H854, 0)</f>
        <v>0</v>
      </c>
      <c r="X854">
        <f>IF(Source!BI370=2,H854, 0)</f>
        <v>3070.91</v>
      </c>
      <c r="Y854">
        <f>IF(Source!BI370=3,H854, 0)</f>
        <v>0</v>
      </c>
      <c r="Z854">
        <f>IF(Source!BI370=4,H854, 0)</f>
        <v>0</v>
      </c>
    </row>
    <row r="855" spans="1:26" ht="15" x14ac:dyDescent="0.25">
      <c r="G855" s="70">
        <f>H846+H847+H849+H850+H851+SUM(H853:H854)</f>
        <v>27734.67</v>
      </c>
      <c r="H855" s="70"/>
      <c r="J855" s="70">
        <f>K846+K847+K849+K850+K851+SUM(K853:K854)</f>
        <v>181939.4</v>
      </c>
      <c r="K855" s="70"/>
      <c r="L855" s="40">
        <f>Source!U368</f>
        <v>6.6551999999999989</v>
      </c>
      <c r="O855" s="24">
        <f>G855</f>
        <v>27734.67</v>
      </c>
      <c r="P855" s="24">
        <f>J855</f>
        <v>181939.4</v>
      </c>
      <c r="Q855" s="24">
        <f>L855</f>
        <v>6.6551999999999989</v>
      </c>
      <c r="W855">
        <f>IF(Source!BI368&lt;=1,H846+H847+H849+H850+H851, 0)</f>
        <v>0</v>
      </c>
      <c r="X855">
        <f>IF(Source!BI368=2,H846+H847+H849+H850+H851, 0)</f>
        <v>256.60000000000002</v>
      </c>
      <c r="Y855">
        <f>IF(Source!BI368=3,H846+H847+H849+H850+H851, 0)</f>
        <v>0</v>
      </c>
      <c r="Z855">
        <f>IF(Source!BI368=4,H846+H847+H849+H850+H851, 0)</f>
        <v>0</v>
      </c>
    </row>
    <row r="856" spans="1:26" ht="57" x14ac:dyDescent="0.2">
      <c r="A856" s="45" t="str">
        <f>Source!E371</f>
        <v>81</v>
      </c>
      <c r="B856" s="46" t="str">
        <f>Source!F371</f>
        <v>м08-03-599-09 прим.</v>
      </c>
      <c r="C856" s="46" t="str">
        <f>Source!G371</f>
        <v>Щитки осветительные, устанавливаемые на стене распорными дюбелями, масса щитка до 6 кг (Боксы АВВ)</v>
      </c>
      <c r="D856" s="29" t="str">
        <f>Source!H371</f>
        <v>ШТ</v>
      </c>
      <c r="E856" s="11">
        <f>Source!I371</f>
        <v>3</v>
      </c>
      <c r="F856" s="30">
        <f>Source!AL371+Source!AM371+Source!AO371</f>
        <v>70.22</v>
      </c>
      <c r="G856" s="31"/>
      <c r="H856" s="30"/>
      <c r="I856" s="31" t="str">
        <f>Source!BO371</f>
        <v/>
      </c>
      <c r="J856" s="31"/>
      <c r="K856" s="30"/>
      <c r="L856" s="32"/>
      <c r="S856">
        <f>ROUND((Source!FX371/100)*((ROUND(Source!AF371*Source!I371, 2)+ROUND(Source!AE371*Source!I371, 2))), 2)</f>
        <v>73.13</v>
      </c>
      <c r="T856">
        <f>Source!X371</f>
        <v>479.74</v>
      </c>
      <c r="U856">
        <f>ROUND((Source!FY371/100)*((ROUND(Source!AF371*Source!I371, 2)+ROUND(Source!AE371*Source!I371, 2))), 2)</f>
        <v>50.04</v>
      </c>
      <c r="V856">
        <f>Source!Y371</f>
        <v>328.24</v>
      </c>
    </row>
    <row r="857" spans="1:26" ht="14.25" x14ac:dyDescent="0.2">
      <c r="A857" s="45"/>
      <c r="B857" s="46"/>
      <c r="C857" s="46" t="s">
        <v>1636</v>
      </c>
      <c r="D857" s="29"/>
      <c r="E857" s="11"/>
      <c r="F857" s="30">
        <f>Source!AO371</f>
        <v>25.4</v>
      </c>
      <c r="G857" s="31" t="str">
        <f>Source!DG371</f>
        <v/>
      </c>
      <c r="H857" s="30">
        <f>ROUND(Source!AF371*Source!I371, 2)</f>
        <v>76.2</v>
      </c>
      <c r="I857" s="31"/>
      <c r="J857" s="31">
        <f>IF(Source!BA371&lt;&gt; 0, Source!BA371, 1)</f>
        <v>6.56</v>
      </c>
      <c r="K857" s="30">
        <f>Source!S371</f>
        <v>499.87</v>
      </c>
      <c r="L857" s="32"/>
      <c r="R857">
        <f>H857</f>
        <v>76.2</v>
      </c>
    </row>
    <row r="858" spans="1:26" ht="14.25" x14ac:dyDescent="0.2">
      <c r="A858" s="45"/>
      <c r="B858" s="46"/>
      <c r="C858" s="46" t="s">
        <v>136</v>
      </c>
      <c r="D858" s="29"/>
      <c r="E858" s="11"/>
      <c r="F858" s="30">
        <f>Source!AM371</f>
        <v>1.78</v>
      </c>
      <c r="G858" s="31" t="str">
        <f>Source!DE371</f>
        <v/>
      </c>
      <c r="H858" s="30">
        <f>ROUND(Source!AD371*Source!I371, 2)</f>
        <v>5.34</v>
      </c>
      <c r="I858" s="31"/>
      <c r="J858" s="31">
        <f>IF(Source!BB371&lt;&gt; 0, Source!BB371, 1)</f>
        <v>6.56</v>
      </c>
      <c r="K858" s="30">
        <f>Source!Q371</f>
        <v>35.03</v>
      </c>
      <c r="L858" s="32"/>
    </row>
    <row r="859" spans="1:26" ht="14.25" x14ac:dyDescent="0.2">
      <c r="A859" s="45"/>
      <c r="B859" s="46"/>
      <c r="C859" s="46" t="s">
        <v>1637</v>
      </c>
      <c r="D859" s="29"/>
      <c r="E859" s="11"/>
      <c r="F859" s="30">
        <f>Source!AN371</f>
        <v>0.26</v>
      </c>
      <c r="G859" s="31" t="str">
        <f>Source!DF371</f>
        <v/>
      </c>
      <c r="H859" s="33">
        <f>ROUND(Source!AE371*Source!I371, 2)</f>
        <v>0.78</v>
      </c>
      <c r="I859" s="31"/>
      <c r="J859" s="31">
        <f>IF(Source!BS371&lt;&gt; 0, Source!BS371, 1)</f>
        <v>6.56</v>
      </c>
      <c r="K859" s="33">
        <f>Source!R371</f>
        <v>5.12</v>
      </c>
      <c r="L859" s="32"/>
      <c r="R859">
        <f>H859</f>
        <v>0.78</v>
      </c>
    </row>
    <row r="860" spans="1:26" ht="14.25" x14ac:dyDescent="0.2">
      <c r="A860" s="45"/>
      <c r="B860" s="46"/>
      <c r="C860" s="46" t="s">
        <v>1643</v>
      </c>
      <c r="D860" s="29"/>
      <c r="E860" s="11"/>
      <c r="F860" s="30">
        <f>Source!AL371</f>
        <v>43.04</v>
      </c>
      <c r="G860" s="31" t="str">
        <f>Source!DD371</f>
        <v/>
      </c>
      <c r="H860" s="30">
        <f>ROUND(Source!AC371*Source!I371, 2)</f>
        <v>129.12</v>
      </c>
      <c r="I860" s="31"/>
      <c r="J860" s="31">
        <f>IF(Source!BC371&lt;&gt; 0, Source!BC371, 1)</f>
        <v>6.56</v>
      </c>
      <c r="K860" s="30">
        <f>Source!P371</f>
        <v>847.03</v>
      </c>
      <c r="L860" s="32"/>
    </row>
    <row r="861" spans="1:26" ht="14.25" x14ac:dyDescent="0.2">
      <c r="A861" s="45"/>
      <c r="B861" s="46"/>
      <c r="C861" s="46" t="s">
        <v>1638</v>
      </c>
      <c r="D861" s="29" t="s">
        <v>1639</v>
      </c>
      <c r="E861" s="11">
        <f>Source!BZ371</f>
        <v>95</v>
      </c>
      <c r="F861" s="49"/>
      <c r="G861" s="31"/>
      <c r="H861" s="30">
        <f>SUM(S856:S864)</f>
        <v>73.13</v>
      </c>
      <c r="I861" s="34"/>
      <c r="J861" s="27">
        <f>Source!AT371</f>
        <v>95</v>
      </c>
      <c r="K861" s="30">
        <f>SUM(T856:T864)</f>
        <v>479.74</v>
      </c>
      <c r="L861" s="32"/>
    </row>
    <row r="862" spans="1:26" ht="14.25" x14ac:dyDescent="0.2">
      <c r="A862" s="45"/>
      <c r="B862" s="46"/>
      <c r="C862" s="46" t="s">
        <v>1640</v>
      </c>
      <c r="D862" s="29" t="s">
        <v>1639</v>
      </c>
      <c r="E862" s="11">
        <f>Source!CA371</f>
        <v>65</v>
      </c>
      <c r="F862" s="49"/>
      <c r="G862" s="31"/>
      <c r="H862" s="30">
        <f>SUM(U856:U864)</f>
        <v>50.04</v>
      </c>
      <c r="I862" s="34"/>
      <c r="J862" s="27">
        <f>Source!AU371</f>
        <v>65</v>
      </c>
      <c r="K862" s="30">
        <f>SUM(V856:V864)</f>
        <v>328.24</v>
      </c>
      <c r="L862" s="32"/>
    </row>
    <row r="863" spans="1:26" ht="14.25" x14ac:dyDescent="0.2">
      <c r="A863" s="45"/>
      <c r="B863" s="46"/>
      <c r="C863" s="46" t="s">
        <v>1641</v>
      </c>
      <c r="D863" s="29" t="s">
        <v>1642</v>
      </c>
      <c r="E863" s="11">
        <f>Source!AQ371</f>
        <v>2.56</v>
      </c>
      <c r="F863" s="30"/>
      <c r="G863" s="31" t="str">
        <f>Source!DI371</f>
        <v/>
      </c>
      <c r="H863" s="30"/>
      <c r="I863" s="31"/>
      <c r="J863" s="31"/>
      <c r="K863" s="30"/>
      <c r="L863" s="41">
        <f>Source!U371</f>
        <v>7.68</v>
      </c>
    </row>
    <row r="864" spans="1:26" ht="42.75" x14ac:dyDescent="0.2">
      <c r="A864" s="47" t="str">
        <f>Source!E372</f>
        <v>81,1</v>
      </c>
      <c r="B864" s="48" t="str">
        <f>Source!F372</f>
        <v>22.1.01.01-0014</v>
      </c>
      <c r="C864" s="48" t="str">
        <f>Source!G372</f>
        <v>Бокс настенный  пластиковый АВВ " Mistral 41"с прозрачной дверцей на 36 модулей,с клеммами в 2 ряда прим.</v>
      </c>
      <c r="D864" s="35" t="str">
        <f>Source!H372</f>
        <v>шт.</v>
      </c>
      <c r="E864" s="36">
        <f>Source!I372</f>
        <v>3</v>
      </c>
      <c r="F864" s="37">
        <f>Source!AL372+Source!AM372+Source!AO372</f>
        <v>213.05</v>
      </c>
      <c r="G864" s="43" t="s">
        <v>6</v>
      </c>
      <c r="H864" s="37">
        <f>ROUND(Source!AC372*Source!I372, 2)+ROUND(Source!AD372*Source!I372, 2)+ROUND(Source!AF372*Source!I372, 2)</f>
        <v>639.15</v>
      </c>
      <c r="I864" s="38"/>
      <c r="J864" s="38">
        <f>IF(Source!BC372&lt;&gt; 0, Source!BC372, 1)</f>
        <v>6.56</v>
      </c>
      <c r="K864" s="37">
        <f>Source!O372</f>
        <v>4192.82</v>
      </c>
      <c r="L864" s="44"/>
      <c r="S864">
        <f>ROUND((Source!FX372/100)*((ROUND(Source!AF372*Source!I372, 2)+ROUND(Source!AE372*Source!I372, 2))), 2)</f>
        <v>0</v>
      </c>
      <c r="T864">
        <f>Source!X372</f>
        <v>0</v>
      </c>
      <c r="U864">
        <f>ROUND((Source!FY372/100)*((ROUND(Source!AF372*Source!I372, 2)+ROUND(Source!AE372*Source!I372, 2))), 2)</f>
        <v>0</v>
      </c>
      <c r="V864">
        <f>Source!Y372</f>
        <v>0</v>
      </c>
      <c r="W864">
        <f>IF(Source!BI372&lt;=1,H864, 0)</f>
        <v>0</v>
      </c>
      <c r="X864">
        <f>IF(Source!BI372=2,H864, 0)</f>
        <v>639.15</v>
      </c>
      <c r="Y864">
        <f>IF(Source!BI372=3,H864, 0)</f>
        <v>0</v>
      </c>
      <c r="Z864">
        <f>IF(Source!BI372=4,H864, 0)</f>
        <v>0</v>
      </c>
    </row>
    <row r="865" spans="1:26" ht="15" x14ac:dyDescent="0.25">
      <c r="G865" s="70">
        <f>H857+H858+H860+H861+H862+SUM(H864:H864)</f>
        <v>972.98</v>
      </c>
      <c r="H865" s="70"/>
      <c r="J865" s="70">
        <f>K857+K858+K860+K861+K862+SUM(K864:K864)</f>
        <v>6382.73</v>
      </c>
      <c r="K865" s="70"/>
      <c r="L865" s="40">
        <f>Source!U371</f>
        <v>7.68</v>
      </c>
      <c r="O865" s="24">
        <f>G865</f>
        <v>972.98</v>
      </c>
      <c r="P865" s="24">
        <f>J865</f>
        <v>6382.73</v>
      </c>
      <c r="Q865" s="24">
        <f>L865</f>
        <v>7.68</v>
      </c>
      <c r="W865">
        <f>IF(Source!BI371&lt;=1,H857+H858+H860+H861+H862, 0)</f>
        <v>0</v>
      </c>
      <c r="X865">
        <f>IF(Source!BI371=2,H857+H858+H860+H861+H862, 0)</f>
        <v>333.83000000000004</v>
      </c>
      <c r="Y865">
        <f>IF(Source!BI371=3,H857+H858+H860+H861+H862, 0)</f>
        <v>0</v>
      </c>
      <c r="Z865">
        <f>IF(Source!BI371=4,H857+H858+H860+H861+H862, 0)</f>
        <v>0</v>
      </c>
    </row>
    <row r="866" spans="1:26" ht="28.5" x14ac:dyDescent="0.2">
      <c r="A866" s="45" t="str">
        <f>Source!E373</f>
        <v>82</v>
      </c>
      <c r="B866" s="46" t="str">
        <f>Source!F373</f>
        <v>м08-02-370-02</v>
      </c>
      <c r="C866" s="46" t="str">
        <f>Source!G373</f>
        <v>Щиток до трех групп, устанавливаемый в нише цоколя</v>
      </c>
      <c r="D866" s="29" t="str">
        <f>Source!H373</f>
        <v>ШТ</v>
      </c>
      <c r="E866" s="11">
        <f>Source!I373</f>
        <v>1</v>
      </c>
      <c r="F866" s="30">
        <f>Source!AL373+Source!AM373+Source!AO373</f>
        <v>33.42</v>
      </c>
      <c r="G866" s="31"/>
      <c r="H866" s="30"/>
      <c r="I866" s="31" t="str">
        <f>Source!BO373</f>
        <v/>
      </c>
      <c r="J866" s="31"/>
      <c r="K866" s="30"/>
      <c r="L866" s="32"/>
      <c r="S866">
        <f>ROUND((Source!FX373/100)*((ROUND(Source!AF373*Source!I373, 2)+ROUND(Source!AE373*Source!I373, 2))), 2)</f>
        <v>11.36</v>
      </c>
      <c r="T866">
        <f>Source!X373</f>
        <v>74.540000000000006</v>
      </c>
      <c r="U866">
        <f>ROUND((Source!FY373/100)*((ROUND(Source!AF373*Source!I373, 2)+ROUND(Source!AE373*Source!I373, 2))), 2)</f>
        <v>7.77</v>
      </c>
      <c r="V866">
        <f>Source!Y373</f>
        <v>51</v>
      </c>
    </row>
    <row r="867" spans="1:26" ht="14.25" x14ac:dyDescent="0.2">
      <c r="A867" s="45"/>
      <c r="B867" s="46"/>
      <c r="C867" s="46" t="s">
        <v>1636</v>
      </c>
      <c r="D867" s="29"/>
      <c r="E867" s="11"/>
      <c r="F867" s="30">
        <f>Source!AO373</f>
        <v>9.4499999999999993</v>
      </c>
      <c r="G867" s="31" t="str">
        <f>Source!DG373</f>
        <v/>
      </c>
      <c r="H867" s="30">
        <f>ROUND(Source!AF373*Source!I373, 2)</f>
        <v>9.4499999999999993</v>
      </c>
      <c r="I867" s="31"/>
      <c r="J867" s="31">
        <f>IF(Source!BA373&lt;&gt; 0, Source!BA373, 1)</f>
        <v>6.56</v>
      </c>
      <c r="K867" s="30">
        <f>Source!S373</f>
        <v>61.99</v>
      </c>
      <c r="L867" s="32"/>
      <c r="R867">
        <f>H867</f>
        <v>9.4499999999999993</v>
      </c>
    </row>
    <row r="868" spans="1:26" ht="14.25" x14ac:dyDescent="0.2">
      <c r="A868" s="45"/>
      <c r="B868" s="46"/>
      <c r="C868" s="46" t="s">
        <v>136</v>
      </c>
      <c r="D868" s="29"/>
      <c r="E868" s="11"/>
      <c r="F868" s="30">
        <f>Source!AM373</f>
        <v>17.77</v>
      </c>
      <c r="G868" s="31" t="str">
        <f>Source!DE373</f>
        <v/>
      </c>
      <c r="H868" s="30">
        <f>ROUND(Source!AD373*Source!I373, 2)</f>
        <v>17.77</v>
      </c>
      <c r="I868" s="31"/>
      <c r="J868" s="31">
        <f>IF(Source!BB373&lt;&gt; 0, Source!BB373, 1)</f>
        <v>6.56</v>
      </c>
      <c r="K868" s="30">
        <f>Source!Q373</f>
        <v>116.57</v>
      </c>
      <c r="L868" s="32"/>
    </row>
    <row r="869" spans="1:26" ht="14.25" x14ac:dyDescent="0.2">
      <c r="A869" s="45"/>
      <c r="B869" s="46"/>
      <c r="C869" s="46" t="s">
        <v>1637</v>
      </c>
      <c r="D869" s="29"/>
      <c r="E869" s="11"/>
      <c r="F869" s="30">
        <f>Source!AN373</f>
        <v>2.5099999999999998</v>
      </c>
      <c r="G869" s="31" t="str">
        <f>Source!DF373</f>
        <v/>
      </c>
      <c r="H869" s="33">
        <f>ROUND(Source!AE373*Source!I373, 2)</f>
        <v>2.5099999999999998</v>
      </c>
      <c r="I869" s="31"/>
      <c r="J869" s="31">
        <f>IF(Source!BS373&lt;&gt; 0, Source!BS373, 1)</f>
        <v>6.56</v>
      </c>
      <c r="K869" s="33">
        <f>Source!R373</f>
        <v>16.47</v>
      </c>
      <c r="L869" s="32"/>
      <c r="R869">
        <f>H869</f>
        <v>2.5099999999999998</v>
      </c>
    </row>
    <row r="870" spans="1:26" ht="14.25" x14ac:dyDescent="0.2">
      <c r="A870" s="45"/>
      <c r="B870" s="46"/>
      <c r="C870" s="46" t="s">
        <v>1643</v>
      </c>
      <c r="D870" s="29"/>
      <c r="E870" s="11"/>
      <c r="F870" s="30">
        <f>Source!AL373</f>
        <v>6.2</v>
      </c>
      <c r="G870" s="31" t="str">
        <f>Source!DD373</f>
        <v/>
      </c>
      <c r="H870" s="30">
        <f>ROUND(Source!AC373*Source!I373, 2)</f>
        <v>6.2</v>
      </c>
      <c r="I870" s="31"/>
      <c r="J870" s="31">
        <f>IF(Source!BC373&lt;&gt; 0, Source!BC373, 1)</f>
        <v>6.56</v>
      </c>
      <c r="K870" s="30">
        <f>Source!P373</f>
        <v>40.67</v>
      </c>
      <c r="L870" s="32"/>
    </row>
    <row r="871" spans="1:26" ht="14.25" x14ac:dyDescent="0.2">
      <c r="A871" s="45"/>
      <c r="B871" s="46"/>
      <c r="C871" s="46" t="s">
        <v>1638</v>
      </c>
      <c r="D871" s="29" t="s">
        <v>1639</v>
      </c>
      <c r="E871" s="11">
        <f>Source!BZ373</f>
        <v>95</v>
      </c>
      <c r="F871" s="49"/>
      <c r="G871" s="31"/>
      <c r="H871" s="30">
        <f>SUM(S866:S874)</f>
        <v>11.36</v>
      </c>
      <c r="I871" s="34"/>
      <c r="J871" s="27">
        <f>Source!AT373</f>
        <v>95</v>
      </c>
      <c r="K871" s="30">
        <f>SUM(T866:T874)</f>
        <v>74.540000000000006</v>
      </c>
      <c r="L871" s="32"/>
    </row>
    <row r="872" spans="1:26" ht="14.25" x14ac:dyDescent="0.2">
      <c r="A872" s="45"/>
      <c r="B872" s="46"/>
      <c r="C872" s="46" t="s">
        <v>1640</v>
      </c>
      <c r="D872" s="29" t="s">
        <v>1639</v>
      </c>
      <c r="E872" s="11">
        <f>Source!CA373</f>
        <v>65</v>
      </c>
      <c r="F872" s="49"/>
      <c r="G872" s="31"/>
      <c r="H872" s="30">
        <f>SUM(U866:U874)</f>
        <v>7.77</v>
      </c>
      <c r="I872" s="34"/>
      <c r="J872" s="27">
        <f>Source!AU373</f>
        <v>65</v>
      </c>
      <c r="K872" s="30">
        <f>SUM(V866:V874)</f>
        <v>51</v>
      </c>
      <c r="L872" s="32"/>
    </row>
    <row r="873" spans="1:26" ht="14.25" x14ac:dyDescent="0.2">
      <c r="A873" s="45"/>
      <c r="B873" s="46"/>
      <c r="C873" s="46" t="s">
        <v>1641</v>
      </c>
      <c r="D873" s="29" t="s">
        <v>1642</v>
      </c>
      <c r="E873" s="11">
        <f>Source!AQ373</f>
        <v>0.9</v>
      </c>
      <c r="F873" s="30"/>
      <c r="G873" s="31" t="str">
        <f>Source!DI373</f>
        <v/>
      </c>
      <c r="H873" s="30"/>
      <c r="I873" s="31"/>
      <c r="J873" s="31"/>
      <c r="K873" s="30"/>
      <c r="L873" s="41">
        <f>Source!U373</f>
        <v>0.9</v>
      </c>
    </row>
    <row r="874" spans="1:26" ht="28.5" x14ac:dyDescent="0.2">
      <c r="A874" s="47" t="str">
        <f>Source!E374</f>
        <v>82,1</v>
      </c>
      <c r="B874" s="48" t="str">
        <f>Source!F374</f>
        <v>62.1.02.17-0012</v>
      </c>
      <c r="C874" s="48" t="str">
        <f>Source!G374</f>
        <v>Щитки распределительные этажные  EKF ЩРВ-36(з) прим.</v>
      </c>
      <c r="D874" s="35" t="str">
        <f>Source!H374</f>
        <v>шт.</v>
      </c>
      <c r="E874" s="36">
        <f>Source!I374</f>
        <v>1</v>
      </c>
      <c r="F874" s="37">
        <f>Source!AL374+Source!AM374+Source!AO374</f>
        <v>1494.77</v>
      </c>
      <c r="G874" s="43" t="s">
        <v>6</v>
      </c>
      <c r="H874" s="37">
        <f>ROUND(Source!AC374*Source!I374, 2)+ROUND(Source!AD374*Source!I374, 2)+ROUND(Source!AF374*Source!I374, 2)</f>
        <v>1494.77</v>
      </c>
      <c r="I874" s="38"/>
      <c r="J874" s="38">
        <f>IF(Source!BC374&lt;&gt; 0, Source!BC374, 1)</f>
        <v>6.56</v>
      </c>
      <c r="K874" s="37">
        <f>Source!O374</f>
        <v>9805.69</v>
      </c>
      <c r="L874" s="44"/>
      <c r="S874">
        <f>ROUND((Source!FX374/100)*((ROUND(Source!AF374*Source!I374, 2)+ROUND(Source!AE374*Source!I374, 2))), 2)</f>
        <v>0</v>
      </c>
      <c r="T874">
        <f>Source!X374</f>
        <v>0</v>
      </c>
      <c r="U874">
        <f>ROUND((Source!FY374/100)*((ROUND(Source!AF374*Source!I374, 2)+ROUND(Source!AE374*Source!I374, 2))), 2)</f>
        <v>0</v>
      </c>
      <c r="V874">
        <f>Source!Y374</f>
        <v>0</v>
      </c>
      <c r="W874">
        <f>IF(Source!BI374&lt;=1,H874, 0)</f>
        <v>0</v>
      </c>
      <c r="X874">
        <f>IF(Source!BI374=2,H874, 0)</f>
        <v>1494.77</v>
      </c>
      <c r="Y874">
        <f>IF(Source!BI374=3,H874, 0)</f>
        <v>0</v>
      </c>
      <c r="Z874">
        <f>IF(Source!BI374=4,H874, 0)</f>
        <v>0</v>
      </c>
    </row>
    <row r="875" spans="1:26" ht="15" x14ac:dyDescent="0.25">
      <c r="G875" s="70">
        <f>H867+H868+H870+H871+H872+SUM(H874:H874)</f>
        <v>1547.32</v>
      </c>
      <c r="H875" s="70"/>
      <c r="J875" s="70">
        <f>K867+K868+K870+K871+K872+SUM(K874:K874)</f>
        <v>10150.460000000001</v>
      </c>
      <c r="K875" s="70"/>
      <c r="L875" s="40">
        <f>Source!U373</f>
        <v>0.9</v>
      </c>
      <c r="O875" s="24">
        <f>G875</f>
        <v>1547.32</v>
      </c>
      <c r="P875" s="24">
        <f>J875</f>
        <v>10150.460000000001</v>
      </c>
      <c r="Q875" s="24">
        <f>L875</f>
        <v>0.9</v>
      </c>
      <c r="W875">
        <f>IF(Source!BI373&lt;=1,H867+H868+H870+H871+H872, 0)</f>
        <v>0</v>
      </c>
      <c r="X875">
        <f>IF(Source!BI373=2,H867+H868+H870+H871+H872, 0)</f>
        <v>52.55</v>
      </c>
      <c r="Y875">
        <f>IF(Source!BI373=3,H867+H868+H870+H871+H872, 0)</f>
        <v>0</v>
      </c>
      <c r="Z875">
        <f>IF(Source!BI373=4,H867+H868+H870+H871+H872, 0)</f>
        <v>0</v>
      </c>
    </row>
    <row r="876" spans="1:26" ht="42.75" x14ac:dyDescent="0.2">
      <c r="A876" s="45" t="str">
        <f>Source!E375</f>
        <v>83</v>
      </c>
      <c r="B876" s="46" t="str">
        <f>Source!F375</f>
        <v>м08-03-526-01</v>
      </c>
      <c r="C876" s="46" t="str">
        <f>Source!G375</f>
        <v>Автомат одно-, двух-, трехполюсный, устанавливаемый на конструкции на стене или колонне, на ток до 25 А</v>
      </c>
      <c r="D876" s="29" t="str">
        <f>Source!H375</f>
        <v>ШТ</v>
      </c>
      <c r="E876" s="11">
        <f>Source!I375</f>
        <v>32</v>
      </c>
      <c r="F876" s="30">
        <f>Source!AL375+Source!AM375+Source!AO375</f>
        <v>35.980000000000004</v>
      </c>
      <c r="G876" s="31"/>
      <c r="H876" s="30"/>
      <c r="I876" s="31" t="str">
        <f>Source!BO375</f>
        <v/>
      </c>
      <c r="J876" s="31"/>
      <c r="K876" s="30"/>
      <c r="L876" s="32"/>
      <c r="S876">
        <f>ROUND((Source!FX375/100)*((ROUND(Source!AF375*Source!I375, 2)+ROUND(Source!AE375*Source!I375, 2))), 2)</f>
        <v>451.14</v>
      </c>
      <c r="T876">
        <f>Source!X375</f>
        <v>2959.45</v>
      </c>
      <c r="U876">
        <f>ROUND((Source!FY375/100)*((ROUND(Source!AF375*Source!I375, 2)+ROUND(Source!AE375*Source!I375, 2))), 2)</f>
        <v>308.67</v>
      </c>
      <c r="V876">
        <f>Source!Y375</f>
        <v>2024.89</v>
      </c>
    </row>
    <row r="877" spans="1:26" ht="14.25" x14ac:dyDescent="0.2">
      <c r="A877" s="45"/>
      <c r="B877" s="46"/>
      <c r="C877" s="46" t="s">
        <v>1636</v>
      </c>
      <c r="D877" s="29"/>
      <c r="E877" s="11"/>
      <c r="F877" s="30">
        <f>Source!AO375</f>
        <v>14.84</v>
      </c>
      <c r="G877" s="31" t="str">
        <f>Source!DG375</f>
        <v/>
      </c>
      <c r="H877" s="30">
        <f>ROUND(Source!AF375*Source!I375, 2)</f>
        <v>474.88</v>
      </c>
      <c r="I877" s="31"/>
      <c r="J877" s="31">
        <f>IF(Source!BA375&lt;&gt; 0, Source!BA375, 1)</f>
        <v>6.56</v>
      </c>
      <c r="K877" s="30">
        <f>Source!S375</f>
        <v>3115.21</v>
      </c>
      <c r="L877" s="32"/>
      <c r="R877">
        <f>H877</f>
        <v>474.88</v>
      </c>
    </row>
    <row r="878" spans="1:26" ht="14.25" x14ac:dyDescent="0.2">
      <c r="A878" s="45"/>
      <c r="B878" s="46"/>
      <c r="C878" s="46" t="s">
        <v>136</v>
      </c>
      <c r="D878" s="29"/>
      <c r="E878" s="11"/>
      <c r="F878" s="30">
        <f>Source!AM375</f>
        <v>1.05</v>
      </c>
      <c r="G878" s="31" t="str">
        <f>Source!DE375</f>
        <v/>
      </c>
      <c r="H878" s="30">
        <f>ROUND(Source!AD375*Source!I375, 2)</f>
        <v>33.6</v>
      </c>
      <c r="I878" s="31"/>
      <c r="J878" s="31">
        <f>IF(Source!BB375&lt;&gt; 0, Source!BB375, 1)</f>
        <v>6.56</v>
      </c>
      <c r="K878" s="30">
        <f>Source!Q375</f>
        <v>220.42</v>
      </c>
      <c r="L878" s="32"/>
    </row>
    <row r="879" spans="1:26" ht="14.25" x14ac:dyDescent="0.2">
      <c r="A879" s="45"/>
      <c r="B879" s="46"/>
      <c r="C879" s="46" t="s">
        <v>1643</v>
      </c>
      <c r="D879" s="29"/>
      <c r="E879" s="11"/>
      <c r="F879" s="30">
        <f>Source!AL375</f>
        <v>20.09</v>
      </c>
      <c r="G879" s="31" t="str">
        <f>Source!DD375</f>
        <v/>
      </c>
      <c r="H879" s="30">
        <f>ROUND(Source!AC375*Source!I375, 2)</f>
        <v>642.88</v>
      </c>
      <c r="I879" s="31"/>
      <c r="J879" s="31">
        <f>IF(Source!BC375&lt;&gt; 0, Source!BC375, 1)</f>
        <v>6.56</v>
      </c>
      <c r="K879" s="30">
        <f>Source!P375</f>
        <v>4217.29</v>
      </c>
      <c r="L879" s="32"/>
    </row>
    <row r="880" spans="1:26" ht="14.25" x14ac:dyDescent="0.2">
      <c r="A880" s="45"/>
      <c r="B880" s="46"/>
      <c r="C880" s="46" t="s">
        <v>1638</v>
      </c>
      <c r="D880" s="29" t="s">
        <v>1639</v>
      </c>
      <c r="E880" s="11">
        <f>Source!BZ375</f>
        <v>95</v>
      </c>
      <c r="F880" s="49"/>
      <c r="G880" s="31"/>
      <c r="H880" s="30">
        <f>SUM(S876:S886)</f>
        <v>451.14</v>
      </c>
      <c r="I880" s="34"/>
      <c r="J880" s="27">
        <f>Source!AT375</f>
        <v>95</v>
      </c>
      <c r="K880" s="30">
        <f>SUM(T876:T886)</f>
        <v>2959.45</v>
      </c>
      <c r="L880" s="32"/>
    </row>
    <row r="881" spans="1:26" ht="14.25" x14ac:dyDescent="0.2">
      <c r="A881" s="45"/>
      <c r="B881" s="46"/>
      <c r="C881" s="46" t="s">
        <v>1640</v>
      </c>
      <c r="D881" s="29" t="s">
        <v>1639</v>
      </c>
      <c r="E881" s="11">
        <f>Source!CA375</f>
        <v>65</v>
      </c>
      <c r="F881" s="49"/>
      <c r="G881" s="31"/>
      <c r="H881" s="30">
        <f>SUM(U876:U886)</f>
        <v>308.67</v>
      </c>
      <c r="I881" s="34"/>
      <c r="J881" s="27">
        <f>Source!AU375</f>
        <v>65</v>
      </c>
      <c r="K881" s="30">
        <f>SUM(V876:V886)</f>
        <v>2024.89</v>
      </c>
      <c r="L881" s="32"/>
    </row>
    <row r="882" spans="1:26" ht="14.25" x14ac:dyDescent="0.2">
      <c r="A882" s="45"/>
      <c r="B882" s="46"/>
      <c r="C882" s="46" t="s">
        <v>1641</v>
      </c>
      <c r="D882" s="29" t="s">
        <v>1642</v>
      </c>
      <c r="E882" s="11">
        <f>Source!AQ375</f>
        <v>1.56</v>
      </c>
      <c r="F882" s="30"/>
      <c r="G882" s="31" t="str">
        <f>Source!DI375</f>
        <v/>
      </c>
      <c r="H882" s="30"/>
      <c r="I882" s="31"/>
      <c r="J882" s="31"/>
      <c r="K882" s="30"/>
      <c r="L882" s="41">
        <f>Source!U375</f>
        <v>49.92</v>
      </c>
    </row>
    <row r="883" spans="1:26" ht="42.75" x14ac:dyDescent="0.2">
      <c r="A883" s="45" t="str">
        <f>Source!E376</f>
        <v>83,1</v>
      </c>
      <c r="B883" s="46" t="str">
        <f>Source!F376</f>
        <v>62.1.01.02-0002</v>
      </c>
      <c r="C883" s="46" t="str">
        <f>Source!G376</f>
        <v>Автоматы дифференциальные двухполюсные 10A, 30MA тип АВВ DS901L в щите прим.</v>
      </c>
      <c r="D883" s="29" t="str">
        <f>Source!H376</f>
        <v>шт.</v>
      </c>
      <c r="E883" s="11">
        <f>Source!I376</f>
        <v>1</v>
      </c>
      <c r="F883" s="30">
        <f>Source!AL376+Source!AM376+Source!AO376</f>
        <v>246.69</v>
      </c>
      <c r="G883" s="42" t="s">
        <v>6</v>
      </c>
      <c r="H883" s="30">
        <f>ROUND(Source!AC376*Source!I376, 2)+ROUND(Source!AD376*Source!I376, 2)+ROUND(Source!AF376*Source!I376, 2)</f>
        <v>246.69</v>
      </c>
      <c r="I883" s="31"/>
      <c r="J883" s="31">
        <f>IF(Source!BC376&lt;&gt; 0, Source!BC376, 1)</f>
        <v>6.56</v>
      </c>
      <c r="K883" s="30">
        <f>Source!O376</f>
        <v>1618.29</v>
      </c>
      <c r="L883" s="32"/>
      <c r="S883">
        <f>ROUND((Source!FX376/100)*((ROUND(Source!AF376*Source!I376, 2)+ROUND(Source!AE376*Source!I376, 2))), 2)</f>
        <v>0</v>
      </c>
      <c r="T883">
        <f>Source!X376</f>
        <v>0</v>
      </c>
      <c r="U883">
        <f>ROUND((Source!FY376/100)*((ROUND(Source!AF376*Source!I376, 2)+ROUND(Source!AE376*Source!I376, 2))), 2)</f>
        <v>0</v>
      </c>
      <c r="V883">
        <f>Source!Y376</f>
        <v>0</v>
      </c>
      <c r="W883">
        <f>IF(Source!BI376&lt;=1,H883, 0)</f>
        <v>0</v>
      </c>
      <c r="X883">
        <f>IF(Source!BI376=2,H883, 0)</f>
        <v>246.69</v>
      </c>
      <c r="Y883">
        <f>IF(Source!BI376=3,H883, 0)</f>
        <v>0</v>
      </c>
      <c r="Z883">
        <f>IF(Source!BI376=4,H883, 0)</f>
        <v>0</v>
      </c>
    </row>
    <row r="884" spans="1:26" ht="28.5" x14ac:dyDescent="0.2">
      <c r="A884" s="45" t="str">
        <f>Source!E377</f>
        <v>83,2</v>
      </c>
      <c r="B884" s="46" t="str">
        <f>Source!F377</f>
        <v>62.1.01.09-0050</v>
      </c>
      <c r="C884" s="46" t="str">
        <f>Source!G377</f>
        <v>Выключатели автоматические АВВ 1Р 16А прим.</v>
      </c>
      <c r="D884" s="29" t="str">
        <f>Source!H377</f>
        <v>шт.</v>
      </c>
      <c r="E884" s="11">
        <f>Source!I377</f>
        <v>28</v>
      </c>
      <c r="F884" s="30">
        <f>Source!AL377+Source!AM377+Source!AO377</f>
        <v>66.48</v>
      </c>
      <c r="G884" s="42" t="s">
        <v>6</v>
      </c>
      <c r="H884" s="30">
        <f>ROUND(Source!AC377*Source!I377, 2)+ROUND(Source!AD377*Source!I377, 2)+ROUND(Source!AF377*Source!I377, 2)</f>
        <v>1861.44</v>
      </c>
      <c r="I884" s="31"/>
      <c r="J884" s="31">
        <f>IF(Source!BC377&lt;&gt; 0, Source!BC377, 1)</f>
        <v>6.56</v>
      </c>
      <c r="K884" s="30">
        <f>Source!O377</f>
        <v>12211.05</v>
      </c>
      <c r="L884" s="32"/>
      <c r="S884">
        <f>ROUND((Source!FX377/100)*((ROUND(Source!AF377*Source!I377, 2)+ROUND(Source!AE377*Source!I377, 2))), 2)</f>
        <v>0</v>
      </c>
      <c r="T884">
        <f>Source!X377</f>
        <v>0</v>
      </c>
      <c r="U884">
        <f>ROUND((Source!FY377/100)*((ROUND(Source!AF377*Source!I377, 2)+ROUND(Source!AE377*Source!I377, 2))), 2)</f>
        <v>0</v>
      </c>
      <c r="V884">
        <f>Source!Y377</f>
        <v>0</v>
      </c>
      <c r="W884">
        <f>IF(Source!BI377&lt;=1,H884, 0)</f>
        <v>0</v>
      </c>
      <c r="X884">
        <f>IF(Source!BI377=2,H884, 0)</f>
        <v>1861.44</v>
      </c>
      <c r="Y884">
        <f>IF(Source!BI377=3,H884, 0)</f>
        <v>0</v>
      </c>
      <c r="Z884">
        <f>IF(Source!BI377=4,H884, 0)</f>
        <v>0</v>
      </c>
    </row>
    <row r="885" spans="1:26" ht="28.5" x14ac:dyDescent="0.2">
      <c r="A885" s="45" t="str">
        <f>Source!E378</f>
        <v>83,3</v>
      </c>
      <c r="B885" s="46" t="str">
        <f>Source!F378</f>
        <v>62.1.01.09-0066</v>
      </c>
      <c r="C885" s="46" t="str">
        <f>Source!G378</f>
        <v>Выключатели автоматические АВВ  3Р 16А прим.</v>
      </c>
      <c r="D885" s="29" t="str">
        <f>Source!H378</f>
        <v>шт.</v>
      </c>
      <c r="E885" s="11">
        <f>Source!I378</f>
        <v>2</v>
      </c>
      <c r="F885" s="30">
        <f>Source!AL378+Source!AM378+Source!AO378</f>
        <v>231.3</v>
      </c>
      <c r="G885" s="42" t="s">
        <v>6</v>
      </c>
      <c r="H885" s="30">
        <f>ROUND(Source!AC378*Source!I378, 2)+ROUND(Source!AD378*Source!I378, 2)+ROUND(Source!AF378*Source!I378, 2)</f>
        <v>462.6</v>
      </c>
      <c r="I885" s="31"/>
      <c r="J885" s="31">
        <f>IF(Source!BC378&lt;&gt; 0, Source!BC378, 1)</f>
        <v>6.56</v>
      </c>
      <c r="K885" s="30">
        <f>Source!O378</f>
        <v>3034.66</v>
      </c>
      <c r="L885" s="32"/>
      <c r="S885">
        <f>ROUND((Source!FX378/100)*((ROUND(Source!AF378*Source!I378, 2)+ROUND(Source!AE378*Source!I378, 2))), 2)</f>
        <v>0</v>
      </c>
      <c r="T885">
        <f>Source!X378</f>
        <v>0</v>
      </c>
      <c r="U885">
        <f>ROUND((Source!FY378/100)*((ROUND(Source!AF378*Source!I378, 2)+ROUND(Source!AE378*Source!I378, 2))), 2)</f>
        <v>0</v>
      </c>
      <c r="V885">
        <f>Source!Y378</f>
        <v>0</v>
      </c>
      <c r="W885">
        <f>IF(Source!BI378&lt;=1,H885, 0)</f>
        <v>0</v>
      </c>
      <c r="X885">
        <f>IF(Source!BI378=2,H885, 0)</f>
        <v>462.6</v>
      </c>
      <c r="Y885">
        <f>IF(Source!BI378=3,H885, 0)</f>
        <v>0</v>
      </c>
      <c r="Z885">
        <f>IF(Source!BI378=4,H885, 0)</f>
        <v>0</v>
      </c>
    </row>
    <row r="886" spans="1:26" ht="28.5" x14ac:dyDescent="0.2">
      <c r="A886" s="47" t="str">
        <f>Source!E379</f>
        <v>83,4</v>
      </c>
      <c r="B886" s="48" t="str">
        <f>Source!F379</f>
        <v>62.1.01.09-0065</v>
      </c>
      <c r="C886" s="48" t="str">
        <f>Source!G379</f>
        <v>Выключатели автоматические АВВ  3Р 10А</v>
      </c>
      <c r="D886" s="35" t="str">
        <f>Source!H379</f>
        <v>шт.</v>
      </c>
      <c r="E886" s="36">
        <f>Source!I379</f>
        <v>1</v>
      </c>
      <c r="F886" s="37">
        <f>Source!AL379+Source!AM379+Source!AO379</f>
        <v>231.3</v>
      </c>
      <c r="G886" s="43" t="s">
        <v>6</v>
      </c>
      <c r="H886" s="37">
        <f>ROUND(Source!AC379*Source!I379, 2)+ROUND(Source!AD379*Source!I379, 2)+ROUND(Source!AF379*Source!I379, 2)</f>
        <v>231.3</v>
      </c>
      <c r="I886" s="38"/>
      <c r="J886" s="38">
        <f>IF(Source!BC379&lt;&gt; 0, Source!BC379, 1)</f>
        <v>6.56</v>
      </c>
      <c r="K886" s="37">
        <f>Source!O379</f>
        <v>1517.33</v>
      </c>
      <c r="L886" s="44"/>
      <c r="S886">
        <f>ROUND((Source!FX379/100)*((ROUND(Source!AF379*Source!I379, 2)+ROUND(Source!AE379*Source!I379, 2))), 2)</f>
        <v>0</v>
      </c>
      <c r="T886">
        <f>Source!X379</f>
        <v>0</v>
      </c>
      <c r="U886">
        <f>ROUND((Source!FY379/100)*((ROUND(Source!AF379*Source!I379, 2)+ROUND(Source!AE379*Source!I379, 2))), 2)</f>
        <v>0</v>
      </c>
      <c r="V886">
        <f>Source!Y379</f>
        <v>0</v>
      </c>
      <c r="W886">
        <f>IF(Source!BI379&lt;=1,H886, 0)</f>
        <v>0</v>
      </c>
      <c r="X886">
        <f>IF(Source!BI379=2,H886, 0)</f>
        <v>231.3</v>
      </c>
      <c r="Y886">
        <f>IF(Source!BI379=3,H886, 0)</f>
        <v>0</v>
      </c>
      <c r="Z886">
        <f>IF(Source!BI379=4,H886, 0)</f>
        <v>0</v>
      </c>
    </row>
    <row r="887" spans="1:26" ht="15" x14ac:dyDescent="0.25">
      <c r="G887" s="70">
        <f>H877+H878+H879+H880+H881+SUM(H883:H886)</f>
        <v>4713.2000000000007</v>
      </c>
      <c r="H887" s="70"/>
      <c r="J887" s="70">
        <f>K877+K878+K879+K880+K881+SUM(K883:K886)</f>
        <v>30918.59</v>
      </c>
      <c r="K887" s="70"/>
      <c r="L887" s="40">
        <f>Source!U375</f>
        <v>49.92</v>
      </c>
      <c r="O887" s="24">
        <f>G887</f>
        <v>4713.2000000000007</v>
      </c>
      <c r="P887" s="24">
        <f>J887</f>
        <v>30918.59</v>
      </c>
      <c r="Q887" s="24">
        <f>L887</f>
        <v>49.92</v>
      </c>
      <c r="W887">
        <f>IF(Source!BI375&lt;=1,H877+H878+H879+H880+H881, 0)</f>
        <v>0</v>
      </c>
      <c r="X887">
        <f>IF(Source!BI375=2,H877+H878+H879+H880+H881, 0)</f>
        <v>1911.17</v>
      </c>
      <c r="Y887">
        <f>IF(Source!BI375=3,H877+H878+H879+H880+H881, 0)</f>
        <v>0</v>
      </c>
      <c r="Z887">
        <f>IF(Source!BI375=4,H877+H878+H879+H880+H881, 0)</f>
        <v>0</v>
      </c>
    </row>
    <row r="888" spans="1:26" ht="28.5" x14ac:dyDescent="0.2">
      <c r="A888" s="45" t="str">
        <f>Source!E380</f>
        <v>84</v>
      </c>
      <c r="B888" s="46" t="str">
        <f>Source!F380</f>
        <v>м08-03-575-01</v>
      </c>
      <c r="C888" s="46" t="str">
        <f>Source!G380</f>
        <v>Прибор или аппарат</v>
      </c>
      <c r="D888" s="29" t="str">
        <f>Source!H380</f>
        <v>ШТ</v>
      </c>
      <c r="E888" s="11">
        <f>Source!I380</f>
        <v>5</v>
      </c>
      <c r="F888" s="30">
        <f>Source!AL380+Source!AM380+Source!AO380</f>
        <v>11.51</v>
      </c>
      <c r="G888" s="31"/>
      <c r="H888" s="30"/>
      <c r="I888" s="31" t="str">
        <f>Source!BO380</f>
        <v/>
      </c>
      <c r="J888" s="31"/>
      <c r="K888" s="30"/>
      <c r="L888" s="32"/>
      <c r="S888">
        <f>ROUND((Source!FX380/100)*((ROUND(Source!AF380*Source!I380, 2)+ROUND(Source!AE380*Source!I380, 2))), 2)</f>
        <v>52.77</v>
      </c>
      <c r="T888">
        <f>Source!X380</f>
        <v>346.19</v>
      </c>
      <c r="U888">
        <f>ROUND((Source!FY380/100)*((ROUND(Source!AF380*Source!I380, 2)+ROUND(Source!AE380*Source!I380, 2))), 2)</f>
        <v>36.11</v>
      </c>
      <c r="V888">
        <f>Source!Y380</f>
        <v>236.87</v>
      </c>
    </row>
    <row r="889" spans="1:26" ht="14.25" x14ac:dyDescent="0.2">
      <c r="A889" s="45"/>
      <c r="B889" s="46"/>
      <c r="C889" s="46" t="s">
        <v>1636</v>
      </c>
      <c r="D889" s="29"/>
      <c r="E889" s="11"/>
      <c r="F889" s="30">
        <f>Source!AO380</f>
        <v>11.11</v>
      </c>
      <c r="G889" s="31" t="str">
        <f>Source!DG380</f>
        <v/>
      </c>
      <c r="H889" s="30">
        <f>ROUND(Source!AF380*Source!I380, 2)</f>
        <v>55.55</v>
      </c>
      <c r="I889" s="31"/>
      <c r="J889" s="31">
        <f>IF(Source!BA380&lt;&gt; 0, Source!BA380, 1)</f>
        <v>6.56</v>
      </c>
      <c r="K889" s="30">
        <f>Source!S380</f>
        <v>364.41</v>
      </c>
      <c r="L889" s="32"/>
      <c r="R889">
        <f>H889</f>
        <v>55.55</v>
      </c>
    </row>
    <row r="890" spans="1:26" ht="14.25" x14ac:dyDescent="0.2">
      <c r="A890" s="45"/>
      <c r="B890" s="46"/>
      <c r="C890" s="46" t="s">
        <v>1643</v>
      </c>
      <c r="D890" s="29"/>
      <c r="E890" s="11"/>
      <c r="F890" s="30">
        <f>Source!AL380</f>
        <v>0.4</v>
      </c>
      <c r="G890" s="31" t="str">
        <f>Source!DD380</f>
        <v/>
      </c>
      <c r="H890" s="30">
        <f>ROUND(Source!AC380*Source!I380, 2)</f>
        <v>2</v>
      </c>
      <c r="I890" s="31"/>
      <c r="J890" s="31">
        <f>IF(Source!BC380&lt;&gt; 0, Source!BC380, 1)</f>
        <v>6.56</v>
      </c>
      <c r="K890" s="30">
        <f>Source!P380</f>
        <v>13.12</v>
      </c>
      <c r="L890" s="32"/>
    </row>
    <row r="891" spans="1:26" ht="14.25" x14ac:dyDescent="0.2">
      <c r="A891" s="45"/>
      <c r="B891" s="46"/>
      <c r="C891" s="46" t="s">
        <v>1638</v>
      </c>
      <c r="D891" s="29" t="s">
        <v>1639</v>
      </c>
      <c r="E891" s="11">
        <f>Source!BZ380</f>
        <v>95</v>
      </c>
      <c r="F891" s="49"/>
      <c r="G891" s="31"/>
      <c r="H891" s="30">
        <f>SUM(S888:S896)</f>
        <v>52.77</v>
      </c>
      <c r="I891" s="34"/>
      <c r="J891" s="27">
        <f>Source!AT380</f>
        <v>95</v>
      </c>
      <c r="K891" s="30">
        <f>SUM(T888:T896)</f>
        <v>346.19</v>
      </c>
      <c r="L891" s="32"/>
    </row>
    <row r="892" spans="1:26" ht="14.25" x14ac:dyDescent="0.2">
      <c r="A892" s="45"/>
      <c r="B892" s="46"/>
      <c r="C892" s="46" t="s">
        <v>1640</v>
      </c>
      <c r="D892" s="29" t="s">
        <v>1639</v>
      </c>
      <c r="E892" s="11">
        <f>Source!CA380</f>
        <v>65</v>
      </c>
      <c r="F892" s="49"/>
      <c r="G892" s="31"/>
      <c r="H892" s="30">
        <f>SUM(U888:U896)</f>
        <v>36.11</v>
      </c>
      <c r="I892" s="34"/>
      <c r="J892" s="27">
        <f>Source!AU380</f>
        <v>65</v>
      </c>
      <c r="K892" s="30">
        <f>SUM(V888:V896)</f>
        <v>236.87</v>
      </c>
      <c r="L892" s="32"/>
    </row>
    <row r="893" spans="1:26" ht="14.25" x14ac:dyDescent="0.2">
      <c r="A893" s="45"/>
      <c r="B893" s="46"/>
      <c r="C893" s="46" t="s">
        <v>1641</v>
      </c>
      <c r="D893" s="29" t="s">
        <v>1642</v>
      </c>
      <c r="E893" s="11">
        <f>Source!AQ380</f>
        <v>1.1200000000000001</v>
      </c>
      <c r="F893" s="30"/>
      <c r="G893" s="31" t="str">
        <f>Source!DI380</f>
        <v/>
      </c>
      <c r="H893" s="30"/>
      <c r="I893" s="31"/>
      <c r="J893" s="31"/>
      <c r="K893" s="30"/>
      <c r="L893" s="41">
        <f>Source!U380</f>
        <v>5.6000000000000005</v>
      </c>
    </row>
    <row r="894" spans="1:26" ht="28.5" x14ac:dyDescent="0.2">
      <c r="A894" s="45" t="str">
        <f>Source!E381</f>
        <v>84,1</v>
      </c>
      <c r="B894" s="46" t="str">
        <f>Source!F381</f>
        <v>62.1.01.09-0068</v>
      </c>
      <c r="C894" s="46" t="str">
        <f>Source!G381</f>
        <v>Выключатели автоматические АВВ 3Р 40А</v>
      </c>
      <c r="D894" s="29" t="str">
        <f>Source!H381</f>
        <v>шт.</v>
      </c>
      <c r="E894" s="11">
        <f>Source!I381</f>
        <v>2</v>
      </c>
      <c r="F894" s="30">
        <f>Source!AL381+Source!AM381+Source!AO381</f>
        <v>347.49</v>
      </c>
      <c r="G894" s="42" t="s">
        <v>6</v>
      </c>
      <c r="H894" s="30">
        <f>ROUND(Source!AC381*Source!I381, 2)+ROUND(Source!AD381*Source!I381, 2)+ROUND(Source!AF381*Source!I381, 2)</f>
        <v>694.98</v>
      </c>
      <c r="I894" s="31"/>
      <c r="J894" s="31">
        <f>IF(Source!BC381&lt;&gt; 0, Source!BC381, 1)</f>
        <v>6.56</v>
      </c>
      <c r="K894" s="30">
        <f>Source!O381</f>
        <v>4559.07</v>
      </c>
      <c r="L894" s="32"/>
      <c r="S894">
        <f>ROUND((Source!FX381/100)*((ROUND(Source!AF381*Source!I381, 2)+ROUND(Source!AE381*Source!I381, 2))), 2)</f>
        <v>0</v>
      </c>
      <c r="T894">
        <f>Source!X381</f>
        <v>0</v>
      </c>
      <c r="U894">
        <f>ROUND((Source!FY381/100)*((ROUND(Source!AF381*Source!I381, 2)+ROUND(Source!AE381*Source!I381, 2))), 2)</f>
        <v>0</v>
      </c>
      <c r="V894">
        <f>Source!Y381</f>
        <v>0</v>
      </c>
      <c r="W894">
        <f>IF(Source!BI381&lt;=1,H894, 0)</f>
        <v>0</v>
      </c>
      <c r="X894">
        <f>IF(Source!BI381=2,H894, 0)</f>
        <v>694.98</v>
      </c>
      <c r="Y894">
        <f>IF(Source!BI381=3,H894, 0)</f>
        <v>0</v>
      </c>
      <c r="Z894">
        <f>IF(Source!BI381=4,H894, 0)</f>
        <v>0</v>
      </c>
    </row>
    <row r="895" spans="1:26" ht="28.5" x14ac:dyDescent="0.2">
      <c r="A895" s="45" t="str">
        <f>Source!E382</f>
        <v>84,2</v>
      </c>
      <c r="B895" s="46" t="str">
        <f>Source!F382</f>
        <v>62.1.01.09-0070</v>
      </c>
      <c r="C895" s="46" t="str">
        <f>Source!G382</f>
        <v>Выключатели автоматические АВВ 3Р 50А</v>
      </c>
      <c r="D895" s="29" t="str">
        <f>Source!H382</f>
        <v>шт.</v>
      </c>
      <c r="E895" s="11">
        <f>Source!I382</f>
        <v>2</v>
      </c>
      <c r="F895" s="30">
        <f>Source!AL382+Source!AM382+Source!AO382</f>
        <v>428.4</v>
      </c>
      <c r="G895" s="42" t="s">
        <v>6</v>
      </c>
      <c r="H895" s="30">
        <f>ROUND(Source!AC382*Source!I382, 2)+ROUND(Source!AD382*Source!I382, 2)+ROUND(Source!AF382*Source!I382, 2)</f>
        <v>856.8</v>
      </c>
      <c r="I895" s="31"/>
      <c r="J895" s="31">
        <f>IF(Source!BC382&lt;&gt; 0, Source!BC382, 1)</f>
        <v>6.56</v>
      </c>
      <c r="K895" s="30">
        <f>Source!O382</f>
        <v>5620.61</v>
      </c>
      <c r="L895" s="32"/>
      <c r="S895">
        <f>ROUND((Source!FX382/100)*((ROUND(Source!AF382*Source!I382, 2)+ROUND(Source!AE382*Source!I382, 2))), 2)</f>
        <v>0</v>
      </c>
      <c r="T895">
        <f>Source!X382</f>
        <v>0</v>
      </c>
      <c r="U895">
        <f>ROUND((Source!FY382/100)*((ROUND(Source!AF382*Source!I382, 2)+ROUND(Source!AE382*Source!I382, 2))), 2)</f>
        <v>0</v>
      </c>
      <c r="V895">
        <f>Source!Y382</f>
        <v>0</v>
      </c>
      <c r="W895">
        <f>IF(Source!BI382&lt;=1,H895, 0)</f>
        <v>0</v>
      </c>
      <c r="X895">
        <f>IF(Source!BI382=2,H895, 0)</f>
        <v>856.8</v>
      </c>
      <c r="Y895">
        <f>IF(Source!BI382=3,H895, 0)</f>
        <v>0</v>
      </c>
      <c r="Z895">
        <f>IF(Source!BI382=4,H895, 0)</f>
        <v>0</v>
      </c>
    </row>
    <row r="896" spans="1:26" ht="42.75" x14ac:dyDescent="0.2">
      <c r="A896" s="47" t="str">
        <f>Source!E383</f>
        <v>84,3</v>
      </c>
      <c r="B896" s="48" t="str">
        <f>Source!F383</f>
        <v>62.1.01.09-0102</v>
      </c>
      <c r="C896" s="48" t="str">
        <f>Source!G383</f>
        <v>Автоматический выключатель  серии ПРО ВА 04-35 160А с регулировкой ЩР прим. в щитовой</v>
      </c>
      <c r="D896" s="35" t="str">
        <f>Source!H383</f>
        <v>шт.</v>
      </c>
      <c r="E896" s="36">
        <f>Source!I383</f>
        <v>1</v>
      </c>
      <c r="F896" s="37">
        <f>Source!AL383+Source!AM383+Source!AO383</f>
        <v>1049.99</v>
      </c>
      <c r="G896" s="43" t="s">
        <v>6</v>
      </c>
      <c r="H896" s="37">
        <f>ROUND(Source!AC383*Source!I383, 2)+ROUND(Source!AD383*Source!I383, 2)+ROUND(Source!AF383*Source!I383, 2)</f>
        <v>1049.99</v>
      </c>
      <c r="I896" s="38"/>
      <c r="J896" s="38">
        <f>IF(Source!BC383&lt;&gt; 0, Source!BC383, 1)</f>
        <v>6.56</v>
      </c>
      <c r="K896" s="37">
        <f>Source!O383</f>
        <v>6887.93</v>
      </c>
      <c r="L896" s="44"/>
      <c r="S896">
        <f>ROUND((Source!FX383/100)*((ROUND(Source!AF383*Source!I383, 2)+ROUND(Source!AE383*Source!I383, 2))), 2)</f>
        <v>0</v>
      </c>
      <c r="T896">
        <f>Source!X383</f>
        <v>0</v>
      </c>
      <c r="U896">
        <f>ROUND((Source!FY383/100)*((ROUND(Source!AF383*Source!I383, 2)+ROUND(Source!AE383*Source!I383, 2))), 2)</f>
        <v>0</v>
      </c>
      <c r="V896">
        <f>Source!Y383</f>
        <v>0</v>
      </c>
      <c r="W896">
        <f>IF(Source!BI383&lt;=1,H896, 0)</f>
        <v>0</v>
      </c>
      <c r="X896">
        <f>IF(Source!BI383=2,H896, 0)</f>
        <v>1049.99</v>
      </c>
      <c r="Y896">
        <f>IF(Source!BI383=3,H896, 0)</f>
        <v>0</v>
      </c>
      <c r="Z896">
        <f>IF(Source!BI383=4,H896, 0)</f>
        <v>0</v>
      </c>
    </row>
    <row r="897" spans="1:26" ht="15" x14ac:dyDescent="0.25">
      <c r="G897" s="70">
        <f>H889+H890+H891+H892+SUM(H894:H896)</f>
        <v>2748.2</v>
      </c>
      <c r="H897" s="70"/>
      <c r="J897" s="70">
        <f>K889+K890+K891+K892+SUM(K894:K896)</f>
        <v>18028.2</v>
      </c>
      <c r="K897" s="70"/>
      <c r="L897" s="40">
        <f>Source!U380</f>
        <v>5.6000000000000005</v>
      </c>
      <c r="O897" s="24">
        <f>G897</f>
        <v>2748.2</v>
      </c>
      <c r="P897" s="24">
        <f>J897</f>
        <v>18028.2</v>
      </c>
      <c r="Q897" s="24">
        <f>L897</f>
        <v>5.6000000000000005</v>
      </c>
      <c r="W897">
        <f>IF(Source!BI380&lt;=1,H889+H890+H891+H892, 0)</f>
        <v>0</v>
      </c>
      <c r="X897">
        <f>IF(Source!BI380=2,H889+H890+H891+H892, 0)</f>
        <v>146.43</v>
      </c>
      <c r="Y897">
        <f>IF(Source!BI380=3,H889+H890+H891+H892, 0)</f>
        <v>0</v>
      </c>
      <c r="Z897">
        <f>IF(Source!BI380=4,H889+H890+H891+H892, 0)</f>
        <v>0</v>
      </c>
    </row>
    <row r="898" spans="1:26" ht="57" x14ac:dyDescent="0.2">
      <c r="A898" s="45" t="str">
        <f>Source!E384</f>
        <v>85</v>
      </c>
      <c r="B898" s="46" t="str">
        <f>Source!F384</f>
        <v>69-2-1 прим.</v>
      </c>
      <c r="C898" s="46" t="str">
        <f>Source!G384</f>
        <v>Сверление отверстий в кирпичных стенах электроперфоратором диаметром до 20 мм, толщина стен 0,5 кирпича</v>
      </c>
      <c r="D898" s="29" t="str">
        <f>Source!H384</f>
        <v>100 ШТ</v>
      </c>
      <c r="E898" s="11">
        <f>Source!I384</f>
        <v>7.0000000000000007E-2</v>
      </c>
      <c r="F898" s="30">
        <f>Source!AL384+Source!AM384+Source!AO384</f>
        <v>46.83</v>
      </c>
      <c r="G898" s="31"/>
      <c r="H898" s="30"/>
      <c r="I898" s="31" t="str">
        <f>Source!BO384</f>
        <v/>
      </c>
      <c r="J898" s="31"/>
      <c r="K898" s="30"/>
      <c r="L898" s="32"/>
      <c r="S898">
        <f>ROUND((Source!FX384/100)*((ROUND(Source!AF384*Source!I384, 2)+ROUND(Source!AE384*Source!I384, 2))), 2)</f>
        <v>2.56</v>
      </c>
      <c r="T898">
        <f>Source!X384</f>
        <v>16.77</v>
      </c>
      <c r="U898">
        <f>ROUND((Source!FY384/100)*((ROUND(Source!AF384*Source!I384, 2)+ROUND(Source!AE384*Source!I384, 2))), 2)</f>
        <v>1.64</v>
      </c>
      <c r="V898">
        <f>Source!Y384</f>
        <v>10.75</v>
      </c>
    </row>
    <row r="899" spans="1:26" x14ac:dyDescent="0.2">
      <c r="C899" s="23" t="str">
        <f>"Объем: "&amp;Source!I384&amp;"=7/"&amp;"100"</f>
        <v>Объем: 0,07=7/100</v>
      </c>
    </row>
    <row r="900" spans="1:26" ht="14.25" x14ac:dyDescent="0.2">
      <c r="A900" s="45"/>
      <c r="B900" s="46"/>
      <c r="C900" s="46" t="s">
        <v>1636</v>
      </c>
      <c r="D900" s="29"/>
      <c r="E900" s="11"/>
      <c r="F900" s="30">
        <f>Source!AO384</f>
        <v>46.83</v>
      </c>
      <c r="G900" s="31" t="str">
        <f>Source!DG384</f>
        <v/>
      </c>
      <c r="H900" s="30">
        <f>ROUND(Source!AF384*Source!I384, 2)</f>
        <v>3.28</v>
      </c>
      <c r="I900" s="31"/>
      <c r="J900" s="31">
        <f>IF(Source!BA384&lt;&gt; 0, Source!BA384, 1)</f>
        <v>6.56</v>
      </c>
      <c r="K900" s="30">
        <f>Source!S384</f>
        <v>21.5</v>
      </c>
      <c r="L900" s="32"/>
      <c r="R900">
        <f>H900</f>
        <v>3.28</v>
      </c>
    </row>
    <row r="901" spans="1:26" ht="14.25" x14ac:dyDescent="0.2">
      <c r="A901" s="45"/>
      <c r="B901" s="46"/>
      <c r="C901" s="46" t="s">
        <v>1638</v>
      </c>
      <c r="D901" s="29" t="s">
        <v>1639</v>
      </c>
      <c r="E901" s="11">
        <f>Source!BZ384</f>
        <v>78</v>
      </c>
      <c r="F901" s="49"/>
      <c r="G901" s="31"/>
      <c r="H901" s="30">
        <f>SUM(S898:S903)</f>
        <v>2.56</v>
      </c>
      <c r="I901" s="34"/>
      <c r="J901" s="27">
        <f>Source!AT384</f>
        <v>78</v>
      </c>
      <c r="K901" s="30">
        <f>SUM(T898:T903)</f>
        <v>16.77</v>
      </c>
      <c r="L901" s="32"/>
    </row>
    <row r="902" spans="1:26" ht="14.25" x14ac:dyDescent="0.2">
      <c r="A902" s="45"/>
      <c r="B902" s="46"/>
      <c r="C902" s="46" t="s">
        <v>1640</v>
      </c>
      <c r="D902" s="29" t="s">
        <v>1639</v>
      </c>
      <c r="E902" s="11">
        <f>Source!CA384</f>
        <v>50</v>
      </c>
      <c r="F902" s="49"/>
      <c r="G902" s="31"/>
      <c r="H902" s="30">
        <f>SUM(U898:U903)</f>
        <v>1.64</v>
      </c>
      <c r="I902" s="34"/>
      <c r="J902" s="27">
        <f>Source!AU384</f>
        <v>50</v>
      </c>
      <c r="K902" s="30">
        <f>SUM(V898:V903)</f>
        <v>10.75</v>
      </c>
      <c r="L902" s="32"/>
    </row>
    <row r="903" spans="1:26" ht="14.25" x14ac:dyDescent="0.2">
      <c r="A903" s="47"/>
      <c r="B903" s="48"/>
      <c r="C903" s="48" t="s">
        <v>1641</v>
      </c>
      <c r="D903" s="35" t="s">
        <v>1642</v>
      </c>
      <c r="E903" s="36">
        <f>Source!AQ384</f>
        <v>5.49</v>
      </c>
      <c r="F903" s="37"/>
      <c r="G903" s="38" t="str">
        <f>Source!DI384</f>
        <v/>
      </c>
      <c r="H903" s="37"/>
      <c r="I903" s="38"/>
      <c r="J903" s="38"/>
      <c r="K903" s="37"/>
      <c r="L903" s="39">
        <f>Source!U384</f>
        <v>0.38430000000000003</v>
      </c>
    </row>
    <row r="904" spans="1:26" ht="15" x14ac:dyDescent="0.25">
      <c r="G904" s="70">
        <f>H900+H901+H902</f>
        <v>7.4799999999999995</v>
      </c>
      <c r="H904" s="70"/>
      <c r="J904" s="70">
        <f>K900+K901+K902</f>
        <v>49.019999999999996</v>
      </c>
      <c r="K904" s="70"/>
      <c r="L904" s="40">
        <f>Source!U384</f>
        <v>0.38430000000000003</v>
      </c>
      <c r="O904" s="24">
        <f>G904</f>
        <v>7.4799999999999995</v>
      </c>
      <c r="P904" s="24">
        <f>J904</f>
        <v>49.019999999999996</v>
      </c>
      <c r="Q904" s="24">
        <f>L904</f>
        <v>0.38430000000000003</v>
      </c>
      <c r="W904">
        <f>IF(Source!BI384&lt;=1,H900+H901+H902, 0)</f>
        <v>7.4799999999999995</v>
      </c>
      <c r="X904">
        <f>IF(Source!BI384=2,H900+H901+H902, 0)</f>
        <v>0</v>
      </c>
      <c r="Y904">
        <f>IF(Source!BI384=3,H900+H901+H902, 0)</f>
        <v>0</v>
      </c>
      <c r="Z904">
        <f>IF(Source!BI384=4,H900+H901+H902, 0)</f>
        <v>0</v>
      </c>
    </row>
    <row r="905" spans="1:26" ht="28.5" x14ac:dyDescent="0.2">
      <c r="A905" s="45" t="str">
        <f>Source!E385</f>
        <v>86</v>
      </c>
      <c r="B905" s="46" t="str">
        <f>Source!F385</f>
        <v>м08-02-410-02</v>
      </c>
      <c r="C905" s="46" t="str">
        <f>Source!G385</f>
        <v>Труба полиэтиленовая по основанию пола, диаметр до 50 мм (гильзы) прим.</v>
      </c>
      <c r="D905" s="29" t="str">
        <f>Source!H385</f>
        <v>100 м</v>
      </c>
      <c r="E905" s="11">
        <f>Source!I385</f>
        <v>4.2000000000000003E-2</v>
      </c>
      <c r="F905" s="30">
        <f>Source!AL385+Source!AM385+Source!AO385</f>
        <v>250.92</v>
      </c>
      <c r="G905" s="31"/>
      <c r="H905" s="30"/>
      <c r="I905" s="31" t="str">
        <f>Source!BO385</f>
        <v/>
      </c>
      <c r="J905" s="31"/>
      <c r="K905" s="30"/>
      <c r="L905" s="32"/>
      <c r="S905">
        <f>ROUND((Source!FX385/100)*((ROUND(Source!AF385*Source!I385, 2)+ROUND(Source!AE385*Source!I385, 2))), 2)</f>
        <v>5.84</v>
      </c>
      <c r="T905">
        <f>Source!X385</f>
        <v>38.31</v>
      </c>
      <c r="U905">
        <f>ROUND((Source!FY385/100)*((ROUND(Source!AF385*Source!I385, 2)+ROUND(Source!AE385*Source!I385, 2))), 2)</f>
        <v>4</v>
      </c>
      <c r="V905">
        <f>Source!Y385</f>
        <v>26.21</v>
      </c>
    </row>
    <row r="906" spans="1:26" x14ac:dyDescent="0.2">
      <c r="C906" s="23" t="str">
        <f>"Объем: "&amp;Source!I385&amp;"=4,2/"&amp;"100"</f>
        <v>Объем: 0,042=4,2/100</v>
      </c>
    </row>
    <row r="907" spans="1:26" ht="14.25" x14ac:dyDescent="0.2">
      <c r="A907" s="45"/>
      <c r="B907" s="46"/>
      <c r="C907" s="46" t="s">
        <v>1636</v>
      </c>
      <c r="D907" s="29"/>
      <c r="E907" s="11"/>
      <c r="F907" s="30">
        <f>Source!AO385</f>
        <v>143.63</v>
      </c>
      <c r="G907" s="31" t="str">
        <f>Source!DG385</f>
        <v/>
      </c>
      <c r="H907" s="30">
        <f>ROUND(Source!AF385*Source!I385, 2)</f>
        <v>6.03</v>
      </c>
      <c r="I907" s="31"/>
      <c r="J907" s="31">
        <f>IF(Source!BA385&lt;&gt; 0, Source!BA385, 1)</f>
        <v>6.56</v>
      </c>
      <c r="K907" s="30">
        <f>Source!S385</f>
        <v>39.57</v>
      </c>
      <c r="L907" s="32"/>
      <c r="R907">
        <f>H907</f>
        <v>6.03</v>
      </c>
    </row>
    <row r="908" spans="1:26" ht="14.25" x14ac:dyDescent="0.2">
      <c r="A908" s="45"/>
      <c r="B908" s="46"/>
      <c r="C908" s="46" t="s">
        <v>136</v>
      </c>
      <c r="D908" s="29"/>
      <c r="E908" s="11"/>
      <c r="F908" s="30">
        <f>Source!AM385</f>
        <v>19.55</v>
      </c>
      <c r="G908" s="31" t="str">
        <f>Source!DE385</f>
        <v/>
      </c>
      <c r="H908" s="30">
        <f>ROUND(Source!AD385*Source!I385, 2)</f>
        <v>0.82</v>
      </c>
      <c r="I908" s="31"/>
      <c r="J908" s="31">
        <f>IF(Source!BB385&lt;&gt; 0, Source!BB385, 1)</f>
        <v>6.56</v>
      </c>
      <c r="K908" s="30">
        <f>Source!Q385</f>
        <v>5.39</v>
      </c>
      <c r="L908" s="32"/>
    </row>
    <row r="909" spans="1:26" ht="14.25" x14ac:dyDescent="0.2">
      <c r="A909" s="45"/>
      <c r="B909" s="46"/>
      <c r="C909" s="46" t="s">
        <v>1637</v>
      </c>
      <c r="D909" s="29"/>
      <c r="E909" s="11"/>
      <c r="F909" s="30">
        <f>Source!AN385</f>
        <v>2.77</v>
      </c>
      <c r="G909" s="31" t="str">
        <f>Source!DF385</f>
        <v/>
      </c>
      <c r="H909" s="33">
        <f>ROUND(Source!AE385*Source!I385, 2)</f>
        <v>0.12</v>
      </c>
      <c r="I909" s="31"/>
      <c r="J909" s="31">
        <f>IF(Source!BS385&lt;&gt; 0, Source!BS385, 1)</f>
        <v>6.56</v>
      </c>
      <c r="K909" s="33">
        <f>Source!R385</f>
        <v>0.76</v>
      </c>
      <c r="L909" s="32"/>
      <c r="R909">
        <f>H909</f>
        <v>0.12</v>
      </c>
    </row>
    <row r="910" spans="1:26" ht="14.25" x14ac:dyDescent="0.2">
      <c r="A910" s="45"/>
      <c r="B910" s="46"/>
      <c r="C910" s="46" t="s">
        <v>1643</v>
      </c>
      <c r="D910" s="29"/>
      <c r="E910" s="11"/>
      <c r="F910" s="30">
        <f>Source!AL385</f>
        <v>87.74</v>
      </c>
      <c r="G910" s="31" t="str">
        <f>Source!DD385</f>
        <v/>
      </c>
      <c r="H910" s="30">
        <f>ROUND(Source!AC385*Source!I385, 2)</f>
        <v>3.69</v>
      </c>
      <c r="I910" s="31"/>
      <c r="J910" s="31">
        <f>IF(Source!BC385&lt;&gt; 0, Source!BC385, 1)</f>
        <v>6.56</v>
      </c>
      <c r="K910" s="30">
        <f>Source!P385</f>
        <v>24.17</v>
      </c>
      <c r="L910" s="32"/>
    </row>
    <row r="911" spans="1:26" ht="14.25" x14ac:dyDescent="0.2">
      <c r="A911" s="45"/>
      <c r="B911" s="46"/>
      <c r="C911" s="46" t="s">
        <v>1638</v>
      </c>
      <c r="D911" s="29" t="s">
        <v>1639</v>
      </c>
      <c r="E911" s="11">
        <f>Source!BZ385</f>
        <v>95</v>
      </c>
      <c r="F911" s="49"/>
      <c r="G911" s="31"/>
      <c r="H911" s="30">
        <f>SUM(S905:S914)</f>
        <v>5.84</v>
      </c>
      <c r="I911" s="34"/>
      <c r="J911" s="27">
        <f>Source!AT385</f>
        <v>95</v>
      </c>
      <c r="K911" s="30">
        <f>SUM(T905:T914)</f>
        <v>38.31</v>
      </c>
      <c r="L911" s="32"/>
    </row>
    <row r="912" spans="1:26" ht="14.25" x14ac:dyDescent="0.2">
      <c r="A912" s="45"/>
      <c r="B912" s="46"/>
      <c r="C912" s="46" t="s">
        <v>1640</v>
      </c>
      <c r="D912" s="29" t="s">
        <v>1639</v>
      </c>
      <c r="E912" s="11">
        <f>Source!CA385</f>
        <v>65</v>
      </c>
      <c r="F912" s="49"/>
      <c r="G912" s="31"/>
      <c r="H912" s="30">
        <f>SUM(U905:U914)</f>
        <v>4</v>
      </c>
      <c r="I912" s="34"/>
      <c r="J912" s="27">
        <f>Source!AU385</f>
        <v>65</v>
      </c>
      <c r="K912" s="30">
        <f>SUM(V905:V914)</f>
        <v>26.21</v>
      </c>
      <c r="L912" s="32"/>
    </row>
    <row r="913" spans="1:26" ht="14.25" x14ac:dyDescent="0.2">
      <c r="A913" s="45"/>
      <c r="B913" s="46"/>
      <c r="C913" s="46" t="s">
        <v>1641</v>
      </c>
      <c r="D913" s="29" t="s">
        <v>1642</v>
      </c>
      <c r="E913" s="11">
        <f>Source!AQ385</f>
        <v>15.28</v>
      </c>
      <c r="F913" s="30"/>
      <c r="G913" s="31" t="str">
        <f>Source!DI385</f>
        <v/>
      </c>
      <c r="H913" s="30"/>
      <c r="I913" s="31"/>
      <c r="J913" s="31"/>
      <c r="K913" s="30"/>
      <c r="L913" s="41">
        <f>Source!U385</f>
        <v>0.64176</v>
      </c>
    </row>
    <row r="914" spans="1:26" ht="42.75" x14ac:dyDescent="0.2">
      <c r="A914" s="47" t="str">
        <f>Source!E386</f>
        <v>86,1</v>
      </c>
      <c r="B914" s="48" t="str">
        <f>Source!F386</f>
        <v>24.3.01.03-0014</v>
      </c>
      <c r="C914" s="48" t="str">
        <f>Source!G386</f>
        <v>Трубы жесткие гладкие легкие из самозатухающего ПВХ (IP55) серии RIG, диаметром 32 мм</v>
      </c>
      <c r="D914" s="35" t="str">
        <f>Source!H386</f>
        <v>10 м</v>
      </c>
      <c r="E914" s="36">
        <f>Source!I386</f>
        <v>0.41999999999999993</v>
      </c>
      <c r="F914" s="37">
        <f>Source!AL386+Source!AM386+Source!AO386</f>
        <v>79.47</v>
      </c>
      <c r="G914" s="43" t="s">
        <v>6</v>
      </c>
      <c r="H914" s="37">
        <f>ROUND(Source!AC386*Source!I386, 2)+ROUND(Source!AD386*Source!I386, 2)+ROUND(Source!AF386*Source!I386, 2)</f>
        <v>33.380000000000003</v>
      </c>
      <c r="I914" s="38"/>
      <c r="J914" s="38">
        <f>IF(Source!BC386&lt;&gt; 0, Source!BC386, 1)</f>
        <v>6.56</v>
      </c>
      <c r="K914" s="37">
        <f>Source!O386</f>
        <v>218.96</v>
      </c>
      <c r="L914" s="44"/>
      <c r="S914">
        <f>ROUND((Source!FX386/100)*((ROUND(Source!AF386*Source!I386, 2)+ROUND(Source!AE386*Source!I386, 2))), 2)</f>
        <v>0</v>
      </c>
      <c r="T914">
        <f>Source!X386</f>
        <v>0</v>
      </c>
      <c r="U914">
        <f>ROUND((Source!FY386/100)*((ROUND(Source!AF386*Source!I386, 2)+ROUND(Source!AE386*Source!I386, 2))), 2)</f>
        <v>0</v>
      </c>
      <c r="V914">
        <f>Source!Y386</f>
        <v>0</v>
      </c>
      <c r="W914">
        <f>IF(Source!BI386&lt;=1,H914, 0)</f>
        <v>0</v>
      </c>
      <c r="X914">
        <f>IF(Source!BI386=2,H914, 0)</f>
        <v>33.380000000000003</v>
      </c>
      <c r="Y914">
        <f>IF(Source!BI386=3,H914, 0)</f>
        <v>0</v>
      </c>
      <c r="Z914">
        <f>IF(Source!BI386=4,H914, 0)</f>
        <v>0</v>
      </c>
    </row>
    <row r="915" spans="1:26" ht="15" x14ac:dyDescent="0.25">
      <c r="G915" s="70">
        <f>H907+H908+H910+H911+H912+SUM(H914:H914)</f>
        <v>53.760000000000005</v>
      </c>
      <c r="H915" s="70"/>
      <c r="J915" s="70">
        <f>K907+K908+K910+K911+K912+SUM(K914:K914)</f>
        <v>352.61</v>
      </c>
      <c r="K915" s="70"/>
      <c r="L915" s="40">
        <f>Source!U385</f>
        <v>0.64176</v>
      </c>
      <c r="O915" s="24">
        <f>G915</f>
        <v>53.760000000000005</v>
      </c>
      <c r="P915" s="24">
        <f>J915</f>
        <v>352.61</v>
      </c>
      <c r="Q915" s="24">
        <f>L915</f>
        <v>0.64176</v>
      </c>
      <c r="W915">
        <f>IF(Source!BI385&lt;=1,H907+H908+H910+H911+H912, 0)</f>
        <v>0</v>
      </c>
      <c r="X915">
        <f>IF(Source!BI385=2,H907+H908+H910+H911+H912, 0)</f>
        <v>20.380000000000003</v>
      </c>
      <c r="Y915">
        <f>IF(Source!BI385=3,H907+H908+H910+H911+H912, 0)</f>
        <v>0</v>
      </c>
      <c r="Z915">
        <f>IF(Source!BI385=4,H907+H908+H910+H911+H912, 0)</f>
        <v>0</v>
      </c>
    </row>
    <row r="916" spans="1:26" ht="57" x14ac:dyDescent="0.2">
      <c r="A916" s="45" t="str">
        <f>Source!E387</f>
        <v>87</v>
      </c>
      <c r="B916" s="46" t="str">
        <f>Source!F387</f>
        <v>м08-02-159-01</v>
      </c>
      <c r="C916" s="46" t="str">
        <f>Source!G387</f>
        <v>Заделка концевая в резиновой перчатке для 3-5-жильного кабеля напряжением до 1 кВ, сечение одной жилы до 35 мм2</v>
      </c>
      <c r="D916" s="29" t="str">
        <f>Source!H387</f>
        <v>ШТ</v>
      </c>
      <c r="E916" s="11">
        <f>Source!I387</f>
        <v>4</v>
      </c>
      <c r="F916" s="30">
        <f>Source!AL387+Source!AM387+Source!AO387</f>
        <v>21.35</v>
      </c>
      <c r="G916" s="31"/>
      <c r="H916" s="30"/>
      <c r="I916" s="31" t="str">
        <f>Source!BO387</f>
        <v/>
      </c>
      <c r="J916" s="31"/>
      <c r="K916" s="30"/>
      <c r="L916" s="32"/>
      <c r="S916">
        <f>ROUND((Source!FX387/100)*((ROUND(Source!AF387*Source!I387, 2)+ROUND(Source!AE387*Source!I387, 2))), 2)</f>
        <v>61.41</v>
      </c>
      <c r="T916">
        <f>Source!X387</f>
        <v>402.84</v>
      </c>
      <c r="U916">
        <f>ROUND((Source!FY387/100)*((ROUND(Source!AF387*Source!I387, 2)+ROUND(Source!AE387*Source!I387, 2))), 2)</f>
        <v>42.02</v>
      </c>
      <c r="V916">
        <f>Source!Y387</f>
        <v>275.63</v>
      </c>
    </row>
    <row r="917" spans="1:26" ht="14.25" x14ac:dyDescent="0.2">
      <c r="A917" s="45"/>
      <c r="B917" s="46"/>
      <c r="C917" s="46" t="s">
        <v>1636</v>
      </c>
      <c r="D917" s="29"/>
      <c r="E917" s="11"/>
      <c r="F917" s="30">
        <f>Source!AO387</f>
        <v>16.16</v>
      </c>
      <c r="G917" s="31" t="str">
        <f>Source!DG387</f>
        <v/>
      </c>
      <c r="H917" s="30">
        <f>ROUND(Source!AF387*Source!I387, 2)</f>
        <v>64.64</v>
      </c>
      <c r="I917" s="31"/>
      <c r="J917" s="31">
        <f>IF(Source!BA387&lt;&gt; 0, Source!BA387, 1)</f>
        <v>6.56</v>
      </c>
      <c r="K917" s="30">
        <f>Source!S387</f>
        <v>424.04</v>
      </c>
      <c r="L917" s="32"/>
      <c r="R917">
        <f>H917</f>
        <v>64.64</v>
      </c>
    </row>
    <row r="918" spans="1:26" ht="14.25" x14ac:dyDescent="0.2">
      <c r="A918" s="45"/>
      <c r="B918" s="46"/>
      <c r="C918" s="46" t="s">
        <v>1643</v>
      </c>
      <c r="D918" s="29"/>
      <c r="E918" s="11"/>
      <c r="F918" s="30">
        <f>Source!AL387</f>
        <v>5.19</v>
      </c>
      <c r="G918" s="31" t="str">
        <f>Source!DD387</f>
        <v/>
      </c>
      <c r="H918" s="30">
        <f>ROUND(Source!AC387*Source!I387, 2)</f>
        <v>20.76</v>
      </c>
      <c r="I918" s="31"/>
      <c r="J918" s="31">
        <f>IF(Source!BC387&lt;&gt; 0, Source!BC387, 1)</f>
        <v>6.56</v>
      </c>
      <c r="K918" s="30">
        <f>Source!P387</f>
        <v>136.19</v>
      </c>
      <c r="L918" s="32"/>
    </row>
    <row r="919" spans="1:26" ht="14.25" x14ac:dyDescent="0.2">
      <c r="A919" s="45"/>
      <c r="B919" s="46"/>
      <c r="C919" s="46" t="s">
        <v>1638</v>
      </c>
      <c r="D919" s="29" t="s">
        <v>1639</v>
      </c>
      <c r="E919" s="11">
        <f>Source!BZ387</f>
        <v>95</v>
      </c>
      <c r="F919" s="49"/>
      <c r="G919" s="31"/>
      <c r="H919" s="30">
        <f>SUM(S916:S922)</f>
        <v>61.41</v>
      </c>
      <c r="I919" s="34"/>
      <c r="J919" s="27">
        <f>Source!AT387</f>
        <v>95</v>
      </c>
      <c r="K919" s="30">
        <f>SUM(T916:T922)</f>
        <v>402.84</v>
      </c>
      <c r="L919" s="32"/>
    </row>
    <row r="920" spans="1:26" ht="14.25" x14ac:dyDescent="0.2">
      <c r="A920" s="45"/>
      <c r="B920" s="46"/>
      <c r="C920" s="46" t="s">
        <v>1640</v>
      </c>
      <c r="D920" s="29" t="s">
        <v>1639</v>
      </c>
      <c r="E920" s="11">
        <f>Source!CA387</f>
        <v>65</v>
      </c>
      <c r="F920" s="49"/>
      <c r="G920" s="31"/>
      <c r="H920" s="30">
        <f>SUM(U916:U922)</f>
        <v>42.02</v>
      </c>
      <c r="I920" s="34"/>
      <c r="J920" s="27">
        <f>Source!AU387</f>
        <v>65</v>
      </c>
      <c r="K920" s="30">
        <f>SUM(V916:V922)</f>
        <v>275.63</v>
      </c>
      <c r="L920" s="32"/>
    </row>
    <row r="921" spans="1:26" ht="14.25" x14ac:dyDescent="0.2">
      <c r="A921" s="45"/>
      <c r="B921" s="46"/>
      <c r="C921" s="46" t="s">
        <v>1641</v>
      </c>
      <c r="D921" s="29" t="s">
        <v>1642</v>
      </c>
      <c r="E921" s="11">
        <f>Source!AQ387</f>
        <v>1.68</v>
      </c>
      <c r="F921" s="30"/>
      <c r="G921" s="31" t="str">
        <f>Source!DI387</f>
        <v/>
      </c>
      <c r="H921" s="30"/>
      <c r="I921" s="31"/>
      <c r="J921" s="31"/>
      <c r="K921" s="30"/>
      <c r="L921" s="41">
        <f>Source!U387</f>
        <v>6.72</v>
      </c>
    </row>
    <row r="922" spans="1:26" ht="28.5" x14ac:dyDescent="0.2">
      <c r="A922" s="47" t="str">
        <f>Source!E388</f>
        <v>87,1</v>
      </c>
      <c r="B922" s="48" t="str">
        <f>Source!F388</f>
        <v>20.2.02.07-0021</v>
      </c>
      <c r="C922" s="48" t="str">
        <f>Source!G388</f>
        <v>Перчатка термоусаживаемая</v>
      </c>
      <c r="D922" s="35" t="str">
        <f>Source!H388</f>
        <v>шт.</v>
      </c>
      <c r="E922" s="36">
        <f>Source!I388</f>
        <v>4</v>
      </c>
      <c r="F922" s="37">
        <f>Source!AL388+Source!AM388+Source!AO388</f>
        <v>38</v>
      </c>
      <c r="G922" s="43" t="s">
        <v>6</v>
      </c>
      <c r="H922" s="37">
        <f>ROUND(Source!AC388*Source!I388, 2)+ROUND(Source!AD388*Source!I388, 2)+ROUND(Source!AF388*Source!I388, 2)</f>
        <v>152</v>
      </c>
      <c r="I922" s="38"/>
      <c r="J922" s="38">
        <f>IF(Source!BC388&lt;&gt; 0, Source!BC388, 1)</f>
        <v>6.56</v>
      </c>
      <c r="K922" s="37">
        <f>Source!O388</f>
        <v>997.12</v>
      </c>
      <c r="L922" s="44"/>
      <c r="S922">
        <f>ROUND((Source!FX388/100)*((ROUND(Source!AF388*Source!I388, 2)+ROUND(Source!AE388*Source!I388, 2))), 2)</f>
        <v>0</v>
      </c>
      <c r="T922">
        <f>Source!X388</f>
        <v>0</v>
      </c>
      <c r="U922">
        <f>ROUND((Source!FY388/100)*((ROUND(Source!AF388*Source!I388, 2)+ROUND(Source!AE388*Source!I388, 2))), 2)</f>
        <v>0</v>
      </c>
      <c r="V922">
        <f>Source!Y388</f>
        <v>0</v>
      </c>
      <c r="W922">
        <f>IF(Source!BI388&lt;=1,H922, 0)</f>
        <v>0</v>
      </c>
      <c r="X922">
        <f>IF(Source!BI388=2,H922, 0)</f>
        <v>152</v>
      </c>
      <c r="Y922">
        <f>IF(Source!BI388=3,H922, 0)</f>
        <v>0</v>
      </c>
      <c r="Z922">
        <f>IF(Source!BI388=4,H922, 0)</f>
        <v>0</v>
      </c>
    </row>
    <row r="923" spans="1:26" ht="15" x14ac:dyDescent="0.25">
      <c r="G923" s="70">
        <f>H917+H918+H919+H920+SUM(H922:H922)</f>
        <v>340.83000000000004</v>
      </c>
      <c r="H923" s="70"/>
      <c r="J923" s="70">
        <f>K917+K918+K919+K920+SUM(K922:K922)</f>
        <v>2235.8199999999997</v>
      </c>
      <c r="K923" s="70"/>
      <c r="L923" s="40">
        <f>Source!U387</f>
        <v>6.72</v>
      </c>
      <c r="O923" s="24">
        <f>G923</f>
        <v>340.83000000000004</v>
      </c>
      <c r="P923" s="24">
        <f>J923</f>
        <v>2235.8199999999997</v>
      </c>
      <c r="Q923" s="24">
        <f>L923</f>
        <v>6.72</v>
      </c>
      <c r="W923">
        <f>IF(Source!BI387&lt;=1,H917+H918+H919+H920, 0)</f>
        <v>0</v>
      </c>
      <c r="X923">
        <f>IF(Source!BI387=2,H917+H918+H919+H920, 0)</f>
        <v>188.83</v>
      </c>
      <c r="Y923">
        <f>IF(Source!BI387=3,H917+H918+H919+H920, 0)</f>
        <v>0</v>
      </c>
      <c r="Z923">
        <f>IF(Source!BI387=4,H917+H918+H919+H920, 0)</f>
        <v>0</v>
      </c>
    </row>
    <row r="925" spans="1:26" ht="15" x14ac:dyDescent="0.25">
      <c r="A925" s="74" t="str">
        <f>CONCATENATE("Итого по подразделу: ",IF(Source!G390&lt;&gt;"Новый подраздел", Source!G390, ""))</f>
        <v>Итого по подразделу: 3 Монтаж силовой части</v>
      </c>
      <c r="B925" s="74"/>
      <c r="C925" s="74"/>
      <c r="D925" s="74"/>
      <c r="E925" s="74"/>
      <c r="F925" s="74"/>
      <c r="G925" s="73">
        <f>SUM(O757:O924)</f>
        <v>46775.33</v>
      </c>
      <c r="H925" s="73"/>
      <c r="I925" s="26"/>
      <c r="J925" s="73">
        <f>SUM(P757:P924)</f>
        <v>306845.85000000003</v>
      </c>
      <c r="K925" s="73"/>
      <c r="L925" s="40">
        <f>SUM(Q757:Q924)</f>
        <v>168.15101999999999</v>
      </c>
    </row>
    <row r="927" spans="1:26" ht="15" x14ac:dyDescent="0.25">
      <c r="A927" s="74" t="str">
        <f>CONCATENATE("Итого по разделу: ",IF(Source!G419&lt;&gt;"Новый раздел", Source!G419, ""))</f>
        <v>Итого по разделу: 2 Электромонтажные работы</v>
      </c>
      <c r="B927" s="74"/>
      <c r="C927" s="74"/>
      <c r="D927" s="74"/>
      <c r="E927" s="74"/>
      <c r="F927" s="74"/>
      <c r="G927" s="73">
        <f>SUM(O578:O926)</f>
        <v>74552.999999999985</v>
      </c>
      <c r="H927" s="73"/>
      <c r="I927" s="26"/>
      <c r="J927" s="73">
        <f>SUM(P578:P926)</f>
        <v>489067.39</v>
      </c>
      <c r="K927" s="73"/>
      <c r="L927" s="40">
        <f>SUM(Q578:Q926)</f>
        <v>326.57650000000007</v>
      </c>
    </row>
    <row r="928" spans="1:26" ht="16.5" x14ac:dyDescent="0.25">
      <c r="A928" s="75" t="str">
        <f>CONCATENATE("Раздел: ",IF(Source!G448&lt;&gt;"Новый раздел", Source!G448, ""))</f>
        <v>Раздел: 3 Пусконаладочные работы</v>
      </c>
      <c r="B928" s="75"/>
      <c r="C928" s="75"/>
      <c r="D928" s="75"/>
      <c r="E928" s="75"/>
      <c r="F928" s="75"/>
      <c r="G928" s="75"/>
      <c r="H928" s="75"/>
      <c r="I928" s="75"/>
      <c r="J928" s="75"/>
      <c r="K928" s="75"/>
      <c r="L928" s="75"/>
    </row>
    <row r="929" spans="1:26" ht="114" x14ac:dyDescent="0.2">
      <c r="A929" s="45" t="str">
        <f>Source!E452</f>
        <v>88</v>
      </c>
      <c r="B929" s="46" t="str">
        <f>Source!F452</f>
        <v>п01-11-028-01</v>
      </c>
      <c r="C929" s="46" t="str">
        <f>Source!G452</f>
        <v>Измерение сопротивления изоляции (на линию) мегаомметром кабельных и других линий напряжением до 1 кВ, предназначенных для передачи электроэнергии к распределительным устройствам, щитам, шкафам, коммутационным аппаратам и электропотребителям</v>
      </c>
      <c r="D929" s="29" t="str">
        <f>Source!H452</f>
        <v>ШТ</v>
      </c>
      <c r="E929" s="11">
        <f>Source!I452</f>
        <v>49</v>
      </c>
      <c r="F929" s="30">
        <f>Source!AL452+Source!AM452+Source!AO452</f>
        <v>4.0999999999999996</v>
      </c>
      <c r="G929" s="31"/>
      <c r="H929" s="30"/>
      <c r="I929" s="31" t="str">
        <f>Source!BO452</f>
        <v/>
      </c>
      <c r="J929" s="31"/>
      <c r="K929" s="30"/>
      <c r="L929" s="32"/>
      <c r="S929">
        <f>ROUND((Source!FX452/100)*((ROUND(Source!AF452*Source!I452, 2)+ROUND(Source!AE452*Source!I452, 2))), 2)</f>
        <v>104.47</v>
      </c>
      <c r="T929">
        <f>Source!X452</f>
        <v>1978.63</v>
      </c>
      <c r="U929">
        <f>ROUND((Source!FY452/100)*((ROUND(Source!AF452*Source!I452, 2)+ROUND(Source!AE452*Source!I452, 2))), 2)</f>
        <v>64.290000000000006</v>
      </c>
      <c r="V929">
        <f>Source!Y452</f>
        <v>1217.6199999999999</v>
      </c>
    </row>
    <row r="930" spans="1:26" ht="14.25" x14ac:dyDescent="0.2">
      <c r="A930" s="45"/>
      <c r="B930" s="46"/>
      <c r="C930" s="46" t="s">
        <v>1636</v>
      </c>
      <c r="D930" s="29"/>
      <c r="E930" s="11"/>
      <c r="F930" s="30">
        <f>Source!AO452</f>
        <v>4.0999999999999996</v>
      </c>
      <c r="G930" s="31" t="str">
        <f>Source!DG452</f>
        <v>)*0,8</v>
      </c>
      <c r="H930" s="30">
        <f>ROUND(Source!AF452*Source!I452, 2)</f>
        <v>160.72</v>
      </c>
      <c r="I930" s="31"/>
      <c r="J930" s="31">
        <f>IF(Source!BA452&lt;&gt; 0, Source!BA452, 1)</f>
        <v>18.940000000000001</v>
      </c>
      <c r="K930" s="30">
        <f>Source!S452</f>
        <v>3044.04</v>
      </c>
      <c r="L930" s="32"/>
      <c r="R930">
        <f>H930</f>
        <v>160.72</v>
      </c>
    </row>
    <row r="931" spans="1:26" ht="14.25" x14ac:dyDescent="0.2">
      <c r="A931" s="45"/>
      <c r="B931" s="46"/>
      <c r="C931" s="46" t="s">
        <v>1638</v>
      </c>
      <c r="D931" s="29" t="s">
        <v>1639</v>
      </c>
      <c r="E931" s="11">
        <f>Source!BZ452</f>
        <v>65</v>
      </c>
      <c r="F931" s="49"/>
      <c r="G931" s="31"/>
      <c r="H931" s="30">
        <f>SUM(S929:S933)</f>
        <v>104.47</v>
      </c>
      <c r="I931" s="34"/>
      <c r="J931" s="27">
        <f>Source!AT452</f>
        <v>65</v>
      </c>
      <c r="K931" s="30">
        <f>SUM(T929:T933)</f>
        <v>1978.63</v>
      </c>
      <c r="L931" s="32"/>
    </row>
    <row r="932" spans="1:26" ht="14.25" x14ac:dyDescent="0.2">
      <c r="A932" s="45"/>
      <c r="B932" s="46"/>
      <c r="C932" s="46" t="s">
        <v>1640</v>
      </c>
      <c r="D932" s="29" t="s">
        <v>1639</v>
      </c>
      <c r="E932" s="11">
        <f>Source!CA452</f>
        <v>40</v>
      </c>
      <c r="F932" s="49"/>
      <c r="G932" s="31"/>
      <c r="H932" s="30">
        <f>SUM(U929:U933)</f>
        <v>64.290000000000006</v>
      </c>
      <c r="I932" s="34"/>
      <c r="J932" s="27">
        <f>Source!AU452</f>
        <v>40</v>
      </c>
      <c r="K932" s="30">
        <f>SUM(V929:V933)</f>
        <v>1217.6199999999999</v>
      </c>
      <c r="L932" s="32"/>
    </row>
    <row r="933" spans="1:26" ht="14.25" x14ac:dyDescent="0.2">
      <c r="A933" s="47"/>
      <c r="B933" s="48"/>
      <c r="C933" s="48" t="s">
        <v>1641</v>
      </c>
      <c r="D933" s="35" t="s">
        <v>1642</v>
      </c>
      <c r="E933" s="36">
        <f>Source!AQ452</f>
        <v>0.32</v>
      </c>
      <c r="F933" s="37"/>
      <c r="G933" s="38" t="str">
        <f>Source!DI452</f>
        <v>)*0,8</v>
      </c>
      <c r="H933" s="37"/>
      <c r="I933" s="38"/>
      <c r="J933" s="38"/>
      <c r="K933" s="37"/>
      <c r="L933" s="39">
        <f>Source!U452</f>
        <v>12.544</v>
      </c>
    </row>
    <row r="934" spans="1:26" ht="15" x14ac:dyDescent="0.25">
      <c r="G934" s="70">
        <f>H930+H931+H932</f>
        <v>329.48</v>
      </c>
      <c r="H934" s="70"/>
      <c r="J934" s="70">
        <f>K930+K931+K932</f>
        <v>6240.29</v>
      </c>
      <c r="K934" s="70"/>
      <c r="L934" s="40">
        <f>Source!U452</f>
        <v>12.544</v>
      </c>
      <c r="O934" s="24">
        <f>G934</f>
        <v>329.48</v>
      </c>
      <c r="P934" s="24">
        <f>J934</f>
        <v>6240.29</v>
      </c>
      <c r="Q934" s="24">
        <f>L934</f>
        <v>12.544</v>
      </c>
      <c r="W934">
        <f>IF(Source!BI452&lt;=1,H930+H931+H932, 0)</f>
        <v>0</v>
      </c>
      <c r="X934">
        <f>IF(Source!BI452=2,H930+H931+H932, 0)</f>
        <v>0</v>
      </c>
      <c r="Y934">
        <f>IF(Source!BI452=3,H930+H931+H932, 0)</f>
        <v>0</v>
      </c>
      <c r="Z934">
        <f>IF(Source!BI452=4,H930+H931+H932, 0)</f>
        <v>329.48</v>
      </c>
    </row>
    <row r="935" spans="1:26" ht="28.5" x14ac:dyDescent="0.2">
      <c r="A935" s="45" t="str">
        <f>Source!E453</f>
        <v>89</v>
      </c>
      <c r="B935" s="46" t="str">
        <f>Source!F453</f>
        <v>п01-11-013-01</v>
      </c>
      <c r="C935" s="46" t="str">
        <f>Source!G453</f>
        <v>Замер полного сопротивления цепи "фаза-нуль"</v>
      </c>
      <c r="D935" s="29" t="str">
        <f>Source!H453</f>
        <v>ШТ</v>
      </c>
      <c r="E935" s="11">
        <f>Source!I453</f>
        <v>113</v>
      </c>
      <c r="F935" s="30">
        <f>Source!AL453+Source!AM453+Source!AO453</f>
        <v>15.62</v>
      </c>
      <c r="G935" s="31"/>
      <c r="H935" s="30"/>
      <c r="I935" s="31" t="str">
        <f>Source!BO453</f>
        <v/>
      </c>
      <c r="J935" s="31"/>
      <c r="K935" s="30"/>
      <c r="L935" s="32"/>
      <c r="S935">
        <f>ROUND((Source!FX453/100)*((ROUND(Source!AF453*Source!I453, 2)+ROUND(Source!AE453*Source!I453, 2))), 2)</f>
        <v>918.13</v>
      </c>
      <c r="T935">
        <f>Source!X453</f>
        <v>17389.29</v>
      </c>
      <c r="U935">
        <f>ROUND((Source!FY453/100)*((ROUND(Source!AF453*Source!I453, 2)+ROUND(Source!AE453*Source!I453, 2))), 2)</f>
        <v>565</v>
      </c>
      <c r="V935">
        <f>Source!Y453</f>
        <v>10701.1</v>
      </c>
    </row>
    <row r="936" spans="1:26" ht="14.25" x14ac:dyDescent="0.2">
      <c r="A936" s="45"/>
      <c r="B936" s="46"/>
      <c r="C936" s="46" t="s">
        <v>1636</v>
      </c>
      <c r="D936" s="29"/>
      <c r="E936" s="11"/>
      <c r="F936" s="30">
        <f>Source!AO453</f>
        <v>15.62</v>
      </c>
      <c r="G936" s="31" t="str">
        <f>Source!DG453</f>
        <v>)*0,8</v>
      </c>
      <c r="H936" s="30">
        <f>ROUND(Source!AF453*Source!I453, 2)</f>
        <v>1412.5</v>
      </c>
      <c r="I936" s="31"/>
      <c r="J936" s="31">
        <f>IF(Source!BA453&lt;&gt; 0, Source!BA453, 1)</f>
        <v>18.940000000000001</v>
      </c>
      <c r="K936" s="30">
        <f>Source!S453</f>
        <v>26752.75</v>
      </c>
      <c r="L936" s="32"/>
      <c r="R936">
        <f>H936</f>
        <v>1412.5</v>
      </c>
    </row>
    <row r="937" spans="1:26" ht="14.25" x14ac:dyDescent="0.2">
      <c r="A937" s="45"/>
      <c r="B937" s="46"/>
      <c r="C937" s="46" t="s">
        <v>1638</v>
      </c>
      <c r="D937" s="29" t="s">
        <v>1639</v>
      </c>
      <c r="E937" s="11">
        <f>Source!BZ453</f>
        <v>65</v>
      </c>
      <c r="F937" s="49"/>
      <c r="G937" s="31"/>
      <c r="H937" s="30">
        <f>SUM(S935:S939)</f>
        <v>918.13</v>
      </c>
      <c r="I937" s="34"/>
      <c r="J937" s="27">
        <f>Source!AT453</f>
        <v>65</v>
      </c>
      <c r="K937" s="30">
        <f>SUM(T935:T939)</f>
        <v>17389.29</v>
      </c>
      <c r="L937" s="32"/>
    </row>
    <row r="938" spans="1:26" ht="14.25" x14ac:dyDescent="0.2">
      <c r="A938" s="45"/>
      <c r="B938" s="46"/>
      <c r="C938" s="46" t="s">
        <v>1640</v>
      </c>
      <c r="D938" s="29" t="s">
        <v>1639</v>
      </c>
      <c r="E938" s="11">
        <f>Source!CA453</f>
        <v>40</v>
      </c>
      <c r="F938" s="49"/>
      <c r="G938" s="31"/>
      <c r="H938" s="30">
        <f>SUM(U935:U939)</f>
        <v>565</v>
      </c>
      <c r="I938" s="34"/>
      <c r="J938" s="27">
        <f>Source!AU453</f>
        <v>40</v>
      </c>
      <c r="K938" s="30">
        <f>SUM(V935:V939)</f>
        <v>10701.1</v>
      </c>
      <c r="L938" s="32"/>
    </row>
    <row r="939" spans="1:26" ht="14.25" x14ac:dyDescent="0.2">
      <c r="A939" s="47"/>
      <c r="B939" s="48"/>
      <c r="C939" s="48" t="s">
        <v>1641</v>
      </c>
      <c r="D939" s="35" t="s">
        <v>1642</v>
      </c>
      <c r="E939" s="36">
        <f>Source!AQ453</f>
        <v>1.22</v>
      </c>
      <c r="F939" s="37"/>
      <c r="G939" s="38" t="str">
        <f>Source!DI453</f>
        <v>)*0,8</v>
      </c>
      <c r="H939" s="37"/>
      <c r="I939" s="38"/>
      <c r="J939" s="38"/>
      <c r="K939" s="37"/>
      <c r="L939" s="39">
        <f>Source!U453</f>
        <v>110.288</v>
      </c>
    </row>
    <row r="940" spans="1:26" ht="15" x14ac:dyDescent="0.25">
      <c r="G940" s="70">
        <f>H936+H937+H938</f>
        <v>2895.63</v>
      </c>
      <c r="H940" s="70"/>
      <c r="J940" s="70">
        <f>K936+K937+K938</f>
        <v>54843.14</v>
      </c>
      <c r="K940" s="70"/>
      <c r="L940" s="40">
        <f>Source!U453</f>
        <v>110.288</v>
      </c>
      <c r="O940" s="24">
        <f>G940</f>
        <v>2895.63</v>
      </c>
      <c r="P940" s="24">
        <f>J940</f>
        <v>54843.14</v>
      </c>
      <c r="Q940" s="24">
        <f>L940</f>
        <v>110.288</v>
      </c>
      <c r="W940">
        <f>IF(Source!BI453&lt;=1,H936+H937+H938, 0)</f>
        <v>0</v>
      </c>
      <c r="X940">
        <f>IF(Source!BI453=2,H936+H937+H938, 0)</f>
        <v>0</v>
      </c>
      <c r="Y940">
        <f>IF(Source!BI453=3,H936+H937+H938, 0)</f>
        <v>0</v>
      </c>
      <c r="Z940">
        <f>IF(Source!BI453=4,H936+H937+H938, 0)</f>
        <v>2895.63</v>
      </c>
    </row>
    <row r="941" spans="1:26" ht="42.75" x14ac:dyDescent="0.2">
      <c r="A941" s="45" t="str">
        <f>Source!E454</f>
        <v>90</v>
      </c>
      <c r="B941" s="46" t="str">
        <f>Source!F454</f>
        <v>п01-11-011-01</v>
      </c>
      <c r="C941" s="46" t="str">
        <f>Source!G454</f>
        <v>Проверка наличия цепи между заземлителями и заземленными элементами</v>
      </c>
      <c r="D941" s="29" t="str">
        <f>Source!H454</f>
        <v>100 измерений</v>
      </c>
      <c r="E941" s="11">
        <f>Source!I454</f>
        <v>0.05</v>
      </c>
      <c r="F941" s="30">
        <f>Source!AL454+Source!AM454+Source!AO454</f>
        <v>165.95</v>
      </c>
      <c r="G941" s="31"/>
      <c r="H941" s="30"/>
      <c r="I941" s="31" t="str">
        <f>Source!BO454</f>
        <v/>
      </c>
      <c r="J941" s="31"/>
      <c r="K941" s="30"/>
      <c r="L941" s="32"/>
      <c r="S941">
        <f>ROUND((Source!FX454/100)*((ROUND(Source!AF454*Source!I454, 2)+ROUND(Source!AE454*Source!I454, 2))), 2)</f>
        <v>4.32</v>
      </c>
      <c r="T941">
        <f>Source!X454</f>
        <v>81.72</v>
      </c>
      <c r="U941">
        <f>ROUND((Source!FY454/100)*((ROUND(Source!AF454*Source!I454, 2)+ROUND(Source!AE454*Source!I454, 2))), 2)</f>
        <v>2.66</v>
      </c>
      <c r="V941">
        <f>Source!Y454</f>
        <v>50.29</v>
      </c>
    </row>
    <row r="942" spans="1:26" x14ac:dyDescent="0.2">
      <c r="C942" s="23" t="str">
        <f>"Объем: "&amp;Source!I454&amp;"=5/"&amp;"100"</f>
        <v>Объем: 0,05=5/100</v>
      </c>
    </row>
    <row r="943" spans="1:26" ht="14.25" x14ac:dyDescent="0.2">
      <c r="A943" s="45"/>
      <c r="B943" s="46"/>
      <c r="C943" s="46" t="s">
        <v>1636</v>
      </c>
      <c r="D943" s="29"/>
      <c r="E943" s="11"/>
      <c r="F943" s="30">
        <f>Source!AO454</f>
        <v>165.95</v>
      </c>
      <c r="G943" s="31" t="str">
        <f>Source!DG454</f>
        <v>)*0,8</v>
      </c>
      <c r="H943" s="30">
        <f>ROUND(Source!AF454*Source!I454, 2)</f>
        <v>6.64</v>
      </c>
      <c r="I943" s="31"/>
      <c r="J943" s="31">
        <f>IF(Source!BA454&lt;&gt; 0, Source!BA454, 1)</f>
        <v>18.940000000000001</v>
      </c>
      <c r="K943" s="30">
        <f>Source!S454</f>
        <v>125.72</v>
      </c>
      <c r="L943" s="32"/>
      <c r="R943">
        <f>H943</f>
        <v>6.64</v>
      </c>
    </row>
    <row r="944" spans="1:26" ht="14.25" x14ac:dyDescent="0.2">
      <c r="A944" s="45"/>
      <c r="B944" s="46"/>
      <c r="C944" s="46" t="s">
        <v>1638</v>
      </c>
      <c r="D944" s="29" t="s">
        <v>1639</v>
      </c>
      <c r="E944" s="11">
        <f>Source!BZ454</f>
        <v>65</v>
      </c>
      <c r="F944" s="49"/>
      <c r="G944" s="31"/>
      <c r="H944" s="30">
        <f>SUM(S941:S946)</f>
        <v>4.32</v>
      </c>
      <c r="I944" s="34"/>
      <c r="J944" s="27">
        <f>Source!AT454</f>
        <v>65</v>
      </c>
      <c r="K944" s="30">
        <f>SUM(T941:T946)</f>
        <v>81.72</v>
      </c>
      <c r="L944" s="32"/>
    </row>
    <row r="945" spans="1:26" ht="14.25" x14ac:dyDescent="0.2">
      <c r="A945" s="45"/>
      <c r="B945" s="46"/>
      <c r="C945" s="46" t="s">
        <v>1640</v>
      </c>
      <c r="D945" s="29" t="s">
        <v>1639</v>
      </c>
      <c r="E945" s="11">
        <f>Source!CA454</f>
        <v>40</v>
      </c>
      <c r="F945" s="49"/>
      <c r="G945" s="31"/>
      <c r="H945" s="30">
        <f>SUM(U941:U946)</f>
        <v>2.66</v>
      </c>
      <c r="I945" s="34"/>
      <c r="J945" s="27">
        <f>Source!AU454</f>
        <v>40</v>
      </c>
      <c r="K945" s="30">
        <f>SUM(V941:V946)</f>
        <v>50.29</v>
      </c>
      <c r="L945" s="32"/>
    </row>
    <row r="946" spans="1:26" ht="14.25" x14ac:dyDescent="0.2">
      <c r="A946" s="47"/>
      <c r="B946" s="48"/>
      <c r="C946" s="48" t="s">
        <v>1641</v>
      </c>
      <c r="D946" s="35" t="s">
        <v>1642</v>
      </c>
      <c r="E946" s="36">
        <f>Source!AQ454</f>
        <v>12.96</v>
      </c>
      <c r="F946" s="37"/>
      <c r="G946" s="38" t="str">
        <f>Source!DI454</f>
        <v>)*0,8</v>
      </c>
      <c r="H946" s="37"/>
      <c r="I946" s="38"/>
      <c r="J946" s="38"/>
      <c r="K946" s="37"/>
      <c r="L946" s="39">
        <f>Source!U454</f>
        <v>0.51840000000000008</v>
      </c>
    </row>
    <row r="947" spans="1:26" ht="15" x14ac:dyDescent="0.25">
      <c r="G947" s="70">
        <f>H943+H944+H945</f>
        <v>13.620000000000001</v>
      </c>
      <c r="H947" s="70"/>
      <c r="J947" s="70">
        <f>K943+K944+K945</f>
        <v>257.73</v>
      </c>
      <c r="K947" s="70"/>
      <c r="L947" s="40">
        <f>Source!U454</f>
        <v>0.51840000000000008</v>
      </c>
      <c r="O947" s="24">
        <f>G947</f>
        <v>13.620000000000001</v>
      </c>
      <c r="P947" s="24">
        <f>J947</f>
        <v>257.73</v>
      </c>
      <c r="Q947" s="24">
        <f>L947</f>
        <v>0.51840000000000008</v>
      </c>
      <c r="W947">
        <f>IF(Source!BI454&lt;=1,H943+H944+H945, 0)</f>
        <v>0</v>
      </c>
      <c r="X947">
        <f>IF(Source!BI454=2,H943+H944+H945, 0)</f>
        <v>0</v>
      </c>
      <c r="Y947">
        <f>IF(Source!BI454=3,H943+H944+H945, 0)</f>
        <v>0</v>
      </c>
      <c r="Z947">
        <f>IF(Source!BI454=4,H943+H944+H945, 0)</f>
        <v>13.620000000000001</v>
      </c>
    </row>
    <row r="948" spans="1:26" ht="42.75" x14ac:dyDescent="0.2">
      <c r="A948" s="45" t="str">
        <f>Source!E455</f>
        <v>91</v>
      </c>
      <c r="B948" s="46" t="str">
        <f>Source!F455</f>
        <v>п01-12-021-01</v>
      </c>
      <c r="C948" s="46" t="str">
        <f>Source!G455</f>
        <v>Испытание аппарата коммутационного напряжением до 1 кВ (силовых цепей) (автоматы)</v>
      </c>
      <c r="D948" s="29" t="str">
        <f>Source!H455</f>
        <v>испытание</v>
      </c>
      <c r="E948" s="11">
        <f>Source!I455</f>
        <v>46</v>
      </c>
      <c r="F948" s="30">
        <f>Source!AL455+Source!AM455+Source!AO455</f>
        <v>19.63</v>
      </c>
      <c r="G948" s="31"/>
      <c r="H948" s="30"/>
      <c r="I948" s="31" t="str">
        <f>Source!BO455</f>
        <v/>
      </c>
      <c r="J948" s="31"/>
      <c r="K948" s="30"/>
      <c r="L948" s="32"/>
      <c r="S948">
        <f>ROUND((Source!FX455/100)*((ROUND(Source!AF455*Source!I455, 2)+ROUND(Source!AE455*Source!I455, 2))), 2)</f>
        <v>469.43</v>
      </c>
      <c r="T948">
        <f>Source!X455</f>
        <v>8891.01</v>
      </c>
      <c r="U948">
        <f>ROUND((Source!FY455/100)*((ROUND(Source!AF455*Source!I455, 2)+ROUND(Source!AE455*Source!I455, 2))), 2)</f>
        <v>288.88</v>
      </c>
      <c r="V948">
        <f>Source!Y455</f>
        <v>5471.39</v>
      </c>
    </row>
    <row r="949" spans="1:26" ht="14.25" x14ac:dyDescent="0.2">
      <c r="A949" s="45"/>
      <c r="B949" s="46"/>
      <c r="C949" s="46" t="s">
        <v>1636</v>
      </c>
      <c r="D949" s="29"/>
      <c r="E949" s="11"/>
      <c r="F949" s="30">
        <f>Source!AO455</f>
        <v>19.63</v>
      </c>
      <c r="G949" s="31" t="str">
        <f>Source!DG455</f>
        <v>)*0,8</v>
      </c>
      <c r="H949" s="30">
        <f>ROUND(Source!AF455*Source!I455, 2)</f>
        <v>722.2</v>
      </c>
      <c r="I949" s="31"/>
      <c r="J949" s="31">
        <f>IF(Source!BA455&lt;&gt; 0, Source!BA455, 1)</f>
        <v>18.940000000000001</v>
      </c>
      <c r="K949" s="30">
        <f>Source!S455</f>
        <v>13678.47</v>
      </c>
      <c r="L949" s="32"/>
      <c r="R949">
        <f>H949</f>
        <v>722.2</v>
      </c>
    </row>
    <row r="950" spans="1:26" ht="14.25" x14ac:dyDescent="0.2">
      <c r="A950" s="45"/>
      <c r="B950" s="46"/>
      <c r="C950" s="46" t="s">
        <v>1638</v>
      </c>
      <c r="D950" s="29" t="s">
        <v>1639</v>
      </c>
      <c r="E950" s="11">
        <f>Source!BZ455</f>
        <v>65</v>
      </c>
      <c r="F950" s="49"/>
      <c r="G950" s="31"/>
      <c r="H950" s="30">
        <f>SUM(S948:S952)</f>
        <v>469.43</v>
      </c>
      <c r="I950" s="34"/>
      <c r="J950" s="27">
        <f>Source!AT455</f>
        <v>65</v>
      </c>
      <c r="K950" s="30">
        <f>SUM(T948:T952)</f>
        <v>8891.01</v>
      </c>
      <c r="L950" s="32"/>
    </row>
    <row r="951" spans="1:26" ht="14.25" x14ac:dyDescent="0.2">
      <c r="A951" s="45"/>
      <c r="B951" s="46"/>
      <c r="C951" s="46" t="s">
        <v>1640</v>
      </c>
      <c r="D951" s="29" t="s">
        <v>1639</v>
      </c>
      <c r="E951" s="11">
        <f>Source!CA455</f>
        <v>40</v>
      </c>
      <c r="F951" s="49"/>
      <c r="G951" s="31"/>
      <c r="H951" s="30">
        <f>SUM(U948:U952)</f>
        <v>288.88</v>
      </c>
      <c r="I951" s="34"/>
      <c r="J951" s="27">
        <f>Source!AU455</f>
        <v>40</v>
      </c>
      <c r="K951" s="30">
        <f>SUM(V948:V952)</f>
        <v>5471.39</v>
      </c>
      <c r="L951" s="32"/>
    </row>
    <row r="952" spans="1:26" ht="14.25" x14ac:dyDescent="0.2">
      <c r="A952" s="47"/>
      <c r="B952" s="48"/>
      <c r="C952" s="48" t="s">
        <v>1641</v>
      </c>
      <c r="D952" s="35" t="s">
        <v>1642</v>
      </c>
      <c r="E952" s="36">
        <f>Source!AQ455</f>
        <v>1.62</v>
      </c>
      <c r="F952" s="37"/>
      <c r="G952" s="38" t="str">
        <f>Source!DI455</f>
        <v>)*0,8</v>
      </c>
      <c r="H952" s="37"/>
      <c r="I952" s="38"/>
      <c r="J952" s="38"/>
      <c r="K952" s="37"/>
      <c r="L952" s="39">
        <f>Source!U455</f>
        <v>59.616000000000014</v>
      </c>
    </row>
    <row r="953" spans="1:26" ht="15" x14ac:dyDescent="0.25">
      <c r="G953" s="70">
        <f>H949+H950+H951</f>
        <v>1480.5100000000002</v>
      </c>
      <c r="H953" s="70"/>
      <c r="J953" s="70">
        <f>K949+K950+K951</f>
        <v>28040.87</v>
      </c>
      <c r="K953" s="70"/>
      <c r="L953" s="40">
        <f>Source!U455</f>
        <v>59.616000000000014</v>
      </c>
      <c r="O953" s="24">
        <f>G953</f>
        <v>1480.5100000000002</v>
      </c>
      <c r="P953" s="24">
        <f>J953</f>
        <v>28040.87</v>
      </c>
      <c r="Q953" s="24">
        <f>L953</f>
        <v>59.616000000000014</v>
      </c>
      <c r="W953">
        <f>IF(Source!BI455&lt;=1,H949+H950+H951, 0)</f>
        <v>0</v>
      </c>
      <c r="X953">
        <f>IF(Source!BI455=2,H949+H950+H951, 0)</f>
        <v>0</v>
      </c>
      <c r="Y953">
        <f>IF(Source!BI455=3,H949+H950+H951, 0)</f>
        <v>0</v>
      </c>
      <c r="Z953">
        <f>IF(Source!BI455=4,H949+H950+H951, 0)</f>
        <v>1480.5100000000002</v>
      </c>
    </row>
    <row r="955" spans="1:26" ht="15" x14ac:dyDescent="0.25">
      <c r="A955" s="74" t="str">
        <f>CONCATENATE("Итого по разделу: ",IF(Source!G457&lt;&gt;"Новый раздел", Source!G457, ""))</f>
        <v>Итого по разделу: 3 Пусконаладочные работы</v>
      </c>
      <c r="B955" s="74"/>
      <c r="C955" s="74"/>
      <c r="D955" s="74"/>
      <c r="E955" s="74"/>
      <c r="F955" s="74"/>
      <c r="G955" s="73">
        <f>SUM(O928:O954)</f>
        <v>4719.24</v>
      </c>
      <c r="H955" s="73"/>
      <c r="I955" s="26"/>
      <c r="J955" s="73">
        <f>SUM(P928:P954)</f>
        <v>89382.03</v>
      </c>
      <c r="K955" s="73"/>
      <c r="L955" s="40">
        <f>SUM(Q928:Q954)</f>
        <v>182.96640000000002</v>
      </c>
    </row>
    <row r="956" spans="1:26" ht="16.5" x14ac:dyDescent="0.25">
      <c r="A956" s="75" t="str">
        <f>CONCATENATE("Раздел: ",IF(Source!G486&lt;&gt;"Новый раздел", Source!G486, ""))</f>
        <v>Раздел: 4 Пожарная сигнализация</v>
      </c>
      <c r="B956" s="75"/>
      <c r="C956" s="75"/>
      <c r="D956" s="75"/>
      <c r="E956" s="75"/>
      <c r="F956" s="75"/>
      <c r="G956" s="75"/>
      <c r="H956" s="75"/>
      <c r="I956" s="75"/>
      <c r="J956" s="75"/>
      <c r="K956" s="75"/>
      <c r="L956" s="75"/>
    </row>
    <row r="957" spans="1:26" ht="57" x14ac:dyDescent="0.2">
      <c r="A957" s="45" t="str">
        <f>Source!E490</f>
        <v>92</v>
      </c>
      <c r="B957" s="46" t="str">
        <f>Source!F490</f>
        <v>м10-08-002-02</v>
      </c>
      <c r="C957" s="46" t="str">
        <f>Source!G490</f>
        <v>Извещатель ПС автоматический дымовой, фотоэлектрический, радиоизотопный, световой в нормальном исполнении</v>
      </c>
      <c r="D957" s="29" t="str">
        <f>Source!H490</f>
        <v>ШТ</v>
      </c>
      <c r="E957" s="11">
        <f>Source!I490</f>
        <v>7</v>
      </c>
      <c r="F957" s="30">
        <f>Source!AL490+Source!AM490+Source!AO490</f>
        <v>18.91</v>
      </c>
      <c r="G957" s="31"/>
      <c r="H957" s="30"/>
      <c r="I957" s="31" t="str">
        <f>Source!BO490</f>
        <v/>
      </c>
      <c r="J957" s="31"/>
      <c r="K957" s="30"/>
      <c r="L957" s="32"/>
      <c r="S957">
        <f>ROUND((Source!FX490/100)*((ROUND(Source!AF490*Source!I490, 2)+ROUND(Source!AE490*Source!I490, 2))), 2)</f>
        <v>90.5</v>
      </c>
      <c r="T957">
        <f>Source!X490</f>
        <v>593.66</v>
      </c>
      <c r="U957">
        <f>ROUND((Source!FY490/100)*((ROUND(Source!AF490*Source!I490, 2)+ROUND(Source!AE490*Source!I490, 2))), 2)</f>
        <v>67.87</v>
      </c>
      <c r="V957">
        <f>Source!Y490</f>
        <v>445.24</v>
      </c>
    </row>
    <row r="958" spans="1:26" ht="14.25" x14ac:dyDescent="0.2">
      <c r="A958" s="45"/>
      <c r="B958" s="46"/>
      <c r="C958" s="46" t="s">
        <v>1636</v>
      </c>
      <c r="D958" s="29"/>
      <c r="E958" s="11"/>
      <c r="F958" s="30">
        <f>Source!AO490</f>
        <v>16.16</v>
      </c>
      <c r="G958" s="31" t="str">
        <f>Source!DG490</f>
        <v/>
      </c>
      <c r="H958" s="30">
        <f>ROUND(Source!AF490*Source!I490, 2)</f>
        <v>113.12</v>
      </c>
      <c r="I958" s="31"/>
      <c r="J958" s="31">
        <f>IF(Source!BA490&lt;&gt; 0, Source!BA490, 1)</f>
        <v>6.56</v>
      </c>
      <c r="K958" s="30">
        <f>Source!S490</f>
        <v>742.07</v>
      </c>
      <c r="L958" s="32"/>
      <c r="R958">
        <f>H958</f>
        <v>113.12</v>
      </c>
    </row>
    <row r="959" spans="1:26" ht="14.25" x14ac:dyDescent="0.2">
      <c r="A959" s="45"/>
      <c r="B959" s="46"/>
      <c r="C959" s="46" t="s">
        <v>1643</v>
      </c>
      <c r="D959" s="29"/>
      <c r="E959" s="11"/>
      <c r="F959" s="30">
        <f>Source!AL490</f>
        <v>2.75</v>
      </c>
      <c r="G959" s="31" t="str">
        <f>Source!DD490</f>
        <v/>
      </c>
      <c r="H959" s="30">
        <f>ROUND(Source!AC490*Source!I490, 2)</f>
        <v>19.25</v>
      </c>
      <c r="I959" s="31"/>
      <c r="J959" s="31">
        <f>IF(Source!BC490&lt;&gt; 0, Source!BC490, 1)</f>
        <v>6.56</v>
      </c>
      <c r="K959" s="30">
        <f>Source!P490</f>
        <v>126.28</v>
      </c>
      <c r="L959" s="32"/>
    </row>
    <row r="960" spans="1:26" ht="14.25" x14ac:dyDescent="0.2">
      <c r="A960" s="45"/>
      <c r="B960" s="46"/>
      <c r="C960" s="46" t="s">
        <v>1638</v>
      </c>
      <c r="D960" s="29" t="s">
        <v>1639</v>
      </c>
      <c r="E960" s="11">
        <f>Source!BZ490</f>
        <v>80</v>
      </c>
      <c r="F960" s="49"/>
      <c r="G960" s="31"/>
      <c r="H960" s="30">
        <f>SUM(S957:S963)</f>
        <v>90.5</v>
      </c>
      <c r="I960" s="34"/>
      <c r="J960" s="27">
        <f>Source!AT490</f>
        <v>80</v>
      </c>
      <c r="K960" s="30">
        <f>SUM(T957:T963)</f>
        <v>593.66</v>
      </c>
      <c r="L960" s="32"/>
    </row>
    <row r="961" spans="1:26" ht="14.25" x14ac:dyDescent="0.2">
      <c r="A961" s="45"/>
      <c r="B961" s="46"/>
      <c r="C961" s="46" t="s">
        <v>1640</v>
      </c>
      <c r="D961" s="29" t="s">
        <v>1639</v>
      </c>
      <c r="E961" s="11">
        <f>Source!CA490</f>
        <v>60</v>
      </c>
      <c r="F961" s="49"/>
      <c r="G961" s="31"/>
      <c r="H961" s="30">
        <f>SUM(U957:U963)</f>
        <v>67.87</v>
      </c>
      <c r="I961" s="34"/>
      <c r="J961" s="27">
        <f>Source!AU490</f>
        <v>60</v>
      </c>
      <c r="K961" s="30">
        <f>SUM(V957:V963)</f>
        <v>445.24</v>
      </c>
      <c r="L961" s="32"/>
    </row>
    <row r="962" spans="1:26" ht="14.25" x14ac:dyDescent="0.2">
      <c r="A962" s="45"/>
      <c r="B962" s="46"/>
      <c r="C962" s="46" t="s">
        <v>1641</v>
      </c>
      <c r="D962" s="29" t="s">
        <v>1642</v>
      </c>
      <c r="E962" s="11">
        <f>Source!AQ490</f>
        <v>1.68</v>
      </c>
      <c r="F962" s="30"/>
      <c r="G962" s="31" t="str">
        <f>Source!DI490</f>
        <v/>
      </c>
      <c r="H962" s="30"/>
      <c r="I962" s="31"/>
      <c r="J962" s="31"/>
      <c r="K962" s="30"/>
      <c r="L962" s="41">
        <f>Source!U490</f>
        <v>11.76</v>
      </c>
    </row>
    <row r="963" spans="1:26" ht="28.5" x14ac:dyDescent="0.2">
      <c r="A963" s="47" t="str">
        <f>Source!E491</f>
        <v>92,1</v>
      </c>
      <c r="B963" s="48" t="str">
        <f>Source!F491</f>
        <v>61.2.02.01-0019</v>
      </c>
      <c r="C963" s="48" t="str">
        <f>Source!G491</f>
        <v>Извещатель пожарный дымовой ДИП-34А</v>
      </c>
      <c r="D963" s="35" t="str">
        <f>Source!H491</f>
        <v>10 шт.</v>
      </c>
      <c r="E963" s="36">
        <f>Source!I491</f>
        <v>0.7</v>
      </c>
      <c r="F963" s="37">
        <f>Source!AL491+Source!AM491+Source!AO491</f>
        <v>1165.22</v>
      </c>
      <c r="G963" s="43" t="s">
        <v>6</v>
      </c>
      <c r="H963" s="37">
        <f>ROUND(Source!AC491*Source!I491, 2)+ROUND(Source!AD491*Source!I491, 2)+ROUND(Source!AF491*Source!I491, 2)</f>
        <v>815.65</v>
      </c>
      <c r="I963" s="38"/>
      <c r="J963" s="38">
        <f>IF(Source!BC491&lt;&gt; 0, Source!BC491, 1)</f>
        <v>6.56</v>
      </c>
      <c r="K963" s="37">
        <f>Source!O491</f>
        <v>5350.69</v>
      </c>
      <c r="L963" s="44"/>
      <c r="S963">
        <f>ROUND((Source!FX491/100)*((ROUND(Source!AF491*Source!I491, 2)+ROUND(Source!AE491*Source!I491, 2))), 2)</f>
        <v>0</v>
      </c>
      <c r="T963">
        <f>Source!X491</f>
        <v>0</v>
      </c>
      <c r="U963">
        <f>ROUND((Source!FY491/100)*((ROUND(Source!AF491*Source!I491, 2)+ROUND(Source!AE491*Source!I491, 2))), 2)</f>
        <v>0</v>
      </c>
      <c r="V963">
        <f>Source!Y491</f>
        <v>0</v>
      </c>
      <c r="W963">
        <f>IF(Source!BI491&lt;=1,H963, 0)</f>
        <v>0</v>
      </c>
      <c r="X963">
        <f>IF(Source!BI491=2,H963, 0)</f>
        <v>815.65</v>
      </c>
      <c r="Y963">
        <f>IF(Source!BI491=3,H963, 0)</f>
        <v>0</v>
      </c>
      <c r="Z963">
        <f>IF(Source!BI491=4,H963, 0)</f>
        <v>0</v>
      </c>
    </row>
    <row r="964" spans="1:26" ht="15" x14ac:dyDescent="0.25">
      <c r="G964" s="70">
        <f>H958+H959+H960+H961+SUM(H963:H963)</f>
        <v>1106.3899999999999</v>
      </c>
      <c r="H964" s="70"/>
      <c r="J964" s="70">
        <f>K958+K959+K960+K961+SUM(K963:K963)</f>
        <v>7257.94</v>
      </c>
      <c r="K964" s="70"/>
      <c r="L964" s="40">
        <f>Source!U490</f>
        <v>11.76</v>
      </c>
      <c r="O964" s="24">
        <f>G964</f>
        <v>1106.3899999999999</v>
      </c>
      <c r="P964" s="24">
        <f>J964</f>
        <v>7257.94</v>
      </c>
      <c r="Q964" s="24">
        <f>L964</f>
        <v>11.76</v>
      </c>
      <c r="W964">
        <f>IF(Source!BI490&lt;=1,H958+H959+H960+H961, 0)</f>
        <v>0</v>
      </c>
      <c r="X964">
        <f>IF(Source!BI490=2,H958+H959+H960+H961, 0)</f>
        <v>290.74</v>
      </c>
      <c r="Y964">
        <f>IF(Source!BI490=3,H958+H959+H960+H961, 0)</f>
        <v>0</v>
      </c>
      <c r="Z964">
        <f>IF(Source!BI490=4,H958+H959+H960+H961, 0)</f>
        <v>0</v>
      </c>
    </row>
    <row r="965" spans="1:26" ht="28.5" x14ac:dyDescent="0.2">
      <c r="A965" s="45" t="str">
        <f>Source!E492</f>
        <v>93</v>
      </c>
      <c r="B965" s="46" t="str">
        <f>Source!F492</f>
        <v>м08-10-010-01</v>
      </c>
      <c r="C965" s="46" t="str">
        <f>Source!G492</f>
        <v>Прокладка труб гофрированных ПВХ для защиты проводов и кабелей</v>
      </c>
      <c r="D965" s="29" t="str">
        <f>Source!H492</f>
        <v>100 м</v>
      </c>
      <c r="E965" s="11">
        <f>Source!I492</f>
        <v>0.16</v>
      </c>
      <c r="F965" s="30">
        <f>Source!AL492+Source!AM492+Source!AO492</f>
        <v>156.32999999999998</v>
      </c>
      <c r="G965" s="31"/>
      <c r="H965" s="30"/>
      <c r="I965" s="31" t="str">
        <f>Source!BO492</f>
        <v/>
      </c>
      <c r="J965" s="31"/>
      <c r="K965" s="30"/>
      <c r="L965" s="32"/>
      <c r="S965">
        <f>ROUND((Source!FX492/100)*((ROUND(Source!AF492*Source!I492, 2)+ROUND(Source!AE492*Source!I492, 2))), 2)</f>
        <v>21.21</v>
      </c>
      <c r="T965">
        <f>Source!X492</f>
        <v>139.13999999999999</v>
      </c>
      <c r="U965">
        <f>ROUND((Source!FY492/100)*((ROUND(Source!AF492*Source!I492, 2)+ROUND(Source!AE492*Source!I492, 2))), 2)</f>
        <v>14.51</v>
      </c>
      <c r="V965">
        <f>Source!Y492</f>
        <v>95.2</v>
      </c>
    </row>
    <row r="966" spans="1:26" x14ac:dyDescent="0.2">
      <c r="C966" s="23" t="str">
        <f>"Объем: "&amp;Source!I492&amp;"=16/"&amp;"100"</f>
        <v>Объем: 0,16=16/100</v>
      </c>
    </row>
    <row r="967" spans="1:26" ht="14.25" x14ac:dyDescent="0.2">
      <c r="A967" s="45"/>
      <c r="B967" s="46"/>
      <c r="C967" s="46" t="s">
        <v>1636</v>
      </c>
      <c r="D967" s="29"/>
      <c r="E967" s="11"/>
      <c r="F967" s="30">
        <f>Source!AO492</f>
        <v>139.54</v>
      </c>
      <c r="G967" s="31" t="str">
        <f>Source!DG492</f>
        <v/>
      </c>
      <c r="H967" s="30">
        <f>ROUND(Source!AF492*Source!I492, 2)</f>
        <v>22.33</v>
      </c>
      <c r="I967" s="31"/>
      <c r="J967" s="31">
        <f>IF(Source!BA492&lt;&gt; 0, Source!BA492, 1)</f>
        <v>6.56</v>
      </c>
      <c r="K967" s="30">
        <f>Source!S492</f>
        <v>146.46</v>
      </c>
      <c r="L967" s="32"/>
      <c r="R967">
        <f>H967</f>
        <v>22.33</v>
      </c>
    </row>
    <row r="968" spans="1:26" ht="14.25" x14ac:dyDescent="0.2">
      <c r="A968" s="45"/>
      <c r="B968" s="46"/>
      <c r="C968" s="46" t="s">
        <v>1643</v>
      </c>
      <c r="D968" s="29"/>
      <c r="E968" s="11"/>
      <c r="F968" s="30">
        <f>Source!AL492</f>
        <v>16.79</v>
      </c>
      <c r="G968" s="31" t="str">
        <f>Source!DD492</f>
        <v/>
      </c>
      <c r="H968" s="30">
        <f>ROUND(Source!AC492*Source!I492, 2)</f>
        <v>2.69</v>
      </c>
      <c r="I968" s="31"/>
      <c r="J968" s="31">
        <f>IF(Source!BC492&lt;&gt; 0, Source!BC492, 1)</f>
        <v>6.56</v>
      </c>
      <c r="K968" s="30">
        <f>Source!P492</f>
        <v>17.62</v>
      </c>
      <c r="L968" s="32"/>
    </row>
    <row r="969" spans="1:26" ht="14.25" x14ac:dyDescent="0.2">
      <c r="A969" s="45"/>
      <c r="B969" s="46"/>
      <c r="C969" s="46" t="s">
        <v>1638</v>
      </c>
      <c r="D969" s="29" t="s">
        <v>1639</v>
      </c>
      <c r="E969" s="11">
        <f>Source!BZ492</f>
        <v>95</v>
      </c>
      <c r="F969" s="49"/>
      <c r="G969" s="31"/>
      <c r="H969" s="30">
        <f>SUM(S965:S972)</f>
        <v>21.21</v>
      </c>
      <c r="I969" s="34"/>
      <c r="J969" s="27">
        <f>Source!AT492</f>
        <v>95</v>
      </c>
      <c r="K969" s="30">
        <f>SUM(T965:T972)</f>
        <v>139.13999999999999</v>
      </c>
      <c r="L969" s="32"/>
    </row>
    <row r="970" spans="1:26" ht="14.25" x14ac:dyDescent="0.2">
      <c r="A970" s="45"/>
      <c r="B970" s="46"/>
      <c r="C970" s="46" t="s">
        <v>1640</v>
      </c>
      <c r="D970" s="29" t="s">
        <v>1639</v>
      </c>
      <c r="E970" s="11">
        <f>Source!CA492</f>
        <v>65</v>
      </c>
      <c r="F970" s="49"/>
      <c r="G970" s="31"/>
      <c r="H970" s="30">
        <f>SUM(U965:U972)</f>
        <v>14.51</v>
      </c>
      <c r="I970" s="34"/>
      <c r="J970" s="27">
        <f>Source!AU492</f>
        <v>65</v>
      </c>
      <c r="K970" s="30">
        <f>SUM(V965:V972)</f>
        <v>95.2</v>
      </c>
      <c r="L970" s="32"/>
    </row>
    <row r="971" spans="1:26" ht="14.25" x14ac:dyDescent="0.2">
      <c r="A971" s="45"/>
      <c r="B971" s="46"/>
      <c r="C971" s="46" t="s">
        <v>1641</v>
      </c>
      <c r="D971" s="29" t="s">
        <v>1642</v>
      </c>
      <c r="E971" s="11">
        <f>Source!AQ492</f>
        <v>15.2</v>
      </c>
      <c r="F971" s="30"/>
      <c r="G971" s="31" t="str">
        <f>Source!DI492</f>
        <v/>
      </c>
      <c r="H971" s="30"/>
      <c r="I971" s="31"/>
      <c r="J971" s="31"/>
      <c r="K971" s="30"/>
      <c r="L971" s="41">
        <f>Source!U492</f>
        <v>2.4319999999999999</v>
      </c>
    </row>
    <row r="972" spans="1:26" ht="42.75" x14ac:dyDescent="0.2">
      <c r="A972" s="47" t="str">
        <f>Source!E493</f>
        <v>93,1</v>
      </c>
      <c r="B972" s="48" t="str">
        <f>Source!F493</f>
        <v>24.3.01.02-0021</v>
      </c>
      <c r="C972" s="48" t="str">
        <f>Source!G493</f>
        <v>Трубы гибкие гофрированные легкие из самозатухающего ПВХ (IP55) серии FL, с зондом, диаметром 16 мм</v>
      </c>
      <c r="D972" s="35" t="str">
        <f>Source!H493</f>
        <v>10 м</v>
      </c>
      <c r="E972" s="36">
        <f>Source!I493</f>
        <v>1.6</v>
      </c>
      <c r="F972" s="37">
        <f>Source!AL493+Source!AM493+Source!AO493</f>
        <v>16.11</v>
      </c>
      <c r="G972" s="43" t="s">
        <v>6</v>
      </c>
      <c r="H972" s="37">
        <f>ROUND(Source!AC493*Source!I493, 2)+ROUND(Source!AD493*Source!I493, 2)+ROUND(Source!AF493*Source!I493, 2)</f>
        <v>25.78</v>
      </c>
      <c r="I972" s="38"/>
      <c r="J972" s="38">
        <f>IF(Source!BC493&lt;&gt; 0, Source!BC493, 1)</f>
        <v>6.56</v>
      </c>
      <c r="K972" s="37">
        <f>Source!O493</f>
        <v>169.09</v>
      </c>
      <c r="L972" s="44"/>
      <c r="S972">
        <f>ROUND((Source!FX493/100)*((ROUND(Source!AF493*Source!I493, 2)+ROUND(Source!AE493*Source!I493, 2))), 2)</f>
        <v>0</v>
      </c>
      <c r="T972">
        <f>Source!X493</f>
        <v>0</v>
      </c>
      <c r="U972">
        <f>ROUND((Source!FY493/100)*((ROUND(Source!AF493*Source!I493, 2)+ROUND(Source!AE493*Source!I493, 2))), 2)</f>
        <v>0</v>
      </c>
      <c r="V972">
        <f>Source!Y493</f>
        <v>0</v>
      </c>
      <c r="W972">
        <f>IF(Source!BI493&lt;=1,H972, 0)</f>
        <v>0</v>
      </c>
      <c r="X972">
        <f>IF(Source!BI493=2,H972, 0)</f>
        <v>25.78</v>
      </c>
      <c r="Y972">
        <f>IF(Source!BI493=3,H972, 0)</f>
        <v>0</v>
      </c>
      <c r="Z972">
        <f>IF(Source!BI493=4,H972, 0)</f>
        <v>0</v>
      </c>
    </row>
    <row r="973" spans="1:26" ht="15" x14ac:dyDescent="0.25">
      <c r="G973" s="70">
        <f>H967+H968+H969+H970+SUM(H972:H972)</f>
        <v>86.52000000000001</v>
      </c>
      <c r="H973" s="70"/>
      <c r="J973" s="70">
        <f>K967+K968+K969+K970+SUM(K972:K972)</f>
        <v>567.51</v>
      </c>
      <c r="K973" s="70"/>
      <c r="L973" s="40">
        <f>Source!U492</f>
        <v>2.4319999999999999</v>
      </c>
      <c r="O973" s="24">
        <f>G973</f>
        <v>86.52000000000001</v>
      </c>
      <c r="P973" s="24">
        <f>J973</f>
        <v>567.51</v>
      </c>
      <c r="Q973" s="24">
        <f>L973</f>
        <v>2.4319999999999999</v>
      </c>
      <c r="W973">
        <f>IF(Source!BI492&lt;=1,H967+H968+H969+H970, 0)</f>
        <v>0</v>
      </c>
      <c r="X973">
        <f>IF(Source!BI492=2,H967+H968+H969+H970, 0)</f>
        <v>60.74</v>
      </c>
      <c r="Y973">
        <f>IF(Source!BI492=3,H967+H968+H969+H970, 0)</f>
        <v>0</v>
      </c>
      <c r="Z973">
        <f>IF(Source!BI492=4,H967+H968+H969+H970, 0)</f>
        <v>0</v>
      </c>
    </row>
    <row r="974" spans="1:26" ht="71.25" x14ac:dyDescent="0.2">
      <c r="A974" s="45" t="str">
        <f>Source!E494</f>
        <v>94</v>
      </c>
      <c r="B974" s="46" t="str">
        <f>Source!F494</f>
        <v>м08-02-412-02</v>
      </c>
      <c r="C974" s="46" t="str">
        <f>Source!G494</f>
        <v>Затягивание провода в проложенные трубы и металлические рукава первого одножильного или многожильного в общей оплетке, суммарное сечение до 6 мм2</v>
      </c>
      <c r="D974" s="29" t="str">
        <f>Source!H494</f>
        <v>100 м</v>
      </c>
      <c r="E974" s="11">
        <f>Source!I494</f>
        <v>0.24</v>
      </c>
      <c r="F974" s="30">
        <f>Source!AL494+Source!AM494+Source!AO494</f>
        <v>68.7</v>
      </c>
      <c r="G974" s="31"/>
      <c r="H974" s="30"/>
      <c r="I974" s="31" t="str">
        <f>Source!BO494</f>
        <v/>
      </c>
      <c r="J974" s="31"/>
      <c r="K974" s="30"/>
      <c r="L974" s="32"/>
      <c r="S974">
        <f>ROUND((Source!FX494/100)*((ROUND(Source!AF494*Source!I494, 2)+ROUND(Source!AE494*Source!I494, 2))), 2)</f>
        <v>11.67</v>
      </c>
      <c r="T974">
        <f>Source!X494</f>
        <v>76.53</v>
      </c>
      <c r="U974">
        <f>ROUND((Source!FY494/100)*((ROUND(Source!AF494*Source!I494, 2)+ROUND(Source!AE494*Source!I494, 2))), 2)</f>
        <v>7.98</v>
      </c>
      <c r="V974">
        <f>Source!Y494</f>
        <v>52.36</v>
      </c>
    </row>
    <row r="975" spans="1:26" x14ac:dyDescent="0.2">
      <c r="C975" s="23" t="str">
        <f>"Объем: "&amp;Source!I494&amp;"=24/"&amp;"100"</f>
        <v>Объем: 0,24=24/100</v>
      </c>
    </row>
    <row r="976" spans="1:26" ht="14.25" x14ac:dyDescent="0.2">
      <c r="A976" s="45"/>
      <c r="B976" s="46"/>
      <c r="C976" s="46" t="s">
        <v>1636</v>
      </c>
      <c r="D976" s="29"/>
      <c r="E976" s="11"/>
      <c r="F976" s="30">
        <f>Source!AO494</f>
        <v>50.67</v>
      </c>
      <c r="G976" s="31" t="str">
        <f>Source!DG494</f>
        <v/>
      </c>
      <c r="H976" s="30">
        <f>ROUND(Source!AF494*Source!I494, 2)</f>
        <v>12.16</v>
      </c>
      <c r="I976" s="31"/>
      <c r="J976" s="31">
        <f>IF(Source!BA494&lt;&gt; 0, Source!BA494, 1)</f>
        <v>6.56</v>
      </c>
      <c r="K976" s="30">
        <f>Source!S494</f>
        <v>79.77</v>
      </c>
      <c r="L976" s="32"/>
      <c r="R976">
        <f>H976</f>
        <v>12.16</v>
      </c>
    </row>
    <row r="977" spans="1:26" ht="14.25" x14ac:dyDescent="0.2">
      <c r="A977" s="45"/>
      <c r="B977" s="46"/>
      <c r="C977" s="46" t="s">
        <v>136</v>
      </c>
      <c r="D977" s="29"/>
      <c r="E977" s="11"/>
      <c r="F977" s="30">
        <f>Source!AM494</f>
        <v>3.55</v>
      </c>
      <c r="G977" s="31" t="str">
        <f>Source!DE494</f>
        <v/>
      </c>
      <c r="H977" s="30">
        <f>ROUND(Source!AD494*Source!I494, 2)</f>
        <v>0.85</v>
      </c>
      <c r="I977" s="31"/>
      <c r="J977" s="31">
        <f>IF(Source!BB494&lt;&gt; 0, Source!BB494, 1)</f>
        <v>6.56</v>
      </c>
      <c r="K977" s="30">
        <f>Source!Q494</f>
        <v>5.59</v>
      </c>
      <c r="L977" s="32"/>
    </row>
    <row r="978" spans="1:26" ht="14.25" x14ac:dyDescent="0.2">
      <c r="A978" s="45"/>
      <c r="B978" s="46"/>
      <c r="C978" s="46" t="s">
        <v>1637</v>
      </c>
      <c r="D978" s="29"/>
      <c r="E978" s="11"/>
      <c r="F978" s="30">
        <f>Source!AN494</f>
        <v>0.5</v>
      </c>
      <c r="G978" s="31" t="str">
        <f>Source!DF494</f>
        <v/>
      </c>
      <c r="H978" s="33">
        <f>ROUND(Source!AE494*Source!I494, 2)</f>
        <v>0.12</v>
      </c>
      <c r="I978" s="31"/>
      <c r="J978" s="31">
        <f>IF(Source!BS494&lt;&gt; 0, Source!BS494, 1)</f>
        <v>6.56</v>
      </c>
      <c r="K978" s="33">
        <f>Source!R494</f>
        <v>0.79</v>
      </c>
      <c r="L978" s="32"/>
      <c r="R978">
        <f>H978</f>
        <v>0.12</v>
      </c>
    </row>
    <row r="979" spans="1:26" ht="14.25" x14ac:dyDescent="0.2">
      <c r="A979" s="45"/>
      <c r="B979" s="46"/>
      <c r="C979" s="46" t="s">
        <v>1643</v>
      </c>
      <c r="D979" s="29"/>
      <c r="E979" s="11"/>
      <c r="F979" s="30">
        <f>Source!AL494</f>
        <v>14.48</v>
      </c>
      <c r="G979" s="31" t="str">
        <f>Source!DD494</f>
        <v/>
      </c>
      <c r="H979" s="30">
        <f>ROUND(Source!AC494*Source!I494, 2)</f>
        <v>3.48</v>
      </c>
      <c r="I979" s="31"/>
      <c r="J979" s="31">
        <f>IF(Source!BC494&lt;&gt; 0, Source!BC494, 1)</f>
        <v>6.56</v>
      </c>
      <c r="K979" s="30">
        <f>Source!P494</f>
        <v>22.8</v>
      </c>
      <c r="L979" s="32"/>
    </row>
    <row r="980" spans="1:26" ht="14.25" x14ac:dyDescent="0.2">
      <c r="A980" s="45"/>
      <c r="B980" s="46"/>
      <c r="C980" s="46" t="s">
        <v>1638</v>
      </c>
      <c r="D980" s="29" t="s">
        <v>1639</v>
      </c>
      <c r="E980" s="11">
        <f>Source!BZ494</f>
        <v>95</v>
      </c>
      <c r="F980" s="49"/>
      <c r="G980" s="31"/>
      <c r="H980" s="30">
        <f>SUM(S974:S983)</f>
        <v>11.67</v>
      </c>
      <c r="I980" s="34"/>
      <c r="J980" s="27">
        <f>Source!AT494</f>
        <v>95</v>
      </c>
      <c r="K980" s="30">
        <f>SUM(T974:T983)</f>
        <v>76.53</v>
      </c>
      <c r="L980" s="32"/>
    </row>
    <row r="981" spans="1:26" ht="14.25" x14ac:dyDescent="0.2">
      <c r="A981" s="45"/>
      <c r="B981" s="46"/>
      <c r="C981" s="46" t="s">
        <v>1640</v>
      </c>
      <c r="D981" s="29" t="s">
        <v>1639</v>
      </c>
      <c r="E981" s="11">
        <f>Source!CA494</f>
        <v>65</v>
      </c>
      <c r="F981" s="49"/>
      <c r="G981" s="31"/>
      <c r="H981" s="30">
        <f>SUM(U974:U983)</f>
        <v>7.98</v>
      </c>
      <c r="I981" s="34"/>
      <c r="J981" s="27">
        <f>Source!AU494</f>
        <v>65</v>
      </c>
      <c r="K981" s="30">
        <f>SUM(V974:V983)</f>
        <v>52.36</v>
      </c>
      <c r="L981" s="32"/>
    </row>
    <row r="982" spans="1:26" ht="14.25" x14ac:dyDescent="0.2">
      <c r="A982" s="45"/>
      <c r="B982" s="46"/>
      <c r="C982" s="46" t="s">
        <v>1641</v>
      </c>
      <c r="D982" s="29" t="s">
        <v>1642</v>
      </c>
      <c r="E982" s="11">
        <f>Source!AQ494</f>
        <v>5.39</v>
      </c>
      <c r="F982" s="30"/>
      <c r="G982" s="31" t="str">
        <f>Source!DI494</f>
        <v/>
      </c>
      <c r="H982" s="30"/>
      <c r="I982" s="31"/>
      <c r="J982" s="31"/>
      <c r="K982" s="30"/>
      <c r="L982" s="41">
        <f>Source!U494</f>
        <v>1.2935999999999999</v>
      </c>
    </row>
    <row r="983" spans="1:26" ht="128.25" x14ac:dyDescent="0.2">
      <c r="A983" s="47" t="str">
        <f>Source!E495</f>
        <v>94,1</v>
      </c>
      <c r="B983" s="48" t="str">
        <f>Source!F495</f>
        <v>21.1.08.01-0131</v>
      </c>
      <c r="C983" s="48" t="str">
        <f>Source!G495</f>
        <v>Кабели парной скрутки огнестойкие для систем пожарной сигнализации с однопроволочными медными жилами, изоляцией из кремнийорганической резины, оболочкой из безгалогенной полимерной композиции, не распространяющий горение, с низким дымо- и газовыделением, марки КПСнг(А)-FRHF 1х2х0,5</v>
      </c>
      <c r="D983" s="35" t="str">
        <f>Source!H495</f>
        <v>1000 м</v>
      </c>
      <c r="E983" s="36">
        <f>Source!I495</f>
        <v>2.4E-2</v>
      </c>
      <c r="F983" s="37">
        <f>Source!AL495+Source!AM495+Source!AO495</f>
        <v>7307.7</v>
      </c>
      <c r="G983" s="43" t="s">
        <v>6</v>
      </c>
      <c r="H983" s="37">
        <f>ROUND(Source!AC495*Source!I495, 2)+ROUND(Source!AD495*Source!I495, 2)+ROUND(Source!AF495*Source!I495, 2)</f>
        <v>175.38</v>
      </c>
      <c r="I983" s="38"/>
      <c r="J983" s="38">
        <f>IF(Source!BC495&lt;&gt; 0, Source!BC495, 1)</f>
        <v>6.56</v>
      </c>
      <c r="K983" s="37">
        <f>Source!O495</f>
        <v>1150.52</v>
      </c>
      <c r="L983" s="44"/>
      <c r="S983">
        <f>ROUND((Source!FX495/100)*((ROUND(Source!AF495*Source!I495, 2)+ROUND(Source!AE495*Source!I495, 2))), 2)</f>
        <v>0</v>
      </c>
      <c r="T983">
        <f>Source!X495</f>
        <v>0</v>
      </c>
      <c r="U983">
        <f>ROUND((Source!FY495/100)*((ROUND(Source!AF495*Source!I495, 2)+ROUND(Source!AE495*Source!I495, 2))), 2)</f>
        <v>0</v>
      </c>
      <c r="V983">
        <f>Source!Y495</f>
        <v>0</v>
      </c>
      <c r="W983">
        <f>IF(Source!BI495&lt;=1,H983, 0)</f>
        <v>0</v>
      </c>
      <c r="X983">
        <f>IF(Source!BI495=2,H983, 0)</f>
        <v>175.38</v>
      </c>
      <c r="Y983">
        <f>IF(Source!BI495=3,H983, 0)</f>
        <v>0</v>
      </c>
      <c r="Z983">
        <f>IF(Source!BI495=4,H983, 0)</f>
        <v>0</v>
      </c>
    </row>
    <row r="984" spans="1:26" ht="15" x14ac:dyDescent="0.25">
      <c r="G984" s="70">
        <f>H976+H977+H979+H980+H981+SUM(H983:H983)</f>
        <v>211.51999999999998</v>
      </c>
      <c r="H984" s="70"/>
      <c r="J984" s="70">
        <f>K976+K977+K979+K980+K981+SUM(K983:K983)</f>
        <v>1387.57</v>
      </c>
      <c r="K984" s="70"/>
      <c r="L984" s="40">
        <f>Source!U494</f>
        <v>1.2935999999999999</v>
      </c>
      <c r="O984" s="24">
        <f>G984</f>
        <v>211.51999999999998</v>
      </c>
      <c r="P984" s="24">
        <f>J984</f>
        <v>1387.57</v>
      </c>
      <c r="Q984" s="24">
        <f>L984</f>
        <v>1.2935999999999999</v>
      </c>
      <c r="W984">
        <f>IF(Source!BI494&lt;=1,H976+H977+H979+H980+H981, 0)</f>
        <v>0</v>
      </c>
      <c r="X984">
        <f>IF(Source!BI494=2,H976+H977+H979+H980+H981, 0)</f>
        <v>36.14</v>
      </c>
      <c r="Y984">
        <f>IF(Source!BI494=3,H976+H977+H979+H980+H981, 0)</f>
        <v>0</v>
      </c>
      <c r="Z984">
        <f>IF(Source!BI494=4,H976+H977+H979+H980+H981, 0)</f>
        <v>0</v>
      </c>
    </row>
    <row r="985" spans="1:26" ht="42.75" x14ac:dyDescent="0.2">
      <c r="A985" s="45" t="str">
        <f>Source!E496</f>
        <v>95</v>
      </c>
      <c r="B985" s="46" t="str">
        <f>Source!F496</f>
        <v>м10-02-041-01</v>
      </c>
      <c r="C985" s="46" t="str">
        <f>Source!G496</f>
        <v>Электрическая проверка и настройка устройства центрального управляющего</v>
      </c>
      <c r="D985" s="29" t="str">
        <f>Source!H496</f>
        <v>КОМПЛ</v>
      </c>
      <c r="E985" s="11">
        <f>Source!I496</f>
        <v>1</v>
      </c>
      <c r="F985" s="30">
        <f>Source!AL496+Source!AM496+Source!AO496</f>
        <v>3202.35</v>
      </c>
      <c r="G985" s="31"/>
      <c r="H985" s="30"/>
      <c r="I985" s="31" t="str">
        <f>Source!BO496</f>
        <v/>
      </c>
      <c r="J985" s="31"/>
      <c r="K985" s="30"/>
      <c r="L985" s="32"/>
      <c r="S985">
        <f>ROUND((Source!FX496/100)*((ROUND(Source!AF496*Source!I496, 2)+ROUND(Source!AE496*Source!I496, 2))), 2)</f>
        <v>2511.65</v>
      </c>
      <c r="T985">
        <f>Source!X496</f>
        <v>16476.41</v>
      </c>
      <c r="U985">
        <f>ROUND((Source!FY496/100)*((ROUND(Source!AF496*Source!I496, 2)+ROUND(Source!AE496*Source!I496, 2))), 2)</f>
        <v>1883.74</v>
      </c>
      <c r="V985">
        <f>Source!Y496</f>
        <v>12357.31</v>
      </c>
    </row>
    <row r="986" spans="1:26" ht="14.25" x14ac:dyDescent="0.2">
      <c r="A986" s="45"/>
      <c r="B986" s="46"/>
      <c r="C986" s="46" t="s">
        <v>1636</v>
      </c>
      <c r="D986" s="29"/>
      <c r="E986" s="11"/>
      <c r="F986" s="30">
        <f>Source!AO496</f>
        <v>3139.56</v>
      </c>
      <c r="G986" s="31" t="str">
        <f>Source!DG496</f>
        <v/>
      </c>
      <c r="H986" s="30">
        <f>ROUND(Source!AF496*Source!I496, 2)</f>
        <v>3139.56</v>
      </c>
      <c r="I986" s="31"/>
      <c r="J986" s="31">
        <f>IF(Source!BA496&lt;&gt; 0, Source!BA496, 1)</f>
        <v>6.56</v>
      </c>
      <c r="K986" s="30">
        <f>Source!S496</f>
        <v>20595.509999999998</v>
      </c>
      <c r="L986" s="32"/>
      <c r="R986">
        <f>H986</f>
        <v>3139.56</v>
      </c>
    </row>
    <row r="987" spans="1:26" ht="14.25" x14ac:dyDescent="0.2">
      <c r="A987" s="45"/>
      <c r="B987" s="46"/>
      <c r="C987" s="46" t="s">
        <v>1643</v>
      </c>
      <c r="D987" s="29"/>
      <c r="E987" s="11"/>
      <c r="F987" s="30">
        <f>Source!AL496</f>
        <v>62.79</v>
      </c>
      <c r="G987" s="31" t="str">
        <f>Source!DD496</f>
        <v/>
      </c>
      <c r="H987" s="30">
        <f>ROUND(Source!AC496*Source!I496, 2)</f>
        <v>62.79</v>
      </c>
      <c r="I987" s="31"/>
      <c r="J987" s="31">
        <f>IF(Source!BC496&lt;&gt; 0, Source!BC496, 1)</f>
        <v>6.56</v>
      </c>
      <c r="K987" s="30">
        <f>Source!P496</f>
        <v>411.9</v>
      </c>
      <c r="L987" s="32"/>
    </row>
    <row r="988" spans="1:26" ht="14.25" x14ac:dyDescent="0.2">
      <c r="A988" s="45"/>
      <c r="B988" s="46"/>
      <c r="C988" s="46" t="s">
        <v>1638</v>
      </c>
      <c r="D988" s="29" t="s">
        <v>1639</v>
      </c>
      <c r="E988" s="11">
        <f>Source!BZ496</f>
        <v>80</v>
      </c>
      <c r="F988" s="49"/>
      <c r="G988" s="31"/>
      <c r="H988" s="30">
        <f>SUM(S985:S990)</f>
        <v>2511.65</v>
      </c>
      <c r="I988" s="34"/>
      <c r="J988" s="27">
        <f>Source!AT496</f>
        <v>80</v>
      </c>
      <c r="K988" s="30">
        <f>SUM(T985:T990)</f>
        <v>16476.41</v>
      </c>
      <c r="L988" s="32"/>
    </row>
    <row r="989" spans="1:26" ht="14.25" x14ac:dyDescent="0.2">
      <c r="A989" s="45"/>
      <c r="B989" s="46"/>
      <c r="C989" s="46" t="s">
        <v>1640</v>
      </c>
      <c r="D989" s="29" t="s">
        <v>1639</v>
      </c>
      <c r="E989" s="11">
        <f>Source!CA496</f>
        <v>60</v>
      </c>
      <c r="F989" s="49"/>
      <c r="G989" s="31"/>
      <c r="H989" s="30">
        <f>SUM(U985:U990)</f>
        <v>1883.74</v>
      </c>
      <c r="I989" s="34"/>
      <c r="J989" s="27">
        <f>Source!AU496</f>
        <v>60</v>
      </c>
      <c r="K989" s="30">
        <f>SUM(V985:V990)</f>
        <v>12357.31</v>
      </c>
      <c r="L989" s="32"/>
    </row>
    <row r="990" spans="1:26" ht="14.25" x14ac:dyDescent="0.2">
      <c r="A990" s="47"/>
      <c r="B990" s="48"/>
      <c r="C990" s="48" t="s">
        <v>1641</v>
      </c>
      <c r="D990" s="35" t="s">
        <v>1642</v>
      </c>
      <c r="E990" s="36">
        <f>Source!AQ496</f>
        <v>243</v>
      </c>
      <c r="F990" s="37"/>
      <c r="G990" s="38" t="str">
        <f>Source!DI496</f>
        <v/>
      </c>
      <c r="H990" s="37"/>
      <c r="I990" s="38"/>
      <c r="J990" s="38"/>
      <c r="K990" s="37"/>
      <c r="L990" s="39">
        <f>Source!U496</f>
        <v>243</v>
      </c>
    </row>
    <row r="991" spans="1:26" ht="15" x14ac:dyDescent="0.25">
      <c r="G991" s="70">
        <f>H986+H987+H988+H989</f>
        <v>7597.74</v>
      </c>
      <c r="H991" s="70"/>
      <c r="J991" s="70">
        <f>K986+K987+K988+K989</f>
        <v>49841.13</v>
      </c>
      <c r="K991" s="70"/>
      <c r="L991" s="40">
        <f>Source!U496</f>
        <v>243</v>
      </c>
      <c r="O991" s="24">
        <f>G991</f>
        <v>7597.74</v>
      </c>
      <c r="P991" s="24">
        <f>J991</f>
        <v>49841.13</v>
      </c>
      <c r="Q991" s="24">
        <f>L991</f>
        <v>243</v>
      </c>
      <c r="W991">
        <f>IF(Source!BI496&lt;=1,H986+H987+H988+H989, 0)</f>
        <v>0</v>
      </c>
      <c r="X991">
        <f>IF(Source!BI496=2,H986+H987+H988+H989, 0)</f>
        <v>7597.74</v>
      </c>
      <c r="Y991">
        <f>IF(Source!BI496=3,H986+H987+H988+H989, 0)</f>
        <v>0</v>
      </c>
      <c r="Z991">
        <f>IF(Source!BI496=4,H986+H987+H988+H989, 0)</f>
        <v>0</v>
      </c>
    </row>
    <row r="993" spans="1:26" ht="15" x14ac:dyDescent="0.25">
      <c r="A993" s="74" t="str">
        <f>CONCATENATE("Итого по разделу: ",IF(Source!G498&lt;&gt;"Новый раздел", Source!G498, ""))</f>
        <v>Итого по разделу: 4 Пожарная сигнализация</v>
      </c>
      <c r="B993" s="74"/>
      <c r="C993" s="74"/>
      <c r="D993" s="74"/>
      <c r="E993" s="74"/>
      <c r="F993" s="74"/>
      <c r="G993" s="73">
        <f>SUM(O956:O992)</f>
        <v>9002.17</v>
      </c>
      <c r="H993" s="73"/>
      <c r="I993" s="26"/>
      <c r="J993" s="73">
        <f>SUM(P956:P992)</f>
        <v>59054.149999999994</v>
      </c>
      <c r="K993" s="73"/>
      <c r="L993" s="40">
        <f>SUM(Q956:Q992)</f>
        <v>258.48559999999998</v>
      </c>
    </row>
    <row r="994" spans="1:26" ht="16.5" x14ac:dyDescent="0.25">
      <c r="A994" s="75" t="str">
        <f>CONCATENATE("Раздел: ",IF(Source!G527&lt;&gt;"Новый раздел", Source!G527, ""))</f>
        <v>Раздел: 5 Сети СКС</v>
      </c>
      <c r="B994" s="75"/>
      <c r="C994" s="75"/>
      <c r="D994" s="75"/>
      <c r="E994" s="75"/>
      <c r="F994" s="75"/>
      <c r="G994" s="75"/>
      <c r="H994" s="75"/>
      <c r="I994" s="75"/>
      <c r="J994" s="75"/>
      <c r="K994" s="75"/>
      <c r="L994" s="75"/>
    </row>
    <row r="995" spans="1:26" ht="28.5" x14ac:dyDescent="0.2">
      <c r="A995" s="45" t="str">
        <f>Source!E531</f>
        <v>96</v>
      </c>
      <c r="B995" s="46" t="str">
        <f>Source!F531</f>
        <v>м08-03-591-08</v>
      </c>
      <c r="C995" s="46" t="str">
        <f>Source!G531</f>
        <v>Розетка штепсельная неутопленного типа при открытой проводке</v>
      </c>
      <c r="D995" s="29" t="str">
        <f>Source!H531</f>
        <v>100 ШТ</v>
      </c>
      <c r="E995" s="11">
        <f>Source!I531</f>
        <v>0.56000000000000005</v>
      </c>
      <c r="F995" s="30">
        <f>Source!AL531+Source!AM531+Source!AO531</f>
        <v>453.92999999999995</v>
      </c>
      <c r="G995" s="31"/>
      <c r="H995" s="30"/>
      <c r="I995" s="31" t="str">
        <f>Source!BO531</f>
        <v/>
      </c>
      <c r="J995" s="31"/>
      <c r="K995" s="30"/>
      <c r="L995" s="32"/>
      <c r="S995">
        <f>ROUND((Source!FX531/100)*((ROUND(Source!AF531*Source!I531, 2)+ROUND(Source!AE531*Source!I531, 2))), 2)</f>
        <v>182.73</v>
      </c>
      <c r="T995">
        <f>Source!X531</f>
        <v>1198.72</v>
      </c>
      <c r="U995">
        <f>ROUND((Source!FY531/100)*((ROUND(Source!AF531*Source!I531, 2)+ROUND(Source!AE531*Source!I531, 2))), 2)</f>
        <v>125.03</v>
      </c>
      <c r="V995">
        <f>Source!Y531</f>
        <v>820.18</v>
      </c>
    </row>
    <row r="996" spans="1:26" x14ac:dyDescent="0.2">
      <c r="C996" s="23" t="str">
        <f>"Объем: "&amp;Source!I531&amp;"=56/"&amp;"100"</f>
        <v>Объем: 0,56=56/100</v>
      </c>
    </row>
    <row r="997" spans="1:26" ht="14.25" x14ac:dyDescent="0.2">
      <c r="A997" s="45"/>
      <c r="B997" s="46"/>
      <c r="C997" s="46" t="s">
        <v>1636</v>
      </c>
      <c r="D997" s="29"/>
      <c r="E997" s="11"/>
      <c r="F997" s="30">
        <f>Source!AO531</f>
        <v>342.84</v>
      </c>
      <c r="G997" s="31" t="str">
        <f>Source!DG531</f>
        <v/>
      </c>
      <c r="H997" s="30">
        <f>ROUND(Source!AF531*Source!I531, 2)</f>
        <v>191.99</v>
      </c>
      <c r="I997" s="31"/>
      <c r="J997" s="31">
        <f>IF(Source!BA531&lt;&gt; 0, Source!BA531, 1)</f>
        <v>6.56</v>
      </c>
      <c r="K997" s="30">
        <f>Source!S531</f>
        <v>1259.46</v>
      </c>
      <c r="L997" s="32"/>
      <c r="R997">
        <f>H997</f>
        <v>191.99</v>
      </c>
    </row>
    <row r="998" spans="1:26" ht="14.25" x14ac:dyDescent="0.2">
      <c r="A998" s="45"/>
      <c r="B998" s="46"/>
      <c r="C998" s="46" t="s">
        <v>136</v>
      </c>
      <c r="D998" s="29"/>
      <c r="E998" s="11"/>
      <c r="F998" s="30">
        <f>Source!AM531</f>
        <v>4.67</v>
      </c>
      <c r="G998" s="31" t="str">
        <f>Source!DE531</f>
        <v/>
      </c>
      <c r="H998" s="30">
        <f>ROUND(Source!AD531*Source!I531, 2)</f>
        <v>2.62</v>
      </c>
      <c r="I998" s="31"/>
      <c r="J998" s="31">
        <f>IF(Source!BB531&lt;&gt; 0, Source!BB531, 1)</f>
        <v>6.56</v>
      </c>
      <c r="K998" s="30">
        <f>Source!Q531</f>
        <v>17.16</v>
      </c>
      <c r="L998" s="32"/>
    </row>
    <row r="999" spans="1:26" ht="14.25" x14ac:dyDescent="0.2">
      <c r="A999" s="45"/>
      <c r="B999" s="46"/>
      <c r="C999" s="46" t="s">
        <v>1637</v>
      </c>
      <c r="D999" s="29"/>
      <c r="E999" s="11"/>
      <c r="F999" s="30">
        <f>Source!AN531</f>
        <v>0.64</v>
      </c>
      <c r="G999" s="31" t="str">
        <f>Source!DF531</f>
        <v/>
      </c>
      <c r="H999" s="33">
        <f>ROUND(Source!AE531*Source!I531, 2)</f>
        <v>0.36</v>
      </c>
      <c r="I999" s="31"/>
      <c r="J999" s="31">
        <f>IF(Source!BS531&lt;&gt; 0, Source!BS531, 1)</f>
        <v>6.56</v>
      </c>
      <c r="K999" s="33">
        <f>Source!R531</f>
        <v>2.35</v>
      </c>
      <c r="L999" s="32"/>
      <c r="R999">
        <f>H999</f>
        <v>0.36</v>
      </c>
    </row>
    <row r="1000" spans="1:26" ht="14.25" x14ac:dyDescent="0.2">
      <c r="A1000" s="45"/>
      <c r="B1000" s="46"/>
      <c r="C1000" s="46" t="s">
        <v>1643</v>
      </c>
      <c r="D1000" s="29"/>
      <c r="E1000" s="11"/>
      <c r="F1000" s="30">
        <f>Source!AL531</f>
        <v>106.42</v>
      </c>
      <c r="G1000" s="31" t="str">
        <f>Source!DD531</f>
        <v/>
      </c>
      <c r="H1000" s="30">
        <f>ROUND(Source!AC531*Source!I531, 2)</f>
        <v>59.6</v>
      </c>
      <c r="I1000" s="31"/>
      <c r="J1000" s="31">
        <f>IF(Source!BC531&lt;&gt; 0, Source!BC531, 1)</f>
        <v>6.56</v>
      </c>
      <c r="K1000" s="30">
        <f>Source!P531</f>
        <v>390.94</v>
      </c>
      <c r="L1000" s="32"/>
    </row>
    <row r="1001" spans="1:26" ht="14.25" x14ac:dyDescent="0.2">
      <c r="A1001" s="45"/>
      <c r="B1001" s="46"/>
      <c r="C1001" s="46" t="s">
        <v>1638</v>
      </c>
      <c r="D1001" s="29" t="s">
        <v>1639</v>
      </c>
      <c r="E1001" s="11">
        <f>Source!BZ531</f>
        <v>95</v>
      </c>
      <c r="F1001" s="49"/>
      <c r="G1001" s="31"/>
      <c r="H1001" s="30">
        <f>SUM(S995:S1004)</f>
        <v>182.73</v>
      </c>
      <c r="I1001" s="34"/>
      <c r="J1001" s="27">
        <f>Source!AT531</f>
        <v>95</v>
      </c>
      <c r="K1001" s="30">
        <f>SUM(T995:T1004)</f>
        <v>1198.72</v>
      </c>
      <c r="L1001" s="32"/>
    </row>
    <row r="1002" spans="1:26" ht="14.25" x14ac:dyDescent="0.2">
      <c r="A1002" s="45"/>
      <c r="B1002" s="46"/>
      <c r="C1002" s="46" t="s">
        <v>1640</v>
      </c>
      <c r="D1002" s="29" t="s">
        <v>1639</v>
      </c>
      <c r="E1002" s="11">
        <f>Source!CA531</f>
        <v>65</v>
      </c>
      <c r="F1002" s="49"/>
      <c r="G1002" s="31"/>
      <c r="H1002" s="30">
        <f>SUM(U995:U1004)</f>
        <v>125.03</v>
      </c>
      <c r="I1002" s="34"/>
      <c r="J1002" s="27">
        <f>Source!AU531</f>
        <v>65</v>
      </c>
      <c r="K1002" s="30">
        <f>SUM(V995:V1004)</f>
        <v>820.18</v>
      </c>
      <c r="L1002" s="32"/>
    </row>
    <row r="1003" spans="1:26" ht="14.25" x14ac:dyDescent="0.2">
      <c r="A1003" s="45"/>
      <c r="B1003" s="46"/>
      <c r="C1003" s="46" t="s">
        <v>1641</v>
      </c>
      <c r="D1003" s="29" t="s">
        <v>1642</v>
      </c>
      <c r="E1003" s="11">
        <f>Source!AQ531</f>
        <v>34.56</v>
      </c>
      <c r="F1003" s="30"/>
      <c r="G1003" s="31" t="str">
        <f>Source!DI531</f>
        <v/>
      </c>
      <c r="H1003" s="30"/>
      <c r="I1003" s="31"/>
      <c r="J1003" s="31"/>
      <c r="K1003" s="30"/>
      <c r="L1003" s="41">
        <f>Source!U531</f>
        <v>19.353600000000004</v>
      </c>
    </row>
    <row r="1004" spans="1:26" ht="28.5" x14ac:dyDescent="0.2">
      <c r="A1004" s="47" t="str">
        <f>Source!E532</f>
        <v>96,1</v>
      </c>
      <c r="B1004" s="48" t="str">
        <f>Source!F532</f>
        <v>20.4.03.05-0001</v>
      </c>
      <c r="C1004" s="48" t="str">
        <f>Source!G532</f>
        <v>Розетка открытой проводки RJ-45(45х45мм)</v>
      </c>
      <c r="D1004" s="35" t="str">
        <f>Source!H532</f>
        <v>100 шт.</v>
      </c>
      <c r="E1004" s="36">
        <f>Source!I532</f>
        <v>0.56000000000000005</v>
      </c>
      <c r="F1004" s="37">
        <f>Source!AL532+Source!AM532+Source!AO532</f>
        <v>577</v>
      </c>
      <c r="G1004" s="43" t="s">
        <v>6</v>
      </c>
      <c r="H1004" s="37">
        <f>ROUND(Source!AC532*Source!I532, 2)+ROUND(Source!AD532*Source!I532, 2)+ROUND(Source!AF532*Source!I532, 2)</f>
        <v>323.12</v>
      </c>
      <c r="I1004" s="38"/>
      <c r="J1004" s="38">
        <f>IF(Source!BC532&lt;&gt; 0, Source!BC532, 1)</f>
        <v>6.56</v>
      </c>
      <c r="K1004" s="37">
        <f>Source!O532</f>
        <v>2119.67</v>
      </c>
      <c r="L1004" s="44"/>
      <c r="S1004">
        <f>ROUND((Source!FX532/100)*((ROUND(Source!AF532*Source!I532, 2)+ROUND(Source!AE532*Source!I532, 2))), 2)</f>
        <v>0</v>
      </c>
      <c r="T1004">
        <f>Source!X532</f>
        <v>0</v>
      </c>
      <c r="U1004">
        <f>ROUND((Source!FY532/100)*((ROUND(Source!AF532*Source!I532, 2)+ROUND(Source!AE532*Source!I532, 2))), 2)</f>
        <v>0</v>
      </c>
      <c r="V1004">
        <f>Source!Y532</f>
        <v>0</v>
      </c>
      <c r="W1004">
        <f>IF(Source!BI532&lt;=1,H1004, 0)</f>
        <v>0</v>
      </c>
      <c r="X1004">
        <f>IF(Source!BI532=2,H1004, 0)</f>
        <v>323.12</v>
      </c>
      <c r="Y1004">
        <f>IF(Source!BI532=3,H1004, 0)</f>
        <v>0</v>
      </c>
      <c r="Z1004">
        <f>IF(Source!BI532=4,H1004, 0)</f>
        <v>0</v>
      </c>
    </row>
    <row r="1005" spans="1:26" ht="15" x14ac:dyDescent="0.25">
      <c r="G1005" s="70">
        <f>H997+H998+H1000+H1001+H1002+SUM(H1004:H1004)</f>
        <v>885.09</v>
      </c>
      <c r="H1005" s="70"/>
      <c r="J1005" s="70">
        <f>K997+K998+K1000+K1001+K1002+SUM(K1004:K1004)</f>
        <v>5806.13</v>
      </c>
      <c r="K1005" s="70"/>
      <c r="L1005" s="40">
        <f>Source!U531</f>
        <v>19.353600000000004</v>
      </c>
      <c r="O1005" s="24">
        <f>G1005</f>
        <v>885.09</v>
      </c>
      <c r="P1005" s="24">
        <f>J1005</f>
        <v>5806.13</v>
      </c>
      <c r="Q1005" s="24">
        <f>L1005</f>
        <v>19.353600000000004</v>
      </c>
      <c r="W1005">
        <f>IF(Source!BI531&lt;=1,H997+H998+H1000+H1001+H1002, 0)</f>
        <v>0</v>
      </c>
      <c r="X1005">
        <f>IF(Source!BI531=2,H997+H998+H1000+H1001+H1002, 0)</f>
        <v>561.97</v>
      </c>
      <c r="Y1005">
        <f>IF(Source!BI531=3,H997+H998+H1000+H1001+H1002, 0)</f>
        <v>0</v>
      </c>
      <c r="Z1005">
        <f>IF(Source!BI531=4,H997+H998+H1000+H1001+H1002, 0)</f>
        <v>0</v>
      </c>
    </row>
    <row r="1006" spans="1:26" ht="42.75" x14ac:dyDescent="0.2">
      <c r="A1006" s="45" t="str">
        <f>Source!E533</f>
        <v>97</v>
      </c>
      <c r="B1006" s="46" t="str">
        <f>Source!F533</f>
        <v>м10-01-053-01</v>
      </c>
      <c r="C1006" s="46" t="str">
        <f>Source!G533</f>
        <v>Прокладка кабеля или провода питания на провододержателях сечением 6 мм2</v>
      </c>
      <c r="D1006" s="29" t="str">
        <f>Source!H533</f>
        <v>100 м</v>
      </c>
      <c r="E1006" s="11">
        <f>Source!I533</f>
        <v>12.8</v>
      </c>
      <c r="F1006" s="30">
        <f>Source!AL533+Source!AM533+Source!AO533</f>
        <v>165.97</v>
      </c>
      <c r="G1006" s="31"/>
      <c r="H1006" s="30"/>
      <c r="I1006" s="31" t="str">
        <f>Source!BO533</f>
        <v/>
      </c>
      <c r="J1006" s="31"/>
      <c r="K1006" s="30"/>
      <c r="L1006" s="32"/>
      <c r="S1006">
        <f>ROUND((Source!FX533/100)*((ROUND(Source!AF533*Source!I533, 2)+ROUND(Source!AE533*Source!I533, 2))), 2)</f>
        <v>1262.18</v>
      </c>
      <c r="T1006">
        <f>Source!X533</f>
        <v>8279.91</v>
      </c>
      <c r="U1006">
        <f>ROUND((Source!FY533/100)*((ROUND(Source!AF533*Source!I533, 2)+ROUND(Source!AE533*Source!I533, 2))), 2)</f>
        <v>946.63</v>
      </c>
      <c r="V1006">
        <f>Source!Y533</f>
        <v>6209.93</v>
      </c>
    </row>
    <row r="1007" spans="1:26" x14ac:dyDescent="0.2">
      <c r="C1007" s="23" t="str">
        <f>"Объем: "&amp;Source!I533&amp;"=1280/"&amp;"100"</f>
        <v>Объем: 12,8=1280/100</v>
      </c>
    </row>
    <row r="1008" spans="1:26" ht="14.25" x14ac:dyDescent="0.2">
      <c r="A1008" s="45"/>
      <c r="B1008" s="46"/>
      <c r="C1008" s="46" t="s">
        <v>1636</v>
      </c>
      <c r="D1008" s="29"/>
      <c r="E1008" s="11"/>
      <c r="F1008" s="30">
        <f>Source!AO533</f>
        <v>118.33</v>
      </c>
      <c r="G1008" s="31" t="str">
        <f>Source!DG533</f>
        <v/>
      </c>
      <c r="H1008" s="30">
        <f>ROUND(Source!AF533*Source!I533, 2)</f>
        <v>1514.62</v>
      </c>
      <c r="I1008" s="31"/>
      <c r="J1008" s="31">
        <f>IF(Source!BA533&lt;&gt; 0, Source!BA533, 1)</f>
        <v>6.56</v>
      </c>
      <c r="K1008" s="30">
        <f>Source!S533</f>
        <v>9935.93</v>
      </c>
      <c r="L1008" s="32"/>
      <c r="R1008">
        <f>H1008</f>
        <v>1514.62</v>
      </c>
    </row>
    <row r="1009" spans="1:26" ht="14.25" x14ac:dyDescent="0.2">
      <c r="A1009" s="45"/>
      <c r="B1009" s="46"/>
      <c r="C1009" s="46" t="s">
        <v>136</v>
      </c>
      <c r="D1009" s="29"/>
      <c r="E1009" s="11"/>
      <c r="F1009" s="30">
        <f>Source!AM533</f>
        <v>44.1</v>
      </c>
      <c r="G1009" s="31" t="str">
        <f>Source!DE533</f>
        <v/>
      </c>
      <c r="H1009" s="30">
        <f>ROUND(Source!AD533*Source!I533, 2)</f>
        <v>564.48</v>
      </c>
      <c r="I1009" s="31"/>
      <c r="J1009" s="31">
        <f>IF(Source!BB533&lt;&gt; 0, Source!BB533, 1)</f>
        <v>6.56</v>
      </c>
      <c r="K1009" s="30">
        <f>Source!Q533</f>
        <v>3702.99</v>
      </c>
      <c r="L1009" s="32"/>
    </row>
    <row r="1010" spans="1:26" ht="14.25" x14ac:dyDescent="0.2">
      <c r="A1010" s="45"/>
      <c r="B1010" s="46"/>
      <c r="C1010" s="46" t="s">
        <v>1637</v>
      </c>
      <c r="D1010" s="29"/>
      <c r="E1010" s="11"/>
      <c r="F1010" s="30">
        <f>Source!AN533</f>
        <v>4.93</v>
      </c>
      <c r="G1010" s="31" t="str">
        <f>Source!DF533</f>
        <v/>
      </c>
      <c r="H1010" s="33">
        <f>ROUND(Source!AE533*Source!I533, 2)</f>
        <v>63.1</v>
      </c>
      <c r="I1010" s="31"/>
      <c r="J1010" s="31">
        <f>IF(Source!BS533&lt;&gt; 0, Source!BS533, 1)</f>
        <v>6.56</v>
      </c>
      <c r="K1010" s="33">
        <f>Source!R533</f>
        <v>413.96</v>
      </c>
      <c r="L1010" s="32"/>
      <c r="R1010">
        <f>H1010</f>
        <v>63.1</v>
      </c>
    </row>
    <row r="1011" spans="1:26" ht="14.25" x14ac:dyDescent="0.2">
      <c r="A1011" s="45"/>
      <c r="B1011" s="46"/>
      <c r="C1011" s="46" t="s">
        <v>1643</v>
      </c>
      <c r="D1011" s="29"/>
      <c r="E1011" s="11"/>
      <c r="F1011" s="30">
        <f>Source!AL533</f>
        <v>3.54</v>
      </c>
      <c r="G1011" s="31" t="str">
        <f>Source!DD533</f>
        <v/>
      </c>
      <c r="H1011" s="30">
        <f>ROUND(Source!AC533*Source!I533, 2)</f>
        <v>45.31</v>
      </c>
      <c r="I1011" s="31"/>
      <c r="J1011" s="31">
        <f>IF(Source!BC533&lt;&gt; 0, Source!BC533, 1)</f>
        <v>6.56</v>
      </c>
      <c r="K1011" s="30">
        <f>Source!P533</f>
        <v>297.25</v>
      </c>
      <c r="L1011" s="32"/>
    </row>
    <row r="1012" spans="1:26" ht="14.25" x14ac:dyDescent="0.2">
      <c r="A1012" s="45"/>
      <c r="B1012" s="46"/>
      <c r="C1012" s="46" t="s">
        <v>1638</v>
      </c>
      <c r="D1012" s="29" t="s">
        <v>1639</v>
      </c>
      <c r="E1012" s="11">
        <f>Source!BZ533</f>
        <v>80</v>
      </c>
      <c r="F1012" s="49"/>
      <c r="G1012" s="31"/>
      <c r="H1012" s="30">
        <f>SUM(S1006:S1015)</f>
        <v>1262.18</v>
      </c>
      <c r="I1012" s="34"/>
      <c r="J1012" s="27">
        <f>Source!AT533</f>
        <v>80</v>
      </c>
      <c r="K1012" s="30">
        <f>SUM(T1006:T1015)</f>
        <v>8279.91</v>
      </c>
      <c r="L1012" s="32"/>
    </row>
    <row r="1013" spans="1:26" ht="14.25" x14ac:dyDescent="0.2">
      <c r="A1013" s="45"/>
      <c r="B1013" s="46"/>
      <c r="C1013" s="46" t="s">
        <v>1640</v>
      </c>
      <c r="D1013" s="29" t="s">
        <v>1639</v>
      </c>
      <c r="E1013" s="11">
        <f>Source!CA533</f>
        <v>60</v>
      </c>
      <c r="F1013" s="49"/>
      <c r="G1013" s="31"/>
      <c r="H1013" s="30">
        <f>SUM(U1006:U1015)</f>
        <v>946.63</v>
      </c>
      <c r="I1013" s="34"/>
      <c r="J1013" s="27">
        <f>Source!AU533</f>
        <v>60</v>
      </c>
      <c r="K1013" s="30">
        <f>SUM(V1006:V1015)</f>
        <v>6209.93</v>
      </c>
      <c r="L1013" s="32"/>
    </row>
    <row r="1014" spans="1:26" ht="14.25" x14ac:dyDescent="0.2">
      <c r="A1014" s="45"/>
      <c r="B1014" s="46"/>
      <c r="C1014" s="46" t="s">
        <v>1641</v>
      </c>
      <c r="D1014" s="29" t="s">
        <v>1642</v>
      </c>
      <c r="E1014" s="11">
        <f>Source!AQ533</f>
        <v>12.3</v>
      </c>
      <c r="F1014" s="30"/>
      <c r="G1014" s="31" t="str">
        <f>Source!DI533</f>
        <v/>
      </c>
      <c r="H1014" s="30"/>
      <c r="I1014" s="31"/>
      <c r="J1014" s="31"/>
      <c r="K1014" s="30"/>
      <c r="L1014" s="41">
        <f>Source!U533</f>
        <v>157.44000000000003</v>
      </c>
    </row>
    <row r="1015" spans="1:26" ht="28.5" x14ac:dyDescent="0.2">
      <c r="A1015" s="47" t="str">
        <f>Source!E534</f>
        <v>97,1</v>
      </c>
      <c r="B1015" s="48" t="str">
        <f>Source!F534</f>
        <v>21.1.04.01-0004</v>
      </c>
      <c r="C1015" s="48" t="str">
        <f>Source!G534</f>
        <v>Кабель (витая пара) UTP 4x2x0,52 категория 5е</v>
      </c>
      <c r="D1015" s="35" t="str">
        <f>Source!H534</f>
        <v>1000 м</v>
      </c>
      <c r="E1015" s="36">
        <f>Source!I534</f>
        <v>1.28</v>
      </c>
      <c r="F1015" s="37">
        <f>Source!AL534+Source!AM534+Source!AO534</f>
        <v>1150.19</v>
      </c>
      <c r="G1015" s="43" t="s">
        <v>6</v>
      </c>
      <c r="H1015" s="37">
        <f>ROUND(Source!AC534*Source!I534, 2)+ROUND(Source!AD534*Source!I534, 2)+ROUND(Source!AF534*Source!I534, 2)</f>
        <v>1472.24</v>
      </c>
      <c r="I1015" s="38"/>
      <c r="J1015" s="38">
        <f>IF(Source!BC534&lt;&gt; 0, Source!BC534, 1)</f>
        <v>6.56</v>
      </c>
      <c r="K1015" s="37">
        <f>Source!O534</f>
        <v>9657.92</v>
      </c>
      <c r="L1015" s="44"/>
      <c r="S1015">
        <f>ROUND((Source!FX534/100)*((ROUND(Source!AF534*Source!I534, 2)+ROUND(Source!AE534*Source!I534, 2))), 2)</f>
        <v>0</v>
      </c>
      <c r="T1015">
        <f>Source!X534</f>
        <v>0</v>
      </c>
      <c r="U1015">
        <f>ROUND((Source!FY534/100)*((ROUND(Source!AF534*Source!I534, 2)+ROUND(Source!AE534*Source!I534, 2))), 2)</f>
        <v>0</v>
      </c>
      <c r="V1015">
        <f>Source!Y534</f>
        <v>0</v>
      </c>
      <c r="W1015">
        <f>IF(Source!BI534&lt;=1,H1015, 0)</f>
        <v>0</v>
      </c>
      <c r="X1015">
        <f>IF(Source!BI534=2,H1015, 0)</f>
        <v>1472.24</v>
      </c>
      <c r="Y1015">
        <f>IF(Source!BI534=3,H1015, 0)</f>
        <v>0</v>
      </c>
      <c r="Z1015">
        <f>IF(Source!BI534=4,H1015, 0)</f>
        <v>0</v>
      </c>
    </row>
    <row r="1016" spans="1:26" ht="15" x14ac:dyDescent="0.25">
      <c r="G1016" s="70">
        <f>H1008+H1009+H1011+H1012+H1013+SUM(H1015:H1015)</f>
        <v>5805.46</v>
      </c>
      <c r="H1016" s="70"/>
      <c r="J1016" s="70">
        <f>K1008+K1009+K1011+K1012+K1013+SUM(K1015:K1015)</f>
        <v>38083.93</v>
      </c>
      <c r="K1016" s="70"/>
      <c r="L1016" s="40">
        <f>Source!U533</f>
        <v>157.44000000000003</v>
      </c>
      <c r="O1016" s="24">
        <f>G1016</f>
        <v>5805.46</v>
      </c>
      <c r="P1016" s="24">
        <f>J1016</f>
        <v>38083.93</v>
      </c>
      <c r="Q1016" s="24">
        <f>L1016</f>
        <v>157.44000000000003</v>
      </c>
      <c r="W1016">
        <f>IF(Source!BI533&lt;=1,H1008+H1009+H1011+H1012+H1013, 0)</f>
        <v>0</v>
      </c>
      <c r="X1016">
        <f>IF(Source!BI533=2,H1008+H1009+H1011+H1012+H1013, 0)</f>
        <v>4333.22</v>
      </c>
      <c r="Y1016">
        <f>IF(Source!BI533=3,H1008+H1009+H1011+H1012+H1013, 0)</f>
        <v>0</v>
      </c>
      <c r="Z1016">
        <f>IF(Source!BI533=4,H1008+H1009+H1011+H1012+H1013, 0)</f>
        <v>0</v>
      </c>
    </row>
    <row r="1017" spans="1:26" ht="57" x14ac:dyDescent="0.2">
      <c r="A1017" s="45" t="str">
        <f>Source!E535</f>
        <v>98</v>
      </c>
      <c r="B1017" s="46" t="str">
        <f>Source!F535</f>
        <v>69-2-1 прим.</v>
      </c>
      <c r="C1017" s="46" t="str">
        <f>Source!G535</f>
        <v>Сверление отверстий в кирпичных стенах электроперфоратором диаметром до 20 мм, толщина стен 0,5 кирпича</v>
      </c>
      <c r="D1017" s="29" t="str">
        <f>Source!H535</f>
        <v>100 ШТ</v>
      </c>
      <c r="E1017" s="11">
        <f>Source!I535</f>
        <v>0.06</v>
      </c>
      <c r="F1017" s="30">
        <f>Source!AL535+Source!AM535+Source!AO535</f>
        <v>46.83</v>
      </c>
      <c r="G1017" s="31"/>
      <c r="H1017" s="30"/>
      <c r="I1017" s="31" t="str">
        <f>Source!BO535</f>
        <v/>
      </c>
      <c r="J1017" s="31"/>
      <c r="K1017" s="30"/>
      <c r="L1017" s="32"/>
      <c r="S1017">
        <f>ROUND((Source!FX535/100)*((ROUND(Source!AF535*Source!I535, 2)+ROUND(Source!AE535*Source!I535, 2))), 2)</f>
        <v>2.19</v>
      </c>
      <c r="T1017">
        <f>Source!X535</f>
        <v>14.38</v>
      </c>
      <c r="U1017">
        <f>ROUND((Source!FY535/100)*((ROUND(Source!AF535*Source!I535, 2)+ROUND(Source!AE535*Source!I535, 2))), 2)</f>
        <v>1.41</v>
      </c>
      <c r="V1017">
        <f>Source!Y535</f>
        <v>9.2200000000000006</v>
      </c>
    </row>
    <row r="1018" spans="1:26" x14ac:dyDescent="0.2">
      <c r="C1018" s="23" t="str">
        <f>"Объем: "&amp;Source!I535&amp;"=6/"&amp;"100"</f>
        <v>Объем: 0,06=6/100</v>
      </c>
    </row>
    <row r="1019" spans="1:26" ht="14.25" x14ac:dyDescent="0.2">
      <c r="A1019" s="45"/>
      <c r="B1019" s="46"/>
      <c r="C1019" s="46" t="s">
        <v>1636</v>
      </c>
      <c r="D1019" s="29"/>
      <c r="E1019" s="11"/>
      <c r="F1019" s="30">
        <f>Source!AO535</f>
        <v>46.83</v>
      </c>
      <c r="G1019" s="31" t="str">
        <f>Source!DG535</f>
        <v/>
      </c>
      <c r="H1019" s="30">
        <f>ROUND(Source!AF535*Source!I535, 2)</f>
        <v>2.81</v>
      </c>
      <c r="I1019" s="31"/>
      <c r="J1019" s="31">
        <f>IF(Source!BA535&lt;&gt; 0, Source!BA535, 1)</f>
        <v>6.56</v>
      </c>
      <c r="K1019" s="30">
        <f>Source!S535</f>
        <v>18.43</v>
      </c>
      <c r="L1019" s="32"/>
      <c r="R1019">
        <f>H1019</f>
        <v>2.81</v>
      </c>
    </row>
    <row r="1020" spans="1:26" ht="14.25" x14ac:dyDescent="0.2">
      <c r="A1020" s="45"/>
      <c r="B1020" s="46"/>
      <c r="C1020" s="46" t="s">
        <v>1638</v>
      </c>
      <c r="D1020" s="29" t="s">
        <v>1639</v>
      </c>
      <c r="E1020" s="11">
        <f>Source!BZ535</f>
        <v>78</v>
      </c>
      <c r="F1020" s="49"/>
      <c r="G1020" s="31"/>
      <c r="H1020" s="30">
        <f>SUM(S1017:S1022)</f>
        <v>2.19</v>
      </c>
      <c r="I1020" s="34"/>
      <c r="J1020" s="27">
        <f>Source!AT535</f>
        <v>78</v>
      </c>
      <c r="K1020" s="30">
        <f>SUM(T1017:T1022)</f>
        <v>14.38</v>
      </c>
      <c r="L1020" s="32"/>
    </row>
    <row r="1021" spans="1:26" ht="14.25" x14ac:dyDescent="0.2">
      <c r="A1021" s="45"/>
      <c r="B1021" s="46"/>
      <c r="C1021" s="46" t="s">
        <v>1640</v>
      </c>
      <c r="D1021" s="29" t="s">
        <v>1639</v>
      </c>
      <c r="E1021" s="11">
        <f>Source!CA535</f>
        <v>50</v>
      </c>
      <c r="F1021" s="49"/>
      <c r="G1021" s="31"/>
      <c r="H1021" s="30">
        <f>SUM(U1017:U1022)</f>
        <v>1.41</v>
      </c>
      <c r="I1021" s="34"/>
      <c r="J1021" s="27">
        <f>Source!AU535</f>
        <v>50</v>
      </c>
      <c r="K1021" s="30">
        <f>SUM(V1017:V1022)</f>
        <v>9.2200000000000006</v>
      </c>
      <c r="L1021" s="32"/>
    </row>
    <row r="1022" spans="1:26" ht="14.25" x14ac:dyDescent="0.2">
      <c r="A1022" s="47"/>
      <c r="B1022" s="48"/>
      <c r="C1022" s="48" t="s">
        <v>1641</v>
      </c>
      <c r="D1022" s="35" t="s">
        <v>1642</v>
      </c>
      <c r="E1022" s="36">
        <f>Source!AQ535</f>
        <v>5.49</v>
      </c>
      <c r="F1022" s="37"/>
      <c r="G1022" s="38" t="str">
        <f>Source!DI535</f>
        <v/>
      </c>
      <c r="H1022" s="37"/>
      <c r="I1022" s="38"/>
      <c r="J1022" s="38"/>
      <c r="K1022" s="37"/>
      <c r="L1022" s="39">
        <f>Source!U535</f>
        <v>0.32940000000000003</v>
      </c>
    </row>
    <row r="1023" spans="1:26" ht="15" x14ac:dyDescent="0.25">
      <c r="G1023" s="70">
        <f>H1019+H1020+H1021</f>
        <v>6.41</v>
      </c>
      <c r="H1023" s="70"/>
      <c r="J1023" s="70">
        <f>K1019+K1020+K1021</f>
        <v>42.03</v>
      </c>
      <c r="K1023" s="70"/>
      <c r="L1023" s="40">
        <f>Source!U535</f>
        <v>0.32940000000000003</v>
      </c>
      <c r="O1023" s="24">
        <f>G1023</f>
        <v>6.41</v>
      </c>
      <c r="P1023" s="24">
        <f>J1023</f>
        <v>42.03</v>
      </c>
      <c r="Q1023" s="24">
        <f>L1023</f>
        <v>0.32940000000000003</v>
      </c>
      <c r="W1023">
        <f>IF(Source!BI535&lt;=1,H1019+H1020+H1021, 0)</f>
        <v>6.41</v>
      </c>
      <c r="X1023">
        <f>IF(Source!BI535=2,H1019+H1020+H1021, 0)</f>
        <v>0</v>
      </c>
      <c r="Y1023">
        <f>IF(Source!BI535=3,H1019+H1020+H1021, 0)</f>
        <v>0</v>
      </c>
      <c r="Z1023">
        <f>IF(Source!BI535=4,H1019+H1020+H1021, 0)</f>
        <v>0</v>
      </c>
    </row>
    <row r="1024" spans="1:26" ht="28.5" x14ac:dyDescent="0.2">
      <c r="A1024" s="45" t="str">
        <f>Source!E536</f>
        <v>99</v>
      </c>
      <c r="B1024" s="46" t="str">
        <f>Source!F536</f>
        <v>м08-02-410-02</v>
      </c>
      <c r="C1024" s="46" t="str">
        <f>Source!G536</f>
        <v>Труба полиэтиленовая по основанию пола, диаметр до 50 мм (гильзы) прим.</v>
      </c>
      <c r="D1024" s="29" t="str">
        <f>Source!H536</f>
        <v>100 м</v>
      </c>
      <c r="E1024" s="11">
        <f>Source!I536</f>
        <v>3.5999999999999997E-2</v>
      </c>
      <c r="F1024" s="30">
        <f>Source!AL536+Source!AM536+Source!AO536</f>
        <v>250.92</v>
      </c>
      <c r="G1024" s="31"/>
      <c r="H1024" s="30"/>
      <c r="I1024" s="31" t="str">
        <f>Source!BO536</f>
        <v/>
      </c>
      <c r="J1024" s="31"/>
      <c r="K1024" s="30"/>
      <c r="L1024" s="32"/>
      <c r="S1024">
        <f>ROUND((Source!FX536/100)*((ROUND(Source!AF536*Source!I536, 2)+ROUND(Source!AE536*Source!I536, 2))), 2)</f>
        <v>5.01</v>
      </c>
      <c r="T1024">
        <f>Source!X536</f>
        <v>32.840000000000003</v>
      </c>
      <c r="U1024">
        <f>ROUND((Source!FY536/100)*((ROUND(Source!AF536*Source!I536, 2)+ROUND(Source!AE536*Source!I536, 2))), 2)</f>
        <v>3.43</v>
      </c>
      <c r="V1024">
        <f>Source!Y536</f>
        <v>22.47</v>
      </c>
    </row>
    <row r="1025" spans="1:26" x14ac:dyDescent="0.2">
      <c r="C1025" s="23" t="str">
        <f>"Объем: "&amp;Source!I536&amp;"=3,6/"&amp;"100"</f>
        <v>Объем: 0,036=3,6/100</v>
      </c>
    </row>
    <row r="1026" spans="1:26" ht="14.25" x14ac:dyDescent="0.2">
      <c r="A1026" s="45"/>
      <c r="B1026" s="46"/>
      <c r="C1026" s="46" t="s">
        <v>1636</v>
      </c>
      <c r="D1026" s="29"/>
      <c r="E1026" s="11"/>
      <c r="F1026" s="30">
        <f>Source!AO536</f>
        <v>143.63</v>
      </c>
      <c r="G1026" s="31" t="str">
        <f>Source!DG536</f>
        <v/>
      </c>
      <c r="H1026" s="30">
        <f>ROUND(Source!AF536*Source!I536, 2)</f>
        <v>5.17</v>
      </c>
      <c r="I1026" s="31"/>
      <c r="J1026" s="31">
        <f>IF(Source!BA536&lt;&gt; 0, Source!BA536, 1)</f>
        <v>6.56</v>
      </c>
      <c r="K1026" s="30">
        <f>Source!S536</f>
        <v>33.92</v>
      </c>
      <c r="L1026" s="32"/>
      <c r="R1026">
        <f>H1026</f>
        <v>5.17</v>
      </c>
    </row>
    <row r="1027" spans="1:26" ht="14.25" x14ac:dyDescent="0.2">
      <c r="A1027" s="45"/>
      <c r="B1027" s="46"/>
      <c r="C1027" s="46" t="s">
        <v>136</v>
      </c>
      <c r="D1027" s="29"/>
      <c r="E1027" s="11"/>
      <c r="F1027" s="30">
        <f>Source!AM536</f>
        <v>19.55</v>
      </c>
      <c r="G1027" s="31" t="str">
        <f>Source!DE536</f>
        <v/>
      </c>
      <c r="H1027" s="30">
        <f>ROUND(Source!AD536*Source!I536, 2)</f>
        <v>0.7</v>
      </c>
      <c r="I1027" s="31"/>
      <c r="J1027" s="31">
        <f>IF(Source!BB536&lt;&gt; 0, Source!BB536, 1)</f>
        <v>6.56</v>
      </c>
      <c r="K1027" s="30">
        <f>Source!Q536</f>
        <v>4.62</v>
      </c>
      <c r="L1027" s="32"/>
    </row>
    <row r="1028" spans="1:26" ht="14.25" x14ac:dyDescent="0.2">
      <c r="A1028" s="45"/>
      <c r="B1028" s="46"/>
      <c r="C1028" s="46" t="s">
        <v>1637</v>
      </c>
      <c r="D1028" s="29"/>
      <c r="E1028" s="11"/>
      <c r="F1028" s="30">
        <f>Source!AN536</f>
        <v>2.77</v>
      </c>
      <c r="G1028" s="31" t="str">
        <f>Source!DF536</f>
        <v/>
      </c>
      <c r="H1028" s="33">
        <f>ROUND(Source!AE536*Source!I536, 2)</f>
        <v>0.1</v>
      </c>
      <c r="I1028" s="31"/>
      <c r="J1028" s="31">
        <f>IF(Source!BS536&lt;&gt; 0, Source!BS536, 1)</f>
        <v>6.56</v>
      </c>
      <c r="K1028" s="33">
        <f>Source!R536</f>
        <v>0.65</v>
      </c>
      <c r="L1028" s="32"/>
      <c r="R1028">
        <f>H1028</f>
        <v>0.1</v>
      </c>
    </row>
    <row r="1029" spans="1:26" ht="14.25" x14ac:dyDescent="0.2">
      <c r="A1029" s="45"/>
      <c r="B1029" s="46"/>
      <c r="C1029" s="46" t="s">
        <v>1643</v>
      </c>
      <c r="D1029" s="29"/>
      <c r="E1029" s="11"/>
      <c r="F1029" s="30">
        <f>Source!AL536</f>
        <v>87.74</v>
      </c>
      <c r="G1029" s="31" t="str">
        <f>Source!DD536</f>
        <v/>
      </c>
      <c r="H1029" s="30">
        <f>ROUND(Source!AC536*Source!I536, 2)</f>
        <v>3.16</v>
      </c>
      <c r="I1029" s="31"/>
      <c r="J1029" s="31">
        <f>IF(Source!BC536&lt;&gt; 0, Source!BC536, 1)</f>
        <v>6.56</v>
      </c>
      <c r="K1029" s="30">
        <f>Source!P536</f>
        <v>20.72</v>
      </c>
      <c r="L1029" s="32"/>
    </row>
    <row r="1030" spans="1:26" ht="14.25" x14ac:dyDescent="0.2">
      <c r="A1030" s="45"/>
      <c r="B1030" s="46"/>
      <c r="C1030" s="46" t="s">
        <v>1638</v>
      </c>
      <c r="D1030" s="29" t="s">
        <v>1639</v>
      </c>
      <c r="E1030" s="11">
        <f>Source!BZ536</f>
        <v>95</v>
      </c>
      <c r="F1030" s="49"/>
      <c r="G1030" s="31"/>
      <c r="H1030" s="30">
        <f>SUM(S1024:S1033)</f>
        <v>5.01</v>
      </c>
      <c r="I1030" s="34"/>
      <c r="J1030" s="27">
        <f>Source!AT536</f>
        <v>95</v>
      </c>
      <c r="K1030" s="30">
        <f>SUM(T1024:T1033)</f>
        <v>32.840000000000003</v>
      </c>
      <c r="L1030" s="32"/>
    </row>
    <row r="1031" spans="1:26" ht="14.25" x14ac:dyDescent="0.2">
      <c r="A1031" s="45"/>
      <c r="B1031" s="46"/>
      <c r="C1031" s="46" t="s">
        <v>1640</v>
      </c>
      <c r="D1031" s="29" t="s">
        <v>1639</v>
      </c>
      <c r="E1031" s="11">
        <f>Source!CA536</f>
        <v>65</v>
      </c>
      <c r="F1031" s="49"/>
      <c r="G1031" s="31"/>
      <c r="H1031" s="30">
        <f>SUM(U1024:U1033)</f>
        <v>3.43</v>
      </c>
      <c r="I1031" s="34"/>
      <c r="J1031" s="27">
        <f>Source!AU536</f>
        <v>65</v>
      </c>
      <c r="K1031" s="30">
        <f>SUM(V1024:V1033)</f>
        <v>22.47</v>
      </c>
      <c r="L1031" s="32"/>
    </row>
    <row r="1032" spans="1:26" ht="14.25" x14ac:dyDescent="0.2">
      <c r="A1032" s="45"/>
      <c r="B1032" s="46"/>
      <c r="C1032" s="46" t="s">
        <v>1641</v>
      </c>
      <c r="D1032" s="29" t="s">
        <v>1642</v>
      </c>
      <c r="E1032" s="11">
        <f>Source!AQ536</f>
        <v>15.28</v>
      </c>
      <c r="F1032" s="30"/>
      <c r="G1032" s="31" t="str">
        <f>Source!DI536</f>
        <v/>
      </c>
      <c r="H1032" s="30"/>
      <c r="I1032" s="31"/>
      <c r="J1032" s="31"/>
      <c r="K1032" s="30"/>
      <c r="L1032" s="41">
        <f>Source!U536</f>
        <v>0.5500799999999999</v>
      </c>
    </row>
    <row r="1033" spans="1:26" ht="42.75" x14ac:dyDescent="0.2">
      <c r="A1033" s="47" t="str">
        <f>Source!E537</f>
        <v>99,1</v>
      </c>
      <c r="B1033" s="48" t="str">
        <f>Source!F537</f>
        <v>24.3.01.03-0014</v>
      </c>
      <c r="C1033" s="48" t="str">
        <f>Source!G537</f>
        <v>Трубы жесткие гладкие легкие из самозатухающего ПВХ (IP55) серии RIG, диаметром 32 мм</v>
      </c>
      <c r="D1033" s="35" t="str">
        <f>Source!H537</f>
        <v>10 м</v>
      </c>
      <c r="E1033" s="36">
        <f>Source!I537</f>
        <v>0.36</v>
      </c>
      <c r="F1033" s="37">
        <f>Source!AL537+Source!AM537+Source!AO537</f>
        <v>79.47</v>
      </c>
      <c r="G1033" s="43" t="s">
        <v>6</v>
      </c>
      <c r="H1033" s="37">
        <f>ROUND(Source!AC537*Source!I537, 2)+ROUND(Source!AD537*Source!I537, 2)+ROUND(Source!AF537*Source!I537, 2)</f>
        <v>28.61</v>
      </c>
      <c r="I1033" s="38"/>
      <c r="J1033" s="38">
        <f>IF(Source!BC537&lt;&gt; 0, Source!BC537, 1)</f>
        <v>6.56</v>
      </c>
      <c r="K1033" s="37">
        <f>Source!O537</f>
        <v>187.68</v>
      </c>
      <c r="L1033" s="44"/>
      <c r="S1033">
        <f>ROUND((Source!FX537/100)*((ROUND(Source!AF537*Source!I537, 2)+ROUND(Source!AE537*Source!I537, 2))), 2)</f>
        <v>0</v>
      </c>
      <c r="T1033">
        <f>Source!X537</f>
        <v>0</v>
      </c>
      <c r="U1033">
        <f>ROUND((Source!FY537/100)*((ROUND(Source!AF537*Source!I537, 2)+ROUND(Source!AE537*Source!I537, 2))), 2)</f>
        <v>0</v>
      </c>
      <c r="V1033">
        <f>Source!Y537</f>
        <v>0</v>
      </c>
      <c r="W1033">
        <f>IF(Source!BI537&lt;=1,H1033, 0)</f>
        <v>0</v>
      </c>
      <c r="X1033">
        <f>IF(Source!BI537=2,H1033, 0)</f>
        <v>28.61</v>
      </c>
      <c r="Y1033">
        <f>IF(Source!BI537=3,H1033, 0)</f>
        <v>0</v>
      </c>
      <c r="Z1033">
        <f>IF(Source!BI537=4,H1033, 0)</f>
        <v>0</v>
      </c>
    </row>
    <row r="1034" spans="1:26" ht="15" x14ac:dyDescent="0.25">
      <c r="G1034" s="70">
        <f>H1026+H1027+H1029+H1030+H1031+SUM(H1033:H1033)</f>
        <v>46.08</v>
      </c>
      <c r="H1034" s="70"/>
      <c r="J1034" s="70">
        <f>K1026+K1027+K1029+K1030+K1031+SUM(K1033:K1033)</f>
        <v>302.25</v>
      </c>
      <c r="K1034" s="70"/>
      <c r="L1034" s="40">
        <f>Source!U536</f>
        <v>0.5500799999999999</v>
      </c>
      <c r="O1034" s="24">
        <f>G1034</f>
        <v>46.08</v>
      </c>
      <c r="P1034" s="24">
        <f>J1034</f>
        <v>302.25</v>
      </c>
      <c r="Q1034" s="24">
        <f>L1034</f>
        <v>0.5500799999999999</v>
      </c>
      <c r="W1034">
        <f>IF(Source!BI536&lt;=1,H1026+H1027+H1029+H1030+H1031, 0)</f>
        <v>0</v>
      </c>
      <c r="X1034">
        <f>IF(Source!BI536=2,H1026+H1027+H1029+H1030+H1031, 0)</f>
        <v>17.470000000000002</v>
      </c>
      <c r="Y1034">
        <f>IF(Source!BI536=3,H1026+H1027+H1029+H1030+H1031, 0)</f>
        <v>0</v>
      </c>
      <c r="Z1034">
        <f>IF(Source!BI536=4,H1026+H1027+H1029+H1030+H1031, 0)</f>
        <v>0</v>
      </c>
    </row>
    <row r="1035" spans="1:26" ht="42.75" x14ac:dyDescent="0.2">
      <c r="A1035" s="45" t="str">
        <f>Source!E538</f>
        <v>100</v>
      </c>
      <c r="B1035" s="46" t="str">
        <f>Source!F538</f>
        <v>м08-02-397-01 прим.</v>
      </c>
      <c r="C1035" s="46" t="str">
        <f>Source!G538</f>
        <v>Профиль перфорированный монтажный длиной 2 м (Лоток оцинкованный перфорированый)</v>
      </c>
      <c r="D1035" s="29" t="str">
        <f>Source!H538</f>
        <v>100 м</v>
      </c>
      <c r="E1035" s="11">
        <f>Source!I538</f>
        <v>0.06</v>
      </c>
      <c r="F1035" s="30">
        <f>Source!AL538+Source!AM538+Source!AO538</f>
        <v>582.66</v>
      </c>
      <c r="G1035" s="31"/>
      <c r="H1035" s="30"/>
      <c r="I1035" s="31" t="str">
        <f>Source!BO538</f>
        <v/>
      </c>
      <c r="J1035" s="31"/>
      <c r="K1035" s="30"/>
      <c r="L1035" s="32"/>
      <c r="S1035">
        <f>ROUND((Source!FX538/100)*((ROUND(Source!AF538*Source!I538, 2)+ROUND(Source!AE538*Source!I538, 2))), 2)</f>
        <v>5.92</v>
      </c>
      <c r="T1035">
        <f>Source!X538</f>
        <v>38.81</v>
      </c>
      <c r="U1035">
        <f>ROUND((Source!FY538/100)*((ROUND(Source!AF538*Source!I538, 2)+ROUND(Source!AE538*Source!I538, 2))), 2)</f>
        <v>4.05</v>
      </c>
      <c r="V1035">
        <f>Source!Y538</f>
        <v>26.55</v>
      </c>
    </row>
    <row r="1036" spans="1:26" x14ac:dyDescent="0.2">
      <c r="C1036" s="23" t="str">
        <f>"Объем: "&amp;Source!I538&amp;"=6/"&amp;"100"</f>
        <v>Объем: 0,06=6/100</v>
      </c>
    </row>
    <row r="1037" spans="1:26" ht="14.25" x14ac:dyDescent="0.2">
      <c r="A1037" s="45"/>
      <c r="B1037" s="46"/>
      <c r="C1037" s="46" t="s">
        <v>1636</v>
      </c>
      <c r="D1037" s="29"/>
      <c r="E1037" s="11"/>
      <c r="F1037" s="30">
        <f>Source!AO538</f>
        <v>80.459999999999994</v>
      </c>
      <c r="G1037" s="31" t="str">
        <f>Source!DG538</f>
        <v/>
      </c>
      <c r="H1037" s="30">
        <f>ROUND(Source!AF538*Source!I538, 2)</f>
        <v>4.83</v>
      </c>
      <c r="I1037" s="31"/>
      <c r="J1037" s="31">
        <f>IF(Source!BA538&lt;&gt; 0, Source!BA538, 1)</f>
        <v>6.56</v>
      </c>
      <c r="K1037" s="30">
        <f>Source!S538</f>
        <v>31.67</v>
      </c>
      <c r="L1037" s="32"/>
      <c r="R1037">
        <f>H1037</f>
        <v>4.83</v>
      </c>
    </row>
    <row r="1038" spans="1:26" ht="14.25" x14ac:dyDescent="0.2">
      <c r="A1038" s="45"/>
      <c r="B1038" s="46"/>
      <c r="C1038" s="46" t="s">
        <v>136</v>
      </c>
      <c r="D1038" s="29"/>
      <c r="E1038" s="11"/>
      <c r="F1038" s="30">
        <f>Source!AM538</f>
        <v>94.67</v>
      </c>
      <c r="G1038" s="31" t="str">
        <f>Source!DE538</f>
        <v/>
      </c>
      <c r="H1038" s="30">
        <f>ROUND(Source!AD538*Source!I538, 2)</f>
        <v>5.68</v>
      </c>
      <c r="I1038" s="31"/>
      <c r="J1038" s="31">
        <f>IF(Source!BB538&lt;&gt; 0, Source!BB538, 1)</f>
        <v>6.56</v>
      </c>
      <c r="K1038" s="30">
        <f>Source!Q538</f>
        <v>37.26</v>
      </c>
      <c r="L1038" s="32"/>
    </row>
    <row r="1039" spans="1:26" ht="14.25" x14ac:dyDescent="0.2">
      <c r="A1039" s="45"/>
      <c r="B1039" s="46"/>
      <c r="C1039" s="46" t="s">
        <v>1637</v>
      </c>
      <c r="D1039" s="29"/>
      <c r="E1039" s="11"/>
      <c r="F1039" s="30">
        <f>Source!AN538</f>
        <v>23.33</v>
      </c>
      <c r="G1039" s="31" t="str">
        <f>Source!DF538</f>
        <v/>
      </c>
      <c r="H1039" s="33">
        <f>ROUND(Source!AE538*Source!I538, 2)</f>
        <v>1.4</v>
      </c>
      <c r="I1039" s="31"/>
      <c r="J1039" s="31">
        <f>IF(Source!BS538&lt;&gt; 0, Source!BS538, 1)</f>
        <v>6.56</v>
      </c>
      <c r="K1039" s="33">
        <f>Source!R538</f>
        <v>9.18</v>
      </c>
      <c r="L1039" s="32"/>
      <c r="R1039">
        <f>H1039</f>
        <v>1.4</v>
      </c>
    </row>
    <row r="1040" spans="1:26" ht="14.25" x14ac:dyDescent="0.2">
      <c r="A1040" s="45"/>
      <c r="B1040" s="46"/>
      <c r="C1040" s="46" t="s">
        <v>1643</v>
      </c>
      <c r="D1040" s="29"/>
      <c r="E1040" s="11"/>
      <c r="F1040" s="30">
        <f>Source!AL538</f>
        <v>407.53</v>
      </c>
      <c r="G1040" s="31" t="str">
        <f>Source!DD538</f>
        <v/>
      </c>
      <c r="H1040" s="30">
        <f>ROUND(Source!AC538*Source!I538, 2)</f>
        <v>24.45</v>
      </c>
      <c r="I1040" s="31"/>
      <c r="J1040" s="31">
        <f>IF(Source!BC538&lt;&gt; 0, Source!BC538, 1)</f>
        <v>6.56</v>
      </c>
      <c r="K1040" s="30">
        <f>Source!P538</f>
        <v>160.4</v>
      </c>
      <c r="L1040" s="32"/>
    </row>
    <row r="1041" spans="1:26" ht="14.25" x14ac:dyDescent="0.2">
      <c r="A1041" s="45"/>
      <c r="B1041" s="46"/>
      <c r="C1041" s="46" t="s">
        <v>1638</v>
      </c>
      <c r="D1041" s="29" t="s">
        <v>1639</v>
      </c>
      <c r="E1041" s="11">
        <f>Source!BZ538</f>
        <v>95</v>
      </c>
      <c r="F1041" s="49"/>
      <c r="G1041" s="31"/>
      <c r="H1041" s="30">
        <f>SUM(S1035:S1044)</f>
        <v>5.92</v>
      </c>
      <c r="I1041" s="34"/>
      <c r="J1041" s="27">
        <f>Source!AT538</f>
        <v>95</v>
      </c>
      <c r="K1041" s="30">
        <f>SUM(T1035:T1044)</f>
        <v>38.81</v>
      </c>
      <c r="L1041" s="32"/>
    </row>
    <row r="1042" spans="1:26" ht="14.25" x14ac:dyDescent="0.2">
      <c r="A1042" s="45"/>
      <c r="B1042" s="46"/>
      <c r="C1042" s="46" t="s">
        <v>1640</v>
      </c>
      <c r="D1042" s="29" t="s">
        <v>1639</v>
      </c>
      <c r="E1042" s="11">
        <f>Source!CA538</f>
        <v>65</v>
      </c>
      <c r="F1042" s="49"/>
      <c r="G1042" s="31"/>
      <c r="H1042" s="30">
        <f>SUM(U1035:U1044)</f>
        <v>4.05</v>
      </c>
      <c r="I1042" s="34"/>
      <c r="J1042" s="27">
        <f>Source!AU538</f>
        <v>65</v>
      </c>
      <c r="K1042" s="30">
        <f>SUM(V1035:V1044)</f>
        <v>26.55</v>
      </c>
      <c r="L1042" s="32"/>
    </row>
    <row r="1043" spans="1:26" ht="14.25" x14ac:dyDescent="0.2">
      <c r="A1043" s="45"/>
      <c r="B1043" s="46"/>
      <c r="C1043" s="46" t="s">
        <v>1641</v>
      </c>
      <c r="D1043" s="29" t="s">
        <v>1642</v>
      </c>
      <c r="E1043" s="11">
        <f>Source!AQ538</f>
        <v>8.56</v>
      </c>
      <c r="F1043" s="30"/>
      <c r="G1043" s="31" t="str">
        <f>Source!DI538</f>
        <v/>
      </c>
      <c r="H1043" s="30"/>
      <c r="I1043" s="31"/>
      <c r="J1043" s="31"/>
      <c r="K1043" s="30"/>
      <c r="L1043" s="41">
        <f>Source!U538</f>
        <v>0.51360000000000006</v>
      </c>
    </row>
    <row r="1044" spans="1:26" ht="42.75" x14ac:dyDescent="0.2">
      <c r="A1044" s="47" t="str">
        <f>Source!E539</f>
        <v>100,1</v>
      </c>
      <c r="B1044" s="48" t="str">
        <f>Source!F539</f>
        <v>20.2.07.06-0001</v>
      </c>
      <c r="C1044" s="48" t="str">
        <f>Source!G539</f>
        <v>Лоток кабельный проволочный оцинкованный размером 60х30 х3000мм прим.</v>
      </c>
      <c r="D1044" s="35" t="str">
        <f>Source!H539</f>
        <v>м</v>
      </c>
      <c r="E1044" s="36">
        <f>Source!I539</f>
        <v>6</v>
      </c>
      <c r="F1044" s="37">
        <f>Source!AL539+Source!AM539+Source!AO539</f>
        <v>22.51</v>
      </c>
      <c r="G1044" s="43" t="s">
        <v>6</v>
      </c>
      <c r="H1044" s="37">
        <f>ROUND(Source!AC539*Source!I539, 2)+ROUND(Source!AD539*Source!I539, 2)+ROUND(Source!AF539*Source!I539, 2)</f>
        <v>135.06</v>
      </c>
      <c r="I1044" s="38"/>
      <c r="J1044" s="38">
        <f>IF(Source!BC539&lt;&gt; 0, Source!BC539, 1)</f>
        <v>6.56</v>
      </c>
      <c r="K1044" s="37">
        <f>Source!O539</f>
        <v>885.99</v>
      </c>
      <c r="L1044" s="44"/>
      <c r="S1044">
        <f>ROUND((Source!FX539/100)*((ROUND(Source!AF539*Source!I539, 2)+ROUND(Source!AE539*Source!I539, 2))), 2)</f>
        <v>0</v>
      </c>
      <c r="T1044">
        <f>Source!X539</f>
        <v>0</v>
      </c>
      <c r="U1044">
        <f>ROUND((Source!FY539/100)*((ROUND(Source!AF539*Source!I539, 2)+ROUND(Source!AE539*Source!I539, 2))), 2)</f>
        <v>0</v>
      </c>
      <c r="V1044">
        <f>Source!Y539</f>
        <v>0</v>
      </c>
      <c r="W1044">
        <f>IF(Source!BI539&lt;=1,H1044, 0)</f>
        <v>0</v>
      </c>
      <c r="X1044">
        <f>IF(Source!BI539=2,H1044, 0)</f>
        <v>135.06</v>
      </c>
      <c r="Y1044">
        <f>IF(Source!BI539=3,H1044, 0)</f>
        <v>0</v>
      </c>
      <c r="Z1044">
        <f>IF(Source!BI539=4,H1044, 0)</f>
        <v>0</v>
      </c>
    </row>
    <row r="1045" spans="1:26" ht="15" x14ac:dyDescent="0.25">
      <c r="G1045" s="70">
        <f>H1037+H1038+H1040+H1041+H1042+SUM(H1044:H1044)</f>
        <v>179.99</v>
      </c>
      <c r="H1045" s="70"/>
      <c r="J1045" s="70">
        <f>K1037+K1038+K1040+K1041+K1042+SUM(K1044:K1044)</f>
        <v>1180.68</v>
      </c>
      <c r="K1045" s="70"/>
      <c r="L1045" s="40">
        <f>Source!U538</f>
        <v>0.51360000000000006</v>
      </c>
      <c r="O1045" s="24">
        <f>G1045</f>
        <v>179.99</v>
      </c>
      <c r="P1045" s="24">
        <f>J1045</f>
        <v>1180.68</v>
      </c>
      <c r="Q1045" s="24">
        <f>L1045</f>
        <v>0.51360000000000006</v>
      </c>
      <c r="W1045">
        <f>IF(Source!BI538&lt;=1,H1037+H1038+H1040+H1041+H1042, 0)</f>
        <v>0</v>
      </c>
      <c r="X1045">
        <f>IF(Source!BI538=2,H1037+H1038+H1040+H1041+H1042, 0)</f>
        <v>44.93</v>
      </c>
      <c r="Y1045">
        <f>IF(Source!BI538=3,H1037+H1038+H1040+H1041+H1042, 0)</f>
        <v>0</v>
      </c>
      <c r="Z1045">
        <f>IF(Source!BI538=4,H1037+H1038+H1040+H1041+H1042, 0)</f>
        <v>0</v>
      </c>
    </row>
    <row r="1047" spans="1:26" ht="15" x14ac:dyDescent="0.25">
      <c r="A1047" s="74" t="str">
        <f>CONCATENATE("Итого по разделу: ",IF(Source!G541&lt;&gt;"Новый раздел", Source!G541, ""))</f>
        <v>Итого по разделу: 5 Сети СКС</v>
      </c>
      <c r="B1047" s="74"/>
      <c r="C1047" s="74"/>
      <c r="D1047" s="74"/>
      <c r="E1047" s="74"/>
      <c r="F1047" s="74"/>
      <c r="G1047" s="73">
        <f>SUM(O994:O1046)</f>
        <v>6923.03</v>
      </c>
      <c r="H1047" s="73"/>
      <c r="I1047" s="26"/>
      <c r="J1047" s="73">
        <f>SUM(P994:P1046)</f>
        <v>45415.02</v>
      </c>
      <c r="K1047" s="73"/>
      <c r="L1047" s="40">
        <f>SUM(Q994:Q1046)</f>
        <v>178.18668000000002</v>
      </c>
    </row>
    <row r="1048" spans="1:26" ht="16.5" x14ac:dyDescent="0.25">
      <c r="A1048" s="75" t="str">
        <f>CONCATENATE("Раздел: ",IF(Source!G570&lt;&gt;"Новый раздел", Source!G570, ""))</f>
        <v>Раздел: 6 Отопление</v>
      </c>
      <c r="B1048" s="75"/>
      <c r="C1048" s="75"/>
      <c r="D1048" s="75"/>
      <c r="E1048" s="75"/>
      <c r="F1048" s="75"/>
      <c r="G1048" s="75"/>
      <c r="H1048" s="75"/>
      <c r="I1048" s="75"/>
      <c r="J1048" s="75"/>
      <c r="K1048" s="75"/>
      <c r="L1048" s="75"/>
    </row>
    <row r="1049" spans="1:26" ht="14.25" x14ac:dyDescent="0.2">
      <c r="A1049" s="45" t="str">
        <f>Source!E574</f>
        <v>101</v>
      </c>
      <c r="B1049" s="46" t="str">
        <f>Source!F574</f>
        <v>65-19-1</v>
      </c>
      <c r="C1049" s="46" t="str">
        <f>Source!G574</f>
        <v>Демонтаж радиаторов весом до 80 кг</v>
      </c>
      <c r="D1049" s="29" t="str">
        <f>Source!H574</f>
        <v>100 ШТ</v>
      </c>
      <c r="E1049" s="11">
        <f>Source!I574</f>
        <v>7.0000000000000007E-2</v>
      </c>
      <c r="F1049" s="30">
        <f>Source!AL574+Source!AM574+Source!AO574</f>
        <v>935.72</v>
      </c>
      <c r="G1049" s="31"/>
      <c r="H1049" s="30"/>
      <c r="I1049" s="31" t="str">
        <f>Source!BO574</f>
        <v/>
      </c>
      <c r="J1049" s="31"/>
      <c r="K1049" s="30"/>
      <c r="L1049" s="32"/>
      <c r="S1049">
        <f>ROUND((Source!FX574/100)*((ROUND(Source!AF574*Source!I574, 2)+ROUND(Source!AE574*Source!I574, 2))), 2)</f>
        <v>46.41</v>
      </c>
      <c r="T1049">
        <f>Source!X574</f>
        <v>304.45</v>
      </c>
      <c r="U1049">
        <f>ROUND((Source!FY574/100)*((ROUND(Source!AF574*Source!I574, 2)+ROUND(Source!AE574*Source!I574, 2))), 2)</f>
        <v>31.36</v>
      </c>
      <c r="V1049">
        <f>Source!Y574</f>
        <v>205.71</v>
      </c>
    </row>
    <row r="1050" spans="1:26" x14ac:dyDescent="0.2">
      <c r="C1050" s="23" t="str">
        <f>"Объем: "&amp;Source!I574&amp;"=7/"&amp;"100"</f>
        <v>Объем: 0,07=7/100</v>
      </c>
    </row>
    <row r="1051" spans="1:26" ht="14.25" x14ac:dyDescent="0.2">
      <c r="A1051" s="45"/>
      <c r="B1051" s="46"/>
      <c r="C1051" s="46" t="s">
        <v>1636</v>
      </c>
      <c r="D1051" s="29"/>
      <c r="E1051" s="11"/>
      <c r="F1051" s="30">
        <f>Source!AO574</f>
        <v>865.7</v>
      </c>
      <c r="G1051" s="31" t="str">
        <f>Source!DG574</f>
        <v/>
      </c>
      <c r="H1051" s="30">
        <f>ROUND(Source!AF574*Source!I574, 2)</f>
        <v>60.6</v>
      </c>
      <c r="I1051" s="31"/>
      <c r="J1051" s="31">
        <f>IF(Source!BA574&lt;&gt; 0, Source!BA574, 1)</f>
        <v>6.56</v>
      </c>
      <c r="K1051" s="30">
        <f>Source!S574</f>
        <v>397.53</v>
      </c>
      <c r="L1051" s="32"/>
      <c r="R1051">
        <f>H1051</f>
        <v>60.6</v>
      </c>
    </row>
    <row r="1052" spans="1:26" ht="14.25" x14ac:dyDescent="0.2">
      <c r="A1052" s="45"/>
      <c r="B1052" s="46"/>
      <c r="C1052" s="46" t="s">
        <v>136</v>
      </c>
      <c r="D1052" s="29"/>
      <c r="E1052" s="11"/>
      <c r="F1052" s="30">
        <f>Source!AM574</f>
        <v>70.02</v>
      </c>
      <c r="G1052" s="31" t="str">
        <f>Source!DE574</f>
        <v/>
      </c>
      <c r="H1052" s="30">
        <f>ROUND(Source!AD574*Source!I574, 2)</f>
        <v>4.9000000000000004</v>
      </c>
      <c r="I1052" s="31"/>
      <c r="J1052" s="31">
        <f>IF(Source!BB574&lt;&gt; 0, Source!BB574, 1)</f>
        <v>6.56</v>
      </c>
      <c r="K1052" s="30">
        <f>Source!Q574</f>
        <v>32.15</v>
      </c>
      <c r="L1052" s="32"/>
    </row>
    <row r="1053" spans="1:26" ht="14.25" x14ac:dyDescent="0.2">
      <c r="A1053" s="45"/>
      <c r="B1053" s="46"/>
      <c r="C1053" s="46" t="s">
        <v>1637</v>
      </c>
      <c r="D1053" s="29"/>
      <c r="E1053" s="11"/>
      <c r="F1053" s="30">
        <f>Source!AN574</f>
        <v>30.24</v>
      </c>
      <c r="G1053" s="31" t="str">
        <f>Source!DF574</f>
        <v/>
      </c>
      <c r="H1053" s="33">
        <f>ROUND(Source!AE574*Source!I574, 2)</f>
        <v>2.12</v>
      </c>
      <c r="I1053" s="31"/>
      <c r="J1053" s="31">
        <f>IF(Source!BS574&lt;&gt; 0, Source!BS574, 1)</f>
        <v>6.56</v>
      </c>
      <c r="K1053" s="33">
        <f>Source!R574</f>
        <v>13.89</v>
      </c>
      <c r="L1053" s="32"/>
      <c r="R1053">
        <f>H1053</f>
        <v>2.12</v>
      </c>
    </row>
    <row r="1054" spans="1:26" ht="14.25" x14ac:dyDescent="0.2">
      <c r="A1054" s="45"/>
      <c r="B1054" s="46"/>
      <c r="C1054" s="46" t="s">
        <v>1638</v>
      </c>
      <c r="D1054" s="29" t="s">
        <v>1639</v>
      </c>
      <c r="E1054" s="11">
        <f>Source!BZ574</f>
        <v>74</v>
      </c>
      <c r="F1054" s="49"/>
      <c r="G1054" s="31"/>
      <c r="H1054" s="30">
        <f>SUM(S1049:S1056)</f>
        <v>46.41</v>
      </c>
      <c r="I1054" s="34"/>
      <c r="J1054" s="27">
        <f>Source!AT574</f>
        <v>74</v>
      </c>
      <c r="K1054" s="30">
        <f>SUM(T1049:T1056)</f>
        <v>304.45</v>
      </c>
      <c r="L1054" s="32"/>
    </row>
    <row r="1055" spans="1:26" ht="14.25" x14ac:dyDescent="0.2">
      <c r="A1055" s="45"/>
      <c r="B1055" s="46"/>
      <c r="C1055" s="46" t="s">
        <v>1640</v>
      </c>
      <c r="D1055" s="29" t="s">
        <v>1639</v>
      </c>
      <c r="E1055" s="11">
        <f>Source!CA574</f>
        <v>50</v>
      </c>
      <c r="F1055" s="49"/>
      <c r="G1055" s="31"/>
      <c r="H1055" s="30">
        <f>SUM(U1049:U1056)</f>
        <v>31.36</v>
      </c>
      <c r="I1055" s="34"/>
      <c r="J1055" s="27">
        <f>Source!AU574</f>
        <v>50</v>
      </c>
      <c r="K1055" s="30">
        <f>SUM(V1049:V1056)</f>
        <v>205.71</v>
      </c>
      <c r="L1055" s="32"/>
    </row>
    <row r="1056" spans="1:26" ht="14.25" x14ac:dyDescent="0.2">
      <c r="A1056" s="47"/>
      <c r="B1056" s="48"/>
      <c r="C1056" s="48" t="s">
        <v>1641</v>
      </c>
      <c r="D1056" s="35" t="s">
        <v>1642</v>
      </c>
      <c r="E1056" s="36">
        <f>Source!AQ574</f>
        <v>110</v>
      </c>
      <c r="F1056" s="37"/>
      <c r="G1056" s="38" t="str">
        <f>Source!DI574</f>
        <v/>
      </c>
      <c r="H1056" s="37"/>
      <c r="I1056" s="38"/>
      <c r="J1056" s="38"/>
      <c r="K1056" s="37"/>
      <c r="L1056" s="39">
        <f>Source!U574</f>
        <v>7.7000000000000011</v>
      </c>
    </row>
    <row r="1057" spans="1:26" ht="15" x14ac:dyDescent="0.25">
      <c r="G1057" s="70">
        <f>H1051+H1052+H1054+H1055</f>
        <v>143.26999999999998</v>
      </c>
      <c r="H1057" s="70"/>
      <c r="J1057" s="70">
        <f>K1051+K1052+K1054+K1055</f>
        <v>939.83999999999992</v>
      </c>
      <c r="K1057" s="70"/>
      <c r="L1057" s="40">
        <f>Source!U574</f>
        <v>7.7000000000000011</v>
      </c>
      <c r="O1057" s="24">
        <f>G1057</f>
        <v>143.26999999999998</v>
      </c>
      <c r="P1057" s="24">
        <f>J1057</f>
        <v>939.83999999999992</v>
      </c>
      <c r="Q1057" s="24">
        <f>L1057</f>
        <v>7.7000000000000011</v>
      </c>
      <c r="W1057">
        <f>IF(Source!BI574&lt;=1,H1051+H1052+H1054+H1055, 0)</f>
        <v>143.26999999999998</v>
      </c>
      <c r="X1057">
        <f>IF(Source!BI574=2,H1051+H1052+H1054+H1055, 0)</f>
        <v>0</v>
      </c>
      <c r="Y1057">
        <f>IF(Source!BI574=3,H1051+H1052+H1054+H1055, 0)</f>
        <v>0</v>
      </c>
      <c r="Z1057">
        <f>IF(Source!BI574=4,H1051+H1052+H1054+H1055, 0)</f>
        <v>0</v>
      </c>
    </row>
    <row r="1058" spans="1:26" ht="28.5" x14ac:dyDescent="0.2">
      <c r="A1058" s="45" t="str">
        <f>Source!E575</f>
        <v>102</v>
      </c>
      <c r="B1058" s="46" t="str">
        <f>Source!F575</f>
        <v>18-03-001-02</v>
      </c>
      <c r="C1058" s="46" t="str">
        <f>Source!G575</f>
        <v>Установка радиаторов стальных</v>
      </c>
      <c r="D1058" s="29" t="str">
        <f>Source!H575</f>
        <v>100 квт</v>
      </c>
      <c r="E1058" s="11">
        <f>Source!I575</f>
        <v>0.47849999999999998</v>
      </c>
      <c r="F1058" s="30">
        <f>Source!AL575+Source!AM575+Source!AO575</f>
        <v>1942.27</v>
      </c>
      <c r="G1058" s="31"/>
      <c r="H1058" s="30"/>
      <c r="I1058" s="31" t="str">
        <f>Source!BO575</f>
        <v/>
      </c>
      <c r="J1058" s="31"/>
      <c r="K1058" s="30"/>
      <c r="L1058" s="32"/>
      <c r="S1058">
        <f>ROUND((Source!FX575/100)*((ROUND(Source!AF575*Source!I575, 2)+ROUND(Source!AE575*Source!I575, 2))), 2)</f>
        <v>399.72</v>
      </c>
      <c r="T1058">
        <f>Source!X575</f>
        <v>2617.5700000000002</v>
      </c>
      <c r="U1058">
        <f>ROUND((Source!FY575/100)*((ROUND(Source!AF575*Source!I575, 2)+ROUND(Source!AE575*Source!I575, 2))), 2)</f>
        <v>244.79</v>
      </c>
      <c r="V1058">
        <f>Source!Y575</f>
        <v>1616.07</v>
      </c>
    </row>
    <row r="1059" spans="1:26" x14ac:dyDescent="0.2">
      <c r="C1059" s="23" t="str">
        <f>"Объем: "&amp;Source!I575&amp;"=47,85/"&amp;"100"</f>
        <v>Объем: 0,4785=47,85/100</v>
      </c>
    </row>
    <row r="1060" spans="1:26" ht="14.25" x14ac:dyDescent="0.2">
      <c r="A1060" s="45"/>
      <c r="B1060" s="46"/>
      <c r="C1060" s="46" t="s">
        <v>1636</v>
      </c>
      <c r="D1060" s="29"/>
      <c r="E1060" s="11"/>
      <c r="F1060" s="30">
        <f>Source!AO575</f>
        <v>588.42999999999995</v>
      </c>
      <c r="G1060" s="31" t="str">
        <f>Source!DG575</f>
        <v>)*1,15</v>
      </c>
      <c r="H1060" s="30">
        <f>ROUND(Source!AF575*Source!I575, 2)</f>
        <v>323.8</v>
      </c>
      <c r="I1060" s="31"/>
      <c r="J1060" s="31">
        <f>IF(Source!BA575&lt;&gt; 0, Source!BA575, 1)</f>
        <v>6.56</v>
      </c>
      <c r="K1060" s="30">
        <f>Source!S575</f>
        <v>2124.1</v>
      </c>
      <c r="L1060" s="32"/>
      <c r="R1060">
        <f>H1060</f>
        <v>323.8</v>
      </c>
    </row>
    <row r="1061" spans="1:26" ht="14.25" x14ac:dyDescent="0.2">
      <c r="A1061" s="45"/>
      <c r="B1061" s="46"/>
      <c r="C1061" s="46" t="s">
        <v>136</v>
      </c>
      <c r="D1061" s="29"/>
      <c r="E1061" s="11"/>
      <c r="F1061" s="30">
        <f>Source!AM575</f>
        <v>192.58</v>
      </c>
      <c r="G1061" s="31" t="str">
        <f>Source!DE575</f>
        <v>)*1,25</v>
      </c>
      <c r="H1061" s="30">
        <f>ROUND(Source!AD575*Source!I575, 2)</f>
        <v>115.19</v>
      </c>
      <c r="I1061" s="31"/>
      <c r="J1061" s="31">
        <f>IF(Source!BB575&lt;&gt; 0, Source!BB575, 1)</f>
        <v>6.56</v>
      </c>
      <c r="K1061" s="30">
        <f>Source!Q575</f>
        <v>755.64</v>
      </c>
      <c r="L1061" s="32"/>
    </row>
    <row r="1062" spans="1:26" ht="14.25" x14ac:dyDescent="0.2">
      <c r="A1062" s="45"/>
      <c r="B1062" s="46"/>
      <c r="C1062" s="46" t="s">
        <v>1637</v>
      </c>
      <c r="D1062" s="29"/>
      <c r="E1062" s="11"/>
      <c r="F1062" s="30">
        <f>Source!AN575</f>
        <v>38.75</v>
      </c>
      <c r="G1062" s="31" t="str">
        <f>Source!DF575</f>
        <v>)*1,25</v>
      </c>
      <c r="H1062" s="33">
        <f>ROUND(Source!AE575*Source!I575, 2)</f>
        <v>23.18</v>
      </c>
      <c r="I1062" s="31"/>
      <c r="J1062" s="31">
        <f>IF(Source!BS575&lt;&gt; 0, Source!BS575, 1)</f>
        <v>6.56</v>
      </c>
      <c r="K1062" s="33">
        <f>Source!R575</f>
        <v>152.05000000000001</v>
      </c>
      <c r="L1062" s="32"/>
      <c r="R1062">
        <f>H1062</f>
        <v>23.18</v>
      </c>
    </row>
    <row r="1063" spans="1:26" ht="14.25" x14ac:dyDescent="0.2">
      <c r="A1063" s="45"/>
      <c r="B1063" s="46"/>
      <c r="C1063" s="46" t="s">
        <v>1643</v>
      </c>
      <c r="D1063" s="29"/>
      <c r="E1063" s="11"/>
      <c r="F1063" s="30">
        <f>Source!AL575</f>
        <v>1161.26</v>
      </c>
      <c r="G1063" s="31" t="str">
        <f>Source!DD575</f>
        <v/>
      </c>
      <c r="H1063" s="30">
        <f>ROUND(Source!AC575*Source!I575, 2)</f>
        <v>555.66</v>
      </c>
      <c r="I1063" s="31"/>
      <c r="J1063" s="31">
        <f>IF(Source!BC575&lt;&gt; 0, Source!BC575, 1)</f>
        <v>6.56</v>
      </c>
      <c r="K1063" s="30">
        <f>Source!P575</f>
        <v>3645.15</v>
      </c>
      <c r="L1063" s="32"/>
    </row>
    <row r="1064" spans="1:26" ht="14.25" x14ac:dyDescent="0.2">
      <c r="A1064" s="45"/>
      <c r="B1064" s="46"/>
      <c r="C1064" s="46" t="s">
        <v>1638</v>
      </c>
      <c r="D1064" s="29" t="s">
        <v>1639</v>
      </c>
      <c r="E1064" s="11">
        <f>Source!BZ575</f>
        <v>128</v>
      </c>
      <c r="F1064" s="71" t="str">
        <f>CONCATENATE(" )", Source!DL575, Source!FT575, "=", Source!FX575)</f>
        <v xml:space="preserve"> )*0,9=115,2</v>
      </c>
      <c r="G1064" s="72"/>
      <c r="H1064" s="30">
        <f>SUM(S1058:S1069)</f>
        <v>399.72</v>
      </c>
      <c r="I1064" s="34"/>
      <c r="J1064" s="27">
        <f>Source!AT575</f>
        <v>115</v>
      </c>
      <c r="K1064" s="30">
        <f>SUM(T1058:T1069)</f>
        <v>2617.5700000000002</v>
      </c>
      <c r="L1064" s="32"/>
    </row>
    <row r="1065" spans="1:26" ht="14.25" x14ac:dyDescent="0.2">
      <c r="A1065" s="45"/>
      <c r="B1065" s="46"/>
      <c r="C1065" s="46" t="s">
        <v>1640</v>
      </c>
      <c r="D1065" s="29" t="s">
        <v>1639</v>
      </c>
      <c r="E1065" s="11">
        <f>Source!CA575</f>
        <v>83</v>
      </c>
      <c r="F1065" s="71" t="str">
        <f>CONCATENATE(" )", Source!DM575, Source!FU575, "=", Source!FY575)</f>
        <v xml:space="preserve"> )*0,85=70,55</v>
      </c>
      <c r="G1065" s="72"/>
      <c r="H1065" s="30">
        <f>SUM(U1058:U1069)</f>
        <v>244.79</v>
      </c>
      <c r="I1065" s="34"/>
      <c r="J1065" s="27">
        <f>Source!AU575</f>
        <v>71</v>
      </c>
      <c r="K1065" s="30">
        <f>SUM(V1058:V1069)</f>
        <v>1616.07</v>
      </c>
      <c r="L1065" s="32"/>
    </row>
    <row r="1066" spans="1:26" ht="14.25" x14ac:dyDescent="0.2">
      <c r="A1066" s="45"/>
      <c r="B1066" s="46"/>
      <c r="C1066" s="46" t="s">
        <v>1641</v>
      </c>
      <c r="D1066" s="29" t="s">
        <v>1642</v>
      </c>
      <c r="E1066" s="11">
        <f>Source!AQ575</f>
        <v>65.599999999999994</v>
      </c>
      <c r="F1066" s="30"/>
      <c r="G1066" s="31" t="str">
        <f>Source!DI575</f>
        <v>)*1,15</v>
      </c>
      <c r="H1066" s="30"/>
      <c r="I1066" s="31"/>
      <c r="J1066" s="31"/>
      <c r="K1066" s="30"/>
      <c r="L1066" s="41">
        <f>Source!U575</f>
        <v>36.09803999999999</v>
      </c>
    </row>
    <row r="1067" spans="1:26" ht="42.75" x14ac:dyDescent="0.2">
      <c r="A1067" s="45" t="str">
        <f>Source!E576</f>
        <v>102,1</v>
      </c>
      <c r="B1067" s="46" t="str">
        <f>Source!F576</f>
        <v>18.5.10.05-0008</v>
      </c>
      <c r="C1067" s="46" t="str">
        <f>Source!G576</f>
        <v>Радиаторы биметаллические, марка «Rifar-Монолит A 500», количество секций 10, мощность 1650 Втприм.</v>
      </c>
      <c r="D1067" s="29" t="str">
        <f>Source!H576</f>
        <v>шт.</v>
      </c>
      <c r="E1067" s="11">
        <f>Source!I576</f>
        <v>7</v>
      </c>
      <c r="F1067" s="30">
        <f>Source!AL576+Source!AM576+Source!AO576</f>
        <v>1367</v>
      </c>
      <c r="G1067" s="42" t="s">
        <v>6</v>
      </c>
      <c r="H1067" s="30">
        <f>ROUND(Source!AC576*Source!I576, 2)+ROUND(Source!AD576*Source!I576, 2)+ROUND(Source!AF576*Source!I576, 2)</f>
        <v>9569</v>
      </c>
      <c r="I1067" s="31"/>
      <c r="J1067" s="31">
        <f>IF(Source!BC576&lt;&gt; 0, Source!BC576, 1)</f>
        <v>6.56</v>
      </c>
      <c r="K1067" s="30">
        <f>Source!O576</f>
        <v>62772.639999999999</v>
      </c>
      <c r="L1067" s="32"/>
      <c r="S1067">
        <f>ROUND((Source!FX576/100)*((ROUND(Source!AF576*Source!I576, 2)+ROUND(Source!AE576*Source!I576, 2))), 2)</f>
        <v>0</v>
      </c>
      <c r="T1067">
        <f>Source!X576</f>
        <v>0</v>
      </c>
      <c r="U1067">
        <f>ROUND((Source!FY576/100)*((ROUND(Source!AF576*Source!I576, 2)+ROUND(Source!AE576*Source!I576, 2))), 2)</f>
        <v>0</v>
      </c>
      <c r="V1067">
        <f>Source!Y576</f>
        <v>0</v>
      </c>
      <c r="W1067">
        <f>IF(Source!BI576&lt;=1,H1067, 0)</f>
        <v>9569</v>
      </c>
      <c r="X1067">
        <f>IF(Source!BI576=2,H1067, 0)</f>
        <v>0</v>
      </c>
      <c r="Y1067">
        <f>IF(Source!BI576=3,H1067, 0)</f>
        <v>0</v>
      </c>
      <c r="Z1067">
        <f>IF(Source!BI576=4,H1067, 0)</f>
        <v>0</v>
      </c>
    </row>
    <row r="1068" spans="1:26" ht="42.75" x14ac:dyDescent="0.2">
      <c r="A1068" s="45" t="str">
        <f>Source!E577</f>
        <v>102,2</v>
      </c>
      <c r="B1068" s="46" t="str">
        <f>Source!F577</f>
        <v>18.1.09.08-0276</v>
      </c>
      <c r="C1068" s="46" t="str">
        <f>Source!G577</f>
        <v>Краны шаровые BUGATTI для воды и пара стандартные ВВ с размером резьбы 3/4"</v>
      </c>
      <c r="D1068" s="29" t="str">
        <f>Source!H577</f>
        <v>шт.</v>
      </c>
      <c r="E1068" s="11">
        <f>Source!I577</f>
        <v>14</v>
      </c>
      <c r="F1068" s="30">
        <f>Source!AL577+Source!AM577+Source!AO577</f>
        <v>41.41</v>
      </c>
      <c r="G1068" s="42" t="s">
        <v>6</v>
      </c>
      <c r="H1068" s="30">
        <f>ROUND(Source!AC577*Source!I577, 2)+ROUND(Source!AD577*Source!I577, 2)+ROUND(Source!AF577*Source!I577, 2)</f>
        <v>579.74</v>
      </c>
      <c r="I1068" s="31"/>
      <c r="J1068" s="31">
        <f>IF(Source!BC577&lt;&gt; 0, Source!BC577, 1)</f>
        <v>6.56</v>
      </c>
      <c r="K1068" s="30">
        <f>Source!O577</f>
        <v>3803.09</v>
      </c>
      <c r="L1068" s="32"/>
      <c r="S1068">
        <f>ROUND((Source!FX577/100)*((ROUND(Source!AF577*Source!I577, 2)+ROUND(Source!AE577*Source!I577, 2))), 2)</f>
        <v>0</v>
      </c>
      <c r="T1068">
        <f>Source!X577</f>
        <v>0</v>
      </c>
      <c r="U1068">
        <f>ROUND((Source!FY577/100)*((ROUND(Source!AF577*Source!I577, 2)+ROUND(Source!AE577*Source!I577, 2))), 2)</f>
        <v>0</v>
      </c>
      <c r="V1068">
        <f>Source!Y577</f>
        <v>0</v>
      </c>
      <c r="W1068">
        <f>IF(Source!BI577&lt;=1,H1068, 0)</f>
        <v>579.74</v>
      </c>
      <c r="X1068">
        <f>IF(Source!BI577=2,H1068, 0)</f>
        <v>0</v>
      </c>
      <c r="Y1068">
        <f>IF(Source!BI577=3,H1068, 0)</f>
        <v>0</v>
      </c>
      <c r="Z1068">
        <f>IF(Source!BI577=4,H1068, 0)</f>
        <v>0</v>
      </c>
    </row>
    <row r="1069" spans="1:26" ht="14.25" x14ac:dyDescent="0.2">
      <c r="A1069" s="47" t="str">
        <f>Source!E578</f>
        <v>102,3</v>
      </c>
      <c r="B1069" s="48" t="str">
        <f>Source!F578</f>
        <v>18.5.10.06</v>
      </c>
      <c r="C1069" s="48" t="str">
        <f>Source!G578</f>
        <v>Радиаторы</v>
      </c>
      <c r="D1069" s="35" t="str">
        <f>Source!H578</f>
        <v>квт</v>
      </c>
      <c r="E1069" s="36">
        <f>Source!I578</f>
        <v>47.85</v>
      </c>
      <c r="F1069" s="37">
        <f>Source!AL578+Source!AM578+Source!AO578</f>
        <v>0</v>
      </c>
      <c r="G1069" s="43" t="s">
        <v>6</v>
      </c>
      <c r="H1069" s="37">
        <f>ROUND(Source!AC578*Source!I578, 2)+ROUND(Source!AD578*Source!I578, 2)+ROUND(Source!AF578*Source!I578, 2)</f>
        <v>0</v>
      </c>
      <c r="I1069" s="38"/>
      <c r="J1069" s="38">
        <f>IF(Source!BC578&lt;&gt; 0, Source!BC578, 1)</f>
        <v>6.56</v>
      </c>
      <c r="K1069" s="37">
        <f>Source!O578</f>
        <v>0</v>
      </c>
      <c r="L1069" s="44"/>
      <c r="S1069">
        <f>ROUND((Source!FX578/100)*((ROUND(Source!AF578*Source!I578, 2)+ROUND(Source!AE578*Source!I578, 2))), 2)</f>
        <v>0</v>
      </c>
      <c r="T1069">
        <f>Source!X578</f>
        <v>0</v>
      </c>
      <c r="U1069">
        <f>ROUND((Source!FY578/100)*((ROUND(Source!AF578*Source!I578, 2)+ROUND(Source!AE578*Source!I578, 2))), 2)</f>
        <v>0</v>
      </c>
      <c r="V1069">
        <f>Source!Y578</f>
        <v>0</v>
      </c>
      <c r="W1069">
        <f>IF(Source!BI578&lt;=1,H1069, 0)</f>
        <v>0</v>
      </c>
      <c r="X1069">
        <f>IF(Source!BI578=2,H1069, 0)</f>
        <v>0</v>
      </c>
      <c r="Y1069">
        <f>IF(Source!BI578=3,H1069, 0)</f>
        <v>0</v>
      </c>
      <c r="Z1069">
        <f>IF(Source!BI578=4,H1069, 0)</f>
        <v>0</v>
      </c>
    </row>
    <row r="1070" spans="1:26" ht="15" x14ac:dyDescent="0.25">
      <c r="G1070" s="70">
        <f>H1060+H1061+H1063+H1064+H1065+SUM(H1067:H1069)</f>
        <v>11787.9</v>
      </c>
      <c r="H1070" s="70"/>
      <c r="J1070" s="70">
        <f>K1060+K1061+K1063+K1064+K1065+SUM(K1067:K1069)</f>
        <v>77334.259999999995</v>
      </c>
      <c r="K1070" s="70"/>
      <c r="L1070" s="40">
        <f>Source!U575</f>
        <v>36.09803999999999</v>
      </c>
      <c r="O1070" s="24">
        <f>G1070</f>
        <v>11787.9</v>
      </c>
      <c r="P1070" s="24">
        <f>J1070</f>
        <v>77334.259999999995</v>
      </c>
      <c r="Q1070" s="24">
        <f>L1070</f>
        <v>36.09803999999999</v>
      </c>
      <c r="W1070">
        <f>IF(Source!BI575&lt;=1,H1060+H1061+H1063+H1064+H1065, 0)</f>
        <v>1639.1599999999999</v>
      </c>
      <c r="X1070">
        <f>IF(Source!BI575=2,H1060+H1061+H1063+H1064+H1065, 0)</f>
        <v>0</v>
      </c>
      <c r="Y1070">
        <f>IF(Source!BI575=3,H1060+H1061+H1063+H1064+H1065, 0)</f>
        <v>0</v>
      </c>
      <c r="Z1070">
        <f>IF(Source!BI575=4,H1060+H1061+H1063+H1064+H1065, 0)</f>
        <v>0</v>
      </c>
    </row>
    <row r="1072" spans="1:26" ht="15" x14ac:dyDescent="0.25">
      <c r="A1072" s="74" t="str">
        <f>CONCATENATE("Итого по разделу: ",IF(Source!G580&lt;&gt;"Новый раздел", Source!G580, ""))</f>
        <v>Итого по разделу: 6 Отопление</v>
      </c>
      <c r="B1072" s="74"/>
      <c r="C1072" s="74"/>
      <c r="D1072" s="74"/>
      <c r="E1072" s="74"/>
      <c r="F1072" s="74"/>
      <c r="G1072" s="73">
        <f>SUM(O1048:O1071)</f>
        <v>11931.17</v>
      </c>
      <c r="H1072" s="73"/>
      <c r="I1072" s="26"/>
      <c r="J1072" s="73">
        <f>SUM(P1048:P1071)</f>
        <v>78274.099999999991</v>
      </c>
      <c r="K1072" s="73"/>
      <c r="L1072" s="40">
        <f>SUM(Q1048:Q1071)</f>
        <v>43.798039999999993</v>
      </c>
    </row>
    <row r="1073" spans="1:26" ht="16.5" x14ac:dyDescent="0.25">
      <c r="A1073" s="75" t="str">
        <f>CONCATENATE("Раздел: ",IF(Source!G609&lt;&gt;"Новый раздел", Source!G609, ""))</f>
        <v>Раздел: 7 Система горячего и холодного водоснабжения</v>
      </c>
      <c r="B1073" s="75"/>
      <c r="C1073" s="75"/>
      <c r="D1073" s="75"/>
      <c r="E1073" s="75"/>
      <c r="F1073" s="75"/>
      <c r="G1073" s="75"/>
      <c r="H1073" s="75"/>
      <c r="I1073" s="75"/>
      <c r="J1073" s="75"/>
      <c r="K1073" s="75"/>
      <c r="L1073" s="75"/>
    </row>
    <row r="1074" spans="1:26" ht="14.25" x14ac:dyDescent="0.2">
      <c r="A1074" s="45" t="str">
        <f>Source!E613</f>
        <v>103</v>
      </c>
      <c r="B1074" s="46" t="str">
        <f>Source!F613</f>
        <v>65-4-1</v>
      </c>
      <c r="C1074" s="46" t="str">
        <f>Source!G613</f>
        <v>Демонтаж умывальников и раковин</v>
      </c>
      <c r="D1074" s="29" t="str">
        <f>Source!H613</f>
        <v>100 ШТ</v>
      </c>
      <c r="E1074" s="11">
        <f>Source!I613</f>
        <v>0.01</v>
      </c>
      <c r="F1074" s="30">
        <f>Source!AL613+Source!AM613+Source!AO613</f>
        <v>445.71999999999997</v>
      </c>
      <c r="G1074" s="31"/>
      <c r="H1074" s="30"/>
      <c r="I1074" s="31" t="str">
        <f>Source!BO613</f>
        <v/>
      </c>
      <c r="J1074" s="31"/>
      <c r="K1074" s="30"/>
      <c r="L1074" s="32"/>
      <c r="S1074">
        <f>ROUND((Source!FX613/100)*((ROUND(Source!AF613*Source!I613, 2)+ROUND(Source!AE613*Source!I613, 2))), 2)</f>
        <v>3.27</v>
      </c>
      <c r="T1074">
        <f>Source!X613</f>
        <v>21.42</v>
      </c>
      <c r="U1074">
        <f>ROUND((Source!FY613/100)*((ROUND(Source!AF613*Source!I613, 2)+ROUND(Source!AE613*Source!I613, 2))), 2)</f>
        <v>2.21</v>
      </c>
      <c r="V1074">
        <f>Source!Y613</f>
        <v>14.47</v>
      </c>
    </row>
    <row r="1075" spans="1:26" x14ac:dyDescent="0.2">
      <c r="C1075" s="23" t="str">
        <f>"Объем: "&amp;Source!I613&amp;"=1/"&amp;"100"</f>
        <v>Объем: 0,01=1/100</v>
      </c>
    </row>
    <row r="1076" spans="1:26" ht="14.25" x14ac:dyDescent="0.2">
      <c r="A1076" s="45"/>
      <c r="B1076" s="46"/>
      <c r="C1076" s="46" t="s">
        <v>1636</v>
      </c>
      <c r="D1076" s="29"/>
      <c r="E1076" s="11"/>
      <c r="F1076" s="30">
        <f>Source!AO613</f>
        <v>437.59</v>
      </c>
      <c r="G1076" s="31" t="str">
        <f>Source!DG613</f>
        <v/>
      </c>
      <c r="H1076" s="30">
        <f>ROUND(Source!AF613*Source!I613, 2)</f>
        <v>4.38</v>
      </c>
      <c r="I1076" s="31"/>
      <c r="J1076" s="31">
        <f>IF(Source!BA613&lt;&gt; 0, Source!BA613, 1)</f>
        <v>6.56</v>
      </c>
      <c r="K1076" s="30">
        <f>Source!S613</f>
        <v>28.71</v>
      </c>
      <c r="L1076" s="32"/>
      <c r="R1076">
        <f>H1076</f>
        <v>4.38</v>
      </c>
    </row>
    <row r="1077" spans="1:26" ht="14.25" x14ac:dyDescent="0.2">
      <c r="A1077" s="45"/>
      <c r="B1077" s="46"/>
      <c r="C1077" s="46" t="s">
        <v>136</v>
      </c>
      <c r="D1077" s="29"/>
      <c r="E1077" s="11"/>
      <c r="F1077" s="30">
        <f>Source!AM613</f>
        <v>8.1300000000000008</v>
      </c>
      <c r="G1077" s="31" t="str">
        <f>Source!DE613</f>
        <v/>
      </c>
      <c r="H1077" s="30">
        <f>ROUND(Source!AD613*Source!I613, 2)</f>
        <v>0.08</v>
      </c>
      <c r="I1077" s="31"/>
      <c r="J1077" s="31">
        <f>IF(Source!BB613&lt;&gt; 0, Source!BB613, 1)</f>
        <v>6.56</v>
      </c>
      <c r="K1077" s="30">
        <f>Source!Q613</f>
        <v>0.53</v>
      </c>
      <c r="L1077" s="32"/>
    </row>
    <row r="1078" spans="1:26" ht="14.25" x14ac:dyDescent="0.2">
      <c r="A1078" s="45"/>
      <c r="B1078" s="46"/>
      <c r="C1078" s="46" t="s">
        <v>1637</v>
      </c>
      <c r="D1078" s="29"/>
      <c r="E1078" s="11"/>
      <c r="F1078" s="30">
        <f>Source!AN613</f>
        <v>3.51</v>
      </c>
      <c r="G1078" s="31" t="str">
        <f>Source!DF613</f>
        <v/>
      </c>
      <c r="H1078" s="33">
        <f>ROUND(Source!AE613*Source!I613, 2)</f>
        <v>0.04</v>
      </c>
      <c r="I1078" s="31"/>
      <c r="J1078" s="31">
        <f>IF(Source!BS613&lt;&gt; 0, Source!BS613, 1)</f>
        <v>6.56</v>
      </c>
      <c r="K1078" s="33">
        <f>Source!R613</f>
        <v>0.23</v>
      </c>
      <c r="L1078" s="32"/>
      <c r="R1078">
        <f>H1078</f>
        <v>0.04</v>
      </c>
    </row>
    <row r="1079" spans="1:26" ht="14.25" x14ac:dyDescent="0.2">
      <c r="A1079" s="45"/>
      <c r="B1079" s="46"/>
      <c r="C1079" s="46" t="s">
        <v>1638</v>
      </c>
      <c r="D1079" s="29" t="s">
        <v>1639</v>
      </c>
      <c r="E1079" s="11">
        <f>Source!BZ613</f>
        <v>74</v>
      </c>
      <c r="F1079" s="49"/>
      <c r="G1079" s="31"/>
      <c r="H1079" s="30">
        <f>SUM(S1074:S1081)</f>
        <v>3.27</v>
      </c>
      <c r="I1079" s="34"/>
      <c r="J1079" s="27">
        <f>Source!AT613</f>
        <v>74</v>
      </c>
      <c r="K1079" s="30">
        <f>SUM(T1074:T1081)</f>
        <v>21.42</v>
      </c>
      <c r="L1079" s="32"/>
    </row>
    <row r="1080" spans="1:26" ht="14.25" x14ac:dyDescent="0.2">
      <c r="A1080" s="45"/>
      <c r="B1080" s="46"/>
      <c r="C1080" s="46" t="s">
        <v>1640</v>
      </c>
      <c r="D1080" s="29" t="s">
        <v>1639</v>
      </c>
      <c r="E1080" s="11">
        <f>Source!CA613</f>
        <v>50</v>
      </c>
      <c r="F1080" s="49"/>
      <c r="G1080" s="31"/>
      <c r="H1080" s="30">
        <f>SUM(U1074:U1081)</f>
        <v>2.21</v>
      </c>
      <c r="I1080" s="34"/>
      <c r="J1080" s="27">
        <f>Source!AU613</f>
        <v>50</v>
      </c>
      <c r="K1080" s="30">
        <f>SUM(V1074:V1081)</f>
        <v>14.47</v>
      </c>
      <c r="L1080" s="32"/>
    </row>
    <row r="1081" spans="1:26" ht="14.25" x14ac:dyDescent="0.2">
      <c r="A1081" s="47"/>
      <c r="B1081" s="48"/>
      <c r="C1081" s="48" t="s">
        <v>1641</v>
      </c>
      <c r="D1081" s="35" t="s">
        <v>1642</v>
      </c>
      <c r="E1081" s="36">
        <f>Source!AQ613</f>
        <v>51.3</v>
      </c>
      <c r="F1081" s="37"/>
      <c r="G1081" s="38" t="str">
        <f>Source!DI613</f>
        <v/>
      </c>
      <c r="H1081" s="37"/>
      <c r="I1081" s="38"/>
      <c r="J1081" s="38"/>
      <c r="K1081" s="37"/>
      <c r="L1081" s="39">
        <f>Source!U613</f>
        <v>0.51300000000000001</v>
      </c>
    </row>
    <row r="1082" spans="1:26" ht="15" x14ac:dyDescent="0.25">
      <c r="G1082" s="70">
        <f>H1076+H1077+H1079+H1080</f>
        <v>9.9400000000000013</v>
      </c>
      <c r="H1082" s="70"/>
      <c r="J1082" s="70">
        <f>K1076+K1077+K1079+K1080</f>
        <v>65.13000000000001</v>
      </c>
      <c r="K1082" s="70"/>
      <c r="L1082" s="40">
        <f>Source!U613</f>
        <v>0.51300000000000001</v>
      </c>
      <c r="O1082" s="24">
        <f>G1082</f>
        <v>9.9400000000000013</v>
      </c>
      <c r="P1082" s="24">
        <f>J1082</f>
        <v>65.13000000000001</v>
      </c>
      <c r="Q1082" s="24">
        <f>L1082</f>
        <v>0.51300000000000001</v>
      </c>
      <c r="W1082">
        <f>IF(Source!BI613&lt;=1,H1076+H1077+H1079+H1080, 0)</f>
        <v>9.9400000000000013</v>
      </c>
      <c r="X1082">
        <f>IF(Source!BI613=2,H1076+H1077+H1079+H1080, 0)</f>
        <v>0</v>
      </c>
      <c r="Y1082">
        <f>IF(Source!BI613=3,H1076+H1077+H1079+H1080, 0)</f>
        <v>0</v>
      </c>
      <c r="Z1082">
        <f>IF(Source!BI613=4,H1076+H1077+H1079+H1080, 0)</f>
        <v>0</v>
      </c>
    </row>
    <row r="1083" spans="1:26" ht="57" x14ac:dyDescent="0.2">
      <c r="A1083" s="45" t="str">
        <f>Source!E614</f>
        <v>104</v>
      </c>
      <c r="B1083" s="46" t="str">
        <f>Source!F614</f>
        <v>16-05-001-01</v>
      </c>
      <c r="C1083" s="46" t="str">
        <f>Source!G614</f>
        <v>Установка вентилей, задвижек, затворов, клапанов обратных, кранов проходных на трубопроводах из стальных труб диаметром до 25 мм</v>
      </c>
      <c r="D1083" s="29" t="str">
        <f>Source!H614</f>
        <v>ШТ</v>
      </c>
      <c r="E1083" s="11">
        <f>Source!I614</f>
        <v>5</v>
      </c>
      <c r="F1083" s="30">
        <f>Source!AL614+Source!AM614+Source!AO614</f>
        <v>42.04</v>
      </c>
      <c r="G1083" s="31"/>
      <c r="H1083" s="30"/>
      <c r="I1083" s="31" t="str">
        <f>Source!BO614</f>
        <v/>
      </c>
      <c r="J1083" s="31"/>
      <c r="K1083" s="30"/>
      <c r="L1083" s="32"/>
      <c r="S1083">
        <f>ROUND((Source!FX614/100)*((ROUND(Source!AF614*Source!I614, 2)+ROUND(Source!AE614*Source!I614, 2))), 2)</f>
        <v>77.47</v>
      </c>
      <c r="T1083">
        <f>Source!X614</f>
        <v>507.33</v>
      </c>
      <c r="U1083">
        <f>ROUND((Source!FY614/100)*((ROUND(Source!AF614*Source!I614, 2)+ROUND(Source!AE614*Source!I614, 2))), 2)</f>
        <v>47.44</v>
      </c>
      <c r="V1083">
        <f>Source!Y614</f>
        <v>313.22000000000003</v>
      </c>
    </row>
    <row r="1084" spans="1:26" ht="14.25" x14ac:dyDescent="0.2">
      <c r="A1084" s="45"/>
      <c r="B1084" s="46"/>
      <c r="C1084" s="46" t="s">
        <v>1636</v>
      </c>
      <c r="D1084" s="29"/>
      <c r="E1084" s="11"/>
      <c r="F1084" s="30">
        <f>Source!AO614</f>
        <v>13.33</v>
      </c>
      <c r="G1084" s="31" t="str">
        <f>Source!DG614</f>
        <v/>
      </c>
      <c r="H1084" s="30">
        <f>ROUND(Source!AF614*Source!I614, 2)</f>
        <v>66.650000000000006</v>
      </c>
      <c r="I1084" s="31"/>
      <c r="J1084" s="31">
        <f>IF(Source!BA614&lt;&gt; 0, Source!BA614, 1)</f>
        <v>6.56</v>
      </c>
      <c r="K1084" s="30">
        <f>Source!S614</f>
        <v>437.22</v>
      </c>
      <c r="L1084" s="32"/>
      <c r="R1084">
        <f>H1084</f>
        <v>66.650000000000006</v>
      </c>
    </row>
    <row r="1085" spans="1:26" ht="14.25" x14ac:dyDescent="0.2">
      <c r="A1085" s="45"/>
      <c r="B1085" s="46"/>
      <c r="C1085" s="46" t="s">
        <v>136</v>
      </c>
      <c r="D1085" s="29"/>
      <c r="E1085" s="11"/>
      <c r="F1085" s="30">
        <f>Source!AM614</f>
        <v>3.5</v>
      </c>
      <c r="G1085" s="31" t="str">
        <f>Source!DE614</f>
        <v/>
      </c>
      <c r="H1085" s="30">
        <f>ROUND(Source!AD614*Source!I614, 2)</f>
        <v>17.5</v>
      </c>
      <c r="I1085" s="31"/>
      <c r="J1085" s="31">
        <f>IF(Source!BB614&lt;&gt; 0, Source!BB614, 1)</f>
        <v>6.56</v>
      </c>
      <c r="K1085" s="30">
        <f>Source!Q614</f>
        <v>114.8</v>
      </c>
      <c r="L1085" s="32"/>
    </row>
    <row r="1086" spans="1:26" ht="14.25" x14ac:dyDescent="0.2">
      <c r="A1086" s="45"/>
      <c r="B1086" s="46"/>
      <c r="C1086" s="46" t="s">
        <v>1637</v>
      </c>
      <c r="D1086" s="29"/>
      <c r="E1086" s="11"/>
      <c r="F1086" s="30">
        <f>Source!AN614</f>
        <v>0.12</v>
      </c>
      <c r="G1086" s="31" t="str">
        <f>Source!DF614</f>
        <v/>
      </c>
      <c r="H1086" s="33">
        <f>ROUND(Source!AE614*Source!I614, 2)</f>
        <v>0.6</v>
      </c>
      <c r="I1086" s="31"/>
      <c r="J1086" s="31">
        <f>IF(Source!BS614&lt;&gt; 0, Source!BS614, 1)</f>
        <v>6.56</v>
      </c>
      <c r="K1086" s="33">
        <f>Source!R614</f>
        <v>3.94</v>
      </c>
      <c r="L1086" s="32"/>
      <c r="R1086">
        <f>H1086</f>
        <v>0.6</v>
      </c>
    </row>
    <row r="1087" spans="1:26" ht="14.25" x14ac:dyDescent="0.2">
      <c r="A1087" s="45"/>
      <c r="B1087" s="46"/>
      <c r="C1087" s="46" t="s">
        <v>1643</v>
      </c>
      <c r="D1087" s="29"/>
      <c r="E1087" s="11"/>
      <c r="F1087" s="30">
        <f>Source!AL614</f>
        <v>25.21</v>
      </c>
      <c r="G1087" s="31" t="str">
        <f>Source!DD614</f>
        <v/>
      </c>
      <c r="H1087" s="30">
        <f>ROUND(Source!AC614*Source!I614, 2)</f>
        <v>126.05</v>
      </c>
      <c r="I1087" s="31"/>
      <c r="J1087" s="31">
        <f>IF(Source!BC614&lt;&gt; 0, Source!BC614, 1)</f>
        <v>6.56</v>
      </c>
      <c r="K1087" s="30">
        <f>Source!P614</f>
        <v>826.89</v>
      </c>
      <c r="L1087" s="32"/>
    </row>
    <row r="1088" spans="1:26" ht="14.25" x14ac:dyDescent="0.2">
      <c r="A1088" s="45"/>
      <c r="B1088" s="46"/>
      <c r="C1088" s="46" t="s">
        <v>1638</v>
      </c>
      <c r="D1088" s="29" t="s">
        <v>1639</v>
      </c>
      <c r="E1088" s="11">
        <f>Source!BZ614</f>
        <v>128</v>
      </c>
      <c r="F1088" s="71" t="str">
        <f>CONCATENATE(" )", Source!DL614, Source!FT614, "=", Source!FX614)</f>
        <v xml:space="preserve"> )*0,9=115,2</v>
      </c>
      <c r="G1088" s="72"/>
      <c r="H1088" s="30">
        <f>SUM(S1083:S1091)</f>
        <v>77.47</v>
      </c>
      <c r="I1088" s="34"/>
      <c r="J1088" s="27">
        <f>Source!AT614</f>
        <v>115</v>
      </c>
      <c r="K1088" s="30">
        <f>SUM(T1083:T1091)</f>
        <v>507.33</v>
      </c>
      <c r="L1088" s="32"/>
    </row>
    <row r="1089" spans="1:26" ht="14.25" x14ac:dyDescent="0.2">
      <c r="A1089" s="45"/>
      <c r="B1089" s="46"/>
      <c r="C1089" s="46" t="s">
        <v>1640</v>
      </c>
      <c r="D1089" s="29" t="s">
        <v>1639</v>
      </c>
      <c r="E1089" s="11">
        <f>Source!CA614</f>
        <v>83</v>
      </c>
      <c r="F1089" s="71" t="str">
        <f>CONCATENATE(" )", Source!DM614, Source!FU614, "=", Source!FY614)</f>
        <v xml:space="preserve"> )*0,85=70,55</v>
      </c>
      <c r="G1089" s="72"/>
      <c r="H1089" s="30">
        <f>SUM(U1083:U1091)</f>
        <v>47.44</v>
      </c>
      <c r="I1089" s="34"/>
      <c r="J1089" s="27">
        <f>Source!AU614</f>
        <v>71</v>
      </c>
      <c r="K1089" s="30">
        <f>SUM(V1083:V1091)</f>
        <v>313.22000000000003</v>
      </c>
      <c r="L1089" s="32"/>
    </row>
    <row r="1090" spans="1:26" ht="14.25" x14ac:dyDescent="0.2">
      <c r="A1090" s="45"/>
      <c r="B1090" s="46"/>
      <c r="C1090" s="46" t="s">
        <v>1641</v>
      </c>
      <c r="D1090" s="29" t="s">
        <v>1642</v>
      </c>
      <c r="E1090" s="11">
        <f>Source!AQ614</f>
        <v>1.47</v>
      </c>
      <c r="F1090" s="30"/>
      <c r="G1090" s="31" t="str">
        <f>Source!DI614</f>
        <v/>
      </c>
      <c r="H1090" s="30"/>
      <c r="I1090" s="31"/>
      <c r="J1090" s="31"/>
      <c r="K1090" s="30"/>
      <c r="L1090" s="41">
        <f>Source!U614</f>
        <v>7.35</v>
      </c>
    </row>
    <row r="1091" spans="1:26" ht="42.75" x14ac:dyDescent="0.2">
      <c r="A1091" s="47" t="str">
        <f>Source!E615</f>
        <v>104,1</v>
      </c>
      <c r="B1091" s="48" t="str">
        <f>Source!F615</f>
        <v>18.1.09.08-0276</v>
      </c>
      <c r="C1091" s="48" t="str">
        <f>Source!G615</f>
        <v>Краны шаровые BUGATTI New Jerseyдля воды и пара стандартные ВВ с размером резьбы 3/4" прим.</v>
      </c>
      <c r="D1091" s="35" t="str">
        <f>Source!H615</f>
        <v>шт.</v>
      </c>
      <c r="E1091" s="36">
        <f>Source!I615</f>
        <v>5</v>
      </c>
      <c r="F1091" s="37">
        <f>Source!AL615+Source!AM615+Source!AO615</f>
        <v>41.41</v>
      </c>
      <c r="G1091" s="43" t="s">
        <v>6</v>
      </c>
      <c r="H1091" s="37">
        <f>ROUND(Source!AC615*Source!I615, 2)+ROUND(Source!AD615*Source!I615, 2)+ROUND(Source!AF615*Source!I615, 2)</f>
        <v>207.05</v>
      </c>
      <c r="I1091" s="38"/>
      <c r="J1091" s="38">
        <f>IF(Source!BC615&lt;&gt; 0, Source!BC615, 1)</f>
        <v>6.56</v>
      </c>
      <c r="K1091" s="37">
        <f>Source!O615</f>
        <v>1358.25</v>
      </c>
      <c r="L1091" s="44"/>
      <c r="S1091">
        <f>ROUND((Source!FX615/100)*((ROUND(Source!AF615*Source!I615, 2)+ROUND(Source!AE615*Source!I615, 2))), 2)</f>
        <v>0</v>
      </c>
      <c r="T1091">
        <f>Source!X615</f>
        <v>0</v>
      </c>
      <c r="U1091">
        <f>ROUND((Source!FY615/100)*((ROUND(Source!AF615*Source!I615, 2)+ROUND(Source!AE615*Source!I615, 2))), 2)</f>
        <v>0</v>
      </c>
      <c r="V1091">
        <f>Source!Y615</f>
        <v>0</v>
      </c>
      <c r="W1091">
        <f>IF(Source!BI615&lt;=1,H1091, 0)</f>
        <v>207.05</v>
      </c>
      <c r="X1091">
        <f>IF(Source!BI615=2,H1091, 0)</f>
        <v>0</v>
      </c>
      <c r="Y1091">
        <f>IF(Source!BI615=3,H1091, 0)</f>
        <v>0</v>
      </c>
      <c r="Z1091">
        <f>IF(Source!BI615=4,H1091, 0)</f>
        <v>0</v>
      </c>
    </row>
    <row r="1092" spans="1:26" ht="15" x14ac:dyDescent="0.25">
      <c r="G1092" s="70">
        <f>H1084+H1085+H1087+H1088+H1089+SUM(H1091:H1091)</f>
        <v>542.16</v>
      </c>
      <c r="H1092" s="70"/>
      <c r="J1092" s="70">
        <f>K1084+K1085+K1087+K1088+K1089+SUM(K1091:K1091)</f>
        <v>3557.71</v>
      </c>
      <c r="K1092" s="70"/>
      <c r="L1092" s="40">
        <f>Source!U614</f>
        <v>7.35</v>
      </c>
      <c r="O1092" s="24">
        <f>G1092</f>
        <v>542.16</v>
      </c>
      <c r="P1092" s="24">
        <f>J1092</f>
        <v>3557.71</v>
      </c>
      <c r="Q1092" s="24">
        <f>L1092</f>
        <v>7.35</v>
      </c>
      <c r="W1092">
        <f>IF(Source!BI614&lt;=1,H1084+H1085+H1087+H1088+H1089, 0)</f>
        <v>335.10999999999996</v>
      </c>
      <c r="X1092">
        <f>IF(Source!BI614=2,H1084+H1085+H1087+H1088+H1089, 0)</f>
        <v>0</v>
      </c>
      <c r="Y1092">
        <f>IF(Source!BI614=3,H1084+H1085+H1087+H1088+H1089, 0)</f>
        <v>0</v>
      </c>
      <c r="Z1092">
        <f>IF(Source!BI614=4,H1084+H1085+H1087+H1088+H1089, 0)</f>
        <v>0</v>
      </c>
    </row>
    <row r="1093" spans="1:26" ht="28.5" x14ac:dyDescent="0.2">
      <c r="A1093" s="45" t="str">
        <f>Source!E616</f>
        <v>105</v>
      </c>
      <c r="B1093" s="46" t="str">
        <f>Source!F616</f>
        <v>17-01-005-04</v>
      </c>
      <c r="C1093" s="46" t="str">
        <f>Source!G616</f>
        <v>Установка раковин</v>
      </c>
      <c r="D1093" s="29" t="str">
        <f>Source!H616</f>
        <v>10 компл</v>
      </c>
      <c r="E1093" s="11">
        <f>Source!I616</f>
        <v>0.2</v>
      </c>
      <c r="F1093" s="30">
        <f>Source!AL616+Source!AM616+Source!AO616</f>
        <v>153.76999999999998</v>
      </c>
      <c r="G1093" s="31"/>
      <c r="H1093" s="30"/>
      <c r="I1093" s="31" t="str">
        <f>Source!BO616</f>
        <v/>
      </c>
      <c r="J1093" s="31"/>
      <c r="K1093" s="30"/>
      <c r="L1093" s="32"/>
      <c r="S1093">
        <f>ROUND((Source!FX616/100)*((ROUND(Source!AF616*Source!I616, 2)+ROUND(Source!AE616*Source!I616, 2))), 2)</f>
        <v>23.65</v>
      </c>
      <c r="T1093">
        <f>Source!X616</f>
        <v>154.88999999999999</v>
      </c>
      <c r="U1093">
        <f>ROUND((Source!FY616/100)*((ROUND(Source!AF616*Source!I616, 2)+ROUND(Source!AE616*Source!I616, 2))), 2)</f>
        <v>14.48</v>
      </c>
      <c r="V1093">
        <f>Source!Y616</f>
        <v>95.63</v>
      </c>
    </row>
    <row r="1094" spans="1:26" x14ac:dyDescent="0.2">
      <c r="C1094" s="23" t="str">
        <f>"Объем: "&amp;Source!I616&amp;"=2/"&amp;"10"</f>
        <v>Объем: 0,2=2/10</v>
      </c>
    </row>
    <row r="1095" spans="1:26" ht="14.25" x14ac:dyDescent="0.2">
      <c r="A1095" s="45"/>
      <c r="B1095" s="46"/>
      <c r="C1095" s="46" t="s">
        <v>1636</v>
      </c>
      <c r="D1095" s="29"/>
      <c r="E1095" s="11"/>
      <c r="F1095" s="30">
        <f>Source!AO616</f>
        <v>86.48</v>
      </c>
      <c r="G1095" s="31" t="str">
        <f>Source!DG616</f>
        <v>)*1,15</v>
      </c>
      <c r="H1095" s="30">
        <f>ROUND(Source!AF616*Source!I616, 2)</f>
        <v>19.89</v>
      </c>
      <c r="I1095" s="31"/>
      <c r="J1095" s="31">
        <f>IF(Source!BA616&lt;&gt; 0, Source!BA616, 1)</f>
        <v>6.56</v>
      </c>
      <c r="K1095" s="30">
        <f>Source!S616</f>
        <v>130.47999999999999</v>
      </c>
      <c r="L1095" s="32"/>
      <c r="R1095">
        <f>H1095</f>
        <v>19.89</v>
      </c>
    </row>
    <row r="1096" spans="1:26" ht="14.25" x14ac:dyDescent="0.2">
      <c r="A1096" s="45"/>
      <c r="B1096" s="46"/>
      <c r="C1096" s="46" t="s">
        <v>136</v>
      </c>
      <c r="D1096" s="29"/>
      <c r="E1096" s="11"/>
      <c r="F1096" s="30">
        <f>Source!AM616</f>
        <v>11.39</v>
      </c>
      <c r="G1096" s="31" t="str">
        <f>Source!DE616</f>
        <v>)*1,25</v>
      </c>
      <c r="H1096" s="30">
        <f>ROUND(Source!AD616*Source!I616, 2)</f>
        <v>2.85</v>
      </c>
      <c r="I1096" s="31"/>
      <c r="J1096" s="31">
        <f>IF(Source!BB616&lt;&gt; 0, Source!BB616, 1)</f>
        <v>6.56</v>
      </c>
      <c r="K1096" s="30">
        <f>Source!Q616</f>
        <v>18.68</v>
      </c>
      <c r="L1096" s="32"/>
    </row>
    <row r="1097" spans="1:26" ht="14.25" x14ac:dyDescent="0.2">
      <c r="A1097" s="45"/>
      <c r="B1097" s="46"/>
      <c r="C1097" s="46" t="s">
        <v>1637</v>
      </c>
      <c r="D1097" s="29"/>
      <c r="E1097" s="11"/>
      <c r="F1097" s="30">
        <f>Source!AN616</f>
        <v>2.57</v>
      </c>
      <c r="G1097" s="31" t="str">
        <f>Source!DF616</f>
        <v>)*1,25</v>
      </c>
      <c r="H1097" s="33">
        <f>ROUND(Source!AE616*Source!I616, 2)</f>
        <v>0.64</v>
      </c>
      <c r="I1097" s="31"/>
      <c r="J1097" s="31">
        <f>IF(Source!BS616&lt;&gt; 0, Source!BS616, 1)</f>
        <v>6.56</v>
      </c>
      <c r="K1097" s="33">
        <f>Source!R616</f>
        <v>4.21</v>
      </c>
      <c r="L1097" s="32"/>
      <c r="R1097">
        <f>H1097</f>
        <v>0.64</v>
      </c>
    </row>
    <row r="1098" spans="1:26" ht="14.25" x14ac:dyDescent="0.2">
      <c r="A1098" s="45"/>
      <c r="B1098" s="46"/>
      <c r="C1098" s="46" t="s">
        <v>1643</v>
      </c>
      <c r="D1098" s="29"/>
      <c r="E1098" s="11"/>
      <c r="F1098" s="30">
        <f>Source!AL616</f>
        <v>55.9</v>
      </c>
      <c r="G1098" s="31" t="str">
        <f>Source!DD616</f>
        <v/>
      </c>
      <c r="H1098" s="30">
        <f>ROUND(Source!AC616*Source!I616, 2)</f>
        <v>11.18</v>
      </c>
      <c r="I1098" s="31"/>
      <c r="J1098" s="31">
        <f>IF(Source!BC616&lt;&gt; 0, Source!BC616, 1)</f>
        <v>6.56</v>
      </c>
      <c r="K1098" s="30">
        <f>Source!P616</f>
        <v>73.34</v>
      </c>
      <c r="L1098" s="32"/>
    </row>
    <row r="1099" spans="1:26" ht="14.25" x14ac:dyDescent="0.2">
      <c r="A1099" s="45"/>
      <c r="B1099" s="46"/>
      <c r="C1099" s="46" t="s">
        <v>1638</v>
      </c>
      <c r="D1099" s="29" t="s">
        <v>1639</v>
      </c>
      <c r="E1099" s="11">
        <f>Source!BZ616</f>
        <v>128</v>
      </c>
      <c r="F1099" s="71" t="str">
        <f>CONCATENATE(" )", Source!DL616, Source!FT616, "=", Source!FX616)</f>
        <v xml:space="preserve"> )*0,9=115,2</v>
      </c>
      <c r="G1099" s="72"/>
      <c r="H1099" s="30">
        <f>SUM(S1093:S1104)</f>
        <v>23.65</v>
      </c>
      <c r="I1099" s="34"/>
      <c r="J1099" s="27">
        <f>Source!AT616</f>
        <v>115</v>
      </c>
      <c r="K1099" s="30">
        <f>SUM(T1093:T1104)</f>
        <v>154.88999999999999</v>
      </c>
      <c r="L1099" s="32"/>
    </row>
    <row r="1100" spans="1:26" ht="14.25" x14ac:dyDescent="0.2">
      <c r="A1100" s="45"/>
      <c r="B1100" s="46"/>
      <c r="C1100" s="46" t="s">
        <v>1640</v>
      </c>
      <c r="D1100" s="29" t="s">
        <v>1639</v>
      </c>
      <c r="E1100" s="11">
        <f>Source!CA616</f>
        <v>83</v>
      </c>
      <c r="F1100" s="71" t="str">
        <f>CONCATENATE(" )", Source!DM616, Source!FU616, "=", Source!FY616)</f>
        <v xml:space="preserve"> )*0,85=70,55</v>
      </c>
      <c r="G1100" s="72"/>
      <c r="H1100" s="30">
        <f>SUM(U1093:U1104)</f>
        <v>14.48</v>
      </c>
      <c r="I1100" s="34"/>
      <c r="J1100" s="27">
        <f>Source!AU616</f>
        <v>71</v>
      </c>
      <c r="K1100" s="30">
        <f>SUM(V1093:V1104)</f>
        <v>95.63</v>
      </c>
      <c r="L1100" s="32"/>
    </row>
    <row r="1101" spans="1:26" ht="14.25" x14ac:dyDescent="0.2">
      <c r="A1101" s="45"/>
      <c r="B1101" s="46"/>
      <c r="C1101" s="46" t="s">
        <v>1641</v>
      </c>
      <c r="D1101" s="29" t="s">
        <v>1642</v>
      </c>
      <c r="E1101" s="11">
        <f>Source!AQ616</f>
        <v>8.99</v>
      </c>
      <c r="F1101" s="30"/>
      <c r="G1101" s="31" t="str">
        <f>Source!DI616</f>
        <v>)*1,15</v>
      </c>
      <c r="H1101" s="30"/>
      <c r="I1101" s="31"/>
      <c r="J1101" s="31"/>
      <c r="K1101" s="30"/>
      <c r="L1101" s="41">
        <f>Source!U616</f>
        <v>2.0676999999999999</v>
      </c>
    </row>
    <row r="1102" spans="1:26" ht="28.5" x14ac:dyDescent="0.2">
      <c r="A1102" s="45" t="str">
        <f>Source!E617</f>
        <v>105,1</v>
      </c>
      <c r="B1102" s="46" t="str">
        <f>Source!F617</f>
        <v>18.2.06.12-0021</v>
      </c>
      <c r="C1102" s="46" t="str">
        <f>Source!G617</f>
        <v>Пьедесталы для раковины Santek Бореаль WH110591 прим.</v>
      </c>
      <c r="D1102" s="29" t="str">
        <f>Source!H617</f>
        <v>шт.</v>
      </c>
      <c r="E1102" s="11">
        <f>Source!I617</f>
        <v>2</v>
      </c>
      <c r="F1102" s="30">
        <f>Source!AL617+Source!AM617+Source!AO617</f>
        <v>130.53</v>
      </c>
      <c r="G1102" s="42" t="s">
        <v>6</v>
      </c>
      <c r="H1102" s="30">
        <f>ROUND(Source!AC617*Source!I617, 2)+ROUND(Source!AD617*Source!I617, 2)+ROUND(Source!AF617*Source!I617, 2)</f>
        <v>261.06</v>
      </c>
      <c r="I1102" s="31"/>
      <c r="J1102" s="31">
        <f>IF(Source!BC617&lt;&gt; 0, Source!BC617, 1)</f>
        <v>6.56</v>
      </c>
      <c r="K1102" s="30">
        <f>Source!O617</f>
        <v>1712.55</v>
      </c>
      <c r="L1102" s="32"/>
      <c r="S1102">
        <f>ROUND((Source!FX617/100)*((ROUND(Source!AF617*Source!I617, 2)+ROUND(Source!AE617*Source!I617, 2))), 2)</f>
        <v>0</v>
      </c>
      <c r="T1102">
        <f>Source!X617</f>
        <v>0</v>
      </c>
      <c r="U1102">
        <f>ROUND((Source!FY617/100)*((ROUND(Source!AF617*Source!I617, 2)+ROUND(Source!AE617*Source!I617, 2))), 2)</f>
        <v>0</v>
      </c>
      <c r="V1102">
        <f>Source!Y617</f>
        <v>0</v>
      </c>
      <c r="W1102">
        <f>IF(Source!BI617&lt;=1,H1102, 0)</f>
        <v>261.06</v>
      </c>
      <c r="X1102">
        <f>IF(Source!BI617=2,H1102, 0)</f>
        <v>0</v>
      </c>
      <c r="Y1102">
        <f>IF(Source!BI617=3,H1102, 0)</f>
        <v>0</v>
      </c>
      <c r="Z1102">
        <f>IF(Source!BI617=4,H1102, 0)</f>
        <v>0</v>
      </c>
    </row>
    <row r="1103" spans="1:26" ht="85.5" x14ac:dyDescent="0.2">
      <c r="A1103" s="45" t="str">
        <f>Source!E618</f>
        <v>105,2</v>
      </c>
      <c r="B1103" s="46" t="str">
        <f>Source!F618</f>
        <v>18.2.01.05-0189</v>
      </c>
      <c r="C1103" s="46" t="str">
        <f>Source!G618</f>
        <v>Раковины Santek Бореаль 60 с смесителем  Bravat Fit F 1233188 CPс нижней камерой смешивания, кронштейнами, сифоном  для раковины Alkaplast A41 Flexi латунным и выпуском  прим.</v>
      </c>
      <c r="D1103" s="29" t="str">
        <f>Source!H618</f>
        <v>компл.</v>
      </c>
      <c r="E1103" s="11">
        <f>Source!I618</f>
        <v>2</v>
      </c>
      <c r="F1103" s="30">
        <f>Source!AL618+Source!AM618+Source!AO618</f>
        <v>357</v>
      </c>
      <c r="G1103" s="42" t="s">
        <v>6</v>
      </c>
      <c r="H1103" s="30">
        <f>ROUND(Source!AC618*Source!I618, 2)+ROUND(Source!AD618*Source!I618, 2)+ROUND(Source!AF618*Source!I618, 2)</f>
        <v>714</v>
      </c>
      <c r="I1103" s="31"/>
      <c r="J1103" s="31">
        <f>IF(Source!BC618&lt;&gt; 0, Source!BC618, 1)</f>
        <v>6.56</v>
      </c>
      <c r="K1103" s="30">
        <f>Source!O618</f>
        <v>4683.84</v>
      </c>
      <c r="L1103" s="32"/>
      <c r="S1103">
        <f>ROUND((Source!FX618/100)*((ROUND(Source!AF618*Source!I618, 2)+ROUND(Source!AE618*Source!I618, 2))), 2)</f>
        <v>0</v>
      </c>
      <c r="T1103">
        <f>Source!X618</f>
        <v>0</v>
      </c>
      <c r="U1103">
        <f>ROUND((Source!FY618/100)*((ROUND(Source!AF618*Source!I618, 2)+ROUND(Source!AE618*Source!I618, 2))), 2)</f>
        <v>0</v>
      </c>
      <c r="V1103">
        <f>Source!Y618</f>
        <v>0</v>
      </c>
      <c r="W1103">
        <f>IF(Source!BI618&lt;=1,H1103, 0)</f>
        <v>714</v>
      </c>
      <c r="X1103">
        <f>IF(Source!BI618=2,H1103, 0)</f>
        <v>0</v>
      </c>
      <c r="Y1103">
        <f>IF(Source!BI618=3,H1103, 0)</f>
        <v>0</v>
      </c>
      <c r="Z1103">
        <f>IF(Source!BI618=4,H1103, 0)</f>
        <v>0</v>
      </c>
    </row>
    <row r="1104" spans="1:26" ht="28.5" x14ac:dyDescent="0.2">
      <c r="A1104" s="47" t="str">
        <f>Source!E619</f>
        <v>105,3</v>
      </c>
      <c r="B1104" s="48" t="str">
        <f>Source!F619</f>
        <v>18.2.06.08-0016</v>
      </c>
      <c r="C1104" s="48" t="str">
        <f>Source!G619</f>
        <v>Подводка гибкая армированная резиновая 1000 мм</v>
      </c>
      <c r="D1104" s="35" t="str">
        <f>Source!H619</f>
        <v>10 шт.</v>
      </c>
      <c r="E1104" s="36">
        <f>Source!I619</f>
        <v>0.2</v>
      </c>
      <c r="F1104" s="37">
        <f>Source!AL619+Source!AM619+Source!AO619</f>
        <v>160.19999999999999</v>
      </c>
      <c r="G1104" s="43" t="s">
        <v>6</v>
      </c>
      <c r="H1104" s="37">
        <f>ROUND(Source!AC619*Source!I619, 2)+ROUND(Source!AD619*Source!I619, 2)+ROUND(Source!AF619*Source!I619, 2)</f>
        <v>32.04</v>
      </c>
      <c r="I1104" s="38"/>
      <c r="J1104" s="38">
        <f>IF(Source!BC619&lt;&gt; 0, Source!BC619, 1)</f>
        <v>6.56</v>
      </c>
      <c r="K1104" s="37">
        <f>Source!O619</f>
        <v>210.18</v>
      </c>
      <c r="L1104" s="44"/>
      <c r="S1104">
        <f>ROUND((Source!FX619/100)*((ROUND(Source!AF619*Source!I619, 2)+ROUND(Source!AE619*Source!I619, 2))), 2)</f>
        <v>0</v>
      </c>
      <c r="T1104">
        <f>Source!X619</f>
        <v>0</v>
      </c>
      <c r="U1104">
        <f>ROUND((Source!FY619/100)*((ROUND(Source!AF619*Source!I619, 2)+ROUND(Source!AE619*Source!I619, 2))), 2)</f>
        <v>0</v>
      </c>
      <c r="V1104">
        <f>Source!Y619</f>
        <v>0</v>
      </c>
      <c r="W1104">
        <f>IF(Source!BI619&lt;=1,H1104, 0)</f>
        <v>32.04</v>
      </c>
      <c r="X1104">
        <f>IF(Source!BI619=2,H1104, 0)</f>
        <v>0</v>
      </c>
      <c r="Y1104">
        <f>IF(Source!BI619=3,H1104, 0)</f>
        <v>0</v>
      </c>
      <c r="Z1104">
        <f>IF(Source!BI619=4,H1104, 0)</f>
        <v>0</v>
      </c>
    </row>
    <row r="1105" spans="1:32" ht="15" x14ac:dyDescent="0.25">
      <c r="G1105" s="70">
        <f>H1095+H1096+H1098+H1099+H1100+SUM(H1102:H1104)</f>
        <v>1079.1499999999999</v>
      </c>
      <c r="H1105" s="70"/>
      <c r="J1105" s="70">
        <f>K1095+K1096+K1098+K1099+K1100+SUM(K1102:K1104)</f>
        <v>7079.59</v>
      </c>
      <c r="K1105" s="70"/>
      <c r="L1105" s="40">
        <f>Source!U616</f>
        <v>2.0676999999999999</v>
      </c>
      <c r="O1105" s="24">
        <f>G1105</f>
        <v>1079.1499999999999</v>
      </c>
      <c r="P1105" s="24">
        <f>J1105</f>
        <v>7079.59</v>
      </c>
      <c r="Q1105" s="24">
        <f>L1105</f>
        <v>2.0676999999999999</v>
      </c>
      <c r="W1105">
        <f>IF(Source!BI616&lt;=1,H1095+H1096+H1098+H1099+H1100, 0)</f>
        <v>72.05</v>
      </c>
      <c r="X1105">
        <f>IF(Source!BI616=2,H1095+H1096+H1098+H1099+H1100, 0)</f>
        <v>0</v>
      </c>
      <c r="Y1105">
        <f>IF(Source!BI616=3,H1095+H1096+H1098+H1099+H1100, 0)</f>
        <v>0</v>
      </c>
      <c r="Z1105">
        <f>IF(Source!BI616=4,H1095+H1096+H1098+H1099+H1100, 0)</f>
        <v>0</v>
      </c>
    </row>
    <row r="1106" spans="1:32" ht="28.5" x14ac:dyDescent="0.2">
      <c r="A1106" s="45" t="str">
        <f>Source!E620</f>
        <v>106</v>
      </c>
      <c r="B1106" s="46" t="str">
        <f>Source!F620</f>
        <v>17-01-002-03</v>
      </c>
      <c r="C1106" s="46" t="str">
        <f>Source!G620</f>
        <v>Установка смесителей (без стоимости материалов)</v>
      </c>
      <c r="D1106" s="29" t="str">
        <f>Source!H620</f>
        <v>10 ШТ</v>
      </c>
      <c r="E1106" s="11">
        <f>Source!I620</f>
        <v>0.2</v>
      </c>
      <c r="F1106" s="30">
        <f>Source!AL620+Source!AM620+Source!AO620</f>
        <v>78.320000000000007</v>
      </c>
      <c r="G1106" s="31"/>
      <c r="H1106" s="30"/>
      <c r="I1106" s="31" t="str">
        <f>Source!BO620</f>
        <v/>
      </c>
      <c r="J1106" s="31"/>
      <c r="K1106" s="30"/>
      <c r="L1106" s="32"/>
      <c r="S1106">
        <f>ROUND((Source!FX620/100)*((ROUND(Source!AF620*Source!I620, 2)+ROUND(Source!AE620*Source!I620, 2))), 2)</f>
        <v>17.84</v>
      </c>
      <c r="T1106">
        <f>Source!X620</f>
        <v>116.84</v>
      </c>
      <c r="U1106">
        <f>ROUND((Source!FY620/100)*((ROUND(Source!AF620*Source!I620, 2)+ROUND(Source!AE620*Source!I620, 2))), 2)</f>
        <v>10.93</v>
      </c>
      <c r="V1106">
        <f>Source!Y620</f>
        <v>72.14</v>
      </c>
    </row>
    <row r="1107" spans="1:32" x14ac:dyDescent="0.2">
      <c r="C1107" s="23" t="str">
        <f>"Объем: "&amp;Source!I620&amp;"=2/"&amp;"10"</f>
        <v>Объем: 0,2=2/10</v>
      </c>
    </row>
    <row r="1108" spans="1:32" ht="14.25" x14ac:dyDescent="0.2">
      <c r="A1108" s="45"/>
      <c r="B1108" s="46"/>
      <c r="C1108" s="46" t="s">
        <v>1636</v>
      </c>
      <c r="D1108" s="29"/>
      <c r="E1108" s="11"/>
      <c r="F1108" s="30">
        <f>Source!AO620</f>
        <v>67.34</v>
      </c>
      <c r="G1108" s="31" t="str">
        <f>Source!DG620</f>
        <v>)*1,15</v>
      </c>
      <c r="H1108" s="30">
        <f>ROUND(Source!AF620*Source!I620, 2)</f>
        <v>15.49</v>
      </c>
      <c r="I1108" s="31"/>
      <c r="J1108" s="31">
        <f>IF(Source!BA620&lt;&gt; 0, Source!BA620, 1)</f>
        <v>6.56</v>
      </c>
      <c r="K1108" s="30">
        <f>Source!S620</f>
        <v>101.6</v>
      </c>
      <c r="L1108" s="32"/>
      <c r="R1108">
        <f>H1108</f>
        <v>15.49</v>
      </c>
    </row>
    <row r="1109" spans="1:32" ht="14.25" x14ac:dyDescent="0.2">
      <c r="A1109" s="45"/>
      <c r="B1109" s="46"/>
      <c r="C1109" s="46" t="s">
        <v>1643</v>
      </c>
      <c r="D1109" s="29"/>
      <c r="E1109" s="11"/>
      <c r="F1109" s="30">
        <f>Source!AL620</f>
        <v>10.98</v>
      </c>
      <c r="G1109" s="31" t="str">
        <f>Source!DD620</f>
        <v/>
      </c>
      <c r="H1109" s="30">
        <f>ROUND(Source!AC620*Source!I620, 2)</f>
        <v>2.2000000000000002</v>
      </c>
      <c r="I1109" s="31"/>
      <c r="J1109" s="31">
        <f>IF(Source!BC620&lt;&gt; 0, Source!BC620, 1)</f>
        <v>6.56</v>
      </c>
      <c r="K1109" s="30">
        <f>Source!P620</f>
        <v>14.41</v>
      </c>
      <c r="L1109" s="32"/>
    </row>
    <row r="1110" spans="1:32" ht="14.25" x14ac:dyDescent="0.2">
      <c r="A1110" s="45"/>
      <c r="B1110" s="46"/>
      <c r="C1110" s="46" t="s">
        <v>1638</v>
      </c>
      <c r="D1110" s="29" t="s">
        <v>1639</v>
      </c>
      <c r="E1110" s="11">
        <f>Source!BZ620</f>
        <v>128</v>
      </c>
      <c r="F1110" s="71" t="str">
        <f>CONCATENATE(" )", Source!DL620, Source!FT620, "=", Source!FX620)</f>
        <v xml:space="preserve"> )*0,9=115,2</v>
      </c>
      <c r="G1110" s="72"/>
      <c r="H1110" s="30">
        <f>SUM(S1106:S1112)</f>
        <v>17.84</v>
      </c>
      <c r="I1110" s="34"/>
      <c r="J1110" s="27">
        <f>Source!AT620</f>
        <v>115</v>
      </c>
      <c r="K1110" s="30">
        <f>SUM(T1106:T1112)</f>
        <v>116.84</v>
      </c>
      <c r="L1110" s="32"/>
    </row>
    <row r="1111" spans="1:32" ht="14.25" x14ac:dyDescent="0.2">
      <c r="A1111" s="45"/>
      <c r="B1111" s="46"/>
      <c r="C1111" s="46" t="s">
        <v>1640</v>
      </c>
      <c r="D1111" s="29" t="s">
        <v>1639</v>
      </c>
      <c r="E1111" s="11">
        <f>Source!CA620</f>
        <v>83</v>
      </c>
      <c r="F1111" s="71" t="str">
        <f>CONCATENATE(" )", Source!DM620, Source!FU620, "=", Source!FY620)</f>
        <v xml:space="preserve"> )*0,85=70,55</v>
      </c>
      <c r="G1111" s="72"/>
      <c r="H1111" s="30">
        <f>SUM(U1106:U1112)</f>
        <v>10.93</v>
      </c>
      <c r="I1111" s="34"/>
      <c r="J1111" s="27">
        <f>Source!AU620</f>
        <v>71</v>
      </c>
      <c r="K1111" s="30">
        <f>SUM(V1106:V1112)</f>
        <v>72.14</v>
      </c>
      <c r="L1111" s="32"/>
    </row>
    <row r="1112" spans="1:32" ht="14.25" x14ac:dyDescent="0.2">
      <c r="A1112" s="47"/>
      <c r="B1112" s="48"/>
      <c r="C1112" s="48" t="s">
        <v>1641</v>
      </c>
      <c r="D1112" s="35" t="s">
        <v>1642</v>
      </c>
      <c r="E1112" s="36">
        <f>Source!AQ620</f>
        <v>7</v>
      </c>
      <c r="F1112" s="37"/>
      <c r="G1112" s="38" t="str">
        <f>Source!DI620</f>
        <v>)*1,15</v>
      </c>
      <c r="H1112" s="37"/>
      <c r="I1112" s="38"/>
      <c r="J1112" s="38"/>
      <c r="K1112" s="37"/>
      <c r="L1112" s="39">
        <f>Source!U620</f>
        <v>1.6099999999999999</v>
      </c>
    </row>
    <row r="1113" spans="1:32" ht="15" x14ac:dyDescent="0.25">
      <c r="G1113" s="70">
        <f>H1108+H1109+H1110+H1111</f>
        <v>46.46</v>
      </c>
      <c r="H1113" s="70"/>
      <c r="J1113" s="70">
        <f>K1108+K1109+K1110+K1111</f>
        <v>304.99</v>
      </c>
      <c r="K1113" s="70"/>
      <c r="L1113" s="40">
        <f>Source!U620</f>
        <v>1.6099999999999999</v>
      </c>
      <c r="O1113" s="24">
        <f>G1113</f>
        <v>46.46</v>
      </c>
      <c r="P1113" s="24">
        <f>J1113</f>
        <v>304.99</v>
      </c>
      <c r="Q1113" s="24">
        <f>L1113</f>
        <v>1.6099999999999999</v>
      </c>
      <c r="W1113">
        <f>IF(Source!BI620&lt;=1,H1108+H1109+H1110+H1111, 0)</f>
        <v>46.46</v>
      </c>
      <c r="X1113">
        <f>IF(Source!BI620=2,H1108+H1109+H1110+H1111, 0)</f>
        <v>0</v>
      </c>
      <c r="Y1113">
        <f>IF(Source!BI620=3,H1108+H1109+H1110+H1111, 0)</f>
        <v>0</v>
      </c>
      <c r="Z1113">
        <f>IF(Source!BI620=4,H1108+H1109+H1110+H1111, 0)</f>
        <v>0</v>
      </c>
    </row>
    <row r="1115" spans="1:32" ht="15" x14ac:dyDescent="0.25">
      <c r="A1115" s="74" t="str">
        <f>CONCATENATE("Итого по разделу: ",IF(Source!G622&lt;&gt;"Новый раздел", Source!G622, ""))</f>
        <v>Итого по разделу: 7 Система горячего и холодного водоснабжения</v>
      </c>
      <c r="B1115" s="74"/>
      <c r="C1115" s="74"/>
      <c r="D1115" s="74"/>
      <c r="E1115" s="74"/>
      <c r="F1115" s="74"/>
      <c r="G1115" s="73">
        <f>SUM(O1073:O1114)</f>
        <v>1677.71</v>
      </c>
      <c r="H1115" s="73"/>
      <c r="I1115" s="26"/>
      <c r="J1115" s="73">
        <f>SUM(P1073:P1114)</f>
        <v>11007.42</v>
      </c>
      <c r="K1115" s="73"/>
      <c r="L1115" s="40">
        <f>SUM(Q1073:Q1114)</f>
        <v>11.540699999999999</v>
      </c>
      <c r="AF1115" s="51" t="str">
        <f>CONCATENATE("Итого по разделу: ",IF(Source!G622&lt;&gt;"Новый раздел", Source!G622, ""))</f>
        <v>Итого по разделу: 7 Система горячего и холодного водоснабжения</v>
      </c>
    </row>
    <row r="1116" spans="1:32" ht="16.5" x14ac:dyDescent="0.25">
      <c r="A1116" s="75" t="str">
        <f>CONCATENATE("Раздел: ",IF(Source!G651&lt;&gt;"Новый раздел", Source!G651, ""))</f>
        <v>Раздел: 8 Канализация</v>
      </c>
      <c r="B1116" s="75"/>
      <c r="C1116" s="75"/>
      <c r="D1116" s="75"/>
      <c r="E1116" s="75"/>
      <c r="F1116" s="75"/>
      <c r="G1116" s="75"/>
      <c r="H1116" s="75"/>
      <c r="I1116" s="75"/>
      <c r="J1116" s="75"/>
      <c r="K1116" s="75"/>
      <c r="L1116" s="75"/>
    </row>
    <row r="1117" spans="1:32" ht="28.5" x14ac:dyDescent="0.2">
      <c r="A1117" s="45" t="str">
        <f>Source!E655</f>
        <v>107</v>
      </c>
      <c r="B1117" s="46" t="str">
        <f>Source!F655</f>
        <v>17-01-001-23</v>
      </c>
      <c r="C1117" s="46" t="str">
        <f>Source!G655</f>
        <v>Демонтаж: Установка трапов диаметром 100 мм</v>
      </c>
      <c r="D1117" s="29" t="str">
        <f>Source!H655</f>
        <v>10 компл</v>
      </c>
      <c r="E1117" s="11">
        <f>Source!I655</f>
        <v>0.1</v>
      </c>
      <c r="F1117" s="30">
        <f>Source!AL655+Source!AM655+Source!AO655</f>
        <v>141.9</v>
      </c>
      <c r="G1117" s="31"/>
      <c r="H1117" s="30"/>
      <c r="I1117" s="31" t="str">
        <f>Source!BO655</f>
        <v/>
      </c>
      <c r="J1117" s="31"/>
      <c r="K1117" s="30"/>
      <c r="L1117" s="32"/>
      <c r="S1117">
        <f>ROUND((Source!FX655/100)*((ROUND(Source!AF655*Source!I655, 2)+ROUND(Source!AE655*Source!I655, 2))), 2)</f>
        <v>4.0599999999999996</v>
      </c>
      <c r="T1117">
        <f>Source!X655</f>
        <v>26.53</v>
      </c>
      <c r="U1117">
        <f>ROUND((Source!FY655/100)*((ROUND(Source!AF655*Source!I655, 2)+ROUND(Source!AE655*Source!I655, 2))), 2)</f>
        <v>2.48</v>
      </c>
      <c r="V1117">
        <f>Source!Y655</f>
        <v>16.38</v>
      </c>
    </row>
    <row r="1118" spans="1:32" x14ac:dyDescent="0.2">
      <c r="C1118" s="23" t="str">
        <f>"Объем: "&amp;Source!I655&amp;"=1/"&amp;"10"</f>
        <v>Объем: 0,1=1/10</v>
      </c>
    </row>
    <row r="1119" spans="1:32" ht="14.25" x14ac:dyDescent="0.2">
      <c r="A1119" s="45"/>
      <c r="B1119" s="46"/>
      <c r="C1119" s="46" t="s">
        <v>1636</v>
      </c>
      <c r="D1119" s="29"/>
      <c r="E1119" s="11"/>
      <c r="F1119" s="30">
        <f>Source!AO655</f>
        <v>84.37</v>
      </c>
      <c r="G1119" s="31" t="str">
        <f>Source!DG655</f>
        <v>)*0,4</v>
      </c>
      <c r="H1119" s="30">
        <f>ROUND(Source!AF655*Source!I655, 2)</f>
        <v>3.38</v>
      </c>
      <c r="I1119" s="31"/>
      <c r="J1119" s="31">
        <f>IF(Source!BA655&lt;&gt; 0, Source!BA655, 1)</f>
        <v>6.56</v>
      </c>
      <c r="K1119" s="30">
        <f>Source!S655</f>
        <v>22.14</v>
      </c>
      <c r="L1119" s="32"/>
      <c r="R1119">
        <f>H1119</f>
        <v>3.38</v>
      </c>
    </row>
    <row r="1120" spans="1:32" ht="14.25" x14ac:dyDescent="0.2">
      <c r="A1120" s="45"/>
      <c r="B1120" s="46"/>
      <c r="C1120" s="46" t="s">
        <v>136</v>
      </c>
      <c r="D1120" s="29"/>
      <c r="E1120" s="11"/>
      <c r="F1120" s="30">
        <f>Source!AM655</f>
        <v>15.61</v>
      </c>
      <c r="G1120" s="31" t="str">
        <f>Source!DE655</f>
        <v>)*0,4</v>
      </c>
      <c r="H1120" s="30">
        <f>ROUND(Source!AD655*Source!I655, 2)</f>
        <v>0.62</v>
      </c>
      <c r="I1120" s="31"/>
      <c r="J1120" s="31">
        <f>IF(Source!BB655&lt;&gt; 0, Source!BB655, 1)</f>
        <v>6.56</v>
      </c>
      <c r="K1120" s="30">
        <f>Source!Q655</f>
        <v>4.09</v>
      </c>
      <c r="L1120" s="32"/>
    </row>
    <row r="1121" spans="1:26" ht="14.25" x14ac:dyDescent="0.2">
      <c r="A1121" s="45"/>
      <c r="B1121" s="46"/>
      <c r="C1121" s="46" t="s">
        <v>1637</v>
      </c>
      <c r="D1121" s="29"/>
      <c r="E1121" s="11"/>
      <c r="F1121" s="30">
        <f>Source!AN655</f>
        <v>3.55</v>
      </c>
      <c r="G1121" s="31" t="str">
        <f>Source!DF655</f>
        <v>)*0,4</v>
      </c>
      <c r="H1121" s="33">
        <f>ROUND(Source!AE655*Source!I655, 2)</f>
        <v>0.14000000000000001</v>
      </c>
      <c r="I1121" s="31"/>
      <c r="J1121" s="31">
        <f>IF(Source!BS655&lt;&gt; 0, Source!BS655, 1)</f>
        <v>6.56</v>
      </c>
      <c r="K1121" s="33">
        <f>Source!R655</f>
        <v>0.93</v>
      </c>
      <c r="L1121" s="32"/>
      <c r="R1121">
        <f>H1121</f>
        <v>0.14000000000000001</v>
      </c>
    </row>
    <row r="1122" spans="1:26" ht="14.25" x14ac:dyDescent="0.2">
      <c r="A1122" s="45"/>
      <c r="B1122" s="46"/>
      <c r="C1122" s="46" t="s">
        <v>1638</v>
      </c>
      <c r="D1122" s="29" t="s">
        <v>1639</v>
      </c>
      <c r="E1122" s="11">
        <f>Source!BZ655</f>
        <v>128</v>
      </c>
      <c r="F1122" s="71" t="str">
        <f>CONCATENATE(" )", Source!DL655, Source!FT655, "=", Source!FX655)</f>
        <v xml:space="preserve"> )*0,9=115,2</v>
      </c>
      <c r="G1122" s="72"/>
      <c r="H1122" s="30">
        <f>SUM(S1117:S1124)</f>
        <v>4.0599999999999996</v>
      </c>
      <c r="I1122" s="34"/>
      <c r="J1122" s="27">
        <f>Source!AT655</f>
        <v>115</v>
      </c>
      <c r="K1122" s="30">
        <f>SUM(T1117:T1124)</f>
        <v>26.53</v>
      </c>
      <c r="L1122" s="32"/>
    </row>
    <row r="1123" spans="1:26" ht="14.25" x14ac:dyDescent="0.2">
      <c r="A1123" s="45"/>
      <c r="B1123" s="46"/>
      <c r="C1123" s="46" t="s">
        <v>1640</v>
      </c>
      <c r="D1123" s="29" t="s">
        <v>1639</v>
      </c>
      <c r="E1123" s="11">
        <f>Source!CA655</f>
        <v>83</v>
      </c>
      <c r="F1123" s="71" t="str">
        <f>CONCATENATE(" )", Source!DM655, Source!FU655, "=", Source!FY655)</f>
        <v xml:space="preserve"> )*0,85=70,55</v>
      </c>
      <c r="G1123" s="72"/>
      <c r="H1123" s="30">
        <f>SUM(U1117:U1124)</f>
        <v>2.48</v>
      </c>
      <c r="I1123" s="34"/>
      <c r="J1123" s="27">
        <f>Source!AU655</f>
        <v>71</v>
      </c>
      <c r="K1123" s="30">
        <f>SUM(V1117:V1124)</f>
        <v>16.38</v>
      </c>
      <c r="L1123" s="32"/>
    </row>
    <row r="1124" spans="1:26" ht="14.25" x14ac:dyDescent="0.2">
      <c r="A1124" s="47"/>
      <c r="B1124" s="48"/>
      <c r="C1124" s="48" t="s">
        <v>1641</v>
      </c>
      <c r="D1124" s="35" t="s">
        <v>1642</v>
      </c>
      <c r="E1124" s="36">
        <f>Source!AQ655</f>
        <v>8.77</v>
      </c>
      <c r="F1124" s="37"/>
      <c r="G1124" s="38" t="str">
        <f>Source!DI655</f>
        <v>)*0,4</v>
      </c>
      <c r="H1124" s="37"/>
      <c r="I1124" s="38"/>
      <c r="J1124" s="38"/>
      <c r="K1124" s="37"/>
      <c r="L1124" s="39">
        <f>Source!U655</f>
        <v>0.3508</v>
      </c>
    </row>
    <row r="1125" spans="1:26" ht="15" x14ac:dyDescent="0.25">
      <c r="G1125" s="70">
        <f>H1119+H1120+H1122+H1123</f>
        <v>10.54</v>
      </c>
      <c r="H1125" s="70"/>
      <c r="J1125" s="70">
        <f>K1119+K1120+K1122+K1123</f>
        <v>69.14</v>
      </c>
      <c r="K1125" s="70"/>
      <c r="L1125" s="40">
        <f>Source!U655</f>
        <v>0.3508</v>
      </c>
      <c r="O1125" s="24">
        <f>G1125</f>
        <v>10.54</v>
      </c>
      <c r="P1125" s="24">
        <f>J1125</f>
        <v>69.14</v>
      </c>
      <c r="Q1125" s="24">
        <f>L1125</f>
        <v>0.3508</v>
      </c>
      <c r="W1125">
        <f>IF(Source!BI655&lt;=1,H1119+H1120+H1122+H1123, 0)</f>
        <v>10.54</v>
      </c>
      <c r="X1125">
        <f>IF(Source!BI655=2,H1119+H1120+H1122+H1123, 0)</f>
        <v>0</v>
      </c>
      <c r="Y1125">
        <f>IF(Source!BI655=3,H1119+H1120+H1122+H1123, 0)</f>
        <v>0</v>
      </c>
      <c r="Z1125">
        <f>IF(Source!BI655=4,H1119+H1120+H1122+H1123, 0)</f>
        <v>0</v>
      </c>
    </row>
    <row r="1126" spans="1:26" ht="14.25" x14ac:dyDescent="0.2">
      <c r="A1126" s="45" t="str">
        <f>Source!E656</f>
        <v>108</v>
      </c>
      <c r="B1126" s="46" t="str">
        <f>Source!F656</f>
        <v>65-4-2</v>
      </c>
      <c r="C1126" s="46" t="str">
        <f>Source!G656</f>
        <v>Демонтаж унитазов и писсуаров</v>
      </c>
      <c r="D1126" s="29" t="str">
        <f>Source!H656</f>
        <v>100 ШТ</v>
      </c>
      <c r="E1126" s="11">
        <f>Source!I656</f>
        <v>0.02</v>
      </c>
      <c r="F1126" s="30">
        <f>Source!AL656+Source!AM656+Source!AO656</f>
        <v>553.63</v>
      </c>
      <c r="G1126" s="31"/>
      <c r="H1126" s="30"/>
      <c r="I1126" s="31" t="str">
        <f>Source!BO656</f>
        <v/>
      </c>
      <c r="J1126" s="31"/>
      <c r="K1126" s="30"/>
      <c r="L1126" s="32"/>
      <c r="S1126">
        <f>ROUND((Source!FX656/100)*((ROUND(Source!AF656*Source!I656, 2)+ROUND(Source!AE656*Source!I656, 2))), 2)</f>
        <v>8.1199999999999992</v>
      </c>
      <c r="T1126">
        <f>Source!X656</f>
        <v>53.25</v>
      </c>
      <c r="U1126">
        <f>ROUND((Source!FY656/100)*((ROUND(Source!AF656*Source!I656, 2)+ROUND(Source!AE656*Source!I656, 2))), 2)</f>
        <v>5.49</v>
      </c>
      <c r="V1126">
        <f>Source!Y656</f>
        <v>35.979999999999997</v>
      </c>
    </row>
    <row r="1127" spans="1:26" x14ac:dyDescent="0.2">
      <c r="C1127" s="23" t="str">
        <f>"Объем: "&amp;Source!I656&amp;"=2/"&amp;"100"</f>
        <v>Объем: 0,02=2/100</v>
      </c>
    </row>
    <row r="1128" spans="1:26" ht="14.25" x14ac:dyDescent="0.2">
      <c r="A1128" s="45"/>
      <c r="B1128" s="46"/>
      <c r="C1128" s="46" t="s">
        <v>1636</v>
      </c>
      <c r="D1128" s="29"/>
      <c r="E1128" s="11"/>
      <c r="F1128" s="30">
        <f>Source!AO656</f>
        <v>544.55999999999995</v>
      </c>
      <c r="G1128" s="31" t="str">
        <f>Source!DG656</f>
        <v/>
      </c>
      <c r="H1128" s="30">
        <f>ROUND(Source!AF656*Source!I656, 2)</f>
        <v>10.89</v>
      </c>
      <c r="I1128" s="31"/>
      <c r="J1128" s="31">
        <f>IF(Source!BA656&lt;&gt; 0, Source!BA656, 1)</f>
        <v>6.56</v>
      </c>
      <c r="K1128" s="30">
        <f>Source!S656</f>
        <v>71.45</v>
      </c>
      <c r="L1128" s="32"/>
      <c r="R1128">
        <f>H1128</f>
        <v>10.89</v>
      </c>
    </row>
    <row r="1129" spans="1:26" ht="14.25" x14ac:dyDescent="0.2">
      <c r="A1129" s="45"/>
      <c r="B1129" s="46"/>
      <c r="C1129" s="46" t="s">
        <v>136</v>
      </c>
      <c r="D1129" s="29"/>
      <c r="E1129" s="11"/>
      <c r="F1129" s="30">
        <f>Source!AM656</f>
        <v>9.07</v>
      </c>
      <c r="G1129" s="31" t="str">
        <f>Source!DE656</f>
        <v/>
      </c>
      <c r="H1129" s="30">
        <f>ROUND(Source!AD656*Source!I656, 2)</f>
        <v>0.18</v>
      </c>
      <c r="I1129" s="31"/>
      <c r="J1129" s="31">
        <f>IF(Source!BB656&lt;&gt; 0, Source!BB656, 1)</f>
        <v>6.56</v>
      </c>
      <c r="K1129" s="30">
        <f>Source!Q656</f>
        <v>1.19</v>
      </c>
      <c r="L1129" s="32"/>
    </row>
    <row r="1130" spans="1:26" ht="14.25" x14ac:dyDescent="0.2">
      <c r="A1130" s="45"/>
      <c r="B1130" s="46"/>
      <c r="C1130" s="46" t="s">
        <v>1637</v>
      </c>
      <c r="D1130" s="29"/>
      <c r="E1130" s="11"/>
      <c r="F1130" s="30">
        <f>Source!AN656</f>
        <v>3.92</v>
      </c>
      <c r="G1130" s="31" t="str">
        <f>Source!DF656</f>
        <v/>
      </c>
      <c r="H1130" s="33">
        <f>ROUND(Source!AE656*Source!I656, 2)</f>
        <v>0.08</v>
      </c>
      <c r="I1130" s="31"/>
      <c r="J1130" s="31">
        <f>IF(Source!BS656&lt;&gt; 0, Source!BS656, 1)</f>
        <v>6.56</v>
      </c>
      <c r="K1130" s="33">
        <f>Source!R656</f>
        <v>0.51</v>
      </c>
      <c r="L1130" s="32"/>
      <c r="R1130">
        <f>H1130</f>
        <v>0.08</v>
      </c>
    </row>
    <row r="1131" spans="1:26" ht="14.25" x14ac:dyDescent="0.2">
      <c r="A1131" s="45"/>
      <c r="B1131" s="46"/>
      <c r="C1131" s="46" t="s">
        <v>1638</v>
      </c>
      <c r="D1131" s="29" t="s">
        <v>1639</v>
      </c>
      <c r="E1131" s="11">
        <f>Source!BZ656</f>
        <v>74</v>
      </c>
      <c r="F1131" s="49"/>
      <c r="G1131" s="31"/>
      <c r="H1131" s="30">
        <f>SUM(S1126:S1133)</f>
        <v>8.1199999999999992</v>
      </c>
      <c r="I1131" s="34"/>
      <c r="J1131" s="27">
        <f>Source!AT656</f>
        <v>74</v>
      </c>
      <c r="K1131" s="30">
        <f>SUM(T1126:T1133)</f>
        <v>53.25</v>
      </c>
      <c r="L1131" s="32"/>
    </row>
    <row r="1132" spans="1:26" ht="14.25" x14ac:dyDescent="0.2">
      <c r="A1132" s="45"/>
      <c r="B1132" s="46"/>
      <c r="C1132" s="46" t="s">
        <v>1640</v>
      </c>
      <c r="D1132" s="29" t="s">
        <v>1639</v>
      </c>
      <c r="E1132" s="11">
        <f>Source!CA656</f>
        <v>50</v>
      </c>
      <c r="F1132" s="49"/>
      <c r="G1132" s="31"/>
      <c r="H1132" s="30">
        <f>SUM(U1126:U1133)</f>
        <v>5.49</v>
      </c>
      <c r="I1132" s="34"/>
      <c r="J1132" s="27">
        <f>Source!AU656</f>
        <v>50</v>
      </c>
      <c r="K1132" s="30">
        <f>SUM(V1126:V1133)</f>
        <v>35.979999999999997</v>
      </c>
      <c r="L1132" s="32"/>
    </row>
    <row r="1133" spans="1:26" ht="14.25" x14ac:dyDescent="0.2">
      <c r="A1133" s="47"/>
      <c r="B1133" s="48"/>
      <c r="C1133" s="48" t="s">
        <v>1641</v>
      </c>
      <c r="D1133" s="35" t="s">
        <v>1642</v>
      </c>
      <c r="E1133" s="36">
        <f>Source!AQ656</f>
        <v>63.84</v>
      </c>
      <c r="F1133" s="37"/>
      <c r="G1133" s="38" t="str">
        <f>Source!DI656</f>
        <v/>
      </c>
      <c r="H1133" s="37"/>
      <c r="I1133" s="38"/>
      <c r="J1133" s="38"/>
      <c r="K1133" s="37"/>
      <c r="L1133" s="39">
        <f>Source!U656</f>
        <v>1.2768000000000002</v>
      </c>
    </row>
    <row r="1134" spans="1:26" ht="15" x14ac:dyDescent="0.25">
      <c r="G1134" s="70">
        <f>H1128+H1129+H1131+H1132</f>
        <v>24.68</v>
      </c>
      <c r="H1134" s="70"/>
      <c r="J1134" s="70">
        <f>K1128+K1129+K1131+K1132</f>
        <v>161.87</v>
      </c>
      <c r="K1134" s="70"/>
      <c r="L1134" s="40">
        <f>Source!U656</f>
        <v>1.2768000000000002</v>
      </c>
      <c r="O1134" s="24">
        <f>G1134</f>
        <v>24.68</v>
      </c>
      <c r="P1134" s="24">
        <f>J1134</f>
        <v>161.87</v>
      </c>
      <c r="Q1134" s="24">
        <f>L1134</f>
        <v>1.2768000000000002</v>
      </c>
      <c r="W1134">
        <f>IF(Source!BI656&lt;=1,H1128+H1129+H1131+H1132, 0)</f>
        <v>24.68</v>
      </c>
      <c r="X1134">
        <f>IF(Source!BI656=2,H1128+H1129+H1131+H1132, 0)</f>
        <v>0</v>
      </c>
      <c r="Y1134">
        <f>IF(Source!BI656=3,H1128+H1129+H1131+H1132, 0)</f>
        <v>0</v>
      </c>
      <c r="Z1134">
        <f>IF(Source!BI656=4,H1128+H1129+H1131+H1132, 0)</f>
        <v>0</v>
      </c>
    </row>
    <row r="1135" spans="1:26" ht="28.5" x14ac:dyDescent="0.2">
      <c r="A1135" s="45" t="str">
        <f>Source!E657</f>
        <v>109</v>
      </c>
      <c r="B1135" s="46" t="str">
        <f>Source!F657</f>
        <v>17-01-003-01</v>
      </c>
      <c r="C1135" s="46" t="str">
        <f>Source!G657</f>
        <v>Установка унитазов с бачком непосредственно присоединенным</v>
      </c>
      <c r="D1135" s="29" t="str">
        <f>Source!H657</f>
        <v>10 компл</v>
      </c>
      <c r="E1135" s="11">
        <f>Source!I657</f>
        <v>0.3</v>
      </c>
      <c r="F1135" s="30">
        <f>Source!AL657+Source!AM657+Source!AO657</f>
        <v>461.63</v>
      </c>
      <c r="G1135" s="31"/>
      <c r="H1135" s="30"/>
      <c r="I1135" s="31" t="str">
        <f>Source!BO657</f>
        <v/>
      </c>
      <c r="J1135" s="31"/>
      <c r="K1135" s="30"/>
      <c r="L1135" s="32"/>
      <c r="S1135">
        <f>ROUND((Source!FX657/100)*((ROUND(Source!AF657*Source!I657, 2)+ROUND(Source!AE657*Source!I657, 2))), 2)</f>
        <v>96.95</v>
      </c>
      <c r="T1135">
        <f>Source!X657</f>
        <v>634.9</v>
      </c>
      <c r="U1135">
        <f>ROUND((Source!FY657/100)*((ROUND(Source!AF657*Source!I657, 2)+ROUND(Source!AE657*Source!I657, 2))), 2)</f>
        <v>59.37</v>
      </c>
      <c r="V1135">
        <f>Source!Y657</f>
        <v>391.98</v>
      </c>
    </row>
    <row r="1136" spans="1:26" x14ac:dyDescent="0.2">
      <c r="C1136" s="23" t="str">
        <f>"Объем: "&amp;Source!I657&amp;"=3/"&amp;"10"</f>
        <v>Объем: 0,3=3/10</v>
      </c>
    </row>
    <row r="1137" spans="1:26" ht="14.25" x14ac:dyDescent="0.2">
      <c r="A1137" s="45"/>
      <c r="B1137" s="46"/>
      <c r="C1137" s="46" t="s">
        <v>1636</v>
      </c>
      <c r="D1137" s="29"/>
      <c r="E1137" s="11"/>
      <c r="F1137" s="30">
        <f>Source!AO657</f>
        <v>234.33</v>
      </c>
      <c r="G1137" s="31" t="str">
        <f>Source!DG657</f>
        <v>)*1,15</v>
      </c>
      <c r="H1137" s="30">
        <f>ROUND(Source!AF657*Source!I657, 2)</f>
        <v>80.84</v>
      </c>
      <c r="I1137" s="31"/>
      <c r="J1137" s="31">
        <f>IF(Source!BA657&lt;&gt; 0, Source!BA657, 1)</f>
        <v>6.56</v>
      </c>
      <c r="K1137" s="30">
        <f>Source!S657</f>
        <v>530.34</v>
      </c>
      <c r="L1137" s="32"/>
      <c r="R1137">
        <f>H1137</f>
        <v>80.84</v>
      </c>
    </row>
    <row r="1138" spans="1:26" ht="14.25" x14ac:dyDescent="0.2">
      <c r="A1138" s="45"/>
      <c r="B1138" s="46"/>
      <c r="C1138" s="46" t="s">
        <v>136</v>
      </c>
      <c r="D1138" s="29"/>
      <c r="E1138" s="11"/>
      <c r="F1138" s="30">
        <f>Source!AM657</f>
        <v>35.630000000000003</v>
      </c>
      <c r="G1138" s="31" t="str">
        <f>Source!DE657</f>
        <v>)*1,25</v>
      </c>
      <c r="H1138" s="30">
        <f>ROUND(Source!AD657*Source!I657, 2)</f>
        <v>13.36</v>
      </c>
      <c r="I1138" s="31"/>
      <c r="J1138" s="31">
        <f>IF(Source!BB657&lt;&gt; 0, Source!BB657, 1)</f>
        <v>6.56</v>
      </c>
      <c r="K1138" s="30">
        <f>Source!Q657</f>
        <v>87.65</v>
      </c>
      <c r="L1138" s="32"/>
    </row>
    <row r="1139" spans="1:26" ht="14.25" x14ac:dyDescent="0.2">
      <c r="A1139" s="45"/>
      <c r="B1139" s="46"/>
      <c r="C1139" s="46" t="s">
        <v>1637</v>
      </c>
      <c r="D1139" s="29"/>
      <c r="E1139" s="11"/>
      <c r="F1139" s="30">
        <f>Source!AN657</f>
        <v>8.84</v>
      </c>
      <c r="G1139" s="31" t="str">
        <f>Source!DF657</f>
        <v>)*1,25</v>
      </c>
      <c r="H1139" s="33">
        <f>ROUND(Source!AE657*Source!I657, 2)</f>
        <v>3.32</v>
      </c>
      <c r="I1139" s="31"/>
      <c r="J1139" s="31">
        <f>IF(Source!BS657&lt;&gt; 0, Source!BS657, 1)</f>
        <v>6.56</v>
      </c>
      <c r="K1139" s="33">
        <f>Source!R657</f>
        <v>21.75</v>
      </c>
      <c r="L1139" s="32"/>
      <c r="R1139">
        <f>H1139</f>
        <v>3.32</v>
      </c>
    </row>
    <row r="1140" spans="1:26" ht="14.25" x14ac:dyDescent="0.2">
      <c r="A1140" s="45"/>
      <c r="B1140" s="46"/>
      <c r="C1140" s="46" t="s">
        <v>1643</v>
      </c>
      <c r="D1140" s="29"/>
      <c r="E1140" s="11"/>
      <c r="F1140" s="30">
        <f>Source!AL657</f>
        <v>191.67</v>
      </c>
      <c r="G1140" s="31" t="str">
        <f>Source!DD657</f>
        <v/>
      </c>
      <c r="H1140" s="30">
        <f>ROUND(Source!AC657*Source!I657, 2)</f>
        <v>57.5</v>
      </c>
      <c r="I1140" s="31"/>
      <c r="J1140" s="31">
        <f>IF(Source!BC657&lt;&gt; 0, Source!BC657, 1)</f>
        <v>6.56</v>
      </c>
      <c r="K1140" s="30">
        <f>Source!P657</f>
        <v>377.21</v>
      </c>
      <c r="L1140" s="32"/>
    </row>
    <row r="1141" spans="1:26" ht="14.25" x14ac:dyDescent="0.2">
      <c r="A1141" s="45"/>
      <c r="B1141" s="46"/>
      <c r="C1141" s="46" t="s">
        <v>1638</v>
      </c>
      <c r="D1141" s="29" t="s">
        <v>1639</v>
      </c>
      <c r="E1141" s="11">
        <f>Source!BZ657</f>
        <v>128</v>
      </c>
      <c r="F1141" s="71" t="str">
        <f>CONCATENATE(" )", Source!DL657, Source!FT657, "=", Source!FX657)</f>
        <v xml:space="preserve"> )*0,9=115,2</v>
      </c>
      <c r="G1141" s="72"/>
      <c r="H1141" s="30">
        <f>SUM(S1135:S1145)</f>
        <v>96.95</v>
      </c>
      <c r="I1141" s="34"/>
      <c r="J1141" s="27">
        <f>Source!AT657</f>
        <v>115</v>
      </c>
      <c r="K1141" s="30">
        <f>SUM(T1135:T1145)</f>
        <v>634.9</v>
      </c>
      <c r="L1141" s="32"/>
    </row>
    <row r="1142" spans="1:26" ht="14.25" x14ac:dyDescent="0.2">
      <c r="A1142" s="45"/>
      <c r="B1142" s="46"/>
      <c r="C1142" s="46" t="s">
        <v>1640</v>
      </c>
      <c r="D1142" s="29" t="s">
        <v>1639</v>
      </c>
      <c r="E1142" s="11">
        <f>Source!CA657</f>
        <v>83</v>
      </c>
      <c r="F1142" s="71" t="str">
        <f>CONCATENATE(" )", Source!DM657, Source!FU657, "=", Source!FY657)</f>
        <v xml:space="preserve"> )*0,85=70,55</v>
      </c>
      <c r="G1142" s="72"/>
      <c r="H1142" s="30">
        <f>SUM(U1135:U1145)</f>
        <v>59.37</v>
      </c>
      <c r="I1142" s="34"/>
      <c r="J1142" s="27">
        <f>Source!AU657</f>
        <v>71</v>
      </c>
      <c r="K1142" s="30">
        <f>SUM(V1135:V1145)</f>
        <v>391.98</v>
      </c>
      <c r="L1142" s="32"/>
    </row>
    <row r="1143" spans="1:26" ht="14.25" x14ac:dyDescent="0.2">
      <c r="A1143" s="45"/>
      <c r="B1143" s="46"/>
      <c r="C1143" s="46" t="s">
        <v>1641</v>
      </c>
      <c r="D1143" s="29" t="s">
        <v>1642</v>
      </c>
      <c r="E1143" s="11">
        <f>Source!AQ657</f>
        <v>24.64</v>
      </c>
      <c r="F1143" s="30"/>
      <c r="G1143" s="31" t="str">
        <f>Source!DI657</f>
        <v>)*1,15</v>
      </c>
      <c r="H1143" s="30"/>
      <c r="I1143" s="31"/>
      <c r="J1143" s="31"/>
      <c r="K1143" s="30"/>
      <c r="L1143" s="41">
        <f>Source!U657</f>
        <v>8.5007999999999999</v>
      </c>
    </row>
    <row r="1144" spans="1:26" ht="28.5" x14ac:dyDescent="0.2">
      <c r="A1144" s="45" t="str">
        <f>Source!E658</f>
        <v>109,1</v>
      </c>
      <c r="B1144" s="46" t="str">
        <f>Source!F658</f>
        <v>18.2.06.08-0016</v>
      </c>
      <c r="C1144" s="46" t="str">
        <f>Source!G658</f>
        <v>Подводка гибкая армированная резиновая 1000 мм</v>
      </c>
      <c r="D1144" s="29" t="str">
        <f>Source!H658</f>
        <v>10 шт.</v>
      </c>
      <c r="E1144" s="11">
        <f>Source!I658</f>
        <v>0.3</v>
      </c>
      <c r="F1144" s="30">
        <f>Source!AL658+Source!AM658+Source!AO658</f>
        <v>160.19999999999999</v>
      </c>
      <c r="G1144" s="42" t="s">
        <v>6</v>
      </c>
      <c r="H1144" s="30">
        <f>ROUND(Source!AC658*Source!I658, 2)+ROUND(Source!AD658*Source!I658, 2)+ROUND(Source!AF658*Source!I658, 2)</f>
        <v>48.06</v>
      </c>
      <c r="I1144" s="31"/>
      <c r="J1144" s="31">
        <f>IF(Source!BC658&lt;&gt; 0, Source!BC658, 1)</f>
        <v>6.56</v>
      </c>
      <c r="K1144" s="30">
        <f>Source!O658</f>
        <v>315.27</v>
      </c>
      <c r="L1144" s="32"/>
      <c r="S1144">
        <f>ROUND((Source!FX658/100)*((ROUND(Source!AF658*Source!I658, 2)+ROUND(Source!AE658*Source!I658, 2))), 2)</f>
        <v>0</v>
      </c>
      <c r="T1144">
        <f>Source!X658</f>
        <v>0</v>
      </c>
      <c r="U1144">
        <f>ROUND((Source!FY658/100)*((ROUND(Source!AF658*Source!I658, 2)+ROUND(Source!AE658*Source!I658, 2))), 2)</f>
        <v>0</v>
      </c>
      <c r="V1144">
        <f>Source!Y658</f>
        <v>0</v>
      </c>
      <c r="W1144">
        <f>IF(Source!BI658&lt;=1,H1144, 0)</f>
        <v>48.06</v>
      </c>
      <c r="X1144">
        <f>IF(Source!BI658=2,H1144, 0)</f>
        <v>0</v>
      </c>
      <c r="Y1144">
        <f>IF(Source!BI658=3,H1144, 0)</f>
        <v>0</v>
      </c>
      <c r="Z1144">
        <f>IF(Source!BI658=4,H1144, 0)</f>
        <v>0</v>
      </c>
    </row>
    <row r="1145" spans="1:26" ht="28.5" x14ac:dyDescent="0.2">
      <c r="A1145" s="47" t="str">
        <f>Source!E659</f>
        <v>109,2</v>
      </c>
      <c r="B1145" s="48" t="str">
        <f>Source!F659</f>
        <v>18.2.01.06-0001</v>
      </c>
      <c r="C1145" s="48" t="str">
        <f>Source!G659</f>
        <v>Унитаз-компакт Santek Бореаль WH302143</v>
      </c>
      <c r="D1145" s="35" t="str">
        <f>Source!H659</f>
        <v>компл.</v>
      </c>
      <c r="E1145" s="36">
        <f>Source!I659</f>
        <v>3</v>
      </c>
      <c r="F1145" s="37">
        <f>Source!AL659+Source!AM659+Source!AO659</f>
        <v>318</v>
      </c>
      <c r="G1145" s="43" t="s">
        <v>6</v>
      </c>
      <c r="H1145" s="37">
        <f>ROUND(Source!AC659*Source!I659, 2)+ROUND(Source!AD659*Source!I659, 2)+ROUND(Source!AF659*Source!I659, 2)</f>
        <v>954</v>
      </c>
      <c r="I1145" s="38"/>
      <c r="J1145" s="38">
        <f>IF(Source!BC659&lt;&gt; 0, Source!BC659, 1)</f>
        <v>6.56</v>
      </c>
      <c r="K1145" s="37">
        <f>Source!O659</f>
        <v>6258.24</v>
      </c>
      <c r="L1145" s="44"/>
      <c r="S1145">
        <f>ROUND((Source!FX659/100)*((ROUND(Source!AF659*Source!I659, 2)+ROUND(Source!AE659*Source!I659, 2))), 2)</f>
        <v>0</v>
      </c>
      <c r="T1145">
        <f>Source!X659</f>
        <v>0</v>
      </c>
      <c r="U1145">
        <f>ROUND((Source!FY659/100)*((ROUND(Source!AF659*Source!I659, 2)+ROUND(Source!AE659*Source!I659, 2))), 2)</f>
        <v>0</v>
      </c>
      <c r="V1145">
        <f>Source!Y659</f>
        <v>0</v>
      </c>
      <c r="W1145">
        <f>IF(Source!BI659&lt;=1,H1145, 0)</f>
        <v>954</v>
      </c>
      <c r="X1145">
        <f>IF(Source!BI659=2,H1145, 0)</f>
        <v>0</v>
      </c>
      <c r="Y1145">
        <f>IF(Source!BI659=3,H1145, 0)</f>
        <v>0</v>
      </c>
      <c r="Z1145">
        <f>IF(Source!BI659=4,H1145, 0)</f>
        <v>0</v>
      </c>
    </row>
    <row r="1146" spans="1:26" ht="15" x14ac:dyDescent="0.25">
      <c r="G1146" s="70">
        <f>H1137+H1138+H1140+H1141+H1142+SUM(H1144:H1145)</f>
        <v>1310.08</v>
      </c>
      <c r="H1146" s="70"/>
      <c r="J1146" s="70">
        <f>K1137+K1138+K1140+K1141+K1142+SUM(K1144:K1145)</f>
        <v>8595.59</v>
      </c>
      <c r="K1146" s="70"/>
      <c r="L1146" s="40">
        <f>Source!U657</f>
        <v>8.5007999999999999</v>
      </c>
      <c r="O1146" s="24">
        <f>G1146</f>
        <v>1310.08</v>
      </c>
      <c r="P1146" s="24">
        <f>J1146</f>
        <v>8595.59</v>
      </c>
      <c r="Q1146" s="24">
        <f>L1146</f>
        <v>8.5007999999999999</v>
      </c>
      <c r="W1146">
        <f>IF(Source!BI657&lt;=1,H1137+H1138+H1140+H1141+H1142, 0)</f>
        <v>308.02</v>
      </c>
      <c r="X1146">
        <f>IF(Source!BI657=2,H1137+H1138+H1140+H1141+H1142, 0)</f>
        <v>0</v>
      </c>
      <c r="Y1146">
        <f>IF(Source!BI657=3,H1137+H1138+H1140+H1141+H1142, 0)</f>
        <v>0</v>
      </c>
      <c r="Z1146">
        <f>IF(Source!BI657=4,H1137+H1138+H1140+H1141+H1142, 0)</f>
        <v>0</v>
      </c>
    </row>
    <row r="1147" spans="1:26" ht="28.5" x14ac:dyDescent="0.2">
      <c r="A1147" s="45" t="str">
        <f>Source!E660</f>
        <v>110</v>
      </c>
      <c r="B1147" s="46" t="str">
        <f>Source!F660</f>
        <v>17-01-001-23</v>
      </c>
      <c r="C1147" s="46" t="str">
        <f>Source!G660</f>
        <v>Установка трапов диаметром 100 мм</v>
      </c>
      <c r="D1147" s="29" t="str">
        <f>Source!H660</f>
        <v>10 компл</v>
      </c>
      <c r="E1147" s="11">
        <f>Source!I660</f>
        <v>0.1</v>
      </c>
      <c r="F1147" s="30">
        <f>Source!AL660+Source!AM660+Source!AO660</f>
        <v>141.9</v>
      </c>
      <c r="G1147" s="31"/>
      <c r="H1147" s="30"/>
      <c r="I1147" s="31" t="str">
        <f>Source!BO660</f>
        <v/>
      </c>
      <c r="J1147" s="31"/>
      <c r="K1147" s="30"/>
      <c r="L1147" s="32"/>
      <c r="S1147">
        <f>ROUND((Source!FX660/100)*((ROUND(Source!AF660*Source!I660, 2)+ROUND(Source!AE660*Source!I660, 2))), 2)</f>
        <v>11.68</v>
      </c>
      <c r="T1147">
        <f>Source!X660</f>
        <v>76.540000000000006</v>
      </c>
      <c r="U1147">
        <f>ROUND((Source!FY660/100)*((ROUND(Source!AF660*Source!I660, 2)+ROUND(Source!AE660*Source!I660, 2))), 2)</f>
        <v>7.15</v>
      </c>
      <c r="V1147">
        <f>Source!Y660</f>
        <v>47.26</v>
      </c>
    </row>
    <row r="1148" spans="1:26" x14ac:dyDescent="0.2">
      <c r="C1148" s="23" t="str">
        <f>"Объем: "&amp;Source!I660&amp;"=1/"&amp;"10"</f>
        <v>Объем: 0,1=1/10</v>
      </c>
    </row>
    <row r="1149" spans="1:26" ht="14.25" x14ac:dyDescent="0.2">
      <c r="A1149" s="45"/>
      <c r="B1149" s="46"/>
      <c r="C1149" s="46" t="s">
        <v>1636</v>
      </c>
      <c r="D1149" s="29"/>
      <c r="E1149" s="11"/>
      <c r="F1149" s="30">
        <f>Source!AO660</f>
        <v>84.37</v>
      </c>
      <c r="G1149" s="31" t="str">
        <f>Source!DG660</f>
        <v>)*1,15</v>
      </c>
      <c r="H1149" s="30">
        <f>ROUND(Source!AF660*Source!I660, 2)</f>
        <v>9.6999999999999993</v>
      </c>
      <c r="I1149" s="31"/>
      <c r="J1149" s="31">
        <f>IF(Source!BA660&lt;&gt; 0, Source!BA660, 1)</f>
        <v>6.56</v>
      </c>
      <c r="K1149" s="30">
        <f>Source!S660</f>
        <v>63.65</v>
      </c>
      <c r="L1149" s="32"/>
      <c r="R1149">
        <f>H1149</f>
        <v>9.6999999999999993</v>
      </c>
    </row>
    <row r="1150" spans="1:26" ht="14.25" x14ac:dyDescent="0.2">
      <c r="A1150" s="45"/>
      <c r="B1150" s="46"/>
      <c r="C1150" s="46" t="s">
        <v>136</v>
      </c>
      <c r="D1150" s="29"/>
      <c r="E1150" s="11"/>
      <c r="F1150" s="30">
        <f>Source!AM660</f>
        <v>15.61</v>
      </c>
      <c r="G1150" s="31" t="str">
        <f>Source!DE660</f>
        <v>)*1,25</v>
      </c>
      <c r="H1150" s="30">
        <f>ROUND(Source!AD660*Source!I660, 2)</f>
        <v>1.95</v>
      </c>
      <c r="I1150" s="31"/>
      <c r="J1150" s="31">
        <f>IF(Source!BB660&lt;&gt; 0, Source!BB660, 1)</f>
        <v>6.56</v>
      </c>
      <c r="K1150" s="30">
        <f>Source!Q660</f>
        <v>12.81</v>
      </c>
      <c r="L1150" s="32"/>
    </row>
    <row r="1151" spans="1:26" ht="14.25" x14ac:dyDescent="0.2">
      <c r="A1151" s="45"/>
      <c r="B1151" s="46"/>
      <c r="C1151" s="46" t="s">
        <v>1637</v>
      </c>
      <c r="D1151" s="29"/>
      <c r="E1151" s="11"/>
      <c r="F1151" s="30">
        <f>Source!AN660</f>
        <v>3.55</v>
      </c>
      <c r="G1151" s="31" t="str">
        <f>Source!DF660</f>
        <v>)*1,25</v>
      </c>
      <c r="H1151" s="33">
        <f>ROUND(Source!AE660*Source!I660, 2)</f>
        <v>0.44</v>
      </c>
      <c r="I1151" s="31"/>
      <c r="J1151" s="31">
        <f>IF(Source!BS660&lt;&gt; 0, Source!BS660, 1)</f>
        <v>6.56</v>
      </c>
      <c r="K1151" s="33">
        <f>Source!R660</f>
        <v>2.91</v>
      </c>
      <c r="L1151" s="32"/>
      <c r="R1151">
        <f>H1151</f>
        <v>0.44</v>
      </c>
    </row>
    <row r="1152" spans="1:26" ht="14.25" x14ac:dyDescent="0.2">
      <c r="A1152" s="45"/>
      <c r="B1152" s="46"/>
      <c r="C1152" s="46" t="s">
        <v>1643</v>
      </c>
      <c r="D1152" s="29"/>
      <c r="E1152" s="11"/>
      <c r="F1152" s="30">
        <f>Source!AL660</f>
        <v>41.92</v>
      </c>
      <c r="G1152" s="31" t="str">
        <f>Source!DD660</f>
        <v/>
      </c>
      <c r="H1152" s="30">
        <f>ROUND(Source!AC660*Source!I660, 2)</f>
        <v>4.1900000000000004</v>
      </c>
      <c r="I1152" s="31"/>
      <c r="J1152" s="31">
        <f>IF(Source!BC660&lt;&gt; 0, Source!BC660, 1)</f>
        <v>6.56</v>
      </c>
      <c r="K1152" s="30">
        <f>Source!P660</f>
        <v>27.5</v>
      </c>
      <c r="L1152" s="32"/>
    </row>
    <row r="1153" spans="1:26" ht="14.25" x14ac:dyDescent="0.2">
      <c r="A1153" s="45"/>
      <c r="B1153" s="46"/>
      <c r="C1153" s="46" t="s">
        <v>1638</v>
      </c>
      <c r="D1153" s="29" t="s">
        <v>1639</v>
      </c>
      <c r="E1153" s="11">
        <f>Source!BZ660</f>
        <v>128</v>
      </c>
      <c r="F1153" s="71" t="str">
        <f>CONCATENATE(" )", Source!DL660, Source!FT660, "=", Source!FX660)</f>
        <v xml:space="preserve"> )*0,9=115,2</v>
      </c>
      <c r="G1153" s="72"/>
      <c r="H1153" s="30">
        <f>SUM(S1147:S1156)</f>
        <v>11.68</v>
      </c>
      <c r="I1153" s="34"/>
      <c r="J1153" s="27">
        <f>Source!AT660</f>
        <v>115</v>
      </c>
      <c r="K1153" s="30">
        <f>SUM(T1147:T1156)</f>
        <v>76.540000000000006</v>
      </c>
      <c r="L1153" s="32"/>
    </row>
    <row r="1154" spans="1:26" ht="14.25" x14ac:dyDescent="0.2">
      <c r="A1154" s="45"/>
      <c r="B1154" s="46"/>
      <c r="C1154" s="46" t="s">
        <v>1640</v>
      </c>
      <c r="D1154" s="29" t="s">
        <v>1639</v>
      </c>
      <c r="E1154" s="11">
        <f>Source!CA660</f>
        <v>83</v>
      </c>
      <c r="F1154" s="71" t="str">
        <f>CONCATENATE(" )", Source!DM660, Source!FU660, "=", Source!FY660)</f>
        <v xml:space="preserve"> )*0,85=70,55</v>
      </c>
      <c r="G1154" s="72"/>
      <c r="H1154" s="30">
        <f>SUM(U1147:U1156)</f>
        <v>7.15</v>
      </c>
      <c r="I1154" s="34"/>
      <c r="J1154" s="27">
        <f>Source!AU660</f>
        <v>71</v>
      </c>
      <c r="K1154" s="30">
        <f>SUM(V1147:V1156)</f>
        <v>47.26</v>
      </c>
      <c r="L1154" s="32"/>
    </row>
    <row r="1155" spans="1:26" ht="14.25" x14ac:dyDescent="0.2">
      <c r="A1155" s="45"/>
      <c r="B1155" s="46"/>
      <c r="C1155" s="46" t="s">
        <v>1641</v>
      </c>
      <c r="D1155" s="29" t="s">
        <v>1642</v>
      </c>
      <c r="E1155" s="11">
        <f>Source!AQ660</f>
        <v>8.77</v>
      </c>
      <c r="F1155" s="30"/>
      <c r="G1155" s="31" t="str">
        <f>Source!DI660</f>
        <v>)*1,15</v>
      </c>
      <c r="H1155" s="30"/>
      <c r="I1155" s="31"/>
      <c r="J1155" s="31"/>
      <c r="K1155" s="30"/>
      <c r="L1155" s="41">
        <f>Source!U660</f>
        <v>1.0085499999999998</v>
      </c>
    </row>
    <row r="1156" spans="1:26" ht="85.5" x14ac:dyDescent="0.2">
      <c r="A1156" s="47" t="str">
        <f>Source!E661</f>
        <v>110,1</v>
      </c>
      <c r="B1156" s="48" t="str">
        <f>Source!F661</f>
        <v>18.2.06.10-0023</v>
      </c>
      <c r="C1156" s="48" t="str">
        <f>Source!G661</f>
        <v>Трапы чугунные эмалированные с прямым отводом, с решеткой и резиновой пробкой Т-100М размером 355х200х142 мм (в экспортном исполнении), малые (Трапы AlcaPlast APV1) прим.</v>
      </c>
      <c r="D1156" s="35" t="str">
        <f>Source!H661</f>
        <v>компл.</v>
      </c>
      <c r="E1156" s="36">
        <f>Source!I661</f>
        <v>1</v>
      </c>
      <c r="F1156" s="37">
        <f>Source!AL661+Source!AM661+Source!AO661</f>
        <v>309.86</v>
      </c>
      <c r="G1156" s="43" t="s">
        <v>6</v>
      </c>
      <c r="H1156" s="37">
        <f>ROUND(Source!AC661*Source!I661, 2)+ROUND(Source!AD661*Source!I661, 2)+ROUND(Source!AF661*Source!I661, 2)</f>
        <v>309.86</v>
      </c>
      <c r="I1156" s="38"/>
      <c r="J1156" s="38">
        <f>IF(Source!BC661&lt;&gt; 0, Source!BC661, 1)</f>
        <v>6.56</v>
      </c>
      <c r="K1156" s="37">
        <f>Source!O661</f>
        <v>2032.68</v>
      </c>
      <c r="L1156" s="44"/>
      <c r="S1156">
        <f>ROUND((Source!FX661/100)*((ROUND(Source!AF661*Source!I661, 2)+ROUND(Source!AE661*Source!I661, 2))), 2)</f>
        <v>0</v>
      </c>
      <c r="T1156">
        <f>Source!X661</f>
        <v>0</v>
      </c>
      <c r="U1156">
        <f>ROUND((Source!FY661/100)*((ROUND(Source!AF661*Source!I661, 2)+ROUND(Source!AE661*Source!I661, 2))), 2)</f>
        <v>0</v>
      </c>
      <c r="V1156">
        <f>Source!Y661</f>
        <v>0</v>
      </c>
      <c r="W1156">
        <f>IF(Source!BI661&lt;=1,H1156, 0)</f>
        <v>309.86</v>
      </c>
      <c r="X1156">
        <f>IF(Source!BI661=2,H1156, 0)</f>
        <v>0</v>
      </c>
      <c r="Y1156">
        <f>IF(Source!BI661=3,H1156, 0)</f>
        <v>0</v>
      </c>
      <c r="Z1156">
        <f>IF(Source!BI661=4,H1156, 0)</f>
        <v>0</v>
      </c>
    </row>
    <row r="1157" spans="1:26" ht="15" x14ac:dyDescent="0.25">
      <c r="G1157" s="70">
        <f>H1149+H1150+H1152+H1153+H1154+SUM(H1156:H1156)</f>
        <v>344.53000000000003</v>
      </c>
      <c r="H1157" s="70"/>
      <c r="J1157" s="70">
        <f>K1149+K1150+K1152+K1153+K1154+SUM(K1156:K1156)</f>
        <v>2260.44</v>
      </c>
      <c r="K1157" s="70"/>
      <c r="L1157" s="40">
        <f>Source!U660</f>
        <v>1.0085499999999998</v>
      </c>
      <c r="O1157" s="24">
        <f>G1157</f>
        <v>344.53000000000003</v>
      </c>
      <c r="P1157" s="24">
        <f>J1157</f>
        <v>2260.44</v>
      </c>
      <c r="Q1157" s="24">
        <f>L1157</f>
        <v>1.0085499999999998</v>
      </c>
      <c r="W1157">
        <f>IF(Source!BI660&lt;=1,H1149+H1150+H1152+H1153+H1154, 0)</f>
        <v>34.67</v>
      </c>
      <c r="X1157">
        <f>IF(Source!BI660=2,H1149+H1150+H1152+H1153+H1154, 0)</f>
        <v>0</v>
      </c>
      <c r="Y1157">
        <f>IF(Source!BI660=3,H1149+H1150+H1152+H1153+H1154, 0)</f>
        <v>0</v>
      </c>
      <c r="Z1157">
        <f>IF(Source!BI660=4,H1149+H1150+H1152+H1153+H1154, 0)</f>
        <v>0</v>
      </c>
    </row>
    <row r="1158" spans="1:26" ht="42.75" x14ac:dyDescent="0.2">
      <c r="A1158" s="45" t="str">
        <f>Source!E662</f>
        <v>111</v>
      </c>
      <c r="B1158" s="46" t="str">
        <f>Source!F662</f>
        <v>16-04-001-02</v>
      </c>
      <c r="C1158" s="46" t="str">
        <f>Source!G662</f>
        <v>Прокладка трубопроводов канализации из полиэтиленовых труб высокой плотности диаметром 110 мм</v>
      </c>
      <c r="D1158" s="29" t="str">
        <f>Source!H662</f>
        <v>100 м</v>
      </c>
      <c r="E1158" s="11">
        <f>Source!I662</f>
        <v>0.06</v>
      </c>
      <c r="F1158" s="30">
        <f>Source!AL662+Source!AM662+Source!AO662</f>
        <v>758.13</v>
      </c>
      <c r="G1158" s="31"/>
      <c r="H1158" s="30"/>
      <c r="I1158" s="31" t="str">
        <f>Source!BO662</f>
        <v/>
      </c>
      <c r="J1158" s="31"/>
      <c r="K1158" s="30"/>
      <c r="L1158" s="32"/>
      <c r="S1158">
        <f>ROUND((Source!FX662/100)*((ROUND(Source!AF662*Source!I662, 2)+ROUND(Source!AE662*Source!I662, 2))), 2)</f>
        <v>48.65</v>
      </c>
      <c r="T1158">
        <f>Source!X662</f>
        <v>318.60000000000002</v>
      </c>
      <c r="U1158">
        <f>ROUND((Source!FY662/100)*((ROUND(Source!AF662*Source!I662, 2)+ROUND(Source!AE662*Source!I662, 2))), 2)</f>
        <v>29.79</v>
      </c>
      <c r="V1158">
        <f>Source!Y662</f>
        <v>196.7</v>
      </c>
    </row>
    <row r="1159" spans="1:26" x14ac:dyDescent="0.2">
      <c r="C1159" s="23" t="str">
        <f>"Объем: "&amp;Source!I662&amp;"=6/"&amp;"100"</f>
        <v>Объем: 0,06=6/100</v>
      </c>
    </row>
    <row r="1160" spans="1:26" ht="14.25" x14ac:dyDescent="0.2">
      <c r="A1160" s="45"/>
      <c r="B1160" s="46"/>
      <c r="C1160" s="46" t="s">
        <v>1636</v>
      </c>
      <c r="D1160" s="29"/>
      <c r="E1160" s="11"/>
      <c r="F1160" s="30">
        <f>Source!AO662</f>
        <v>611.07000000000005</v>
      </c>
      <c r="G1160" s="31" t="str">
        <f>Source!DG662</f>
        <v>)*1,15</v>
      </c>
      <c r="H1160" s="30">
        <f>ROUND(Source!AF662*Source!I662, 2)</f>
        <v>42.16</v>
      </c>
      <c r="I1160" s="31"/>
      <c r="J1160" s="31">
        <f>IF(Source!BA662&lt;&gt; 0, Source!BA662, 1)</f>
        <v>6.56</v>
      </c>
      <c r="K1160" s="30">
        <f>Source!S662</f>
        <v>276.58999999999997</v>
      </c>
      <c r="L1160" s="32"/>
      <c r="R1160">
        <f>H1160</f>
        <v>42.16</v>
      </c>
    </row>
    <row r="1161" spans="1:26" ht="14.25" x14ac:dyDescent="0.2">
      <c r="A1161" s="45"/>
      <c r="B1161" s="46"/>
      <c r="C1161" s="46" t="s">
        <v>136</v>
      </c>
      <c r="D1161" s="29"/>
      <c r="E1161" s="11"/>
      <c r="F1161" s="30">
        <f>Source!AM662</f>
        <v>6.14</v>
      </c>
      <c r="G1161" s="31" t="str">
        <f>Source!DE662</f>
        <v>)*1,25</v>
      </c>
      <c r="H1161" s="30">
        <f>ROUND(Source!AD662*Source!I662, 2)</f>
        <v>0.46</v>
      </c>
      <c r="I1161" s="31"/>
      <c r="J1161" s="31">
        <f>IF(Source!BB662&lt;&gt; 0, Source!BB662, 1)</f>
        <v>6.56</v>
      </c>
      <c r="K1161" s="30">
        <f>Source!Q662</f>
        <v>3.02</v>
      </c>
      <c r="L1161" s="32"/>
    </row>
    <row r="1162" spans="1:26" ht="14.25" x14ac:dyDescent="0.2">
      <c r="A1162" s="45"/>
      <c r="B1162" s="46"/>
      <c r="C1162" s="46" t="s">
        <v>1637</v>
      </c>
      <c r="D1162" s="29"/>
      <c r="E1162" s="11"/>
      <c r="F1162" s="30">
        <f>Source!AN662</f>
        <v>0.91</v>
      </c>
      <c r="G1162" s="31" t="str">
        <f>Source!DF662</f>
        <v>)*1,25</v>
      </c>
      <c r="H1162" s="33">
        <f>ROUND(Source!AE662*Source!I662, 2)</f>
        <v>7.0000000000000007E-2</v>
      </c>
      <c r="I1162" s="31"/>
      <c r="J1162" s="31">
        <f>IF(Source!BS662&lt;&gt; 0, Source!BS662, 1)</f>
        <v>6.56</v>
      </c>
      <c r="K1162" s="33">
        <f>Source!R662</f>
        <v>0.45</v>
      </c>
      <c r="L1162" s="32"/>
      <c r="R1162">
        <f>H1162</f>
        <v>7.0000000000000007E-2</v>
      </c>
    </row>
    <row r="1163" spans="1:26" ht="14.25" x14ac:dyDescent="0.2">
      <c r="A1163" s="45"/>
      <c r="B1163" s="46"/>
      <c r="C1163" s="46" t="s">
        <v>1643</v>
      </c>
      <c r="D1163" s="29"/>
      <c r="E1163" s="11"/>
      <c r="F1163" s="30">
        <f>Source!AL662</f>
        <v>140.91999999999999</v>
      </c>
      <c r="G1163" s="31" t="str">
        <f>Source!DD662</f>
        <v/>
      </c>
      <c r="H1163" s="30">
        <f>ROUND(Source!AC662*Source!I662, 2)</f>
        <v>8.4600000000000009</v>
      </c>
      <c r="I1163" s="31"/>
      <c r="J1163" s="31">
        <f>IF(Source!BC662&lt;&gt; 0, Source!BC662, 1)</f>
        <v>6.56</v>
      </c>
      <c r="K1163" s="30">
        <f>Source!P662</f>
        <v>55.47</v>
      </c>
      <c r="L1163" s="32"/>
    </row>
    <row r="1164" spans="1:26" ht="14.25" x14ac:dyDescent="0.2">
      <c r="A1164" s="45"/>
      <c r="B1164" s="46"/>
      <c r="C1164" s="46" t="s">
        <v>1638</v>
      </c>
      <c r="D1164" s="29" t="s">
        <v>1639</v>
      </c>
      <c r="E1164" s="11">
        <f>Source!BZ662</f>
        <v>128</v>
      </c>
      <c r="F1164" s="71" t="str">
        <f>CONCATENATE(" )", Source!DL662, Source!FT662, "=", Source!FX662)</f>
        <v xml:space="preserve"> )*0,9=115,2</v>
      </c>
      <c r="G1164" s="72"/>
      <c r="H1164" s="30">
        <f>SUM(S1158:S1168)</f>
        <v>48.65</v>
      </c>
      <c r="I1164" s="34"/>
      <c r="J1164" s="27">
        <f>Source!AT662</f>
        <v>115</v>
      </c>
      <c r="K1164" s="30">
        <f>SUM(T1158:T1168)</f>
        <v>318.60000000000002</v>
      </c>
      <c r="L1164" s="32"/>
    </row>
    <row r="1165" spans="1:26" ht="14.25" x14ac:dyDescent="0.2">
      <c r="A1165" s="45"/>
      <c r="B1165" s="46"/>
      <c r="C1165" s="46" t="s">
        <v>1640</v>
      </c>
      <c r="D1165" s="29" t="s">
        <v>1639</v>
      </c>
      <c r="E1165" s="11">
        <f>Source!CA662</f>
        <v>83</v>
      </c>
      <c r="F1165" s="71" t="str">
        <f>CONCATENATE(" )", Source!DM662, Source!FU662, "=", Source!FY662)</f>
        <v xml:space="preserve"> )*0,85=70,55</v>
      </c>
      <c r="G1165" s="72"/>
      <c r="H1165" s="30">
        <f>SUM(U1158:U1168)</f>
        <v>29.79</v>
      </c>
      <c r="I1165" s="34"/>
      <c r="J1165" s="27">
        <f>Source!AU662</f>
        <v>71</v>
      </c>
      <c r="K1165" s="30">
        <f>SUM(V1158:V1168)</f>
        <v>196.7</v>
      </c>
      <c r="L1165" s="32"/>
    </row>
    <row r="1166" spans="1:26" ht="14.25" x14ac:dyDescent="0.2">
      <c r="A1166" s="45"/>
      <c r="B1166" s="46"/>
      <c r="C1166" s="46" t="s">
        <v>1641</v>
      </c>
      <c r="D1166" s="29" t="s">
        <v>1642</v>
      </c>
      <c r="E1166" s="11">
        <f>Source!AQ662</f>
        <v>61.6</v>
      </c>
      <c r="F1166" s="30"/>
      <c r="G1166" s="31" t="str">
        <f>Source!DI662</f>
        <v>)*1,15</v>
      </c>
      <c r="H1166" s="30"/>
      <c r="I1166" s="31"/>
      <c r="J1166" s="31"/>
      <c r="K1166" s="30"/>
      <c r="L1166" s="41">
        <f>Source!U662</f>
        <v>4.2503999999999991</v>
      </c>
    </row>
    <row r="1167" spans="1:26" ht="57" x14ac:dyDescent="0.2">
      <c r="A1167" s="45" t="str">
        <f>Source!E663</f>
        <v>111,1</v>
      </c>
      <c r="B1167" s="46" t="str">
        <f>Source!F663</f>
        <v>24.1.02.01-0112</v>
      </c>
      <c r="C1167" s="46" t="str">
        <f>Source!G663</f>
        <v>Хомуты для крепления канализационных и водосточных пластмассовых трубопроводов, диаметром 100 мм</v>
      </c>
      <c r="D1167" s="29" t="str">
        <f>Source!H663</f>
        <v>т</v>
      </c>
      <c r="E1167" s="11">
        <f>Source!I663</f>
        <v>1.63E-4</v>
      </c>
      <c r="F1167" s="30">
        <f>Source!AL663+Source!AM663+Source!AO663</f>
        <v>37529.15</v>
      </c>
      <c r="G1167" s="42" t="s">
        <v>6</v>
      </c>
      <c r="H1167" s="30">
        <f>ROUND(Source!AC663*Source!I663, 2)+ROUND(Source!AD663*Source!I663, 2)+ROUND(Source!AF663*Source!I663, 2)</f>
        <v>6.12</v>
      </c>
      <c r="I1167" s="31"/>
      <c r="J1167" s="31">
        <f>IF(Source!BC663&lt;&gt; 0, Source!BC663, 1)</f>
        <v>6.56</v>
      </c>
      <c r="K1167" s="30">
        <f>Source!O663</f>
        <v>40.130000000000003</v>
      </c>
      <c r="L1167" s="32"/>
      <c r="S1167">
        <f>ROUND((Source!FX663/100)*((ROUND(Source!AF663*Source!I663, 2)+ROUND(Source!AE663*Source!I663, 2))), 2)</f>
        <v>0</v>
      </c>
      <c r="T1167">
        <f>Source!X663</f>
        <v>0</v>
      </c>
      <c r="U1167">
        <f>ROUND((Source!FY663/100)*((ROUND(Source!AF663*Source!I663, 2)+ROUND(Source!AE663*Source!I663, 2))), 2)</f>
        <v>0</v>
      </c>
      <c r="V1167">
        <f>Source!Y663</f>
        <v>0</v>
      </c>
      <c r="W1167">
        <f>IF(Source!BI663&lt;=1,H1167, 0)</f>
        <v>6.12</v>
      </c>
      <c r="X1167">
        <f>IF(Source!BI663=2,H1167, 0)</f>
        <v>0</v>
      </c>
      <c r="Y1167">
        <f>IF(Source!BI663=3,H1167, 0)</f>
        <v>0</v>
      </c>
      <c r="Z1167">
        <f>IF(Source!BI663=4,H1167, 0)</f>
        <v>0</v>
      </c>
    </row>
    <row r="1168" spans="1:26" ht="42.75" x14ac:dyDescent="0.2">
      <c r="A1168" s="47" t="str">
        <f>Source!E664</f>
        <v>111,2</v>
      </c>
      <c r="B1168" s="48" t="str">
        <f>Source!F664</f>
        <v>24.3.01.06-0012</v>
      </c>
      <c r="C1168" s="48" t="str">
        <f>Source!G664</f>
        <v>Трубопроводы для внутренней канализации из поливинилхлоридных труб диаметром 100 мм</v>
      </c>
      <c r="D1168" s="35" t="str">
        <f>Source!H664</f>
        <v>м</v>
      </c>
      <c r="E1168" s="36">
        <f>Source!I664</f>
        <v>6</v>
      </c>
      <c r="F1168" s="37">
        <f>Source!AL664+Source!AM664+Source!AO664</f>
        <v>104.07</v>
      </c>
      <c r="G1168" s="43" t="s">
        <v>6</v>
      </c>
      <c r="H1168" s="37">
        <f>ROUND(Source!AC664*Source!I664, 2)+ROUND(Source!AD664*Source!I664, 2)+ROUND(Source!AF664*Source!I664, 2)</f>
        <v>624.41999999999996</v>
      </c>
      <c r="I1168" s="38"/>
      <c r="J1168" s="38">
        <f>IF(Source!BC664&lt;&gt; 0, Source!BC664, 1)</f>
        <v>6.56</v>
      </c>
      <c r="K1168" s="37">
        <f>Source!O664</f>
        <v>4096.2</v>
      </c>
      <c r="L1168" s="44"/>
      <c r="S1168">
        <f>ROUND((Source!FX664/100)*((ROUND(Source!AF664*Source!I664, 2)+ROUND(Source!AE664*Source!I664, 2))), 2)</f>
        <v>0</v>
      </c>
      <c r="T1168">
        <f>Source!X664</f>
        <v>0</v>
      </c>
      <c r="U1168">
        <f>ROUND((Source!FY664/100)*((ROUND(Source!AF664*Source!I664, 2)+ROUND(Source!AE664*Source!I664, 2))), 2)</f>
        <v>0</v>
      </c>
      <c r="V1168">
        <f>Source!Y664</f>
        <v>0</v>
      </c>
      <c r="W1168">
        <f>IF(Source!BI664&lt;=1,H1168, 0)</f>
        <v>624.41999999999996</v>
      </c>
      <c r="X1168">
        <f>IF(Source!BI664=2,H1168, 0)</f>
        <v>0</v>
      </c>
      <c r="Y1168">
        <f>IF(Source!BI664=3,H1168, 0)</f>
        <v>0</v>
      </c>
      <c r="Z1168">
        <f>IF(Source!BI664=4,H1168, 0)</f>
        <v>0</v>
      </c>
    </row>
    <row r="1169" spans="1:26" ht="15" x14ac:dyDescent="0.25">
      <c r="G1169" s="70">
        <f>H1160+H1161+H1163+H1164+H1165+SUM(H1167:H1168)</f>
        <v>760.06</v>
      </c>
      <c r="H1169" s="70"/>
      <c r="J1169" s="70">
        <f>K1160+K1161+K1163+K1164+K1165+SUM(K1167:K1168)</f>
        <v>4986.71</v>
      </c>
      <c r="K1169" s="70"/>
      <c r="L1169" s="40">
        <f>Source!U662</f>
        <v>4.2503999999999991</v>
      </c>
      <c r="O1169" s="24">
        <f>G1169</f>
        <v>760.06</v>
      </c>
      <c r="P1169" s="24">
        <f>J1169</f>
        <v>4986.71</v>
      </c>
      <c r="Q1169" s="24">
        <f>L1169</f>
        <v>4.2503999999999991</v>
      </c>
      <c r="W1169">
        <f>IF(Source!BI662&lt;=1,H1160+H1161+H1163+H1164+H1165, 0)</f>
        <v>129.51999999999998</v>
      </c>
      <c r="X1169">
        <f>IF(Source!BI662=2,H1160+H1161+H1163+H1164+H1165, 0)</f>
        <v>0</v>
      </c>
      <c r="Y1169">
        <f>IF(Source!BI662=3,H1160+H1161+H1163+H1164+H1165, 0)</f>
        <v>0</v>
      </c>
      <c r="Z1169">
        <f>IF(Source!BI662=4,H1160+H1161+H1163+H1164+H1165, 0)</f>
        <v>0</v>
      </c>
    </row>
    <row r="1170" spans="1:26" ht="42.75" x14ac:dyDescent="0.2">
      <c r="A1170" s="45" t="str">
        <f>Source!E665</f>
        <v>112</v>
      </c>
      <c r="B1170" s="46" t="str">
        <f>Source!F665</f>
        <v>16-04-001-01</v>
      </c>
      <c r="C1170" s="46" t="str">
        <f>Source!G665</f>
        <v>Прокладка трубопроводов канализации из полиэтиленовых труб высокой плотности диаметром 50 мм</v>
      </c>
      <c r="D1170" s="29" t="str">
        <f>Source!H665</f>
        <v>100 м</v>
      </c>
      <c r="E1170" s="11">
        <f>Source!I665</f>
        <v>0.08</v>
      </c>
      <c r="F1170" s="30">
        <f>Source!AL665+Source!AM665+Source!AO665</f>
        <v>695.27</v>
      </c>
      <c r="G1170" s="31"/>
      <c r="H1170" s="30"/>
      <c r="I1170" s="31" t="str">
        <f>Source!BO665</f>
        <v/>
      </c>
      <c r="J1170" s="31"/>
      <c r="K1170" s="30"/>
      <c r="L1170" s="32"/>
      <c r="S1170">
        <f>ROUND((Source!FX665/100)*((ROUND(Source!AF665*Source!I665, 2)+ROUND(Source!AE665*Source!I665, 2))), 2)</f>
        <v>67.59</v>
      </c>
      <c r="T1170">
        <f>Source!X665</f>
        <v>442.59</v>
      </c>
      <c r="U1170">
        <f>ROUND((Source!FY665/100)*((ROUND(Source!AF665*Source!I665, 2)+ROUND(Source!AE665*Source!I665, 2))), 2)</f>
        <v>41.39</v>
      </c>
      <c r="V1170">
        <f>Source!Y665</f>
        <v>273.25</v>
      </c>
    </row>
    <row r="1171" spans="1:26" x14ac:dyDescent="0.2">
      <c r="C1171" s="23" t="str">
        <f>"Объем: "&amp;Source!I665&amp;"=8/"&amp;"100"</f>
        <v>Объем: 0,08=8/100</v>
      </c>
    </row>
    <row r="1172" spans="1:26" ht="14.25" x14ac:dyDescent="0.2">
      <c r="A1172" s="45"/>
      <c r="B1172" s="46"/>
      <c r="C1172" s="46" t="s">
        <v>1636</v>
      </c>
      <c r="D1172" s="29"/>
      <c r="E1172" s="11"/>
      <c r="F1172" s="30">
        <f>Source!AO665</f>
        <v>637.26</v>
      </c>
      <c r="G1172" s="31" t="str">
        <f>Source!DG665</f>
        <v>)*1,15</v>
      </c>
      <c r="H1172" s="30">
        <f>ROUND(Source!AF665*Source!I665, 2)</f>
        <v>58.63</v>
      </c>
      <c r="I1172" s="31"/>
      <c r="J1172" s="31">
        <f>IF(Source!BA665&lt;&gt; 0, Source!BA665, 1)</f>
        <v>6.56</v>
      </c>
      <c r="K1172" s="30">
        <f>Source!S665</f>
        <v>384.6</v>
      </c>
      <c r="L1172" s="32"/>
      <c r="R1172">
        <f>H1172</f>
        <v>58.63</v>
      </c>
    </row>
    <row r="1173" spans="1:26" ht="14.25" x14ac:dyDescent="0.2">
      <c r="A1173" s="45"/>
      <c r="B1173" s="46"/>
      <c r="C1173" s="46" t="s">
        <v>136</v>
      </c>
      <c r="D1173" s="29"/>
      <c r="E1173" s="11"/>
      <c r="F1173" s="30">
        <f>Source!AM665</f>
        <v>2.64</v>
      </c>
      <c r="G1173" s="31" t="str">
        <f>Source!DE665</f>
        <v>)*1,25</v>
      </c>
      <c r="H1173" s="30">
        <f>ROUND(Source!AD665*Source!I665, 2)</f>
        <v>0.26</v>
      </c>
      <c r="I1173" s="31"/>
      <c r="J1173" s="31">
        <f>IF(Source!BB665&lt;&gt; 0, Source!BB665, 1)</f>
        <v>6.56</v>
      </c>
      <c r="K1173" s="30">
        <f>Source!Q665</f>
        <v>1.73</v>
      </c>
      <c r="L1173" s="32"/>
    </row>
    <row r="1174" spans="1:26" ht="14.25" x14ac:dyDescent="0.2">
      <c r="A1174" s="45"/>
      <c r="B1174" s="46"/>
      <c r="C1174" s="46" t="s">
        <v>1637</v>
      </c>
      <c r="D1174" s="29"/>
      <c r="E1174" s="11"/>
      <c r="F1174" s="30">
        <f>Source!AN665</f>
        <v>0.4</v>
      </c>
      <c r="G1174" s="31" t="str">
        <f>Source!DF665</f>
        <v>)*1,25</v>
      </c>
      <c r="H1174" s="33">
        <f>ROUND(Source!AE665*Source!I665, 2)</f>
        <v>0.04</v>
      </c>
      <c r="I1174" s="31"/>
      <c r="J1174" s="31">
        <f>IF(Source!BS665&lt;&gt; 0, Source!BS665, 1)</f>
        <v>6.56</v>
      </c>
      <c r="K1174" s="33">
        <f>Source!R665</f>
        <v>0.26</v>
      </c>
      <c r="L1174" s="32"/>
      <c r="R1174">
        <f>H1174</f>
        <v>0.04</v>
      </c>
    </row>
    <row r="1175" spans="1:26" ht="14.25" x14ac:dyDescent="0.2">
      <c r="A1175" s="45"/>
      <c r="B1175" s="46"/>
      <c r="C1175" s="46" t="s">
        <v>1643</v>
      </c>
      <c r="D1175" s="29"/>
      <c r="E1175" s="11"/>
      <c r="F1175" s="30">
        <f>Source!AL665</f>
        <v>55.37</v>
      </c>
      <c r="G1175" s="31" t="str">
        <f>Source!DD665</f>
        <v/>
      </c>
      <c r="H1175" s="30">
        <f>ROUND(Source!AC665*Source!I665, 2)</f>
        <v>4.43</v>
      </c>
      <c r="I1175" s="31"/>
      <c r="J1175" s="31">
        <f>IF(Source!BC665&lt;&gt; 0, Source!BC665, 1)</f>
        <v>6.56</v>
      </c>
      <c r="K1175" s="30">
        <f>Source!P665</f>
        <v>29.06</v>
      </c>
      <c r="L1175" s="32"/>
    </row>
    <row r="1176" spans="1:26" ht="14.25" x14ac:dyDescent="0.2">
      <c r="A1176" s="45"/>
      <c r="B1176" s="46"/>
      <c r="C1176" s="46" t="s">
        <v>1638</v>
      </c>
      <c r="D1176" s="29" t="s">
        <v>1639</v>
      </c>
      <c r="E1176" s="11">
        <f>Source!BZ665</f>
        <v>128</v>
      </c>
      <c r="F1176" s="71" t="str">
        <f>CONCATENATE(" )", Source!DL665, Source!FT665, "=", Source!FX665)</f>
        <v xml:space="preserve"> )*0,9=115,2</v>
      </c>
      <c r="G1176" s="72"/>
      <c r="H1176" s="30">
        <f>SUM(S1170:S1180)</f>
        <v>67.59</v>
      </c>
      <c r="I1176" s="34"/>
      <c r="J1176" s="27">
        <f>Source!AT665</f>
        <v>115</v>
      </c>
      <c r="K1176" s="30">
        <f>SUM(T1170:T1180)</f>
        <v>442.59</v>
      </c>
      <c r="L1176" s="32"/>
    </row>
    <row r="1177" spans="1:26" ht="14.25" x14ac:dyDescent="0.2">
      <c r="A1177" s="45"/>
      <c r="B1177" s="46"/>
      <c r="C1177" s="46" t="s">
        <v>1640</v>
      </c>
      <c r="D1177" s="29" t="s">
        <v>1639</v>
      </c>
      <c r="E1177" s="11">
        <f>Source!CA665</f>
        <v>83</v>
      </c>
      <c r="F1177" s="71" t="str">
        <f>CONCATENATE(" )", Source!DM665, Source!FU665, "=", Source!FY665)</f>
        <v xml:space="preserve"> )*0,85=70,55</v>
      </c>
      <c r="G1177" s="72"/>
      <c r="H1177" s="30">
        <f>SUM(U1170:U1180)</f>
        <v>41.39</v>
      </c>
      <c r="I1177" s="34"/>
      <c r="J1177" s="27">
        <f>Source!AU665</f>
        <v>71</v>
      </c>
      <c r="K1177" s="30">
        <f>SUM(V1170:V1180)</f>
        <v>273.25</v>
      </c>
      <c r="L1177" s="32"/>
    </row>
    <row r="1178" spans="1:26" ht="14.25" x14ac:dyDescent="0.2">
      <c r="A1178" s="45"/>
      <c r="B1178" s="46"/>
      <c r="C1178" s="46" t="s">
        <v>1641</v>
      </c>
      <c r="D1178" s="29" t="s">
        <v>1642</v>
      </c>
      <c r="E1178" s="11">
        <f>Source!AQ665</f>
        <v>64.239999999999995</v>
      </c>
      <c r="F1178" s="30"/>
      <c r="G1178" s="31" t="str">
        <f>Source!DI665</f>
        <v>)*1,15</v>
      </c>
      <c r="H1178" s="30"/>
      <c r="I1178" s="31"/>
      <c r="J1178" s="31"/>
      <c r="K1178" s="30"/>
      <c r="L1178" s="41">
        <f>Source!U665</f>
        <v>5.9100799999999998</v>
      </c>
    </row>
    <row r="1179" spans="1:26" ht="42.75" x14ac:dyDescent="0.2">
      <c r="A1179" s="45" t="str">
        <f>Source!E666</f>
        <v>112,1</v>
      </c>
      <c r="B1179" s="46" t="str">
        <f>Source!F666</f>
        <v>24.3.01.06-0011</v>
      </c>
      <c r="C1179" s="46" t="str">
        <f>Source!G666</f>
        <v>Трубопроводы для внутренней канализации из поливинилхлоридных труб диаметром 50 мм</v>
      </c>
      <c r="D1179" s="29" t="str">
        <f>Source!H666</f>
        <v>м</v>
      </c>
      <c r="E1179" s="11">
        <f>Source!I666</f>
        <v>8</v>
      </c>
      <c r="F1179" s="30">
        <f>Source!AL666+Source!AM666+Source!AO666</f>
        <v>47.46</v>
      </c>
      <c r="G1179" s="42" t="s">
        <v>6</v>
      </c>
      <c r="H1179" s="30">
        <f>ROUND(Source!AC666*Source!I666, 2)+ROUND(Source!AD666*Source!I666, 2)+ROUND(Source!AF666*Source!I666, 2)</f>
        <v>379.68</v>
      </c>
      <c r="I1179" s="31"/>
      <c r="J1179" s="31">
        <f>IF(Source!BC666&lt;&gt; 0, Source!BC666, 1)</f>
        <v>6.56</v>
      </c>
      <c r="K1179" s="30">
        <f>Source!O666</f>
        <v>2490.6999999999998</v>
      </c>
      <c r="L1179" s="32"/>
      <c r="S1179">
        <f>ROUND((Source!FX666/100)*((ROUND(Source!AF666*Source!I666, 2)+ROUND(Source!AE666*Source!I666, 2))), 2)</f>
        <v>0</v>
      </c>
      <c r="T1179">
        <f>Source!X666</f>
        <v>0</v>
      </c>
      <c r="U1179">
        <f>ROUND((Source!FY666/100)*((ROUND(Source!AF666*Source!I666, 2)+ROUND(Source!AE666*Source!I666, 2))), 2)</f>
        <v>0</v>
      </c>
      <c r="V1179">
        <f>Source!Y666</f>
        <v>0</v>
      </c>
      <c r="W1179">
        <f>IF(Source!BI666&lt;=1,H1179, 0)</f>
        <v>379.68</v>
      </c>
      <c r="X1179">
        <f>IF(Source!BI666=2,H1179, 0)</f>
        <v>0</v>
      </c>
      <c r="Y1179">
        <f>IF(Source!BI666=3,H1179, 0)</f>
        <v>0</v>
      </c>
      <c r="Z1179">
        <f>IF(Source!BI666=4,H1179, 0)</f>
        <v>0</v>
      </c>
    </row>
    <row r="1180" spans="1:26" ht="57" x14ac:dyDescent="0.2">
      <c r="A1180" s="47" t="str">
        <f>Source!E667</f>
        <v>112,2</v>
      </c>
      <c r="B1180" s="48" t="str">
        <f>Source!F667</f>
        <v>24.1.02.01-0111</v>
      </c>
      <c r="C1180" s="48" t="str">
        <f>Source!G667</f>
        <v>Хомуты для крепления канализационных и водосточных пластмассовых трубопроводов, диаметром 50 мм</v>
      </c>
      <c r="D1180" s="35" t="str">
        <f>Source!H667</f>
        <v>т</v>
      </c>
      <c r="E1180" s="36">
        <f>Source!I667</f>
        <v>5.9999999999999995E-4</v>
      </c>
      <c r="F1180" s="37">
        <f>Source!AL667+Source!AM667+Source!AO667</f>
        <v>26729.37</v>
      </c>
      <c r="G1180" s="43" t="s">
        <v>6</v>
      </c>
      <c r="H1180" s="37">
        <f>ROUND(Source!AC667*Source!I667, 2)+ROUND(Source!AD667*Source!I667, 2)+ROUND(Source!AF667*Source!I667, 2)</f>
        <v>16.04</v>
      </c>
      <c r="I1180" s="38"/>
      <c r="J1180" s="38">
        <f>IF(Source!BC667&lt;&gt; 0, Source!BC667, 1)</f>
        <v>6.56</v>
      </c>
      <c r="K1180" s="37">
        <f>Source!O667</f>
        <v>105.21</v>
      </c>
      <c r="L1180" s="44"/>
      <c r="S1180">
        <f>ROUND((Source!FX667/100)*((ROUND(Source!AF667*Source!I667, 2)+ROUND(Source!AE667*Source!I667, 2))), 2)</f>
        <v>0</v>
      </c>
      <c r="T1180">
        <f>Source!X667</f>
        <v>0</v>
      </c>
      <c r="U1180">
        <f>ROUND((Source!FY667/100)*((ROUND(Source!AF667*Source!I667, 2)+ROUND(Source!AE667*Source!I667, 2))), 2)</f>
        <v>0</v>
      </c>
      <c r="V1180">
        <f>Source!Y667</f>
        <v>0</v>
      </c>
      <c r="W1180">
        <f>IF(Source!BI667&lt;=1,H1180, 0)</f>
        <v>16.04</v>
      </c>
      <c r="X1180">
        <f>IF(Source!BI667=2,H1180, 0)</f>
        <v>0</v>
      </c>
      <c r="Y1180">
        <f>IF(Source!BI667=3,H1180, 0)</f>
        <v>0</v>
      </c>
      <c r="Z1180">
        <f>IF(Source!BI667=4,H1180, 0)</f>
        <v>0</v>
      </c>
    </row>
    <row r="1181" spans="1:26" ht="15" x14ac:dyDescent="0.25">
      <c r="G1181" s="70">
        <f>H1172+H1173+H1175+H1176+H1177+SUM(H1179:H1180)</f>
        <v>568.02</v>
      </c>
      <c r="H1181" s="70"/>
      <c r="J1181" s="70">
        <f>K1172+K1173+K1175+K1176+K1177+SUM(K1179:K1180)</f>
        <v>3727.14</v>
      </c>
      <c r="K1181" s="70"/>
      <c r="L1181" s="40">
        <f>Source!U665</f>
        <v>5.9100799999999998</v>
      </c>
      <c r="O1181" s="24">
        <f>G1181</f>
        <v>568.02</v>
      </c>
      <c r="P1181" s="24">
        <f>J1181</f>
        <v>3727.14</v>
      </c>
      <c r="Q1181" s="24">
        <f>L1181</f>
        <v>5.9100799999999998</v>
      </c>
      <c r="W1181">
        <f>IF(Source!BI665&lt;=1,H1172+H1173+H1175+H1176+H1177, 0)</f>
        <v>172.3</v>
      </c>
      <c r="X1181">
        <f>IF(Source!BI665=2,H1172+H1173+H1175+H1176+H1177, 0)</f>
        <v>0</v>
      </c>
      <c r="Y1181">
        <f>IF(Source!BI665=3,H1172+H1173+H1175+H1176+H1177, 0)</f>
        <v>0</v>
      </c>
      <c r="Z1181">
        <f>IF(Source!BI665=4,H1172+H1173+H1175+H1176+H1177, 0)</f>
        <v>0</v>
      </c>
    </row>
    <row r="1183" spans="1:26" ht="15" x14ac:dyDescent="0.25">
      <c r="A1183" s="74" t="str">
        <f>CONCATENATE("Итого по разделу: ",IF(Source!G669&lt;&gt;"Новый раздел", Source!G669, ""))</f>
        <v>Итого по разделу: 8 Канализация</v>
      </c>
      <c r="B1183" s="74"/>
      <c r="C1183" s="74"/>
      <c r="D1183" s="74"/>
      <c r="E1183" s="74"/>
      <c r="F1183" s="74"/>
      <c r="G1183" s="73">
        <f>SUM(O1116:O1182)</f>
        <v>3017.91</v>
      </c>
      <c r="H1183" s="73"/>
      <c r="I1183" s="26"/>
      <c r="J1183" s="73">
        <f>SUM(P1116:P1182)</f>
        <v>19800.89</v>
      </c>
      <c r="K1183" s="73"/>
      <c r="L1183" s="40">
        <f>SUM(Q1116:Q1182)</f>
        <v>21.297429999999999</v>
      </c>
    </row>
    <row r="1184" spans="1:26" ht="15" x14ac:dyDescent="0.25">
      <c r="A1184" s="74" t="str">
        <f>CONCATENATE("Итого по локальной смете: ",IF(Source!G698&lt;&gt;"Новая локальная смета", Source!G698, ""))</f>
        <v xml:space="preserve">Итого по локальной смете: </v>
      </c>
      <c r="B1184" s="74"/>
      <c r="C1184" s="74"/>
      <c r="D1184" s="74"/>
      <c r="E1184" s="74"/>
      <c r="F1184" s="74"/>
      <c r="G1184" s="73">
        <f>SUM(O27:O1183)</f>
        <v>329228.93000000023</v>
      </c>
      <c r="H1184" s="73"/>
      <c r="I1184" s="26"/>
      <c r="J1184" s="73">
        <f>SUM(P27:P1183)</f>
        <v>2218501.1399999997</v>
      </c>
      <c r="K1184" s="73"/>
      <c r="L1184" s="40">
        <f>SUM(Q27:Q1183)</f>
        <v>2256.7420697499992</v>
      </c>
    </row>
    <row r="1185" spans="3:11" ht="15" x14ac:dyDescent="0.25">
      <c r="C1185" s="74" t="str">
        <f>Source!H726</f>
        <v>Итого</v>
      </c>
      <c r="D1185" s="74"/>
      <c r="E1185" s="74"/>
      <c r="F1185" s="74"/>
      <c r="G1185" s="74"/>
      <c r="H1185" s="74"/>
      <c r="I1185" s="74"/>
      <c r="J1185" s="73">
        <f>IF(Source!F726=0, "", Source!F726)</f>
        <v>2218501.14</v>
      </c>
      <c r="K1185" s="73"/>
    </row>
    <row r="1186" spans="3:11" ht="15" x14ac:dyDescent="0.25">
      <c r="C1186" s="74" t="str">
        <f>Source!H727</f>
        <v>НДС 18%</v>
      </c>
      <c r="D1186" s="74"/>
      <c r="E1186" s="74"/>
      <c r="F1186" s="74"/>
      <c r="G1186" s="74"/>
      <c r="H1186" s="74"/>
      <c r="I1186" s="74"/>
      <c r="J1186" s="73">
        <f>IF(Source!F727=0, "", Source!F727)</f>
        <v>399330.21</v>
      </c>
      <c r="K1186" s="73"/>
    </row>
    <row r="1187" spans="3:11" ht="15" x14ac:dyDescent="0.25">
      <c r="C1187" s="74" t="str">
        <f>Source!H728</f>
        <v>Всего</v>
      </c>
      <c r="D1187" s="74"/>
      <c r="E1187" s="74"/>
      <c r="F1187" s="74"/>
      <c r="G1187" s="74"/>
      <c r="H1187" s="74"/>
      <c r="I1187" s="74"/>
      <c r="J1187" s="73">
        <f>IF(Source!F728=0, "", Source!F728)</f>
        <v>2617831.35</v>
      </c>
      <c r="K1187" s="73"/>
    </row>
    <row r="1188" spans="3:11" x14ac:dyDescent="0.2">
      <c r="C1188" s="69"/>
      <c r="D1188" s="69"/>
      <c r="E1188" s="69"/>
      <c r="F1188" s="69"/>
      <c r="G1188" s="69"/>
      <c r="H1188" s="69"/>
      <c r="I1188" s="69"/>
      <c r="J1188" s="69"/>
      <c r="K1188" s="69"/>
    </row>
  </sheetData>
  <mergeCells count="412">
    <mergeCell ref="C16:F16"/>
    <mergeCell ref="G16:H16"/>
    <mergeCell ref="I16:J16"/>
    <mergeCell ref="K16:L16"/>
    <mergeCell ref="C17:F17"/>
    <mergeCell ref="G17:H17"/>
    <mergeCell ref="I17:J17"/>
    <mergeCell ref="K17:L17"/>
    <mergeCell ref="B6:K6"/>
    <mergeCell ref="B8:K8"/>
    <mergeCell ref="B10:K10"/>
    <mergeCell ref="B11:K11"/>
    <mergeCell ref="G15:H15"/>
    <mergeCell ref="I15:J15"/>
    <mergeCell ref="C20:F20"/>
    <mergeCell ref="G20:H20"/>
    <mergeCell ref="I20:J20"/>
    <mergeCell ref="K20:L20"/>
    <mergeCell ref="C21:F21"/>
    <mergeCell ref="G21:H21"/>
    <mergeCell ref="I21:J21"/>
    <mergeCell ref="K21:L21"/>
    <mergeCell ref="C18:F18"/>
    <mergeCell ref="G18:H18"/>
    <mergeCell ref="I18:J18"/>
    <mergeCell ref="K18:L18"/>
    <mergeCell ref="C19:F19"/>
    <mergeCell ref="G19:H19"/>
    <mergeCell ref="I19:J19"/>
    <mergeCell ref="K19:L19"/>
    <mergeCell ref="C22:F22"/>
    <mergeCell ref="G22:H22"/>
    <mergeCell ref="I22:J22"/>
    <mergeCell ref="K22:L22"/>
    <mergeCell ref="A24:L24"/>
    <mergeCell ref="C1185:I1185"/>
    <mergeCell ref="J1185:K1185"/>
    <mergeCell ref="J99:K99"/>
    <mergeCell ref="G99:H99"/>
    <mergeCell ref="J92:K92"/>
    <mergeCell ref="G82:H82"/>
    <mergeCell ref="J75:K75"/>
    <mergeCell ref="G75:H75"/>
    <mergeCell ref="J63:K63"/>
    <mergeCell ref="G63:H63"/>
    <mergeCell ref="C1186:I1186"/>
    <mergeCell ref="J1186:K1186"/>
    <mergeCell ref="C1187:I1187"/>
    <mergeCell ref="J1187:K1187"/>
    <mergeCell ref="A28:L28"/>
    <mergeCell ref="A27:L27"/>
    <mergeCell ref="F163:G163"/>
    <mergeCell ref="G92:H92"/>
    <mergeCell ref="J82:K82"/>
    <mergeCell ref="J117:K117"/>
    <mergeCell ref="G117:H117"/>
    <mergeCell ref="J108:K108"/>
    <mergeCell ref="G108:H108"/>
    <mergeCell ref="F149:G149"/>
    <mergeCell ref="J145:K145"/>
    <mergeCell ref="G145:H145"/>
    <mergeCell ref="J136:K136"/>
    <mergeCell ref="G136:H136"/>
    <mergeCell ref="J125:K125"/>
    <mergeCell ref="G125:H125"/>
    <mergeCell ref="J37:K37"/>
    <mergeCell ref="G37:H37"/>
    <mergeCell ref="F35:G35"/>
    <mergeCell ref="F34:G34"/>
    <mergeCell ref="F61:G61"/>
    <mergeCell ref="F60:G60"/>
    <mergeCell ref="J54:K54"/>
    <mergeCell ref="G54:H54"/>
    <mergeCell ref="J46:K46"/>
    <mergeCell ref="G46:H46"/>
    <mergeCell ref="F44:G44"/>
    <mergeCell ref="F43:G43"/>
    <mergeCell ref="G190:H190"/>
    <mergeCell ref="F219:G219"/>
    <mergeCell ref="F218:G218"/>
    <mergeCell ref="J211:K211"/>
    <mergeCell ref="G211:H211"/>
    <mergeCell ref="F209:G209"/>
    <mergeCell ref="F208:G208"/>
    <mergeCell ref="F123:G123"/>
    <mergeCell ref="F122:G122"/>
    <mergeCell ref="A156:L156"/>
    <mergeCell ref="G154:H154"/>
    <mergeCell ref="J154:K154"/>
    <mergeCell ref="A154:F154"/>
    <mergeCell ref="J152:K152"/>
    <mergeCell ref="G152:H152"/>
    <mergeCell ref="F150:G150"/>
    <mergeCell ref="F251:G251"/>
    <mergeCell ref="J244:K244"/>
    <mergeCell ref="G244:H244"/>
    <mergeCell ref="J168:K168"/>
    <mergeCell ref="G168:H168"/>
    <mergeCell ref="F164:G164"/>
    <mergeCell ref="G291:H291"/>
    <mergeCell ref="J276:K276"/>
    <mergeCell ref="G276:H276"/>
    <mergeCell ref="J265:K265"/>
    <mergeCell ref="G265:H265"/>
    <mergeCell ref="F263:G263"/>
    <mergeCell ref="F262:G262"/>
    <mergeCell ref="F188:G188"/>
    <mergeCell ref="F187:G187"/>
    <mergeCell ref="J180:K180"/>
    <mergeCell ref="G180:H180"/>
    <mergeCell ref="F176:G176"/>
    <mergeCell ref="F175:G175"/>
    <mergeCell ref="J201:K201"/>
    <mergeCell ref="G201:H201"/>
    <mergeCell ref="F198:G198"/>
    <mergeCell ref="F197:G197"/>
    <mergeCell ref="J190:K190"/>
    <mergeCell ref="F334:G334"/>
    <mergeCell ref="J327:K327"/>
    <mergeCell ref="G327:H327"/>
    <mergeCell ref="J315:K315"/>
    <mergeCell ref="G315:H315"/>
    <mergeCell ref="J223:K223"/>
    <mergeCell ref="G223:H223"/>
    <mergeCell ref="J360:K360"/>
    <mergeCell ref="G360:H360"/>
    <mergeCell ref="F357:G357"/>
    <mergeCell ref="F356:G356"/>
    <mergeCell ref="J349:K349"/>
    <mergeCell ref="G349:H349"/>
    <mergeCell ref="J337:K337"/>
    <mergeCell ref="G337:H337"/>
    <mergeCell ref="F241:G241"/>
    <mergeCell ref="F240:G240"/>
    <mergeCell ref="J235:K235"/>
    <mergeCell ref="G235:H235"/>
    <mergeCell ref="F230:G230"/>
    <mergeCell ref="F229:G229"/>
    <mergeCell ref="J257:K257"/>
    <mergeCell ref="G257:H257"/>
    <mergeCell ref="F252:G252"/>
    <mergeCell ref="F364:G364"/>
    <mergeCell ref="J391:K391"/>
    <mergeCell ref="G391:H391"/>
    <mergeCell ref="F387:G387"/>
    <mergeCell ref="F386:G386"/>
    <mergeCell ref="J379:K379"/>
    <mergeCell ref="G379:H379"/>
    <mergeCell ref="J291:K291"/>
    <mergeCell ref="F425:G425"/>
    <mergeCell ref="J418:K418"/>
    <mergeCell ref="G418:H418"/>
    <mergeCell ref="F414:G414"/>
    <mergeCell ref="F413:G413"/>
    <mergeCell ref="J407:K407"/>
    <mergeCell ref="G407:H407"/>
    <mergeCell ref="F399:G399"/>
    <mergeCell ref="F398:G398"/>
    <mergeCell ref="F311:G311"/>
    <mergeCell ref="F310:G310"/>
    <mergeCell ref="J305:K305"/>
    <mergeCell ref="G305:H305"/>
    <mergeCell ref="F299:G299"/>
    <mergeCell ref="F298:G298"/>
    <mergeCell ref="F335:G335"/>
    <mergeCell ref="J471:K471"/>
    <mergeCell ref="G471:H471"/>
    <mergeCell ref="F469:G469"/>
    <mergeCell ref="F468:G468"/>
    <mergeCell ref="F377:G377"/>
    <mergeCell ref="F376:G376"/>
    <mergeCell ref="J369:K369"/>
    <mergeCell ref="G369:H369"/>
    <mergeCell ref="F365:G365"/>
    <mergeCell ref="J430:K430"/>
    <mergeCell ref="G430:H430"/>
    <mergeCell ref="F426:G426"/>
    <mergeCell ref="J441:K441"/>
    <mergeCell ref="G441:H441"/>
    <mergeCell ref="F437:G437"/>
    <mergeCell ref="F436:G436"/>
    <mergeCell ref="G539:H539"/>
    <mergeCell ref="F534:G534"/>
    <mergeCell ref="F533:G533"/>
    <mergeCell ref="J528:K528"/>
    <mergeCell ref="G528:H528"/>
    <mergeCell ref="F524:G524"/>
    <mergeCell ref="F523:G523"/>
    <mergeCell ref="F449:G449"/>
    <mergeCell ref="F448:G448"/>
    <mergeCell ref="J461:K461"/>
    <mergeCell ref="G461:H461"/>
    <mergeCell ref="F459:G459"/>
    <mergeCell ref="F458:G458"/>
    <mergeCell ref="J451:K451"/>
    <mergeCell ref="G451:H451"/>
    <mergeCell ref="F479:G479"/>
    <mergeCell ref="F478:G478"/>
    <mergeCell ref="J483:K483"/>
    <mergeCell ref="G483:H483"/>
    <mergeCell ref="F500:G500"/>
    <mergeCell ref="J493:K493"/>
    <mergeCell ref="G493:H493"/>
    <mergeCell ref="F491:G491"/>
    <mergeCell ref="F490:G490"/>
    <mergeCell ref="G577:H577"/>
    <mergeCell ref="J577:K577"/>
    <mergeCell ref="A577:F577"/>
    <mergeCell ref="G575:H575"/>
    <mergeCell ref="J575:K575"/>
    <mergeCell ref="A575:F575"/>
    <mergeCell ref="J573:K573"/>
    <mergeCell ref="G573:H573"/>
    <mergeCell ref="F501:G501"/>
    <mergeCell ref="J517:K517"/>
    <mergeCell ref="G517:H517"/>
    <mergeCell ref="F513:G513"/>
    <mergeCell ref="F512:G512"/>
    <mergeCell ref="J505:K505"/>
    <mergeCell ref="G505:H505"/>
    <mergeCell ref="J539:K539"/>
    <mergeCell ref="F557:G557"/>
    <mergeCell ref="F556:G556"/>
    <mergeCell ref="J549:K549"/>
    <mergeCell ref="G549:H549"/>
    <mergeCell ref="F547:G547"/>
    <mergeCell ref="F546:G546"/>
    <mergeCell ref="J571:K571"/>
    <mergeCell ref="G571:H571"/>
    <mergeCell ref="J647:K647"/>
    <mergeCell ref="G647:H647"/>
    <mergeCell ref="J636:K636"/>
    <mergeCell ref="G636:H636"/>
    <mergeCell ref="A625:L625"/>
    <mergeCell ref="G624:H624"/>
    <mergeCell ref="J624:K624"/>
    <mergeCell ref="A624:F624"/>
    <mergeCell ref="J622:K622"/>
    <mergeCell ref="J569:K569"/>
    <mergeCell ref="G569:H569"/>
    <mergeCell ref="J562:K562"/>
    <mergeCell ref="G562:H562"/>
    <mergeCell ref="J589:K589"/>
    <mergeCell ref="G589:H589"/>
    <mergeCell ref="A580:L580"/>
    <mergeCell ref="A578:L578"/>
    <mergeCell ref="G743:H743"/>
    <mergeCell ref="J732:K732"/>
    <mergeCell ref="G732:H732"/>
    <mergeCell ref="J723:K723"/>
    <mergeCell ref="G723:H723"/>
    <mergeCell ref="J714:K714"/>
    <mergeCell ref="G622:H622"/>
    <mergeCell ref="J614:K614"/>
    <mergeCell ref="G614:H614"/>
    <mergeCell ref="J605:K605"/>
    <mergeCell ref="G605:H605"/>
    <mergeCell ref="J598:K598"/>
    <mergeCell ref="G598:H598"/>
    <mergeCell ref="J658:K658"/>
    <mergeCell ref="G658:H658"/>
    <mergeCell ref="G714:H714"/>
    <mergeCell ref="J704:K704"/>
    <mergeCell ref="G704:H704"/>
    <mergeCell ref="J693:K693"/>
    <mergeCell ref="G693:H693"/>
    <mergeCell ref="J686:K686"/>
    <mergeCell ref="G686:H686"/>
    <mergeCell ref="G821:H821"/>
    <mergeCell ref="J810:K810"/>
    <mergeCell ref="G810:H810"/>
    <mergeCell ref="J801:K801"/>
    <mergeCell ref="G801:H801"/>
    <mergeCell ref="J768:K768"/>
    <mergeCell ref="G768:H768"/>
    <mergeCell ref="J678:K678"/>
    <mergeCell ref="G678:H678"/>
    <mergeCell ref="J667:K667"/>
    <mergeCell ref="G667:H667"/>
    <mergeCell ref="J743:K743"/>
    <mergeCell ref="J923:K923"/>
    <mergeCell ref="G923:H923"/>
    <mergeCell ref="J915:K915"/>
    <mergeCell ref="G915:H915"/>
    <mergeCell ref="J904:K904"/>
    <mergeCell ref="G904:H904"/>
    <mergeCell ref="J897:K897"/>
    <mergeCell ref="G897:H897"/>
    <mergeCell ref="J887:K887"/>
    <mergeCell ref="A757:L757"/>
    <mergeCell ref="G756:H756"/>
    <mergeCell ref="J756:K756"/>
    <mergeCell ref="A756:F756"/>
    <mergeCell ref="J754:K754"/>
    <mergeCell ref="G754:H754"/>
    <mergeCell ref="J790:K790"/>
    <mergeCell ref="G790:H790"/>
    <mergeCell ref="J779:K779"/>
    <mergeCell ref="G779:H779"/>
    <mergeCell ref="G832:H832"/>
    <mergeCell ref="J821:K821"/>
    <mergeCell ref="J843:K843"/>
    <mergeCell ref="G843:H843"/>
    <mergeCell ref="J832:K832"/>
    <mergeCell ref="J964:K964"/>
    <mergeCell ref="G964:H964"/>
    <mergeCell ref="A956:L956"/>
    <mergeCell ref="G955:H955"/>
    <mergeCell ref="J955:K955"/>
    <mergeCell ref="A955:F955"/>
    <mergeCell ref="J953:K953"/>
    <mergeCell ref="G887:H887"/>
    <mergeCell ref="J875:K875"/>
    <mergeCell ref="G875:H875"/>
    <mergeCell ref="J865:K865"/>
    <mergeCell ref="G865:H865"/>
    <mergeCell ref="J855:K855"/>
    <mergeCell ref="G855:H855"/>
    <mergeCell ref="A928:L928"/>
    <mergeCell ref="G927:H927"/>
    <mergeCell ref="J927:K927"/>
    <mergeCell ref="A927:F927"/>
    <mergeCell ref="G925:H925"/>
    <mergeCell ref="J925:K925"/>
    <mergeCell ref="A925:F925"/>
    <mergeCell ref="G953:H953"/>
    <mergeCell ref="J947:K947"/>
    <mergeCell ref="G947:H947"/>
    <mergeCell ref="J940:K940"/>
    <mergeCell ref="G940:H940"/>
    <mergeCell ref="J934:K934"/>
    <mergeCell ref="G934:H934"/>
    <mergeCell ref="J973:K973"/>
    <mergeCell ref="G973:H973"/>
    <mergeCell ref="A1073:L1073"/>
    <mergeCell ref="G1072:H1072"/>
    <mergeCell ref="J1072:K1072"/>
    <mergeCell ref="A1072:F1072"/>
    <mergeCell ref="J1070:K1070"/>
    <mergeCell ref="G1070:H1070"/>
    <mergeCell ref="A994:L994"/>
    <mergeCell ref="G993:H993"/>
    <mergeCell ref="J993:K993"/>
    <mergeCell ref="A993:F993"/>
    <mergeCell ref="J991:K991"/>
    <mergeCell ref="G991:H991"/>
    <mergeCell ref="J1023:K1023"/>
    <mergeCell ref="G1023:H1023"/>
    <mergeCell ref="J1016:K1016"/>
    <mergeCell ref="G1016:H1016"/>
    <mergeCell ref="J1005:K1005"/>
    <mergeCell ref="G1005:H1005"/>
    <mergeCell ref="J1045:K1045"/>
    <mergeCell ref="G1045:H1045"/>
    <mergeCell ref="F1088:G1088"/>
    <mergeCell ref="J1082:K1082"/>
    <mergeCell ref="G1082:H1082"/>
    <mergeCell ref="F1111:G1111"/>
    <mergeCell ref="F1110:G1110"/>
    <mergeCell ref="J1105:K1105"/>
    <mergeCell ref="G1105:H1105"/>
    <mergeCell ref="F1100:G1100"/>
    <mergeCell ref="J984:K984"/>
    <mergeCell ref="G984:H984"/>
    <mergeCell ref="J1169:K1169"/>
    <mergeCell ref="G1169:H1169"/>
    <mergeCell ref="F1165:G1165"/>
    <mergeCell ref="F1164:G1164"/>
    <mergeCell ref="J1157:K1157"/>
    <mergeCell ref="G1157:H1157"/>
    <mergeCell ref="J1092:K1092"/>
    <mergeCell ref="G1092:H1092"/>
    <mergeCell ref="J1034:K1034"/>
    <mergeCell ref="G1034:H1034"/>
    <mergeCell ref="A1116:L1116"/>
    <mergeCell ref="G1115:H1115"/>
    <mergeCell ref="J1115:K1115"/>
    <mergeCell ref="A1115:F1115"/>
    <mergeCell ref="J1113:K1113"/>
    <mergeCell ref="G1113:H1113"/>
    <mergeCell ref="F1065:G1065"/>
    <mergeCell ref="F1064:G1064"/>
    <mergeCell ref="J1057:K1057"/>
    <mergeCell ref="G1057:H1057"/>
    <mergeCell ref="A1048:L1048"/>
    <mergeCell ref="G1047:H1047"/>
    <mergeCell ref="J1047:K1047"/>
    <mergeCell ref="A1047:F1047"/>
    <mergeCell ref="F1089:G1089"/>
    <mergeCell ref="J1134:K1134"/>
    <mergeCell ref="G1134:H1134"/>
    <mergeCell ref="J1125:K1125"/>
    <mergeCell ref="G1125:H1125"/>
    <mergeCell ref="F1123:G1123"/>
    <mergeCell ref="F1122:G1122"/>
    <mergeCell ref="F1154:G1154"/>
    <mergeCell ref="F1153:G1153"/>
    <mergeCell ref="J1146:K1146"/>
    <mergeCell ref="G1146:H1146"/>
    <mergeCell ref="F1142:G1142"/>
    <mergeCell ref="F1141:G1141"/>
    <mergeCell ref="F1099:G1099"/>
    <mergeCell ref="J1181:K1181"/>
    <mergeCell ref="G1181:H1181"/>
    <mergeCell ref="F1177:G1177"/>
    <mergeCell ref="F1176:G1176"/>
    <mergeCell ref="G1184:H1184"/>
    <mergeCell ref="J1184:K1184"/>
    <mergeCell ref="A1184:F1184"/>
    <mergeCell ref="G1183:H1183"/>
    <mergeCell ref="J1183:K1183"/>
    <mergeCell ref="A1183:F1183"/>
  </mergeCells>
  <pageMargins left="0.4" right="0.2" top="0.4" bottom="0.4" header="0.2" footer="0.2"/>
  <pageSetup paperSize="9" scale="60" fitToHeight="0" orientation="portrait" r:id="rId1"/>
  <headerFooter>
    <oddHeader>&amp;L&amp;8НИЯУ МИФИ  Доп. раб. место  MCCS-0027251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635"/>
  <sheetViews>
    <sheetView zoomScaleNormal="100" workbookViewId="0"/>
  </sheetViews>
  <sheetFormatPr defaultRowHeight="12.75" x14ac:dyDescent="0.2"/>
  <cols>
    <col min="1" max="2" width="5.7109375" customWidth="1"/>
    <col min="3" max="3" width="40.7109375" customWidth="1"/>
    <col min="4" max="8" width="12.7109375" customWidth="1"/>
    <col min="20" max="30" width="0" hidden="1" customWidth="1"/>
    <col min="31" max="31" width="64.7109375" hidden="1" customWidth="1"/>
    <col min="32" max="32" width="0" hidden="1" customWidth="1"/>
    <col min="33" max="33" width="76.7109375" hidden="1" customWidth="1"/>
    <col min="34" max="37" width="0" hidden="1" customWidth="1"/>
  </cols>
  <sheetData>
    <row r="1" spans="1:31" x14ac:dyDescent="0.2">
      <c r="A1" s="10" t="str">
        <f>Source!B1</f>
        <v>Smeta.RU  (495) 974-1589</v>
      </c>
    </row>
    <row r="2" spans="1:31" ht="15" x14ac:dyDescent="0.25">
      <c r="A2" s="26"/>
      <c r="B2" s="26"/>
      <c r="C2" s="26"/>
      <c r="D2" s="26"/>
      <c r="E2" s="111" t="s">
        <v>1645</v>
      </c>
      <c r="F2" s="111"/>
      <c r="G2" s="111"/>
      <c r="H2" s="111"/>
    </row>
    <row r="3" spans="1:31" ht="14.25" x14ac:dyDescent="0.2">
      <c r="A3" s="12"/>
      <c r="B3" s="12"/>
      <c r="C3" s="12"/>
      <c r="D3" s="12"/>
      <c r="E3" s="111" t="s">
        <v>1646</v>
      </c>
      <c r="F3" s="111"/>
      <c r="G3" s="111"/>
      <c r="H3" s="111"/>
    </row>
    <row r="4" spans="1:31" ht="14.25" x14ac:dyDescent="0.2">
      <c r="A4" s="12"/>
      <c r="B4" s="12"/>
      <c r="C4" s="12"/>
      <c r="D4" s="12"/>
      <c r="E4" s="111" t="s">
        <v>1647</v>
      </c>
      <c r="F4" s="111"/>
      <c r="G4" s="111"/>
      <c r="H4" s="111"/>
    </row>
    <row r="5" spans="1:31" ht="14.25" x14ac:dyDescent="0.2">
      <c r="A5" s="12"/>
      <c r="B5" s="12"/>
      <c r="C5" s="12"/>
      <c r="D5" s="12"/>
      <c r="E5" s="12"/>
      <c r="F5" s="12"/>
      <c r="G5" s="12"/>
      <c r="H5" s="12"/>
    </row>
    <row r="6" spans="1:31" ht="14.25" x14ac:dyDescent="0.2">
      <c r="A6" s="12"/>
      <c r="B6" s="12"/>
      <c r="C6" s="12"/>
      <c r="D6" s="12"/>
      <c r="E6" s="12"/>
      <c r="F6" s="12"/>
      <c r="G6" s="102" t="s">
        <v>1648</v>
      </c>
      <c r="H6" s="103"/>
    </row>
    <row r="7" spans="1:31" ht="14.25" x14ac:dyDescent="0.2">
      <c r="A7" s="12"/>
      <c r="B7" s="12"/>
      <c r="C7" s="12"/>
      <c r="D7" s="12"/>
      <c r="E7" s="12"/>
      <c r="F7" s="11" t="s">
        <v>1649</v>
      </c>
      <c r="G7" s="112" t="s">
        <v>1650</v>
      </c>
      <c r="H7" s="103"/>
    </row>
    <row r="8" spans="1:31" ht="14.25" x14ac:dyDescent="0.2">
      <c r="A8" s="12"/>
      <c r="B8" s="12"/>
      <c r="C8" s="12"/>
      <c r="D8" s="12"/>
      <c r="E8" s="12"/>
      <c r="F8" s="12"/>
      <c r="G8" s="102" t="str">
        <f>IF(Source!AT15 &lt;&gt; "", Source!AT15, "")</f>
        <v/>
      </c>
      <c r="H8" s="103"/>
    </row>
    <row r="9" spans="1:31" ht="14.25" x14ac:dyDescent="0.2">
      <c r="A9" s="12" t="s">
        <v>1651</v>
      </c>
      <c r="B9" s="12"/>
      <c r="C9" s="108" t="str">
        <f>IF(Source!BA15 &lt;&gt; "", Source!BA15, IF(Source!AU15 &lt;&gt; "", Source!AU15, ""))</f>
        <v/>
      </c>
      <c r="D9" s="108"/>
      <c r="E9" s="108"/>
      <c r="F9" s="11" t="s">
        <v>1652</v>
      </c>
      <c r="G9" s="109"/>
      <c r="H9" s="110"/>
    </row>
    <row r="10" spans="1:31" ht="14.25" x14ac:dyDescent="0.2">
      <c r="A10" s="12"/>
      <c r="B10" s="12"/>
      <c r="C10" s="100" t="s">
        <v>1653</v>
      </c>
      <c r="D10" s="100"/>
      <c r="E10" s="100"/>
      <c r="F10" s="12"/>
      <c r="G10" s="102" t="str">
        <f>IF(Source!AK15 &lt;&gt; "", Source!AK15, "")</f>
        <v/>
      </c>
      <c r="H10" s="103"/>
    </row>
    <row r="11" spans="1:31" ht="14.25" x14ac:dyDescent="0.2">
      <c r="A11" s="12" t="s">
        <v>1654</v>
      </c>
      <c r="B11" s="12"/>
      <c r="C11" s="108" t="str">
        <f>IF(Source!AX12&lt;&gt; "", Source!AX12, IF(Source!AJ12 &lt;&gt; "", Source!AJ12, ""))</f>
        <v/>
      </c>
      <c r="D11" s="108"/>
      <c r="E11" s="108"/>
      <c r="F11" s="11" t="s">
        <v>1652</v>
      </c>
      <c r="G11" s="109"/>
      <c r="H11" s="110"/>
    </row>
    <row r="12" spans="1:31" ht="14.25" x14ac:dyDescent="0.2">
      <c r="A12" s="12"/>
      <c r="B12" s="12"/>
      <c r="C12" s="100" t="s">
        <v>1653</v>
      </c>
      <c r="D12" s="100"/>
      <c r="E12" s="100"/>
      <c r="F12" s="12"/>
      <c r="G12" s="102" t="str">
        <f>IF(Source!AO15 &lt;&gt; "", Source!AO15, "")</f>
        <v/>
      </c>
      <c r="H12" s="103"/>
    </row>
    <row r="13" spans="1:31" ht="14.25" x14ac:dyDescent="0.2">
      <c r="A13" s="12" t="s">
        <v>1655</v>
      </c>
      <c r="B13" s="12"/>
      <c r="C13" s="108" t="str">
        <f>IF(Source!AY12&lt;&gt; "", Source!AY12, IF(Source!AN12 &lt;&gt; "", Source!AN12, ""))</f>
        <v/>
      </c>
      <c r="D13" s="108"/>
      <c r="E13" s="108"/>
      <c r="F13" s="11" t="s">
        <v>1652</v>
      </c>
      <c r="G13" s="109"/>
      <c r="H13" s="110"/>
    </row>
    <row r="14" spans="1:31" ht="14.25" x14ac:dyDescent="0.2">
      <c r="A14" s="12"/>
      <c r="B14" s="12"/>
      <c r="C14" s="100" t="s">
        <v>1653</v>
      </c>
      <c r="D14" s="100"/>
      <c r="E14" s="100"/>
      <c r="F14" s="12"/>
      <c r="G14" s="102" t="str">
        <f>IF(Source!CO15 &lt;&gt; "", Source!CO15, "")</f>
        <v/>
      </c>
      <c r="H14" s="103"/>
    </row>
    <row r="15" spans="1:31" ht="85.5" x14ac:dyDescent="0.2">
      <c r="A15" s="12" t="s">
        <v>1656</v>
      </c>
      <c r="B15" s="12"/>
      <c r="C15" s="108" t="s">
        <v>5</v>
      </c>
      <c r="D15" s="108"/>
      <c r="E15" s="108"/>
      <c r="F15" s="12"/>
      <c r="G15" s="109"/>
      <c r="H15" s="110"/>
      <c r="AE15" s="28" t="s">
        <v>5</v>
      </c>
    </row>
    <row r="16" spans="1:31" ht="14.25" x14ac:dyDescent="0.2">
      <c r="A16" s="12"/>
      <c r="B16" s="12"/>
      <c r="C16" s="100" t="s">
        <v>1657</v>
      </c>
      <c r="D16" s="100"/>
      <c r="E16" s="100"/>
      <c r="F16" s="12"/>
      <c r="G16" s="102" t="str">
        <f>IF(Source!CP15 &lt;&gt; "", Source!CP15, "")</f>
        <v/>
      </c>
      <c r="H16" s="103"/>
    </row>
    <row r="17" spans="1:31" ht="85.5" x14ac:dyDescent="0.2">
      <c r="A17" s="12" t="s">
        <v>1658</v>
      </c>
      <c r="B17" s="12"/>
      <c r="C17" s="108" t="str">
        <f>IF(Source!G12&lt;&gt;"Новый объект", Source!G12, "")</f>
        <v>на капитальный ремонт помещений №1,№2,№4,№5,№6,№8,№9,№10,№11,№13,№14,№15,№16,№17,№18 третьего этажа,помещений  №1,№2,№4,№5,№6, №7,№8,№9,№10,№11, №12,№13,№14,№15,№16 5-го  этажа  и  лестниц  А ,Б НИЯУ МИФИ по адресу: г.Москва,Каширское шоссе,д.64_(Копия)</v>
      </c>
      <c r="D17" s="108"/>
      <c r="E17" s="108"/>
      <c r="F17" s="12"/>
      <c r="G17" s="106"/>
      <c r="H17" s="107"/>
      <c r="AE17" s="28" t="str">
        <f>IF(Source!G12&lt;&gt;"Новый объект", Source!G12, "")</f>
        <v>на капитальный ремонт помещений №1,№2,№4,№5,№6,№8,№9,№10,№11,№13,№14,№15,№16,№17,№18 третьего этажа,помещений  №1,№2,№4,№5,№6, №7,№8,№9,№10,№11, №12,№13,№14,№15,№16 5-го  этажа  и  лестниц  А ,Б НИЯУ МИФИ по адресу: г.Москва,Каширское шоссе,д.64_(Копия)</v>
      </c>
    </row>
    <row r="18" spans="1:31" ht="14.25" x14ac:dyDescent="0.2">
      <c r="A18" s="12"/>
      <c r="B18" s="12"/>
      <c r="C18" s="100" t="s">
        <v>1659</v>
      </c>
      <c r="D18" s="100"/>
      <c r="E18" s="100"/>
      <c r="F18" s="12"/>
      <c r="G18" s="12"/>
      <c r="H18" s="12"/>
    </row>
    <row r="19" spans="1:31" ht="14.25" x14ac:dyDescent="0.2">
      <c r="A19" s="12"/>
      <c r="B19" s="12"/>
      <c r="C19" s="12"/>
      <c r="D19" s="80" t="s">
        <v>1660</v>
      </c>
      <c r="E19" s="80"/>
      <c r="F19" s="101"/>
      <c r="G19" s="102" t="str">
        <f>IF(Source!CQ15 &lt;&gt; "", Source!CQ15, "")</f>
        <v/>
      </c>
      <c r="H19" s="103"/>
    </row>
    <row r="20" spans="1:31" ht="14.25" x14ac:dyDescent="0.2">
      <c r="A20" s="12"/>
      <c r="B20" s="12"/>
      <c r="C20" s="12"/>
      <c r="D20" s="80" t="s">
        <v>1661</v>
      </c>
      <c r="E20" s="101"/>
      <c r="F20" s="52" t="s">
        <v>1662</v>
      </c>
      <c r="G20" s="102" t="str">
        <f>IF(Source!CR15 &lt;&gt; "", Source!CR15, "")</f>
        <v/>
      </c>
      <c r="H20" s="103"/>
    </row>
    <row r="21" spans="1:31" ht="14.25" x14ac:dyDescent="0.2">
      <c r="A21" s="12"/>
      <c r="B21" s="12"/>
      <c r="C21" s="12"/>
      <c r="D21" s="12"/>
      <c r="E21" s="12"/>
      <c r="F21" s="20" t="s">
        <v>1663</v>
      </c>
      <c r="G21" s="104" t="str">
        <f>IF(Source!CS15 &lt;&gt; 0, Source!CS15, "")</f>
        <v/>
      </c>
      <c r="H21" s="105"/>
    </row>
    <row r="22" spans="1:31" ht="14.25" x14ac:dyDescent="0.2">
      <c r="A22" s="12"/>
      <c r="B22" s="12"/>
      <c r="C22" s="12"/>
      <c r="D22" s="12"/>
      <c r="E22" s="12"/>
      <c r="F22" s="11" t="s">
        <v>1664</v>
      </c>
      <c r="G22" s="92" t="str">
        <f>IF(Source!CT15 &lt;&gt; "", Source!CT15, "")</f>
        <v/>
      </c>
      <c r="H22" s="93"/>
    </row>
    <row r="23" spans="1:31" ht="14.25" x14ac:dyDescent="0.2">
      <c r="A23" s="12"/>
      <c r="B23" s="12"/>
      <c r="C23" s="12"/>
      <c r="D23" s="12"/>
      <c r="E23" s="12"/>
      <c r="F23" s="12"/>
      <c r="G23" s="12"/>
      <c r="H23" s="12"/>
    </row>
    <row r="24" spans="1:31" ht="14.25" x14ac:dyDescent="0.2">
      <c r="A24" s="12"/>
      <c r="B24" s="12"/>
      <c r="C24" s="12"/>
      <c r="D24" s="94" t="s">
        <v>1665</v>
      </c>
      <c r="E24" s="96" t="s">
        <v>1666</v>
      </c>
      <c r="F24" s="96" t="s">
        <v>1667</v>
      </c>
      <c r="G24" s="98"/>
      <c r="H24" s="12"/>
    </row>
    <row r="25" spans="1:31" ht="14.25" x14ac:dyDescent="0.2">
      <c r="A25" s="12"/>
      <c r="B25" s="12"/>
      <c r="C25" s="12"/>
      <c r="D25" s="95"/>
      <c r="E25" s="97"/>
      <c r="F25" s="53" t="s">
        <v>1668</v>
      </c>
      <c r="G25" s="54" t="s">
        <v>1669</v>
      </c>
      <c r="H25" s="12"/>
    </row>
    <row r="26" spans="1:31" ht="14.25" x14ac:dyDescent="0.2">
      <c r="A26" s="12"/>
      <c r="B26" s="12"/>
      <c r="C26" s="12"/>
      <c r="D26" s="55" t="str">
        <f>IF(Source!CN15 &lt;&gt; "", Source!CN15, "")</f>
        <v/>
      </c>
      <c r="E26" s="56">
        <v>43336.400046296294</v>
      </c>
      <c r="F26" s="55"/>
      <c r="G26" s="57"/>
      <c r="H26" s="12"/>
    </row>
    <row r="27" spans="1:31" ht="14.25" x14ac:dyDescent="0.2">
      <c r="A27" s="12"/>
      <c r="B27" s="12"/>
      <c r="C27" s="12"/>
      <c r="D27" s="12"/>
      <c r="E27" s="12"/>
      <c r="F27" s="12"/>
      <c r="G27" s="12"/>
      <c r="H27" s="12"/>
    </row>
    <row r="28" spans="1:31" ht="18" x14ac:dyDescent="0.25">
      <c r="A28" s="99" t="s">
        <v>1670</v>
      </c>
      <c r="B28" s="99"/>
      <c r="C28" s="99"/>
      <c r="D28" s="99"/>
      <c r="E28" s="99"/>
      <c r="F28" s="99"/>
      <c r="G28" s="99"/>
      <c r="H28" s="99"/>
    </row>
    <row r="29" spans="1:31" ht="18" x14ac:dyDescent="0.25">
      <c r="A29" s="99" t="s">
        <v>1671</v>
      </c>
      <c r="B29" s="99"/>
      <c r="C29" s="99"/>
      <c r="D29" s="99"/>
      <c r="E29" s="99"/>
      <c r="F29" s="99"/>
      <c r="G29" s="99"/>
      <c r="H29" s="99"/>
    </row>
    <row r="30" spans="1:31" ht="14.25" x14ac:dyDescent="0.2">
      <c r="A30" s="12"/>
      <c r="B30" s="12"/>
      <c r="C30" s="12"/>
      <c r="D30" s="12"/>
      <c r="E30" s="12"/>
      <c r="F30" s="12"/>
      <c r="G30" s="12"/>
      <c r="H30" s="12"/>
    </row>
    <row r="31" spans="1:31" ht="15" x14ac:dyDescent="0.25">
      <c r="A31" s="9" t="s">
        <v>1672</v>
      </c>
      <c r="B31" s="12"/>
      <c r="C31" s="12"/>
      <c r="D31" s="12"/>
      <c r="E31" s="12"/>
      <c r="F31" s="90">
        <f>(Source!F757/1000)</f>
        <v>2218.5011400000003</v>
      </c>
      <c r="G31" s="90"/>
      <c r="H31" s="12" t="s">
        <v>1673</v>
      </c>
    </row>
    <row r="32" spans="1:31" ht="14.25" x14ac:dyDescent="0.2">
      <c r="A32" s="12"/>
      <c r="B32" s="12"/>
      <c r="C32" s="12"/>
      <c r="D32" s="12"/>
      <c r="E32" s="12"/>
      <c r="F32" s="12"/>
      <c r="G32" s="12"/>
      <c r="H32" s="12"/>
    </row>
    <row r="33" spans="1:28" ht="14.25" x14ac:dyDescent="0.2">
      <c r="A33" s="91" t="s">
        <v>1674</v>
      </c>
      <c r="B33" s="91"/>
      <c r="C33" s="91" t="s">
        <v>1675</v>
      </c>
      <c r="D33" s="91" t="s">
        <v>1676</v>
      </c>
      <c r="E33" s="91" t="s">
        <v>1677</v>
      </c>
      <c r="F33" s="91" t="s">
        <v>1678</v>
      </c>
      <c r="G33" s="91"/>
      <c r="H33" s="91"/>
    </row>
    <row r="34" spans="1:28" ht="57" x14ac:dyDescent="0.2">
      <c r="A34" s="19" t="s">
        <v>1679</v>
      </c>
      <c r="B34" s="19" t="s">
        <v>1680</v>
      </c>
      <c r="C34" s="91"/>
      <c r="D34" s="91"/>
      <c r="E34" s="91"/>
      <c r="F34" s="19" t="s">
        <v>1681</v>
      </c>
      <c r="G34" s="19" t="s">
        <v>1682</v>
      </c>
      <c r="H34" s="19" t="s">
        <v>1683</v>
      </c>
    </row>
    <row r="35" spans="1:28" ht="14.25" x14ac:dyDescent="0.2">
      <c r="A35" s="19">
        <v>1</v>
      </c>
      <c r="B35" s="19">
        <v>2</v>
      </c>
      <c r="C35" s="19">
        <v>3</v>
      </c>
      <c r="D35" s="19">
        <v>4</v>
      </c>
      <c r="E35" s="19">
        <v>5</v>
      </c>
      <c r="F35" s="19">
        <v>6</v>
      </c>
      <c r="G35" s="19">
        <v>7</v>
      </c>
      <c r="H35" s="19">
        <v>8</v>
      </c>
    </row>
    <row r="37" spans="1:28" ht="16.5" x14ac:dyDescent="0.25">
      <c r="A37" s="75" t="str">
        <f>CONCATENATE("Локальная смета: ",IF(Source!G20&lt;&gt;"Новая локальная смета", Source!G20, ""))</f>
        <v xml:space="preserve">Локальная смета: </v>
      </c>
      <c r="B37" s="75"/>
      <c r="C37" s="75"/>
      <c r="D37" s="75"/>
      <c r="E37" s="75"/>
      <c r="F37" s="75"/>
      <c r="G37" s="75"/>
      <c r="H37" s="75"/>
    </row>
    <row r="39" spans="1:28" ht="16.5" x14ac:dyDescent="0.25">
      <c r="A39" s="75" t="str">
        <f>CONCATENATE("Раздел: ",IF(Source!G24&lt;&gt;"Новый раздел", Source!G24, ""))</f>
        <v>Раздел: 1 Общестроительные работы</v>
      </c>
      <c r="B39" s="75"/>
      <c r="C39" s="75"/>
      <c r="D39" s="75"/>
      <c r="E39" s="75"/>
      <c r="F39" s="75"/>
      <c r="G39" s="75"/>
      <c r="H39" s="75"/>
    </row>
    <row r="41" spans="1:28" ht="16.5" x14ac:dyDescent="0.25">
      <c r="A41" s="75" t="str">
        <f>CONCATENATE("Подраздел: ",IF(Source!G28&lt;&gt;"Новый подраздел", Source!G28, ""))</f>
        <v>Подраздел: 1 Демонтаж</v>
      </c>
      <c r="B41" s="75"/>
      <c r="C41" s="75"/>
      <c r="D41" s="75"/>
      <c r="E41" s="75"/>
      <c r="F41" s="75"/>
      <c r="G41" s="75"/>
      <c r="H41" s="75"/>
    </row>
    <row r="42" spans="1:28" ht="42.75" x14ac:dyDescent="0.2">
      <c r="A42" s="46">
        <v>1</v>
      </c>
      <c r="B42" s="46" t="str">
        <f>Source!E32</f>
        <v>1</v>
      </c>
      <c r="C42" s="46" t="str">
        <f>Source!G32</f>
        <v>Разборка деревянных заполнений проемов оконных с подоконными досками</v>
      </c>
      <c r="D42" s="46" t="str">
        <f>Source!F32</f>
        <v>46-04-012-01</v>
      </c>
      <c r="E42" s="31" t="str">
        <f>Source!H32</f>
        <v>100 м2</v>
      </c>
      <c r="F42" s="12">
        <f>Source!I32</f>
        <v>0.246</v>
      </c>
      <c r="G42" s="22">
        <f>Source!AB32</f>
        <v>1767.24</v>
      </c>
      <c r="H42" s="22">
        <f>Source!O32</f>
        <v>2851.9</v>
      </c>
      <c r="T42">
        <f>Source!O32+Source!X32+Source!Y32</f>
        <v>7033.71</v>
      </c>
      <c r="U42">
        <f>Source!P32</f>
        <v>0</v>
      </c>
      <c r="V42">
        <f>Source!S32</f>
        <v>2461.4499999999998</v>
      </c>
      <c r="W42">
        <f>Source!Q32</f>
        <v>390.45</v>
      </c>
      <c r="X42">
        <f>Source!R32</f>
        <v>168.62</v>
      </c>
      <c r="Y42">
        <f>Source!U32</f>
        <v>46.380839999999999</v>
      </c>
      <c r="Z42">
        <f>Source!V32</f>
        <v>1.90404</v>
      </c>
      <c r="AA42">
        <f>Source!X32</f>
        <v>2603.77</v>
      </c>
      <c r="AB42">
        <f>Source!Y32</f>
        <v>1578.04</v>
      </c>
    </row>
    <row r="43" spans="1:28" ht="14.25" x14ac:dyDescent="0.2">
      <c r="C43" s="23" t="str">
        <f>"Объем: "&amp;Source!I32&amp;"=24,6/"&amp;"100"</f>
        <v>Объем: 0,246=24,6/100</v>
      </c>
      <c r="F43" s="12"/>
      <c r="G43" s="12"/>
      <c r="H43" s="12"/>
    </row>
    <row r="44" spans="1:28" x14ac:dyDescent="0.2">
      <c r="C44" s="23" t="s">
        <v>1684</v>
      </c>
      <c r="D44" s="23">
        <f>Source!BA32</f>
        <v>6.56</v>
      </c>
    </row>
    <row r="45" spans="1:28" x14ac:dyDescent="0.2">
      <c r="C45" s="23" t="s">
        <v>1685</v>
      </c>
      <c r="D45" s="23">
        <f>Source!BB32</f>
        <v>6.56</v>
      </c>
    </row>
    <row r="46" spans="1:28" x14ac:dyDescent="0.2">
      <c r="C46" s="23" t="s">
        <v>1686</v>
      </c>
      <c r="D46" s="23">
        <f>Source!BC32</f>
        <v>6.56</v>
      </c>
    </row>
    <row r="47" spans="1:28" x14ac:dyDescent="0.2">
      <c r="C47" s="23" t="s">
        <v>1687</v>
      </c>
      <c r="D47" s="23">
        <f>Source!BS32</f>
        <v>6.56</v>
      </c>
    </row>
    <row r="48" spans="1:28" x14ac:dyDescent="0.2">
      <c r="C48" s="9" t="s">
        <v>1688</v>
      </c>
      <c r="D48" s="34"/>
      <c r="E48" s="34"/>
      <c r="F48" s="34">
        <f>Source!BZ32</f>
        <v>110</v>
      </c>
      <c r="G48" s="58">
        <f>(Source!AF32+Source!AE32)*Source!FX32/100</f>
        <v>1613.4821999999999</v>
      </c>
      <c r="H48" s="58">
        <f>Source!X32</f>
        <v>2603.77</v>
      </c>
    </row>
    <row r="49" spans="1:28" x14ac:dyDescent="0.2">
      <c r="C49" s="9" t="s">
        <v>1689</v>
      </c>
      <c r="D49" s="34"/>
      <c r="E49" s="34"/>
      <c r="F49" s="34"/>
      <c r="G49" s="34" t="str">
        <f>CONCATENATE(Source!DL32,Source!FT32, "=", Source!FX32, "%")</f>
        <v>*0,9=99%</v>
      </c>
      <c r="H49" s="34" t="str">
        <f>CONCATENATE(Source!AT32)</f>
        <v>99</v>
      </c>
    </row>
    <row r="50" spans="1:28" x14ac:dyDescent="0.2">
      <c r="C50" s="9" t="s">
        <v>1690</v>
      </c>
      <c r="D50" s="34"/>
      <c r="E50" s="34"/>
      <c r="F50" s="34">
        <f>Source!CA32</f>
        <v>70</v>
      </c>
      <c r="G50" s="58">
        <f>(Source!AF32+Source!AE32)*Source!FY32/100</f>
        <v>969.71910000000003</v>
      </c>
      <c r="H50" s="58">
        <f>Source!Y32</f>
        <v>1578.04</v>
      </c>
    </row>
    <row r="51" spans="1:28" x14ac:dyDescent="0.2">
      <c r="C51" s="9" t="s">
        <v>1691</v>
      </c>
      <c r="D51" s="34"/>
      <c r="E51" s="34"/>
      <c r="F51" s="34"/>
      <c r="G51" s="34" t="str">
        <f>CONCATENATE(Source!DM32,Source!FU32, "=", Source!FY32, "%")</f>
        <v>*0,85=59,5%</v>
      </c>
      <c r="H51" s="34" t="str">
        <f>CONCATENATE(Source!AU32)</f>
        <v>60</v>
      </c>
    </row>
    <row r="52" spans="1:28" x14ac:dyDescent="0.2">
      <c r="C52" s="9" t="s">
        <v>1692</v>
      </c>
      <c r="D52" s="34"/>
      <c r="E52" s="34"/>
      <c r="F52" s="34"/>
      <c r="G52" s="58">
        <f>((Source!AF32+Source!AE32)*Source!FX32/100)+((Source!AF32+Source!AE32)*Source!FY32/100)+Source!AB32</f>
        <v>4350.4412999999995</v>
      </c>
      <c r="H52" s="58">
        <f>Source!O32+Source!X32+Source!Y32</f>
        <v>7033.71</v>
      </c>
    </row>
    <row r="53" spans="1:28" ht="57" x14ac:dyDescent="0.2">
      <c r="A53" s="46">
        <v>2</v>
      </c>
      <c r="B53" s="46" t="str">
        <f>Source!E33</f>
        <v>2</v>
      </c>
      <c r="C53" s="46" t="str">
        <f>Source!G33</f>
        <v>Разборка деревянных заполнений проемов оконных без подоконных досок (фрамуга остеклённая,витражное остекление))</v>
      </c>
      <c r="D53" s="46" t="str">
        <f>Source!F33</f>
        <v>46-04-012-02</v>
      </c>
      <c r="E53" s="31" t="str">
        <f>Source!H33</f>
        <v>100 м2</v>
      </c>
      <c r="F53" s="12">
        <f>Source!I33</f>
        <v>8.0999999999999996E-3</v>
      </c>
      <c r="G53" s="22">
        <f>Source!AB33</f>
        <v>1639.58</v>
      </c>
      <c r="H53" s="22">
        <f>Source!O33</f>
        <v>87.12</v>
      </c>
      <c r="T53">
        <f>Source!O33+Source!X33+Source!Y33</f>
        <v>214.01999999999998</v>
      </c>
      <c r="U53">
        <f>Source!P33</f>
        <v>0</v>
      </c>
      <c r="V53">
        <f>Source!S33</f>
        <v>74.260000000000005</v>
      </c>
      <c r="W53">
        <f>Source!Q33</f>
        <v>12.86</v>
      </c>
      <c r="X53">
        <f>Source!R33</f>
        <v>5.55</v>
      </c>
      <c r="Y53">
        <f>Source!U33</f>
        <v>1.3993559999999998</v>
      </c>
      <c r="Z53">
        <f>Source!V33</f>
        <v>6.2694E-2</v>
      </c>
      <c r="AA53">
        <f>Source!X33</f>
        <v>79.010000000000005</v>
      </c>
      <c r="AB53">
        <f>Source!Y33</f>
        <v>47.89</v>
      </c>
    </row>
    <row r="54" spans="1:28" ht="14.25" x14ac:dyDescent="0.2">
      <c r="C54" s="23" t="str">
        <f>"Объем: "&amp;Source!I33&amp;"=0,81/"&amp;"100"</f>
        <v>Объем: 0,0081=0,81/100</v>
      </c>
      <c r="F54" s="12"/>
      <c r="G54" s="12"/>
      <c r="H54" s="12"/>
    </row>
    <row r="55" spans="1:28" x14ac:dyDescent="0.2">
      <c r="C55" s="23" t="s">
        <v>1684</v>
      </c>
      <c r="D55" s="23">
        <f>Source!BA33</f>
        <v>6.56</v>
      </c>
    </row>
    <row r="56" spans="1:28" x14ac:dyDescent="0.2">
      <c r="C56" s="23" t="s">
        <v>1685</v>
      </c>
      <c r="D56" s="23">
        <f>Source!BB33</f>
        <v>6.56</v>
      </c>
    </row>
    <row r="57" spans="1:28" x14ac:dyDescent="0.2">
      <c r="C57" s="23" t="s">
        <v>1686</v>
      </c>
      <c r="D57" s="23">
        <f>Source!BC33</f>
        <v>6.56</v>
      </c>
    </row>
    <row r="58" spans="1:28" x14ac:dyDescent="0.2">
      <c r="C58" s="23" t="s">
        <v>1687</v>
      </c>
      <c r="D58" s="23">
        <f>Source!BS33</f>
        <v>6.56</v>
      </c>
    </row>
    <row r="59" spans="1:28" x14ac:dyDescent="0.2">
      <c r="C59" s="9" t="s">
        <v>1688</v>
      </c>
      <c r="D59" s="34"/>
      <c r="E59" s="34"/>
      <c r="F59" s="34">
        <f>Source!BZ33</f>
        <v>110</v>
      </c>
      <c r="G59" s="58">
        <f>(Source!AF33+Source!AE33)*Source!FX33/100</f>
        <v>1487.0988</v>
      </c>
      <c r="H59" s="58">
        <f>Source!X33</f>
        <v>79.010000000000005</v>
      </c>
    </row>
    <row r="60" spans="1:28" x14ac:dyDescent="0.2">
      <c r="C60" s="9" t="s">
        <v>1689</v>
      </c>
      <c r="D60" s="34"/>
      <c r="E60" s="34"/>
      <c r="F60" s="34"/>
      <c r="G60" s="34" t="str">
        <f>CONCATENATE(Source!DL33,Source!FT33, "=", Source!FX33, "%")</f>
        <v>*0,9=99%</v>
      </c>
      <c r="H60" s="34" t="str">
        <f>CONCATENATE(Source!AT33)</f>
        <v>99</v>
      </c>
    </row>
    <row r="61" spans="1:28" x14ac:dyDescent="0.2">
      <c r="C61" s="9" t="s">
        <v>1690</v>
      </c>
      <c r="D61" s="34"/>
      <c r="E61" s="34"/>
      <c r="F61" s="34">
        <f>Source!CA33</f>
        <v>70</v>
      </c>
      <c r="G61" s="58">
        <f>(Source!AF33+Source!AE33)*Source!FY33/100</f>
        <v>893.76140000000009</v>
      </c>
      <c r="H61" s="58">
        <f>Source!Y33</f>
        <v>47.89</v>
      </c>
    </row>
    <row r="62" spans="1:28" x14ac:dyDescent="0.2">
      <c r="C62" s="9" t="s">
        <v>1691</v>
      </c>
      <c r="D62" s="34"/>
      <c r="E62" s="34"/>
      <c r="F62" s="34"/>
      <c r="G62" s="34" t="str">
        <f>CONCATENATE(Source!DM33,Source!FU33, "=", Source!FY33, "%")</f>
        <v>*0,85=59,5%</v>
      </c>
      <c r="H62" s="34" t="str">
        <f>CONCATENATE(Source!AU33)</f>
        <v>60</v>
      </c>
    </row>
    <row r="63" spans="1:28" x14ac:dyDescent="0.2">
      <c r="C63" s="9" t="s">
        <v>1692</v>
      </c>
      <c r="D63" s="34"/>
      <c r="E63" s="34"/>
      <c r="F63" s="34"/>
      <c r="G63" s="58">
        <f>((Source!AF33+Source!AE33)*Source!FX33/100)+((Source!AF33+Source!AE33)*Source!FY33/100)+Source!AB33</f>
        <v>4020.4402</v>
      </c>
      <c r="H63" s="58">
        <f>Source!O33+Source!X33+Source!Y33</f>
        <v>214.01999999999998</v>
      </c>
    </row>
    <row r="64" spans="1:28" ht="42.75" x14ac:dyDescent="0.2">
      <c r="A64" s="46">
        <v>3</v>
      </c>
      <c r="B64" s="46" t="str">
        <f>Source!E34</f>
        <v>3</v>
      </c>
      <c r="C64" s="46" t="str">
        <f>Source!G34</f>
        <v>Разборка мелких покрытий и обделок из листовой стали поясков, сандриков, желобов, отливов, свесов и т.п.</v>
      </c>
      <c r="D64" s="46" t="str">
        <f>Source!F34</f>
        <v>58-3-1</v>
      </c>
      <c r="E64" s="31" t="str">
        <f>Source!H34</f>
        <v>100 м</v>
      </c>
      <c r="F64" s="12">
        <f>Source!I34</f>
        <v>0.1</v>
      </c>
      <c r="G64" s="22">
        <f>Source!AB34</f>
        <v>71.180000000000007</v>
      </c>
      <c r="H64" s="22">
        <f>Source!O34</f>
        <v>46.69</v>
      </c>
      <c r="T64">
        <f>Source!O34+Source!X34+Source!Y34</f>
        <v>115.59</v>
      </c>
      <c r="U64">
        <f>Source!P34</f>
        <v>0</v>
      </c>
      <c r="V64">
        <f>Source!S34</f>
        <v>46.56</v>
      </c>
      <c r="W64">
        <f>Source!Q34</f>
        <v>0.13</v>
      </c>
      <c r="X64">
        <f>Source!R34</f>
        <v>0</v>
      </c>
      <c r="Y64">
        <f>Source!U34</f>
        <v>0.91</v>
      </c>
      <c r="Z64">
        <f>Source!V34</f>
        <v>0</v>
      </c>
      <c r="AA64">
        <f>Source!X34</f>
        <v>38.64</v>
      </c>
      <c r="AB64">
        <f>Source!Y34</f>
        <v>30.26</v>
      </c>
    </row>
    <row r="65" spans="1:28" ht="14.25" x14ac:dyDescent="0.2">
      <c r="C65" s="23" t="str">
        <f>"Объем: "&amp;Source!I34&amp;"=10/"&amp;"100"</f>
        <v>Объем: 0,1=10/100</v>
      </c>
      <c r="F65" s="12"/>
      <c r="G65" s="12"/>
      <c r="H65" s="12"/>
    </row>
    <row r="66" spans="1:28" x14ac:dyDescent="0.2">
      <c r="C66" s="23" t="s">
        <v>1684</v>
      </c>
      <c r="D66" s="23">
        <f>Source!BA34</f>
        <v>6.56</v>
      </c>
    </row>
    <row r="67" spans="1:28" x14ac:dyDescent="0.2">
      <c r="C67" s="23" t="s">
        <v>1685</v>
      </c>
      <c r="D67" s="23">
        <f>Source!BB34</f>
        <v>6.56</v>
      </c>
    </row>
    <row r="68" spans="1:28" x14ac:dyDescent="0.2">
      <c r="C68" s="23" t="s">
        <v>1686</v>
      </c>
      <c r="D68" s="23">
        <f>Source!BC34</f>
        <v>6.56</v>
      </c>
    </row>
    <row r="69" spans="1:28" x14ac:dyDescent="0.2">
      <c r="C69" s="23" t="s">
        <v>1687</v>
      </c>
      <c r="D69" s="23">
        <f>Source!BS34</f>
        <v>6.56</v>
      </c>
    </row>
    <row r="70" spans="1:28" x14ac:dyDescent="0.2">
      <c r="C70" s="9" t="s">
        <v>1688</v>
      </c>
      <c r="D70" s="34"/>
      <c r="E70" s="34"/>
      <c r="F70" s="34">
        <f>Source!BZ34</f>
        <v>83</v>
      </c>
      <c r="G70" s="58">
        <f>(Source!AF34+Source!AE34)*Source!FX34/100</f>
        <v>58.913400000000003</v>
      </c>
      <c r="H70" s="58">
        <f>Source!X34</f>
        <v>38.64</v>
      </c>
    </row>
    <row r="71" spans="1:28" x14ac:dyDescent="0.2">
      <c r="C71" s="9" t="s">
        <v>1690</v>
      </c>
      <c r="D71" s="34"/>
      <c r="E71" s="34"/>
      <c r="F71" s="34">
        <f>Source!CA34</f>
        <v>65</v>
      </c>
      <c r="G71" s="58">
        <f>(Source!AF34+Source!AE34)*Source!FY34/100</f>
        <v>46.137</v>
      </c>
      <c r="H71" s="58">
        <f>Source!Y34</f>
        <v>30.26</v>
      </c>
    </row>
    <row r="72" spans="1:28" x14ac:dyDescent="0.2">
      <c r="C72" s="9" t="s">
        <v>1692</v>
      </c>
      <c r="D72" s="34"/>
      <c r="E72" s="34"/>
      <c r="F72" s="34"/>
      <c r="G72" s="58">
        <f>((Source!AF34+Source!AE34)*Source!FX34/100)+((Source!AF34+Source!AE34)*Source!FY34/100)+Source!AB34</f>
        <v>176.2304</v>
      </c>
      <c r="H72" s="58">
        <f>Source!O34+Source!X34+Source!Y34</f>
        <v>115.59</v>
      </c>
    </row>
    <row r="73" spans="1:28" ht="28.5" x14ac:dyDescent="0.2">
      <c r="A73" s="46">
        <v>4</v>
      </c>
      <c r="B73" s="46" t="str">
        <f>Source!E35</f>
        <v>4</v>
      </c>
      <c r="C73" s="46" t="str">
        <f>Source!G35</f>
        <v>Разборка деревянных заполнений проемов дверных и воротных</v>
      </c>
      <c r="D73" s="46" t="str">
        <f>Source!F35</f>
        <v>46-04-012-03</v>
      </c>
      <c r="E73" s="31" t="str">
        <f>Source!H35</f>
        <v>100 м2</v>
      </c>
      <c r="F73" s="12">
        <f>Source!I35</f>
        <v>7.5200000000000003E-2</v>
      </c>
      <c r="G73" s="22">
        <f>Source!AB35</f>
        <v>1082.58</v>
      </c>
      <c r="H73" s="22">
        <f>Source!O35</f>
        <v>534.04999999999995</v>
      </c>
      <c r="T73">
        <f>Source!O35+Source!X35+Source!Y35</f>
        <v>1275.3699999999999</v>
      </c>
      <c r="U73">
        <f>Source!P35</f>
        <v>0</v>
      </c>
      <c r="V73">
        <f>Source!S35</f>
        <v>414.69</v>
      </c>
      <c r="W73">
        <f>Source!Q35</f>
        <v>119.36</v>
      </c>
      <c r="X73">
        <f>Source!R35</f>
        <v>51.55</v>
      </c>
      <c r="Y73">
        <f>Source!U35</f>
        <v>7.8140320000000001</v>
      </c>
      <c r="Z73">
        <f>Source!V35</f>
        <v>0.58204800000000001</v>
      </c>
      <c r="AA73">
        <f>Source!X35</f>
        <v>461.58</v>
      </c>
      <c r="AB73">
        <f>Source!Y35</f>
        <v>279.74</v>
      </c>
    </row>
    <row r="74" spans="1:28" ht="14.25" x14ac:dyDescent="0.2">
      <c r="C74" s="23" t="str">
        <f>"Объем: "&amp;Source!I35&amp;"=7,52/"&amp;"100"</f>
        <v>Объем: 0,0752=7,52/100</v>
      </c>
      <c r="F74" s="12"/>
      <c r="G74" s="12"/>
      <c r="H74" s="12"/>
    </row>
    <row r="75" spans="1:28" x14ac:dyDescent="0.2">
      <c r="C75" s="23" t="s">
        <v>1684</v>
      </c>
      <c r="D75" s="23">
        <f>Source!BA35</f>
        <v>6.56</v>
      </c>
    </row>
    <row r="76" spans="1:28" x14ac:dyDescent="0.2">
      <c r="C76" s="23" t="s">
        <v>1685</v>
      </c>
      <c r="D76" s="23">
        <f>Source!BB35</f>
        <v>6.56</v>
      </c>
    </row>
    <row r="77" spans="1:28" x14ac:dyDescent="0.2">
      <c r="C77" s="23" t="s">
        <v>1686</v>
      </c>
      <c r="D77" s="23">
        <f>Source!BC35</f>
        <v>6.56</v>
      </c>
    </row>
    <row r="78" spans="1:28" x14ac:dyDescent="0.2">
      <c r="C78" s="23" t="s">
        <v>1687</v>
      </c>
      <c r="D78" s="23">
        <f>Source!BS35</f>
        <v>6.56</v>
      </c>
    </row>
    <row r="79" spans="1:28" x14ac:dyDescent="0.2">
      <c r="C79" s="9" t="s">
        <v>1688</v>
      </c>
      <c r="D79" s="34"/>
      <c r="E79" s="34"/>
      <c r="F79" s="34">
        <f>Source!BZ35</f>
        <v>110</v>
      </c>
      <c r="G79" s="58">
        <f>(Source!AF35+Source!AE35)*Source!FX35/100</f>
        <v>935.66880000000003</v>
      </c>
      <c r="H79" s="58">
        <f>Source!X35</f>
        <v>461.58</v>
      </c>
    </row>
    <row r="80" spans="1:28" x14ac:dyDescent="0.2">
      <c r="C80" s="9" t="s">
        <v>1689</v>
      </c>
      <c r="D80" s="34"/>
      <c r="E80" s="34"/>
      <c r="F80" s="34"/>
      <c r="G80" s="34" t="str">
        <f>CONCATENATE(Source!DL35,Source!FT35, "=", Source!FX35, "%")</f>
        <v>*0,9=99%</v>
      </c>
      <c r="H80" s="34" t="str">
        <f>CONCATENATE(Source!AT35)</f>
        <v>99</v>
      </c>
    </row>
    <row r="81" spans="1:28" x14ac:dyDescent="0.2">
      <c r="C81" s="9" t="s">
        <v>1690</v>
      </c>
      <c r="D81" s="34"/>
      <c r="E81" s="34"/>
      <c r="F81" s="34">
        <f>Source!CA35</f>
        <v>70</v>
      </c>
      <c r="G81" s="58">
        <f>(Source!AF35+Source!AE35)*Source!FY35/100</f>
        <v>562.34640000000002</v>
      </c>
      <c r="H81" s="58">
        <f>Source!Y35</f>
        <v>279.74</v>
      </c>
    </row>
    <row r="82" spans="1:28" x14ac:dyDescent="0.2">
      <c r="C82" s="9" t="s">
        <v>1691</v>
      </c>
      <c r="D82" s="34"/>
      <c r="E82" s="34"/>
      <c r="F82" s="34"/>
      <c r="G82" s="34" t="str">
        <f>CONCATENATE(Source!DM35,Source!FU35, "=", Source!FY35, "%")</f>
        <v>*0,85=59,5%</v>
      </c>
      <c r="H82" s="34" t="str">
        <f>CONCATENATE(Source!AU35)</f>
        <v>60</v>
      </c>
    </row>
    <row r="83" spans="1:28" x14ac:dyDescent="0.2">
      <c r="C83" s="9" t="s">
        <v>1692</v>
      </c>
      <c r="D83" s="34"/>
      <c r="E83" s="34"/>
      <c r="F83" s="34"/>
      <c r="G83" s="58">
        <f>((Source!AF35+Source!AE35)*Source!FX35/100)+((Source!AF35+Source!AE35)*Source!FY35/100)+Source!AB35</f>
        <v>2580.5951999999997</v>
      </c>
      <c r="H83" s="58">
        <f>Source!O35+Source!X35+Source!Y35</f>
        <v>1275.3699999999999</v>
      </c>
    </row>
    <row r="84" spans="1:28" ht="14.25" x14ac:dyDescent="0.2">
      <c r="A84" s="46">
        <v>5</v>
      </c>
      <c r="B84" s="46" t="str">
        <f>Source!E36</f>
        <v>5</v>
      </c>
      <c r="C84" s="46" t="str">
        <f>Source!G36</f>
        <v>Смена жалюзийных решеток</v>
      </c>
      <c r="D84" s="46" t="str">
        <f>Source!F36</f>
        <v>65-33-1</v>
      </c>
      <c r="E84" s="31" t="str">
        <f>Source!H36</f>
        <v>100 ШТ</v>
      </c>
      <c r="F84" s="12">
        <f>Source!I36</f>
        <v>0.06</v>
      </c>
      <c r="G84" s="22">
        <f>Source!AB36</f>
        <v>430.86</v>
      </c>
      <c r="H84" s="22">
        <f>Source!O36</f>
        <v>169.59</v>
      </c>
      <c r="T84">
        <f>Source!O36+Source!X36+Source!Y36</f>
        <v>422.46</v>
      </c>
      <c r="U84">
        <f>Source!P36</f>
        <v>14.39</v>
      </c>
      <c r="V84">
        <f>Source!S36</f>
        <v>155.08000000000001</v>
      </c>
      <c r="W84">
        <f>Source!Q36</f>
        <v>0.12</v>
      </c>
      <c r="X84">
        <f>Source!R36</f>
        <v>0.06</v>
      </c>
      <c r="Y84">
        <f>Source!U36</f>
        <v>2.7713999999999999</v>
      </c>
      <c r="Z84">
        <f>Source!V36</f>
        <v>5.9999999999999995E-4</v>
      </c>
      <c r="AA84">
        <f>Source!X36</f>
        <v>159.79</v>
      </c>
      <c r="AB84">
        <f>Source!Y36</f>
        <v>93.08</v>
      </c>
    </row>
    <row r="85" spans="1:28" ht="14.25" x14ac:dyDescent="0.2">
      <c r="C85" s="23" t="str">
        <f>"Объем: "&amp;Source!I36&amp;"=6/"&amp;"100"</f>
        <v>Объем: 0,06=6/100</v>
      </c>
      <c r="F85" s="12"/>
      <c r="G85" s="12"/>
      <c r="H85" s="12"/>
    </row>
    <row r="86" spans="1:28" x14ac:dyDescent="0.2">
      <c r="C86" s="23" t="s">
        <v>1684</v>
      </c>
      <c r="D86" s="23">
        <f>Source!BA36</f>
        <v>6.56</v>
      </c>
    </row>
    <row r="87" spans="1:28" x14ac:dyDescent="0.2">
      <c r="C87" s="23" t="s">
        <v>1685</v>
      </c>
      <c r="D87" s="23">
        <f>Source!BB36</f>
        <v>6.56</v>
      </c>
    </row>
    <row r="88" spans="1:28" x14ac:dyDescent="0.2">
      <c r="C88" s="23" t="s">
        <v>1686</v>
      </c>
      <c r="D88" s="23">
        <f>Source!BC36</f>
        <v>6.56</v>
      </c>
    </row>
    <row r="89" spans="1:28" x14ac:dyDescent="0.2">
      <c r="C89" s="23" t="s">
        <v>1687</v>
      </c>
      <c r="D89" s="23">
        <f>Source!BS36</f>
        <v>6.56</v>
      </c>
    </row>
    <row r="90" spans="1:28" x14ac:dyDescent="0.2">
      <c r="C90" s="9" t="s">
        <v>1688</v>
      </c>
      <c r="D90" s="34"/>
      <c r="E90" s="34"/>
      <c r="F90" s="34">
        <f>Source!BZ36</f>
        <v>103</v>
      </c>
      <c r="G90" s="58">
        <f>(Source!AF36+Source!AE36)*Source!FX36/100</f>
        <v>405.96420000000001</v>
      </c>
      <c r="H90" s="58">
        <f>Source!X36</f>
        <v>159.79</v>
      </c>
    </row>
    <row r="91" spans="1:28" x14ac:dyDescent="0.2">
      <c r="C91" s="9" t="s">
        <v>1690</v>
      </c>
      <c r="D91" s="34"/>
      <c r="E91" s="34"/>
      <c r="F91" s="34">
        <f>Source!CA36</f>
        <v>60</v>
      </c>
      <c r="G91" s="58">
        <f>(Source!AF36+Source!AE36)*Source!FY36/100</f>
        <v>236.48399999999998</v>
      </c>
      <c r="H91" s="58">
        <f>Source!Y36</f>
        <v>93.08</v>
      </c>
    </row>
    <row r="92" spans="1:28" x14ac:dyDescent="0.2">
      <c r="C92" s="9" t="s">
        <v>1692</v>
      </c>
      <c r="D92" s="34"/>
      <c r="E92" s="34"/>
      <c r="F92" s="34"/>
      <c r="G92" s="58">
        <f>((Source!AF36+Source!AE36)*Source!FX36/100)+((Source!AF36+Source!AE36)*Source!FY36/100)+Source!AB36</f>
        <v>1073.3081999999999</v>
      </c>
      <c r="H92" s="58">
        <f>Source!O36+Source!X36+Source!Y36</f>
        <v>422.46</v>
      </c>
    </row>
    <row r="93" spans="1:28" ht="28.5" x14ac:dyDescent="0.2">
      <c r="A93" s="46">
        <v>6</v>
      </c>
      <c r="B93" s="46" t="str">
        <f>Source!E37</f>
        <v>5,1</v>
      </c>
      <c r="C93" s="46" t="str">
        <f>Source!G37</f>
        <v>Решетка вентиляционная пластмассовая размером 300х300 мм</v>
      </c>
      <c r="D93" s="46" t="str">
        <f>Source!F37</f>
        <v>19.2.03.07-0006</v>
      </c>
      <c r="E93" s="31" t="str">
        <f>Source!H37</f>
        <v>шт.</v>
      </c>
      <c r="F93" s="12">
        <f>Source!I37</f>
        <v>6</v>
      </c>
      <c r="G93" s="22">
        <f>Source!AB37</f>
        <v>18.670000000000002</v>
      </c>
      <c r="H93" s="22">
        <f>Source!O37</f>
        <v>734.85</v>
      </c>
      <c r="T93">
        <f>Source!O37+Source!X37+Source!Y37</f>
        <v>734.85</v>
      </c>
      <c r="U93">
        <f>Source!P37</f>
        <v>734.85</v>
      </c>
      <c r="V93">
        <f>Source!S37</f>
        <v>0</v>
      </c>
      <c r="W93">
        <f>Source!Q37</f>
        <v>0</v>
      </c>
      <c r="X93">
        <f>Source!R37</f>
        <v>0</v>
      </c>
      <c r="Y93">
        <f>Source!U37</f>
        <v>0</v>
      </c>
      <c r="Z93">
        <f>Source!V37</f>
        <v>0</v>
      </c>
      <c r="AA93">
        <f>Source!X37</f>
        <v>0</v>
      </c>
      <c r="AB93">
        <f>Source!Y37</f>
        <v>0</v>
      </c>
    </row>
    <row r="94" spans="1:28" ht="14.25" x14ac:dyDescent="0.2">
      <c r="C94" s="23" t="s">
        <v>1686</v>
      </c>
      <c r="D94" s="23">
        <f>Source!BC37</f>
        <v>6.56</v>
      </c>
      <c r="F94" s="12"/>
      <c r="G94" s="12"/>
      <c r="H94" s="12"/>
    </row>
    <row r="95" spans="1:28" ht="14.25" x14ac:dyDescent="0.2">
      <c r="A95" s="46">
        <v>7</v>
      </c>
      <c r="B95" s="46" t="str">
        <f>Source!E38</f>
        <v>5,2</v>
      </c>
      <c r="C95" s="46" t="str">
        <f>Source!G38</f>
        <v>Решетки жалюзийные</v>
      </c>
      <c r="D95" s="46" t="str">
        <f>Source!F38</f>
        <v>19.2.03.09</v>
      </c>
      <c r="E95" s="31" t="str">
        <f>Source!H38</f>
        <v>шт.</v>
      </c>
      <c r="F95" s="12">
        <f>Source!I38</f>
        <v>6</v>
      </c>
      <c r="G95" s="22">
        <f>Source!AB38</f>
        <v>0</v>
      </c>
      <c r="H95" s="22">
        <f>Source!O38</f>
        <v>0</v>
      </c>
      <c r="T95">
        <f>Source!O38+Source!X38+Source!Y38</f>
        <v>0</v>
      </c>
      <c r="U95">
        <f>Source!P38</f>
        <v>0</v>
      </c>
      <c r="V95">
        <f>Source!S38</f>
        <v>0</v>
      </c>
      <c r="W95">
        <f>Source!Q38</f>
        <v>0</v>
      </c>
      <c r="X95">
        <f>Source!R38</f>
        <v>0</v>
      </c>
      <c r="Y95">
        <f>Source!U38</f>
        <v>0</v>
      </c>
      <c r="Z95">
        <f>Source!V38</f>
        <v>0</v>
      </c>
      <c r="AA95">
        <f>Source!X38</f>
        <v>0</v>
      </c>
      <c r="AB95">
        <f>Source!Y38</f>
        <v>0</v>
      </c>
    </row>
    <row r="96" spans="1:28" ht="14.25" x14ac:dyDescent="0.2">
      <c r="C96" s="23" t="s">
        <v>1686</v>
      </c>
      <c r="D96" s="23">
        <f>Source!BC38</f>
        <v>6.56</v>
      </c>
      <c r="F96" s="12"/>
      <c r="G96" s="12"/>
      <c r="H96" s="12"/>
    </row>
    <row r="97" spans="1:28" ht="28.5" x14ac:dyDescent="0.2">
      <c r="A97" s="46">
        <v>8</v>
      </c>
      <c r="B97" s="46" t="str">
        <f>Source!E39</f>
        <v>6</v>
      </c>
      <c r="C97" s="46" t="str">
        <f>Source!G39</f>
        <v>Разборка плинтусов деревянных и из пластмассовых материалов</v>
      </c>
      <c r="D97" s="46" t="str">
        <f>Source!F39</f>
        <v>57-3-1</v>
      </c>
      <c r="E97" s="31" t="str">
        <f>Source!H39</f>
        <v>100 м</v>
      </c>
      <c r="F97" s="12">
        <f>Source!I39</f>
        <v>0.54279999999999995</v>
      </c>
      <c r="G97" s="22">
        <f>Source!AB39</f>
        <v>29.41</v>
      </c>
      <c r="H97" s="22">
        <f>Source!O39</f>
        <v>104.72</v>
      </c>
      <c r="T97">
        <f>Source!O39+Source!X39+Source!Y39</f>
        <v>259.70999999999998</v>
      </c>
      <c r="U97">
        <f>Source!P39</f>
        <v>0</v>
      </c>
      <c r="V97">
        <f>Source!S39</f>
        <v>104.72</v>
      </c>
      <c r="W97">
        <f>Source!Q39</f>
        <v>0</v>
      </c>
      <c r="X97">
        <f>Source!R39</f>
        <v>0</v>
      </c>
      <c r="Y97">
        <f>Source!U39</f>
        <v>2.0463559999999998</v>
      </c>
      <c r="Z97">
        <f>Source!V39</f>
        <v>0</v>
      </c>
      <c r="AA97">
        <f>Source!X39</f>
        <v>83.78</v>
      </c>
      <c r="AB97">
        <f>Source!Y39</f>
        <v>71.209999999999994</v>
      </c>
    </row>
    <row r="98" spans="1:28" ht="14.25" x14ac:dyDescent="0.2">
      <c r="C98" s="23" t="str">
        <f>"Объем: "&amp;Source!I39&amp;"=54,28/"&amp;"100"</f>
        <v>Объем: 0,5428=54,28/100</v>
      </c>
      <c r="F98" s="12"/>
      <c r="G98" s="12"/>
      <c r="H98" s="12"/>
    </row>
    <row r="99" spans="1:28" x14ac:dyDescent="0.2">
      <c r="C99" s="23" t="s">
        <v>1684</v>
      </c>
      <c r="D99" s="23">
        <f>Source!BA39</f>
        <v>6.56</v>
      </c>
    </row>
    <row r="100" spans="1:28" x14ac:dyDescent="0.2">
      <c r="C100" s="23" t="s">
        <v>1685</v>
      </c>
      <c r="D100" s="23">
        <f>Source!BB39</f>
        <v>6.56</v>
      </c>
    </row>
    <row r="101" spans="1:28" x14ac:dyDescent="0.2">
      <c r="C101" s="23" t="s">
        <v>1686</v>
      </c>
      <c r="D101" s="23">
        <f>Source!BC39</f>
        <v>6.56</v>
      </c>
    </row>
    <row r="102" spans="1:28" x14ac:dyDescent="0.2">
      <c r="C102" s="23" t="s">
        <v>1687</v>
      </c>
      <c r="D102" s="23">
        <f>Source!BS39</f>
        <v>6.56</v>
      </c>
    </row>
    <row r="103" spans="1:28" x14ac:dyDescent="0.2">
      <c r="C103" s="9" t="s">
        <v>1688</v>
      </c>
      <c r="D103" s="34"/>
      <c r="E103" s="34"/>
      <c r="F103" s="34">
        <f>Source!BZ39</f>
        <v>80</v>
      </c>
      <c r="G103" s="58">
        <f>(Source!AF39+Source!AE39)*Source!FX39/100</f>
        <v>23.528000000000002</v>
      </c>
      <c r="H103" s="58">
        <f>Source!X39</f>
        <v>83.78</v>
      </c>
    </row>
    <row r="104" spans="1:28" x14ac:dyDescent="0.2">
      <c r="C104" s="9" t="s">
        <v>1690</v>
      </c>
      <c r="D104" s="34"/>
      <c r="E104" s="34"/>
      <c r="F104" s="34">
        <f>Source!CA39</f>
        <v>68</v>
      </c>
      <c r="G104" s="58">
        <f>(Source!AF39+Source!AE39)*Source!FY39/100</f>
        <v>19.998800000000003</v>
      </c>
      <c r="H104" s="58">
        <f>Source!Y39</f>
        <v>71.209999999999994</v>
      </c>
    </row>
    <row r="105" spans="1:28" x14ac:dyDescent="0.2">
      <c r="C105" s="9" t="s">
        <v>1692</v>
      </c>
      <c r="D105" s="34"/>
      <c r="E105" s="34"/>
      <c r="F105" s="34"/>
      <c r="G105" s="58">
        <f>((Source!AF39+Source!AE39)*Source!FX39/100)+((Source!AF39+Source!AE39)*Source!FY39/100)+Source!AB39</f>
        <v>72.936800000000005</v>
      </c>
      <c r="H105" s="58">
        <f>Source!O39+Source!X39+Source!Y39</f>
        <v>259.70999999999998</v>
      </c>
    </row>
    <row r="106" spans="1:28" ht="28.5" x14ac:dyDescent="0.2">
      <c r="A106" s="46">
        <v>9</v>
      </c>
      <c r="B106" s="46" t="str">
        <f>Source!E40</f>
        <v>7</v>
      </c>
      <c r="C106" s="46" t="str">
        <f>Source!G40</f>
        <v>Разборка покрытий полов из линолеума и релина</v>
      </c>
      <c r="D106" s="46" t="str">
        <f>Source!F40</f>
        <v>57-2-1</v>
      </c>
      <c r="E106" s="31" t="str">
        <f>Source!H40</f>
        <v>100 м2</v>
      </c>
      <c r="F106" s="12">
        <f>Source!I40</f>
        <v>1.0109999999999999</v>
      </c>
      <c r="G106" s="22">
        <f>Source!AB40</f>
        <v>92.9</v>
      </c>
      <c r="H106" s="22">
        <f>Source!O40</f>
        <v>616.13</v>
      </c>
      <c r="T106">
        <f>Source!O40+Source!X40+Source!Y40</f>
        <v>1505.4199999999998</v>
      </c>
      <c r="U106">
        <f>Source!P40</f>
        <v>0</v>
      </c>
      <c r="V106">
        <f>Source!S40</f>
        <v>589.20000000000005</v>
      </c>
      <c r="W106">
        <f>Source!Q40</f>
        <v>26.93</v>
      </c>
      <c r="X106">
        <f>Source!R40</f>
        <v>11.67</v>
      </c>
      <c r="Y106">
        <f>Source!U40</f>
        <v>11.51529</v>
      </c>
      <c r="Z106">
        <f>Source!V40</f>
        <v>0.13142999999999999</v>
      </c>
      <c r="AA106">
        <f>Source!X40</f>
        <v>480.7</v>
      </c>
      <c r="AB106">
        <f>Source!Y40</f>
        <v>408.59</v>
      </c>
    </row>
    <row r="107" spans="1:28" ht="14.25" x14ac:dyDescent="0.2">
      <c r="C107" s="23" t="str">
        <f>"Объем: "&amp;Source!I40&amp;"=101,1/"&amp;"100"</f>
        <v>Объем: 1,011=101,1/100</v>
      </c>
      <c r="F107" s="12"/>
      <c r="G107" s="12"/>
      <c r="H107" s="12"/>
    </row>
    <row r="108" spans="1:28" x14ac:dyDescent="0.2">
      <c r="C108" s="23" t="s">
        <v>1684</v>
      </c>
      <c r="D108" s="23">
        <f>Source!BA40</f>
        <v>6.56</v>
      </c>
    </row>
    <row r="109" spans="1:28" x14ac:dyDescent="0.2">
      <c r="C109" s="23" t="s">
        <v>1685</v>
      </c>
      <c r="D109" s="23">
        <f>Source!BB40</f>
        <v>6.56</v>
      </c>
    </row>
    <row r="110" spans="1:28" x14ac:dyDescent="0.2">
      <c r="C110" s="23" t="s">
        <v>1686</v>
      </c>
      <c r="D110" s="23">
        <f>Source!BC40</f>
        <v>6.56</v>
      </c>
    </row>
    <row r="111" spans="1:28" x14ac:dyDescent="0.2">
      <c r="C111" s="23" t="s">
        <v>1687</v>
      </c>
      <c r="D111" s="23">
        <f>Source!BS40</f>
        <v>6.56</v>
      </c>
    </row>
    <row r="112" spans="1:28" x14ac:dyDescent="0.2">
      <c r="C112" s="9" t="s">
        <v>1688</v>
      </c>
      <c r="D112" s="34"/>
      <c r="E112" s="34"/>
      <c r="F112" s="34">
        <f>Source!BZ40</f>
        <v>80</v>
      </c>
      <c r="G112" s="58">
        <f>(Source!AF40+Source!AE40)*Source!FX40/100</f>
        <v>72.48</v>
      </c>
      <c r="H112" s="58">
        <f>Source!X40</f>
        <v>480.7</v>
      </c>
    </row>
    <row r="113" spans="1:28" x14ac:dyDescent="0.2">
      <c r="C113" s="9" t="s">
        <v>1690</v>
      </c>
      <c r="D113" s="34"/>
      <c r="E113" s="34"/>
      <c r="F113" s="34">
        <f>Source!CA40</f>
        <v>68</v>
      </c>
      <c r="G113" s="58">
        <f>(Source!AF40+Source!AE40)*Source!FY40/100</f>
        <v>61.608000000000004</v>
      </c>
      <c r="H113" s="58">
        <f>Source!Y40</f>
        <v>408.59</v>
      </c>
    </row>
    <row r="114" spans="1:28" x14ac:dyDescent="0.2">
      <c r="C114" s="9" t="s">
        <v>1692</v>
      </c>
      <c r="D114" s="34"/>
      <c r="E114" s="34"/>
      <c r="F114" s="34"/>
      <c r="G114" s="58">
        <f>((Source!AF40+Source!AE40)*Source!FX40/100)+((Source!AF40+Source!AE40)*Source!FY40/100)+Source!AB40</f>
        <v>226.98800000000003</v>
      </c>
      <c r="H114" s="58">
        <f>Source!O40+Source!X40+Source!Y40</f>
        <v>1505.4199999999998</v>
      </c>
    </row>
    <row r="115" spans="1:28" ht="14.25" x14ac:dyDescent="0.2">
      <c r="A115" s="46">
        <v>10</v>
      </c>
      <c r="B115" s="46" t="str">
        <f>Source!E41</f>
        <v>7,1</v>
      </c>
      <c r="C115" s="46" t="str">
        <f>Source!G41</f>
        <v>Строительный мусор</v>
      </c>
      <c r="D115" s="46" t="str">
        <f>Source!F41</f>
        <v>01.7.07.07</v>
      </c>
      <c r="E115" s="31" t="str">
        <f>Source!H41</f>
        <v>т</v>
      </c>
      <c r="F115" s="12">
        <f>Source!I41</f>
        <v>0.47516999999999998</v>
      </c>
      <c r="G115" s="22">
        <f>Source!AB41</f>
        <v>0</v>
      </c>
      <c r="H115" s="22">
        <f>Source!O41</f>
        <v>0</v>
      </c>
      <c r="T115">
        <f>Source!O41+Source!X41+Source!Y41</f>
        <v>0</v>
      </c>
      <c r="U115">
        <f>Source!P41</f>
        <v>0</v>
      </c>
      <c r="V115">
        <f>Source!S41</f>
        <v>0</v>
      </c>
      <c r="W115">
        <f>Source!Q41</f>
        <v>0</v>
      </c>
      <c r="X115">
        <f>Source!R41</f>
        <v>0</v>
      </c>
      <c r="Y115">
        <f>Source!U41</f>
        <v>0</v>
      </c>
      <c r="Z115">
        <f>Source!V41</f>
        <v>0</v>
      </c>
      <c r="AA115">
        <f>Source!X41</f>
        <v>0</v>
      </c>
      <c r="AB115">
        <f>Source!Y41</f>
        <v>0</v>
      </c>
    </row>
    <row r="116" spans="1:28" ht="14.25" x14ac:dyDescent="0.2">
      <c r="C116" s="23" t="s">
        <v>1686</v>
      </c>
      <c r="D116" s="23">
        <f>Source!BC41</f>
        <v>6.56</v>
      </c>
      <c r="F116" s="12"/>
      <c r="G116" s="12"/>
      <c r="H116" s="12"/>
    </row>
    <row r="117" spans="1:28" ht="42.75" x14ac:dyDescent="0.2">
      <c r="A117" s="46">
        <v>11</v>
      </c>
      <c r="B117" s="46" t="str">
        <f>Source!E42</f>
        <v>8</v>
      </c>
      <c r="C117" s="46" t="str">
        <f>Source!G42</f>
        <v>Разборка оснований покрытия полов простильных полов(деревянные,подиум)</v>
      </c>
      <c r="D117" s="46" t="str">
        <f>Source!F42</f>
        <v>57-1-3</v>
      </c>
      <c r="E117" s="31" t="str">
        <f>Source!H42</f>
        <v>100 м2</v>
      </c>
      <c r="F117" s="12">
        <f>Source!I42</f>
        <v>1.1116999999999999</v>
      </c>
      <c r="G117" s="22">
        <f>Source!AB42</f>
        <v>136.03</v>
      </c>
      <c r="H117" s="22">
        <f>Source!O42</f>
        <v>992.03</v>
      </c>
      <c r="T117">
        <f>Source!O42+Source!X42+Source!Y42</f>
        <v>2460.23</v>
      </c>
      <c r="U117">
        <f>Source!P42</f>
        <v>0</v>
      </c>
      <c r="V117">
        <f>Source!S42</f>
        <v>992.03</v>
      </c>
      <c r="W117">
        <f>Source!Q42</f>
        <v>0</v>
      </c>
      <c r="X117">
        <f>Source!R42</f>
        <v>0</v>
      </c>
      <c r="Y117">
        <f>Source!U42</f>
        <v>19.388048000000001</v>
      </c>
      <c r="Z117">
        <f>Source!V42</f>
        <v>0</v>
      </c>
      <c r="AA117">
        <f>Source!X42</f>
        <v>793.62</v>
      </c>
      <c r="AB117">
        <f>Source!Y42</f>
        <v>674.58</v>
      </c>
    </row>
    <row r="118" spans="1:28" ht="14.25" x14ac:dyDescent="0.2">
      <c r="C118" s="23" t="str">
        <f>"Объем: "&amp;Source!I42&amp;"=111,17/"&amp;"100"</f>
        <v>Объем: 1,1117=111,17/100</v>
      </c>
      <c r="F118" s="12"/>
      <c r="G118" s="12"/>
      <c r="H118" s="12"/>
    </row>
    <row r="119" spans="1:28" x14ac:dyDescent="0.2">
      <c r="C119" s="23" t="s">
        <v>1684</v>
      </c>
      <c r="D119" s="23">
        <f>Source!BA42</f>
        <v>6.56</v>
      </c>
    </row>
    <row r="120" spans="1:28" x14ac:dyDescent="0.2">
      <c r="C120" s="23" t="s">
        <v>1685</v>
      </c>
      <c r="D120" s="23">
        <f>Source!BB42</f>
        <v>6.56</v>
      </c>
    </row>
    <row r="121" spans="1:28" x14ac:dyDescent="0.2">
      <c r="C121" s="23" t="s">
        <v>1686</v>
      </c>
      <c r="D121" s="23">
        <f>Source!BC42</f>
        <v>6.56</v>
      </c>
    </row>
    <row r="122" spans="1:28" x14ac:dyDescent="0.2">
      <c r="C122" s="23" t="s">
        <v>1687</v>
      </c>
      <c r="D122" s="23">
        <f>Source!BS42</f>
        <v>6.56</v>
      </c>
    </row>
    <row r="123" spans="1:28" x14ac:dyDescent="0.2">
      <c r="C123" s="9" t="s">
        <v>1688</v>
      </c>
      <c r="D123" s="34"/>
      <c r="E123" s="34"/>
      <c r="F123" s="34">
        <f>Source!BZ42</f>
        <v>80</v>
      </c>
      <c r="G123" s="58">
        <f>(Source!AF42+Source!AE42)*Source!FX42/100</f>
        <v>108.824</v>
      </c>
      <c r="H123" s="58">
        <f>Source!X42</f>
        <v>793.62</v>
      </c>
    </row>
    <row r="124" spans="1:28" x14ac:dyDescent="0.2">
      <c r="C124" s="9" t="s">
        <v>1690</v>
      </c>
      <c r="D124" s="34"/>
      <c r="E124" s="34"/>
      <c r="F124" s="34">
        <f>Source!CA42</f>
        <v>68</v>
      </c>
      <c r="G124" s="58">
        <f>(Source!AF42+Source!AE42)*Source!FY42/100</f>
        <v>92.500400000000013</v>
      </c>
      <c r="H124" s="58">
        <f>Source!Y42</f>
        <v>674.58</v>
      </c>
    </row>
    <row r="125" spans="1:28" x14ac:dyDescent="0.2">
      <c r="C125" s="9" t="s">
        <v>1692</v>
      </c>
      <c r="D125" s="34"/>
      <c r="E125" s="34"/>
      <c r="F125" s="34"/>
      <c r="G125" s="58">
        <f>((Source!AF42+Source!AE42)*Source!FX42/100)+((Source!AF42+Source!AE42)*Source!FY42/100)+Source!AB42</f>
        <v>337.35440000000006</v>
      </c>
      <c r="H125" s="58">
        <f>Source!O42+Source!X42+Source!Y42</f>
        <v>2460.23</v>
      </c>
    </row>
    <row r="126" spans="1:28" ht="28.5" x14ac:dyDescent="0.2">
      <c r="A126" s="46">
        <v>12</v>
      </c>
      <c r="B126" s="46" t="str">
        <f>Source!E43</f>
        <v>9</v>
      </c>
      <c r="C126" s="46" t="str">
        <f>Source!G43</f>
        <v>Разборка покрытий полов из керамических плиток (керамогранит)</v>
      </c>
      <c r="D126" s="46" t="str">
        <f>Source!F43</f>
        <v>57-2-3 прим.</v>
      </c>
      <c r="E126" s="31" t="str">
        <f>Source!H43</f>
        <v>100 м2</v>
      </c>
      <c r="F126" s="12">
        <f>Source!I43</f>
        <v>0.111</v>
      </c>
      <c r="G126" s="22">
        <f>Source!AB43</f>
        <v>641</v>
      </c>
      <c r="H126" s="22">
        <f>Source!O43</f>
        <v>466.75</v>
      </c>
      <c r="T126">
        <f>Source!O43+Source!X43+Source!Y43</f>
        <v>1130</v>
      </c>
      <c r="U126">
        <f>Source!P43</f>
        <v>0</v>
      </c>
      <c r="V126">
        <f>Source!S43</f>
        <v>433.98</v>
      </c>
      <c r="W126">
        <f>Source!Q43</f>
        <v>32.770000000000003</v>
      </c>
      <c r="X126">
        <f>Source!R43</f>
        <v>14.16</v>
      </c>
      <c r="Y126">
        <f>Source!U43</f>
        <v>7.7555700000000005</v>
      </c>
      <c r="Z126">
        <f>Source!V43</f>
        <v>0.15984000000000001</v>
      </c>
      <c r="AA126">
        <f>Source!X43</f>
        <v>358.51</v>
      </c>
      <c r="AB126">
        <f>Source!Y43</f>
        <v>304.74</v>
      </c>
    </row>
    <row r="127" spans="1:28" ht="14.25" x14ac:dyDescent="0.2">
      <c r="C127" s="23" t="str">
        <f>"Объем: "&amp;Source!I43&amp;"=11,1/"&amp;"100"</f>
        <v>Объем: 0,111=11,1/100</v>
      </c>
      <c r="F127" s="12"/>
      <c r="G127" s="12"/>
      <c r="H127" s="12"/>
    </row>
    <row r="128" spans="1:28" x14ac:dyDescent="0.2">
      <c r="C128" s="23" t="s">
        <v>1684</v>
      </c>
      <c r="D128" s="23">
        <f>Source!BA43</f>
        <v>6.56</v>
      </c>
    </row>
    <row r="129" spans="1:28" x14ac:dyDescent="0.2">
      <c r="C129" s="23" t="s">
        <v>1685</v>
      </c>
      <c r="D129" s="23">
        <f>Source!BB43</f>
        <v>6.56</v>
      </c>
    </row>
    <row r="130" spans="1:28" x14ac:dyDescent="0.2">
      <c r="C130" s="23" t="s">
        <v>1686</v>
      </c>
      <c r="D130" s="23">
        <f>Source!BC43</f>
        <v>6.56</v>
      </c>
    </row>
    <row r="131" spans="1:28" x14ac:dyDescent="0.2">
      <c r="C131" s="23" t="s">
        <v>1687</v>
      </c>
      <c r="D131" s="23">
        <f>Source!BS43</f>
        <v>6.56</v>
      </c>
    </row>
    <row r="132" spans="1:28" x14ac:dyDescent="0.2">
      <c r="C132" s="9" t="s">
        <v>1688</v>
      </c>
      <c r="D132" s="34"/>
      <c r="E132" s="34"/>
      <c r="F132" s="34">
        <f>Source!BZ43</f>
        <v>80</v>
      </c>
      <c r="G132" s="58">
        <f>(Source!AF43+Source!AE43)*Source!FX43/100</f>
        <v>492.34400000000011</v>
      </c>
      <c r="H132" s="58">
        <f>Source!X43</f>
        <v>358.51</v>
      </c>
    </row>
    <row r="133" spans="1:28" x14ac:dyDescent="0.2">
      <c r="C133" s="9" t="s">
        <v>1690</v>
      </c>
      <c r="D133" s="34"/>
      <c r="E133" s="34"/>
      <c r="F133" s="34">
        <f>Source!CA43</f>
        <v>68</v>
      </c>
      <c r="G133" s="58">
        <f>(Source!AF43+Source!AE43)*Source!FY43/100</f>
        <v>418.49240000000003</v>
      </c>
      <c r="H133" s="58">
        <f>Source!Y43</f>
        <v>304.74</v>
      </c>
    </row>
    <row r="134" spans="1:28" x14ac:dyDescent="0.2">
      <c r="C134" s="9" t="s">
        <v>1692</v>
      </c>
      <c r="D134" s="34"/>
      <c r="E134" s="34"/>
      <c r="F134" s="34"/>
      <c r="G134" s="58">
        <f>((Source!AF43+Source!AE43)*Source!FX43/100)+((Source!AF43+Source!AE43)*Source!FY43/100)+Source!AB43</f>
        <v>1551.8364000000001</v>
      </c>
      <c r="H134" s="58">
        <f>Source!O43+Source!X43+Source!Y43</f>
        <v>1130</v>
      </c>
    </row>
    <row r="135" spans="1:28" ht="28.5" x14ac:dyDescent="0.2">
      <c r="A135" s="46">
        <v>13</v>
      </c>
      <c r="B135" s="46" t="str">
        <f>Source!E44</f>
        <v>10</v>
      </c>
      <c r="C135" s="46" t="str">
        <f>Source!G44</f>
        <v>Разборка облицовки стен из керамических глазурованных плиток</v>
      </c>
      <c r="D135" s="46" t="str">
        <f>Source!F44</f>
        <v>63-7-5</v>
      </c>
      <c r="E135" s="31" t="str">
        <f>Source!H44</f>
        <v>100 м2</v>
      </c>
      <c r="F135" s="12">
        <f>Source!I44</f>
        <v>0.50600000000000001</v>
      </c>
      <c r="G135" s="22">
        <f>Source!AB44</f>
        <v>654</v>
      </c>
      <c r="H135" s="22">
        <f>Source!O44</f>
        <v>2170.86</v>
      </c>
      <c r="T135">
        <f>Source!O44+Source!X44+Source!Y44</f>
        <v>4655.8200000000006</v>
      </c>
      <c r="U135">
        <f>Source!P44</f>
        <v>0</v>
      </c>
      <c r="V135">
        <f>Source!S44</f>
        <v>1940.96</v>
      </c>
      <c r="W135">
        <f>Source!Q44</f>
        <v>229.9</v>
      </c>
      <c r="X135">
        <f>Source!R44</f>
        <v>15.7</v>
      </c>
      <c r="Y135">
        <f>Source!U44</f>
        <v>37.595799999999997</v>
      </c>
      <c r="Z135">
        <f>Source!V44</f>
        <v>0.17709999999999998</v>
      </c>
      <c r="AA135">
        <f>Source!X44</f>
        <v>1506.63</v>
      </c>
      <c r="AB135">
        <f>Source!Y44</f>
        <v>978.33</v>
      </c>
    </row>
    <row r="136" spans="1:28" ht="14.25" x14ac:dyDescent="0.2">
      <c r="C136" s="23" t="str">
        <f>"Объем: "&amp;Source!I44&amp;"=50,6/"&amp;"100"</f>
        <v>Объем: 0,506=50,6/100</v>
      </c>
      <c r="F136" s="12"/>
      <c r="G136" s="12"/>
      <c r="H136" s="12"/>
    </row>
    <row r="137" spans="1:28" x14ac:dyDescent="0.2">
      <c r="C137" s="23" t="s">
        <v>1684</v>
      </c>
      <c r="D137" s="23">
        <f>Source!BA44</f>
        <v>6.56</v>
      </c>
    </row>
    <row r="138" spans="1:28" x14ac:dyDescent="0.2">
      <c r="C138" s="23" t="s">
        <v>1685</v>
      </c>
      <c r="D138" s="23">
        <f>Source!BB44</f>
        <v>6.56</v>
      </c>
    </row>
    <row r="139" spans="1:28" x14ac:dyDescent="0.2">
      <c r="C139" s="23" t="s">
        <v>1686</v>
      </c>
      <c r="D139" s="23">
        <f>Source!BC44</f>
        <v>6.56</v>
      </c>
    </row>
    <row r="140" spans="1:28" x14ac:dyDescent="0.2">
      <c r="C140" s="23" t="s">
        <v>1687</v>
      </c>
      <c r="D140" s="23">
        <f>Source!BS44</f>
        <v>6.56</v>
      </c>
    </row>
    <row r="141" spans="1:28" x14ac:dyDescent="0.2">
      <c r="C141" s="9" t="s">
        <v>1688</v>
      </c>
      <c r="D141" s="34"/>
      <c r="E141" s="34"/>
      <c r="F141" s="34">
        <f>Source!BZ44</f>
        <v>77</v>
      </c>
      <c r="G141" s="58">
        <f>(Source!AF44+Source!AE44)*Source!FX44/100</f>
        <v>453.89190000000002</v>
      </c>
      <c r="H141" s="58">
        <f>Source!X44</f>
        <v>1506.63</v>
      </c>
    </row>
    <row r="142" spans="1:28" x14ac:dyDescent="0.2">
      <c r="C142" s="9" t="s">
        <v>1690</v>
      </c>
      <c r="D142" s="34"/>
      <c r="E142" s="34"/>
      <c r="F142" s="34">
        <f>Source!CA44</f>
        <v>50</v>
      </c>
      <c r="G142" s="58">
        <f>(Source!AF44+Source!AE44)*Source!FY44/100</f>
        <v>294.73500000000001</v>
      </c>
      <c r="H142" s="58">
        <f>Source!Y44</f>
        <v>978.33</v>
      </c>
    </row>
    <row r="143" spans="1:28" x14ac:dyDescent="0.2">
      <c r="C143" s="9" t="s">
        <v>1692</v>
      </c>
      <c r="D143" s="34"/>
      <c r="E143" s="34"/>
      <c r="F143" s="34"/>
      <c r="G143" s="58">
        <f>((Source!AF44+Source!AE44)*Source!FX44/100)+((Source!AF44+Source!AE44)*Source!FY44/100)+Source!AB44</f>
        <v>1402.6269</v>
      </c>
      <c r="H143" s="58">
        <f>Source!O44+Source!X44+Source!Y44</f>
        <v>4655.8200000000006</v>
      </c>
    </row>
    <row r="144" spans="1:28" ht="28.5" x14ac:dyDescent="0.2">
      <c r="A144" s="46">
        <v>14</v>
      </c>
      <c r="B144" s="46" t="str">
        <f>Source!E45</f>
        <v>11</v>
      </c>
      <c r="C144" s="46" t="str">
        <f>Source!G45</f>
        <v>Демонтаж: Установка металлических дверных блоков в готовые проемы</v>
      </c>
      <c r="D144" s="46" t="str">
        <f>Source!F45</f>
        <v>09-04-012-01</v>
      </c>
      <c r="E144" s="31" t="str">
        <f>Source!H45</f>
        <v>м2</v>
      </c>
      <c r="F144" s="12">
        <f>Source!I45</f>
        <v>9.2200000000000006</v>
      </c>
      <c r="G144" s="22">
        <f>Source!AB45</f>
        <v>26.76</v>
      </c>
      <c r="H144" s="22">
        <f>Source!O45</f>
        <v>1618.53</v>
      </c>
      <c r="T144">
        <f>Source!O45+Source!X45+Source!Y45</f>
        <v>3288.8599999999997</v>
      </c>
      <c r="U144">
        <f>Source!P45</f>
        <v>0</v>
      </c>
      <c r="V144">
        <f>Source!S45</f>
        <v>1008.25</v>
      </c>
      <c r="W144">
        <f>Source!Q45</f>
        <v>610.28</v>
      </c>
      <c r="X144">
        <f>Source!R45</f>
        <v>83.47</v>
      </c>
      <c r="Y144">
        <f>Source!U45</f>
        <v>15.489600000000001</v>
      </c>
      <c r="Z144">
        <f>Source!V45</f>
        <v>1.09718</v>
      </c>
      <c r="AA144">
        <f>Source!X45</f>
        <v>884.29</v>
      </c>
      <c r="AB144">
        <f>Source!Y45</f>
        <v>786.04</v>
      </c>
    </row>
    <row r="145" spans="1:28" ht="14.25" x14ac:dyDescent="0.2">
      <c r="C145" s="23" t="s">
        <v>1684</v>
      </c>
      <c r="D145" s="23">
        <f>Source!BA45</f>
        <v>6.56</v>
      </c>
      <c r="F145" s="12"/>
      <c r="G145" s="12"/>
      <c r="H145" s="12"/>
    </row>
    <row r="146" spans="1:28" x14ac:dyDescent="0.2">
      <c r="C146" s="23" t="s">
        <v>1685</v>
      </c>
      <c r="D146" s="23">
        <f>Source!BB45</f>
        <v>6.56</v>
      </c>
    </row>
    <row r="147" spans="1:28" x14ac:dyDescent="0.2">
      <c r="C147" s="23" t="s">
        <v>1686</v>
      </c>
      <c r="D147" s="23">
        <f>Source!BC45</f>
        <v>6.56</v>
      </c>
    </row>
    <row r="148" spans="1:28" x14ac:dyDescent="0.2">
      <c r="C148" s="23" t="s">
        <v>1687</v>
      </c>
      <c r="D148" s="23">
        <f>Source!BS45</f>
        <v>6.56</v>
      </c>
    </row>
    <row r="149" spans="1:28" x14ac:dyDescent="0.2">
      <c r="C149" s="23" t="s">
        <v>1693</v>
      </c>
      <c r="D149" s="89" t="s">
        <v>92</v>
      </c>
      <c r="E149" s="89"/>
      <c r="F149" s="89"/>
      <c r="G149" s="89"/>
      <c r="H149" s="89"/>
    </row>
    <row r="150" spans="1:28" x14ac:dyDescent="0.2">
      <c r="C150" s="23" t="s">
        <v>1694</v>
      </c>
      <c r="D150" s="89" t="s">
        <v>93</v>
      </c>
      <c r="E150" s="89"/>
      <c r="F150" s="89"/>
      <c r="G150" s="89"/>
      <c r="H150" s="89"/>
    </row>
    <row r="151" spans="1:28" x14ac:dyDescent="0.2">
      <c r="C151" s="23" t="s">
        <v>1695</v>
      </c>
      <c r="D151" s="89" t="s">
        <v>93</v>
      </c>
      <c r="E151" s="89"/>
      <c r="F151" s="89"/>
      <c r="G151" s="89"/>
      <c r="H151" s="89"/>
    </row>
    <row r="152" spans="1:28" x14ac:dyDescent="0.2">
      <c r="C152" s="23" t="s">
        <v>1696</v>
      </c>
      <c r="D152" s="89" t="s">
        <v>93</v>
      </c>
      <c r="E152" s="89"/>
      <c r="F152" s="89"/>
      <c r="G152" s="89"/>
      <c r="H152" s="89"/>
    </row>
    <row r="153" spans="1:28" x14ac:dyDescent="0.2">
      <c r="C153" s="23" t="s">
        <v>1697</v>
      </c>
      <c r="D153" s="89" t="s">
        <v>93</v>
      </c>
      <c r="E153" s="89"/>
      <c r="F153" s="89"/>
      <c r="G153" s="89"/>
      <c r="H153" s="89"/>
    </row>
    <row r="154" spans="1:28" x14ac:dyDescent="0.2">
      <c r="C154" s="23" t="s">
        <v>1698</v>
      </c>
      <c r="D154" s="89" t="s">
        <v>93</v>
      </c>
      <c r="E154" s="89"/>
      <c r="F154" s="89"/>
      <c r="G154" s="89"/>
      <c r="H154" s="89"/>
    </row>
    <row r="155" spans="1:28" x14ac:dyDescent="0.2">
      <c r="C155" s="9" t="s">
        <v>1688</v>
      </c>
      <c r="D155" s="34"/>
      <c r="E155" s="34"/>
      <c r="F155" s="34">
        <f>Source!BZ45</f>
        <v>90</v>
      </c>
      <c r="G155" s="58">
        <f>(Source!AF45+Source!AE45)*Source!FX45/100</f>
        <v>14.6205</v>
      </c>
      <c r="H155" s="58">
        <f>Source!X45</f>
        <v>884.29</v>
      </c>
    </row>
    <row r="156" spans="1:28" x14ac:dyDescent="0.2">
      <c r="C156" s="9" t="s">
        <v>1689</v>
      </c>
      <c r="D156" s="34"/>
      <c r="E156" s="34"/>
      <c r="F156" s="34"/>
      <c r="G156" s="34" t="str">
        <f>CONCATENATE(Source!DL45,Source!FT45, "=", Source!FX45, "%")</f>
        <v>*0,9=81%</v>
      </c>
      <c r="H156" s="34" t="str">
        <f>CONCATENATE(Source!AT45)</f>
        <v>81</v>
      </c>
    </row>
    <row r="157" spans="1:28" x14ac:dyDescent="0.2">
      <c r="C157" s="9" t="s">
        <v>1690</v>
      </c>
      <c r="D157" s="34"/>
      <c r="E157" s="34"/>
      <c r="F157" s="34">
        <f>Source!CA45</f>
        <v>85</v>
      </c>
      <c r="G157" s="58">
        <f>(Source!AF45+Source!AE45)*Source!FY45/100</f>
        <v>13.041124999999999</v>
      </c>
      <c r="H157" s="58">
        <f>Source!Y45</f>
        <v>786.04</v>
      </c>
    </row>
    <row r="158" spans="1:28" x14ac:dyDescent="0.2">
      <c r="C158" s="9" t="s">
        <v>1691</v>
      </c>
      <c r="D158" s="34"/>
      <c r="E158" s="34"/>
      <c r="F158" s="34"/>
      <c r="G158" s="34" t="str">
        <f>CONCATENATE(Source!DM45,Source!FU45, "=", Source!FY45, "%")</f>
        <v>*0,85=72,25%</v>
      </c>
      <c r="H158" s="34" t="str">
        <f>CONCATENATE(Source!AU45)</f>
        <v>72</v>
      </c>
    </row>
    <row r="159" spans="1:28" x14ac:dyDescent="0.2">
      <c r="C159" s="9" t="s">
        <v>1692</v>
      </c>
      <c r="D159" s="34"/>
      <c r="E159" s="34"/>
      <c r="F159" s="34"/>
      <c r="G159" s="58">
        <f>((Source!AF45+Source!AE45)*Source!FX45/100)+((Source!AF45+Source!AE45)*Source!FY45/100)+Source!AB45</f>
        <v>54.421625000000006</v>
      </c>
      <c r="H159" s="58">
        <f>Source!O45+Source!X45+Source!Y45</f>
        <v>3288.8599999999997</v>
      </c>
    </row>
    <row r="160" spans="1:28" ht="42.75" x14ac:dyDescent="0.2">
      <c r="A160" s="46">
        <v>15</v>
      </c>
      <c r="B160" s="46" t="str">
        <f>Source!E46</f>
        <v>12</v>
      </c>
      <c r="C160" s="46" t="str">
        <f>Source!G46</f>
        <v>Разборка трубопроводов из водогазопроводных труб диаметром до 32 мм (карнизов)</v>
      </c>
      <c r="D160" s="46" t="str">
        <f>Source!F46</f>
        <v>65-1-1</v>
      </c>
      <c r="E160" s="31" t="str">
        <f>Source!H46</f>
        <v>100 м</v>
      </c>
      <c r="F160" s="12">
        <f>Source!I46</f>
        <v>0.16830000000000001</v>
      </c>
      <c r="G160" s="22">
        <f>Source!AB46</f>
        <v>328.71</v>
      </c>
      <c r="H160" s="22">
        <f>Source!O46</f>
        <v>362.92</v>
      </c>
      <c r="T160">
        <f>Source!O46+Source!X46+Source!Y46</f>
        <v>759.08</v>
      </c>
      <c r="U160">
        <f>Source!P46</f>
        <v>37.1</v>
      </c>
      <c r="V160">
        <f>Source!S46</f>
        <v>317.99</v>
      </c>
      <c r="W160">
        <f>Source!Q46</f>
        <v>7.83</v>
      </c>
      <c r="X160">
        <f>Source!R46</f>
        <v>1.49</v>
      </c>
      <c r="Y160">
        <f>Source!U46</f>
        <v>5.833278</v>
      </c>
      <c r="Z160">
        <f>Source!V46</f>
        <v>1.6830000000000001E-2</v>
      </c>
      <c r="AA160">
        <f>Source!X46</f>
        <v>236.42</v>
      </c>
      <c r="AB160">
        <f>Source!Y46</f>
        <v>159.74</v>
      </c>
    </row>
    <row r="161" spans="1:28" ht="14.25" x14ac:dyDescent="0.2">
      <c r="C161" s="23" t="str">
        <f>"Объем: "&amp;Source!I46&amp;"=16,83/"&amp;"100"</f>
        <v>Объем: 0,1683=16,83/100</v>
      </c>
      <c r="F161" s="12"/>
      <c r="G161" s="12"/>
      <c r="H161" s="12"/>
    </row>
    <row r="162" spans="1:28" x14ac:dyDescent="0.2">
      <c r="C162" s="23" t="s">
        <v>1684</v>
      </c>
      <c r="D162" s="23">
        <f>Source!BA46</f>
        <v>6.56</v>
      </c>
    </row>
    <row r="163" spans="1:28" x14ac:dyDescent="0.2">
      <c r="C163" s="23" t="s">
        <v>1685</v>
      </c>
      <c r="D163" s="23">
        <f>Source!BB46</f>
        <v>6.56</v>
      </c>
    </row>
    <row r="164" spans="1:28" x14ac:dyDescent="0.2">
      <c r="C164" s="23" t="s">
        <v>1686</v>
      </c>
      <c r="D164" s="23">
        <f>Source!BC46</f>
        <v>6.56</v>
      </c>
    </row>
    <row r="165" spans="1:28" x14ac:dyDescent="0.2">
      <c r="C165" s="23" t="s">
        <v>1687</v>
      </c>
      <c r="D165" s="23">
        <f>Source!BS46</f>
        <v>6.56</v>
      </c>
    </row>
    <row r="166" spans="1:28" x14ac:dyDescent="0.2">
      <c r="C166" s="9" t="s">
        <v>1688</v>
      </c>
      <c r="D166" s="34"/>
      <c r="E166" s="34"/>
      <c r="F166" s="34">
        <f>Source!BZ46</f>
        <v>74</v>
      </c>
      <c r="G166" s="58">
        <f>(Source!AF46+Source!AE46)*Source!FX46/100</f>
        <v>214.13380000000001</v>
      </c>
      <c r="H166" s="58">
        <f>Source!X46</f>
        <v>236.42</v>
      </c>
    </row>
    <row r="167" spans="1:28" x14ac:dyDescent="0.2">
      <c r="C167" s="9" t="s">
        <v>1690</v>
      </c>
      <c r="D167" s="34"/>
      <c r="E167" s="34"/>
      <c r="F167" s="34">
        <f>Source!CA46</f>
        <v>50</v>
      </c>
      <c r="G167" s="58">
        <f>(Source!AF46+Source!AE46)*Source!FY46/100</f>
        <v>144.685</v>
      </c>
      <c r="H167" s="58">
        <f>Source!Y46</f>
        <v>159.74</v>
      </c>
    </row>
    <row r="168" spans="1:28" x14ac:dyDescent="0.2">
      <c r="C168" s="9" t="s">
        <v>1692</v>
      </c>
      <c r="D168" s="34"/>
      <c r="E168" s="34"/>
      <c r="F168" s="34"/>
      <c r="G168" s="58">
        <f>((Source!AF46+Source!AE46)*Source!FX46/100)+((Source!AF46+Source!AE46)*Source!FY46/100)+Source!AB46</f>
        <v>687.52880000000005</v>
      </c>
      <c r="H168" s="58">
        <f>Source!O46+Source!X46+Source!Y46</f>
        <v>759.08</v>
      </c>
    </row>
    <row r="169" spans="1:28" ht="28.5" x14ac:dyDescent="0.2">
      <c r="A169" s="46">
        <v>16</v>
      </c>
      <c r="B169" s="46" t="str">
        <f>Source!E47</f>
        <v>12,1</v>
      </c>
      <c r="C169" s="46" t="str">
        <f>Source!G47</f>
        <v>Строительный мусор и масса возвратных материалов</v>
      </c>
      <c r="D169" s="46" t="str">
        <f>Source!F47</f>
        <v>01.7.07.07</v>
      </c>
      <c r="E169" s="31" t="str">
        <f>Source!H47</f>
        <v>т</v>
      </c>
      <c r="F169" s="12">
        <f>Source!I47</f>
        <v>3.7026000000000003E-2</v>
      </c>
      <c r="G169" s="22">
        <f>Source!AB47</f>
        <v>0</v>
      </c>
      <c r="H169" s="22">
        <f>Source!O47</f>
        <v>0</v>
      </c>
      <c r="T169">
        <f>Source!O47+Source!X47+Source!Y47</f>
        <v>0</v>
      </c>
      <c r="U169">
        <f>Source!P47</f>
        <v>0</v>
      </c>
      <c r="V169">
        <f>Source!S47</f>
        <v>0</v>
      </c>
      <c r="W169">
        <f>Source!Q47</f>
        <v>0</v>
      </c>
      <c r="X169">
        <f>Source!R47</f>
        <v>0</v>
      </c>
      <c r="Y169">
        <f>Source!U47</f>
        <v>0</v>
      </c>
      <c r="Z169">
        <f>Source!V47</f>
        <v>0</v>
      </c>
      <c r="AA169">
        <f>Source!X47</f>
        <v>0</v>
      </c>
      <c r="AB169">
        <f>Source!Y47</f>
        <v>0</v>
      </c>
    </row>
    <row r="170" spans="1:28" ht="14.25" x14ac:dyDescent="0.2">
      <c r="C170" s="23" t="s">
        <v>1686</v>
      </c>
      <c r="D170" s="23">
        <f>Source!BC47</f>
        <v>6.56</v>
      </c>
      <c r="F170" s="12"/>
      <c r="G170" s="12"/>
      <c r="H170" s="12"/>
    </row>
    <row r="171" spans="1:28" ht="28.5" x14ac:dyDescent="0.2">
      <c r="A171" s="46">
        <v>17</v>
      </c>
      <c r="B171" s="46" t="str">
        <f>Source!E48</f>
        <v>13</v>
      </c>
      <c r="C171" s="46" t="str">
        <f>Source!G48</f>
        <v>Разборка кирпичных перегородок на отдельные кирпичи</v>
      </c>
      <c r="D171" s="46" t="str">
        <f>Source!F48</f>
        <v>55-5-1</v>
      </c>
      <c r="E171" s="31" t="str">
        <f>Source!H48</f>
        <v>100 м2</v>
      </c>
      <c r="F171" s="12">
        <f>Source!I48</f>
        <v>0.215</v>
      </c>
      <c r="G171" s="22">
        <f>Source!AB48</f>
        <v>1443.4</v>
      </c>
      <c r="H171" s="22">
        <f>Source!O48</f>
        <v>2035.77</v>
      </c>
      <c r="T171">
        <f>Source!O48+Source!X48+Source!Y48</f>
        <v>4651.83</v>
      </c>
      <c r="U171">
        <f>Source!P48</f>
        <v>0</v>
      </c>
      <c r="V171">
        <f>Source!S48</f>
        <v>1698.74</v>
      </c>
      <c r="W171">
        <f>Source!Q48</f>
        <v>337.03</v>
      </c>
      <c r="X171">
        <f>Source!R48</f>
        <v>0</v>
      </c>
      <c r="Y171">
        <f>Source!U48</f>
        <v>30.357999999999997</v>
      </c>
      <c r="Z171">
        <f>Source!V48</f>
        <v>0</v>
      </c>
      <c r="AA171">
        <f>Source!X48</f>
        <v>1511.88</v>
      </c>
      <c r="AB171">
        <f>Source!Y48</f>
        <v>1104.18</v>
      </c>
    </row>
    <row r="172" spans="1:28" ht="14.25" x14ac:dyDescent="0.2">
      <c r="C172" s="23" t="str">
        <f>"Объем: "&amp;Source!I48&amp;"=21,5/"&amp;"100"</f>
        <v>Объем: 0,215=21,5/100</v>
      </c>
      <c r="F172" s="12"/>
      <c r="G172" s="12"/>
      <c r="H172" s="12"/>
    </row>
    <row r="173" spans="1:28" x14ac:dyDescent="0.2">
      <c r="C173" s="23" t="s">
        <v>1684</v>
      </c>
      <c r="D173" s="23">
        <f>Source!BA48</f>
        <v>6.56</v>
      </c>
    </row>
    <row r="174" spans="1:28" x14ac:dyDescent="0.2">
      <c r="C174" s="23" t="s">
        <v>1685</v>
      </c>
      <c r="D174" s="23">
        <f>Source!BB48</f>
        <v>6.56</v>
      </c>
    </row>
    <row r="175" spans="1:28" x14ac:dyDescent="0.2">
      <c r="C175" s="23" t="s">
        <v>1686</v>
      </c>
      <c r="D175" s="23">
        <f>Source!BC48</f>
        <v>6.56</v>
      </c>
    </row>
    <row r="176" spans="1:28" x14ac:dyDescent="0.2">
      <c r="C176" s="23" t="s">
        <v>1687</v>
      </c>
      <c r="D176" s="23">
        <f>Source!BS48</f>
        <v>6.56</v>
      </c>
    </row>
    <row r="177" spans="1:28" x14ac:dyDescent="0.2">
      <c r="C177" s="9" t="s">
        <v>1688</v>
      </c>
      <c r="D177" s="34"/>
      <c r="E177" s="34"/>
      <c r="F177" s="34">
        <f>Source!BZ48</f>
        <v>89</v>
      </c>
      <c r="G177" s="58">
        <f>(Source!AF48+Source!AE48)*Source!FX48/100</f>
        <v>1071.9516000000001</v>
      </c>
      <c r="H177" s="58">
        <f>Source!X48</f>
        <v>1511.88</v>
      </c>
    </row>
    <row r="178" spans="1:28" x14ac:dyDescent="0.2">
      <c r="C178" s="9" t="s">
        <v>1690</v>
      </c>
      <c r="D178" s="34"/>
      <c r="E178" s="34"/>
      <c r="F178" s="34">
        <f>Source!CA48</f>
        <v>65</v>
      </c>
      <c r="G178" s="58">
        <f>(Source!AF48+Source!AE48)*Source!FY48/100</f>
        <v>782.88600000000008</v>
      </c>
      <c r="H178" s="58">
        <f>Source!Y48</f>
        <v>1104.18</v>
      </c>
    </row>
    <row r="179" spans="1:28" x14ac:dyDescent="0.2">
      <c r="C179" s="9" t="s">
        <v>1692</v>
      </c>
      <c r="D179" s="34"/>
      <c r="E179" s="34"/>
      <c r="F179" s="34"/>
      <c r="G179" s="58">
        <f>((Source!AF48+Source!AE48)*Source!FX48/100)+((Source!AF48+Source!AE48)*Source!FY48/100)+Source!AB48</f>
        <v>3298.2376000000004</v>
      </c>
      <c r="H179" s="58">
        <f>Source!O48+Source!X48+Source!Y48</f>
        <v>4651.83</v>
      </c>
    </row>
    <row r="180" spans="1:28" ht="28.5" x14ac:dyDescent="0.2">
      <c r="A180" s="46">
        <v>18</v>
      </c>
      <c r="B180" s="46" t="str">
        <f>Source!E49</f>
        <v>13,1</v>
      </c>
      <c r="C180" s="46" t="str">
        <f>Source!G49</f>
        <v>Строительный мусор и масса возвратных материалов</v>
      </c>
      <c r="D180" s="46" t="str">
        <f>Source!F49</f>
        <v>01.7.07.07</v>
      </c>
      <c r="E180" s="31" t="str">
        <f>Source!H49</f>
        <v>т</v>
      </c>
      <c r="F180" s="12">
        <f>Source!I49</f>
        <v>4.1710000000000003</v>
      </c>
      <c r="G180" s="22">
        <f>Source!AB49</f>
        <v>0</v>
      </c>
      <c r="H180" s="22">
        <f>Source!O49</f>
        <v>0</v>
      </c>
      <c r="T180">
        <f>Source!O49+Source!X49+Source!Y49</f>
        <v>0</v>
      </c>
      <c r="U180">
        <f>Source!P49</f>
        <v>0</v>
      </c>
      <c r="V180">
        <f>Source!S49</f>
        <v>0</v>
      </c>
      <c r="W180">
        <f>Source!Q49</f>
        <v>0</v>
      </c>
      <c r="X180">
        <f>Source!R49</f>
        <v>0</v>
      </c>
      <c r="Y180">
        <f>Source!U49</f>
        <v>0</v>
      </c>
      <c r="Z180">
        <f>Source!V49</f>
        <v>0</v>
      </c>
      <c r="AA180">
        <f>Source!X49</f>
        <v>0</v>
      </c>
      <c r="AB180">
        <f>Source!Y49</f>
        <v>0</v>
      </c>
    </row>
    <row r="181" spans="1:28" ht="14.25" x14ac:dyDescent="0.2">
      <c r="C181" s="23" t="s">
        <v>1686</v>
      </c>
      <c r="D181" s="23">
        <f>Source!BC49</f>
        <v>6.56</v>
      </c>
      <c r="F181" s="12"/>
      <c r="G181" s="12"/>
      <c r="H181" s="12"/>
    </row>
    <row r="182" spans="1:28" ht="28.5" x14ac:dyDescent="0.2">
      <c r="A182" s="46">
        <v>19</v>
      </c>
      <c r="B182" s="46" t="str">
        <f>Source!E50</f>
        <v>14</v>
      </c>
      <c r="C182" s="46" t="str">
        <f>Source!G50</f>
        <v>Отбивка штукатурки с поверхностей стен  кирпичных</v>
      </c>
      <c r="D182" s="46" t="str">
        <f>Source!F50</f>
        <v>46-02-009-02</v>
      </c>
      <c r="E182" s="31" t="str">
        <f>Source!H50</f>
        <v>100 м2</v>
      </c>
      <c r="F182" s="12">
        <f>Source!I50</f>
        <v>1.5649999999999999</v>
      </c>
      <c r="G182" s="22">
        <f>Source!AB50</f>
        <v>178</v>
      </c>
      <c r="H182" s="22">
        <f>Source!O50</f>
        <v>1827.42</v>
      </c>
      <c r="T182">
        <f>Source!O50+Source!X50+Source!Y50</f>
        <v>4733.0200000000004</v>
      </c>
      <c r="U182">
        <f>Source!P50</f>
        <v>0</v>
      </c>
      <c r="V182">
        <f>Source!S50</f>
        <v>1827.42</v>
      </c>
      <c r="W182">
        <f>Source!Q50</f>
        <v>0</v>
      </c>
      <c r="X182">
        <f>Source!R50</f>
        <v>0</v>
      </c>
      <c r="Y182">
        <f>Source!U50</f>
        <v>35.713299999999997</v>
      </c>
      <c r="Z182">
        <f>Source!V50</f>
        <v>0</v>
      </c>
      <c r="AA182">
        <f>Source!X50</f>
        <v>1809.15</v>
      </c>
      <c r="AB182">
        <f>Source!Y50</f>
        <v>1096.45</v>
      </c>
    </row>
    <row r="183" spans="1:28" ht="14.25" x14ac:dyDescent="0.2">
      <c r="C183" s="23" t="str">
        <f>"Объем: "&amp;Source!I50&amp;"=156,5/"&amp;"100"</f>
        <v>Объем: 1,565=156,5/100</v>
      </c>
      <c r="F183" s="12"/>
      <c r="G183" s="12"/>
      <c r="H183" s="12"/>
    </row>
    <row r="184" spans="1:28" x14ac:dyDescent="0.2">
      <c r="C184" s="23" t="s">
        <v>1684</v>
      </c>
      <c r="D184" s="23">
        <f>Source!BA50</f>
        <v>6.56</v>
      </c>
    </row>
    <row r="185" spans="1:28" x14ac:dyDescent="0.2">
      <c r="C185" s="23" t="s">
        <v>1685</v>
      </c>
      <c r="D185" s="23">
        <f>Source!BB50</f>
        <v>6.56</v>
      </c>
    </row>
    <row r="186" spans="1:28" x14ac:dyDescent="0.2">
      <c r="C186" s="23" t="s">
        <v>1686</v>
      </c>
      <c r="D186" s="23">
        <f>Source!BC50</f>
        <v>6.56</v>
      </c>
    </row>
    <row r="187" spans="1:28" x14ac:dyDescent="0.2">
      <c r="C187" s="23" t="s">
        <v>1687</v>
      </c>
      <c r="D187" s="23">
        <f>Source!BS50</f>
        <v>6.56</v>
      </c>
    </row>
    <row r="188" spans="1:28" x14ac:dyDescent="0.2">
      <c r="C188" s="9" t="s">
        <v>1688</v>
      </c>
      <c r="D188" s="34"/>
      <c r="E188" s="34"/>
      <c r="F188" s="34">
        <f>Source!BZ50</f>
        <v>110</v>
      </c>
      <c r="G188" s="58">
        <f>(Source!AF50+Source!AE50)*Source!FX50/100</f>
        <v>176.22</v>
      </c>
      <c r="H188" s="58">
        <f>Source!X50</f>
        <v>1809.15</v>
      </c>
    </row>
    <row r="189" spans="1:28" x14ac:dyDescent="0.2">
      <c r="C189" s="9" t="s">
        <v>1689</v>
      </c>
      <c r="D189" s="34"/>
      <c r="E189" s="34"/>
      <c r="F189" s="34"/>
      <c r="G189" s="34" t="str">
        <f>CONCATENATE(Source!DL50,Source!FT50, "=", Source!FX50, "%")</f>
        <v>*0,9=99%</v>
      </c>
      <c r="H189" s="34" t="str">
        <f>CONCATENATE(Source!AT50)</f>
        <v>99</v>
      </c>
    </row>
    <row r="190" spans="1:28" x14ac:dyDescent="0.2">
      <c r="C190" s="9" t="s">
        <v>1690</v>
      </c>
      <c r="D190" s="34"/>
      <c r="E190" s="34"/>
      <c r="F190" s="34">
        <f>Source!CA50</f>
        <v>70</v>
      </c>
      <c r="G190" s="58">
        <f>(Source!AF50+Source!AE50)*Source!FY50/100</f>
        <v>105.91</v>
      </c>
      <c r="H190" s="58">
        <f>Source!Y50</f>
        <v>1096.45</v>
      </c>
    </row>
    <row r="191" spans="1:28" x14ac:dyDescent="0.2">
      <c r="C191" s="9" t="s">
        <v>1691</v>
      </c>
      <c r="D191" s="34"/>
      <c r="E191" s="34"/>
      <c r="F191" s="34"/>
      <c r="G191" s="34" t="str">
        <f>CONCATENATE(Source!DM50,Source!FU50, "=", Source!FY50, "%")</f>
        <v>*0,85=59,5%</v>
      </c>
      <c r="H191" s="34" t="str">
        <f>CONCATENATE(Source!AU50)</f>
        <v>60</v>
      </c>
    </row>
    <row r="192" spans="1:28" x14ac:dyDescent="0.2">
      <c r="C192" s="9" t="s">
        <v>1692</v>
      </c>
      <c r="D192" s="34"/>
      <c r="E192" s="34"/>
      <c r="F192" s="34"/>
      <c r="G192" s="58">
        <f>((Source!AF50+Source!AE50)*Source!FX50/100)+((Source!AF50+Source!AE50)*Source!FY50/100)+Source!AB50</f>
        <v>460.13</v>
      </c>
      <c r="H192" s="58">
        <f>Source!O50+Source!X50+Source!Y50</f>
        <v>4733.0200000000004</v>
      </c>
    </row>
    <row r="194" spans="1:28" ht="15" x14ac:dyDescent="0.25">
      <c r="A194" s="59"/>
      <c r="B194" s="59"/>
      <c r="C194" s="74" t="str">
        <f>CONCATENATE("Итого по подразделу: ",IF(Source!G52&lt;&gt;"Новый подраздел", Source!G52, ""))</f>
        <v>Итого по подразделу: 1 Демонтаж</v>
      </c>
      <c r="D194" s="74"/>
      <c r="E194" s="74"/>
      <c r="F194" s="74"/>
      <c r="G194" s="59"/>
      <c r="H194" s="60">
        <f>IF(SUM(T41:T193)=0, "-", SUM(T41:T193))</f>
        <v>33239.97</v>
      </c>
    </row>
    <row r="195" spans="1:28" ht="15" x14ac:dyDescent="0.25">
      <c r="A195" s="59"/>
      <c r="B195" s="59"/>
      <c r="C195" s="59"/>
      <c r="D195" s="59"/>
      <c r="E195" s="59"/>
      <c r="F195" s="59"/>
      <c r="G195" s="59"/>
      <c r="H195" s="59"/>
    </row>
    <row r="198" spans="1:28" ht="16.5" x14ac:dyDescent="0.25">
      <c r="A198" s="75" t="str">
        <f>CONCATENATE("Подраздел: ",IF(Source!G81&lt;&gt;"Новый подраздел", Source!G81, ""))</f>
        <v>Подраздел: 2 Монтаж</v>
      </c>
      <c r="B198" s="75"/>
      <c r="C198" s="75"/>
      <c r="D198" s="75"/>
      <c r="E198" s="75"/>
      <c r="F198" s="75"/>
      <c r="G198" s="75"/>
      <c r="H198" s="75"/>
    </row>
    <row r="199" spans="1:28" ht="71.25" x14ac:dyDescent="0.2">
      <c r="A199" s="46">
        <v>20</v>
      </c>
      <c r="B199" s="46" t="str">
        <f>Source!E85</f>
        <v>15</v>
      </c>
      <c r="C199" s="46" t="str">
        <f>Source!G85</f>
        <v>Установка в жилых и общественных зданиях оконных блоков из ПВХ профилей поворотных (откидных, поворотно-откидных) с площадью проема более 2 м2 двухстворчатых</v>
      </c>
      <c r="D199" s="46" t="str">
        <f>Source!F85</f>
        <v>10-01-034-06</v>
      </c>
      <c r="E199" s="31" t="str">
        <f>Source!H85</f>
        <v>100 м2</v>
      </c>
      <c r="F199" s="12">
        <f>Source!I85</f>
        <v>0.23699999999999999</v>
      </c>
      <c r="G199" s="22">
        <f>Source!AB85</f>
        <v>10081.99</v>
      </c>
      <c r="H199" s="22">
        <f>Source!O85</f>
        <v>15674.67</v>
      </c>
      <c r="T199">
        <f>Source!O85+Source!X85+Source!Y85</f>
        <v>19474.48</v>
      </c>
      <c r="U199">
        <f>Source!P85</f>
        <v>12901.61</v>
      </c>
      <c r="V199">
        <f>Source!S85</f>
        <v>2277.09</v>
      </c>
      <c r="W199">
        <f>Source!Q85</f>
        <v>495.97</v>
      </c>
      <c r="X199">
        <f>Source!R85</f>
        <v>97.79</v>
      </c>
      <c r="Y199">
        <f>Source!U85</f>
        <v>39.715985999999994</v>
      </c>
      <c r="Z199">
        <f>Source!V85</f>
        <v>1.2531375</v>
      </c>
      <c r="AA199">
        <f>Source!X85</f>
        <v>2517.37</v>
      </c>
      <c r="AB199">
        <f>Source!Y85</f>
        <v>1282.44</v>
      </c>
    </row>
    <row r="200" spans="1:28" ht="14.25" x14ac:dyDescent="0.2">
      <c r="C200" s="23" t="str">
        <f>"Объем: "&amp;Source!I85&amp;"=23,7/"&amp;"100"</f>
        <v>Объем: 0,237=23,7/100</v>
      </c>
      <c r="F200" s="12"/>
      <c r="G200" s="12"/>
      <c r="H200" s="12"/>
    </row>
    <row r="201" spans="1:28" x14ac:dyDescent="0.2">
      <c r="C201" s="23" t="s">
        <v>1684</v>
      </c>
      <c r="D201" s="23">
        <f>Source!BA85</f>
        <v>6.56</v>
      </c>
    </row>
    <row r="202" spans="1:28" x14ac:dyDescent="0.2">
      <c r="C202" s="23" t="s">
        <v>1685</v>
      </c>
      <c r="D202" s="23">
        <f>Source!BB85</f>
        <v>6.56</v>
      </c>
    </row>
    <row r="203" spans="1:28" x14ac:dyDescent="0.2">
      <c r="C203" s="23" t="s">
        <v>1686</v>
      </c>
      <c r="D203" s="23">
        <f>Source!BC85</f>
        <v>6.56</v>
      </c>
    </row>
    <row r="204" spans="1:28" x14ac:dyDescent="0.2">
      <c r="C204" s="23" t="s">
        <v>1687</v>
      </c>
      <c r="D204" s="23">
        <f>Source!BS85</f>
        <v>6.56</v>
      </c>
    </row>
    <row r="205" spans="1:28" x14ac:dyDescent="0.2">
      <c r="C205" s="23" t="s">
        <v>1694</v>
      </c>
      <c r="D205" s="89" t="s">
        <v>172</v>
      </c>
      <c r="E205" s="89"/>
      <c r="F205" s="89"/>
      <c r="G205" s="89"/>
      <c r="H205" s="89"/>
    </row>
    <row r="206" spans="1:28" x14ac:dyDescent="0.2">
      <c r="C206" s="23" t="s">
        <v>1695</v>
      </c>
      <c r="D206" s="89" t="s">
        <v>172</v>
      </c>
      <c r="E206" s="89"/>
      <c r="F206" s="89"/>
      <c r="G206" s="89"/>
      <c r="H206" s="89"/>
    </row>
    <row r="207" spans="1:28" x14ac:dyDescent="0.2">
      <c r="C207" s="23" t="s">
        <v>1696</v>
      </c>
      <c r="D207" s="89" t="s">
        <v>173</v>
      </c>
      <c r="E207" s="89"/>
      <c r="F207" s="89"/>
      <c r="G207" s="89"/>
      <c r="H207" s="89"/>
    </row>
    <row r="208" spans="1:28" x14ac:dyDescent="0.2">
      <c r="C208" s="23" t="s">
        <v>1697</v>
      </c>
      <c r="D208" s="89" t="s">
        <v>173</v>
      </c>
      <c r="E208" s="89"/>
      <c r="F208" s="89"/>
      <c r="G208" s="89"/>
      <c r="H208" s="89"/>
    </row>
    <row r="209" spans="1:28" x14ac:dyDescent="0.2">
      <c r="C209" s="23" t="s">
        <v>1698</v>
      </c>
      <c r="D209" s="89" t="s">
        <v>172</v>
      </c>
      <c r="E209" s="89"/>
      <c r="F209" s="89"/>
      <c r="G209" s="89"/>
      <c r="H209" s="89"/>
    </row>
    <row r="210" spans="1:28" x14ac:dyDescent="0.2">
      <c r="C210" s="9" t="s">
        <v>1688</v>
      </c>
      <c r="D210" s="34"/>
      <c r="E210" s="34"/>
      <c r="F210" s="34">
        <f>Source!BZ85</f>
        <v>118</v>
      </c>
      <c r="G210" s="58">
        <f>(Source!AF85+Source!AE85)*Source!FX85/100</f>
        <v>1622.2368600000002</v>
      </c>
      <c r="H210" s="58">
        <f>Source!X85</f>
        <v>2517.37</v>
      </c>
    </row>
    <row r="211" spans="1:28" x14ac:dyDescent="0.2">
      <c r="C211" s="9" t="s">
        <v>1689</v>
      </c>
      <c r="D211" s="34"/>
      <c r="E211" s="34"/>
      <c r="F211" s="34"/>
      <c r="G211" s="34" t="str">
        <f>CONCATENATE(Source!DL85,Source!FT85, "=", Source!FX85, "%")</f>
        <v>*0,9=106,2%</v>
      </c>
      <c r="H211" s="34" t="str">
        <f>CONCATENATE(Source!AT85)</f>
        <v>106</v>
      </c>
    </row>
    <row r="212" spans="1:28" x14ac:dyDescent="0.2">
      <c r="C212" s="9" t="s">
        <v>1690</v>
      </c>
      <c r="D212" s="34"/>
      <c r="E212" s="34"/>
      <c r="F212" s="34">
        <f>Source!CA85</f>
        <v>63</v>
      </c>
      <c r="G212" s="58">
        <f>(Source!AF85+Source!AE85)*Source!FY85/100</f>
        <v>817.99231500000008</v>
      </c>
      <c r="H212" s="58">
        <f>Source!Y85</f>
        <v>1282.44</v>
      </c>
    </row>
    <row r="213" spans="1:28" x14ac:dyDescent="0.2">
      <c r="C213" s="9" t="s">
        <v>1691</v>
      </c>
      <c r="D213" s="34"/>
      <c r="E213" s="34"/>
      <c r="F213" s="34"/>
      <c r="G213" s="34" t="str">
        <f>CONCATENATE(Source!DM85,Source!FU85, "=", Source!FY85, "%")</f>
        <v>*0,85=53,55%</v>
      </c>
      <c r="H213" s="34" t="str">
        <f>CONCATENATE(Source!AU85)</f>
        <v>54</v>
      </c>
    </row>
    <row r="214" spans="1:28" x14ac:dyDescent="0.2">
      <c r="C214" s="9" t="s">
        <v>1692</v>
      </c>
      <c r="D214" s="34"/>
      <c r="E214" s="34"/>
      <c r="F214" s="34"/>
      <c r="G214" s="58">
        <f>((Source!AF85+Source!AE85)*Source!FX85/100)+((Source!AF85+Source!AE85)*Source!FY85/100)+Source!AB85</f>
        <v>12522.219175</v>
      </c>
      <c r="H214" s="58">
        <f>Source!O85+Source!X85+Source!Y85</f>
        <v>19474.48</v>
      </c>
    </row>
    <row r="215" spans="1:28" ht="71.25" x14ac:dyDescent="0.2">
      <c r="A215" s="46">
        <v>21</v>
      </c>
      <c r="B215" s="46" t="str">
        <f>Source!E86</f>
        <v>15,1</v>
      </c>
      <c r="C215" s="46" t="str">
        <f>Source!G86</f>
        <v>Блок оконный пластиковый двустворчатый, с глухой и поворотно-откидной створкой, двухкамерным стеклопакетом (42 мм), площадью до 3,5 м2</v>
      </c>
      <c r="D215" s="46" t="str">
        <f>Source!F86</f>
        <v>11.3.02.01-0019</v>
      </c>
      <c r="E215" s="31" t="str">
        <f>Source!H86</f>
        <v>м2</v>
      </c>
      <c r="F215" s="12">
        <f>Source!I86</f>
        <v>23.7</v>
      </c>
      <c r="G215" s="22">
        <f>Source!AB86</f>
        <v>2554.73</v>
      </c>
      <c r="H215" s="22">
        <f>Source!O86</f>
        <v>397188.98</v>
      </c>
      <c r="T215">
        <f>Source!O86+Source!X86+Source!Y86</f>
        <v>397188.98</v>
      </c>
      <c r="U215">
        <f>Source!P86</f>
        <v>397188.98</v>
      </c>
      <c r="V215">
        <f>Source!S86</f>
        <v>0</v>
      </c>
      <c r="W215">
        <f>Source!Q86</f>
        <v>0</v>
      </c>
      <c r="X215">
        <f>Source!R86</f>
        <v>0</v>
      </c>
      <c r="Y215">
        <f>Source!U86</f>
        <v>0</v>
      </c>
      <c r="Z215">
        <f>Source!V86</f>
        <v>0</v>
      </c>
      <c r="AA215">
        <f>Source!X86</f>
        <v>0</v>
      </c>
      <c r="AB215">
        <f>Source!Y86</f>
        <v>0</v>
      </c>
    </row>
    <row r="216" spans="1:28" ht="14.25" x14ac:dyDescent="0.2">
      <c r="C216" s="23" t="s">
        <v>1686</v>
      </c>
      <c r="D216" s="23">
        <f>Source!BC86</f>
        <v>6.56</v>
      </c>
      <c r="F216" s="12"/>
      <c r="G216" s="12"/>
      <c r="H216" s="12"/>
    </row>
    <row r="217" spans="1:28" ht="14.25" x14ac:dyDescent="0.2">
      <c r="A217" s="46">
        <v>22</v>
      </c>
      <c r="B217" s="46" t="str">
        <f>Source!E87</f>
        <v>15,2</v>
      </c>
      <c r="C217" s="46" t="str">
        <f>Source!G87</f>
        <v>Блоки оконные пластиковые</v>
      </c>
      <c r="D217" s="46" t="str">
        <f>Source!F87</f>
        <v>11.3.02.03</v>
      </c>
      <c r="E217" s="31" t="str">
        <f>Source!H87</f>
        <v>м2</v>
      </c>
      <c r="F217" s="12">
        <f>Source!I87</f>
        <v>23.7</v>
      </c>
      <c r="G217" s="22">
        <f>Source!AB87</f>
        <v>0</v>
      </c>
      <c r="H217" s="22">
        <f>Source!O87</f>
        <v>0</v>
      </c>
      <c r="T217">
        <f>Source!O87+Source!X87+Source!Y87</f>
        <v>0</v>
      </c>
      <c r="U217">
        <f>Source!P87</f>
        <v>0</v>
      </c>
      <c r="V217">
        <f>Source!S87</f>
        <v>0</v>
      </c>
      <c r="W217">
        <f>Source!Q87</f>
        <v>0</v>
      </c>
      <c r="X217">
        <f>Source!R87</f>
        <v>0</v>
      </c>
      <c r="Y217">
        <f>Source!U87</f>
        <v>0</v>
      </c>
      <c r="Z217">
        <f>Source!V87</f>
        <v>0</v>
      </c>
      <c r="AA217">
        <f>Source!X87</f>
        <v>0</v>
      </c>
      <c r="AB217">
        <f>Source!Y87</f>
        <v>0</v>
      </c>
    </row>
    <row r="218" spans="1:28" ht="14.25" x14ac:dyDescent="0.2">
      <c r="C218" s="23" t="s">
        <v>1686</v>
      </c>
      <c r="D218" s="23">
        <f>Source!BC87</f>
        <v>6.56</v>
      </c>
      <c r="F218" s="12"/>
      <c r="G218" s="12"/>
      <c r="H218" s="12"/>
    </row>
    <row r="219" spans="1:28" ht="71.25" x14ac:dyDescent="0.2">
      <c r="A219" s="46">
        <v>23</v>
      </c>
      <c r="B219" s="46" t="str">
        <f>Source!E88</f>
        <v>16</v>
      </c>
      <c r="C219" s="46" t="str">
        <f>Source!G88</f>
        <v>Установка в жилых и общественных зданиях оконных блоков из ПВХ профилей поворотных (откидных, поворотно-откидных) с площадью проема до 2 м2 одностворчатых</v>
      </c>
      <c r="D219" s="46" t="str">
        <f>Source!F88</f>
        <v>10-01-034-03</v>
      </c>
      <c r="E219" s="31" t="str">
        <f>Source!H88</f>
        <v>100 м2</v>
      </c>
      <c r="F219" s="12">
        <f>Source!I88</f>
        <v>8.9999999999999993E-3</v>
      </c>
      <c r="G219" s="22">
        <f>Source!AB88</f>
        <v>16112.34</v>
      </c>
      <c r="H219" s="22">
        <f>Source!O88</f>
        <v>951.27</v>
      </c>
      <c r="T219">
        <f>Source!O88+Source!X88+Source!Y88</f>
        <v>1164.1199999999999</v>
      </c>
      <c r="U219">
        <f>Source!P88</f>
        <v>801.68</v>
      </c>
      <c r="V219">
        <f>Source!S88</f>
        <v>128.22</v>
      </c>
      <c r="W219">
        <f>Source!Q88</f>
        <v>21.37</v>
      </c>
      <c r="X219">
        <f>Source!R88</f>
        <v>4.8099999999999996</v>
      </c>
      <c r="Y219">
        <f>Source!U88</f>
        <v>2.2364279999999996</v>
      </c>
      <c r="Z219">
        <f>Source!V88</f>
        <v>5.9962499999999995E-2</v>
      </c>
      <c r="AA219">
        <f>Source!X88</f>
        <v>141.01</v>
      </c>
      <c r="AB219">
        <f>Source!Y88</f>
        <v>71.84</v>
      </c>
    </row>
    <row r="220" spans="1:28" ht="14.25" x14ac:dyDescent="0.2">
      <c r="C220" s="23" t="str">
        <f>"Объем: "&amp;Source!I88&amp;"=0,9/"&amp;"100"</f>
        <v>Объем: 0,009=0,9/100</v>
      </c>
      <c r="F220" s="12"/>
      <c r="G220" s="12"/>
      <c r="H220" s="12"/>
    </row>
    <row r="221" spans="1:28" x14ac:dyDescent="0.2">
      <c r="C221" s="23" t="s">
        <v>1684</v>
      </c>
      <c r="D221" s="23">
        <f>Source!BA88</f>
        <v>6.56</v>
      </c>
    </row>
    <row r="222" spans="1:28" x14ac:dyDescent="0.2">
      <c r="C222" s="23" t="s">
        <v>1685</v>
      </c>
      <c r="D222" s="23">
        <f>Source!BB88</f>
        <v>6.56</v>
      </c>
    </row>
    <row r="223" spans="1:28" x14ac:dyDescent="0.2">
      <c r="C223" s="23" t="s">
        <v>1686</v>
      </c>
      <c r="D223" s="23">
        <f>Source!BC88</f>
        <v>6.56</v>
      </c>
    </row>
    <row r="224" spans="1:28" x14ac:dyDescent="0.2">
      <c r="C224" s="23" t="s">
        <v>1687</v>
      </c>
      <c r="D224" s="23">
        <f>Source!BS88</f>
        <v>6.56</v>
      </c>
    </row>
    <row r="225" spans="1:28" x14ac:dyDescent="0.2">
      <c r="C225" s="23" t="s">
        <v>1694</v>
      </c>
      <c r="D225" s="89" t="s">
        <v>172</v>
      </c>
      <c r="E225" s="89"/>
      <c r="F225" s="89"/>
      <c r="G225" s="89"/>
      <c r="H225" s="89"/>
    </row>
    <row r="226" spans="1:28" x14ac:dyDescent="0.2">
      <c r="C226" s="23" t="s">
        <v>1695</v>
      </c>
      <c r="D226" s="89" t="s">
        <v>172</v>
      </c>
      <c r="E226" s="89"/>
      <c r="F226" s="89"/>
      <c r="G226" s="89"/>
      <c r="H226" s="89"/>
    </row>
    <row r="227" spans="1:28" x14ac:dyDescent="0.2">
      <c r="C227" s="23" t="s">
        <v>1696</v>
      </c>
      <c r="D227" s="89" t="s">
        <v>173</v>
      </c>
      <c r="E227" s="89"/>
      <c r="F227" s="89"/>
      <c r="G227" s="89"/>
      <c r="H227" s="89"/>
    </row>
    <row r="228" spans="1:28" x14ac:dyDescent="0.2">
      <c r="C228" s="23" t="s">
        <v>1697</v>
      </c>
      <c r="D228" s="89" t="s">
        <v>173</v>
      </c>
      <c r="E228" s="89"/>
      <c r="F228" s="89"/>
      <c r="G228" s="89"/>
      <c r="H228" s="89"/>
    </row>
    <row r="229" spans="1:28" x14ac:dyDescent="0.2">
      <c r="C229" s="23" t="s">
        <v>1698</v>
      </c>
      <c r="D229" s="89" t="s">
        <v>172</v>
      </c>
      <c r="E229" s="89"/>
      <c r="F229" s="89"/>
      <c r="G229" s="89"/>
      <c r="H229" s="89"/>
    </row>
    <row r="230" spans="1:28" x14ac:dyDescent="0.2">
      <c r="C230" s="9" t="s">
        <v>1688</v>
      </c>
      <c r="D230" s="34"/>
      <c r="E230" s="34"/>
      <c r="F230" s="34">
        <f>Source!BZ88</f>
        <v>118</v>
      </c>
      <c r="G230" s="58">
        <f>(Source!AF88+Source!AE88)*Source!FX88/100</f>
        <v>2392.9833600000002</v>
      </c>
      <c r="H230" s="58">
        <f>Source!X88</f>
        <v>141.01</v>
      </c>
    </row>
    <row r="231" spans="1:28" x14ac:dyDescent="0.2">
      <c r="C231" s="9" t="s">
        <v>1689</v>
      </c>
      <c r="D231" s="34"/>
      <c r="E231" s="34"/>
      <c r="F231" s="34"/>
      <c r="G231" s="34" t="str">
        <f>CONCATENATE(Source!DL88,Source!FT88, "=", Source!FX88, "%")</f>
        <v>*0,9=106,2%</v>
      </c>
      <c r="H231" s="34" t="str">
        <f>CONCATENATE(Source!AT88)</f>
        <v>106</v>
      </c>
    </row>
    <row r="232" spans="1:28" x14ac:dyDescent="0.2">
      <c r="C232" s="9" t="s">
        <v>1690</v>
      </c>
      <c r="D232" s="34"/>
      <c r="E232" s="34"/>
      <c r="F232" s="34">
        <f>Source!CA88</f>
        <v>63</v>
      </c>
      <c r="G232" s="58">
        <f>(Source!AF88+Source!AE88)*Source!FY88/100</f>
        <v>1206.6314400000001</v>
      </c>
      <c r="H232" s="58">
        <f>Source!Y88</f>
        <v>71.84</v>
      </c>
    </row>
    <row r="233" spans="1:28" x14ac:dyDescent="0.2">
      <c r="C233" s="9" t="s">
        <v>1691</v>
      </c>
      <c r="D233" s="34"/>
      <c r="E233" s="34"/>
      <c r="F233" s="34"/>
      <c r="G233" s="34" t="str">
        <f>CONCATENATE(Source!DM88,Source!FU88, "=", Source!FY88, "%")</f>
        <v>*0,85=53,55%</v>
      </c>
      <c r="H233" s="34" t="str">
        <f>CONCATENATE(Source!AU88)</f>
        <v>54</v>
      </c>
    </row>
    <row r="234" spans="1:28" x14ac:dyDescent="0.2">
      <c r="C234" s="9" t="s">
        <v>1692</v>
      </c>
      <c r="D234" s="34"/>
      <c r="E234" s="34"/>
      <c r="F234" s="34"/>
      <c r="G234" s="58">
        <f>((Source!AF88+Source!AE88)*Source!FX88/100)+((Source!AF88+Source!AE88)*Source!FY88/100)+Source!AB88</f>
        <v>19711.9548</v>
      </c>
      <c r="H234" s="58">
        <f>Source!O88+Source!X88+Source!Y88</f>
        <v>1164.1199999999999</v>
      </c>
    </row>
    <row r="235" spans="1:28" ht="71.25" x14ac:dyDescent="0.2">
      <c r="A235" s="46">
        <v>24</v>
      </c>
      <c r="B235" s="46" t="str">
        <f>Source!E89</f>
        <v>16,1</v>
      </c>
      <c r="C235" s="46" t="str">
        <f>Source!G89</f>
        <v>Блок оконный пластиковый одностворчатый, с поворотно-откидной створкой, двухкамерным стеклопакетом (42 мм), площадью до 1 м2</v>
      </c>
      <c r="D235" s="46" t="str">
        <f>Source!F89</f>
        <v>11.3.02.02-0012</v>
      </c>
      <c r="E235" s="31" t="str">
        <f>Source!H89</f>
        <v>м2</v>
      </c>
      <c r="F235" s="12">
        <f>Source!I89</f>
        <v>0.9</v>
      </c>
      <c r="G235" s="22">
        <f>Source!AB89</f>
        <v>4581.8599999999997</v>
      </c>
      <c r="H235" s="22">
        <f>Source!O89</f>
        <v>27051.3</v>
      </c>
      <c r="T235">
        <f>Source!O89+Source!X89+Source!Y89</f>
        <v>27051.3</v>
      </c>
      <c r="U235">
        <f>Source!P89</f>
        <v>27051.3</v>
      </c>
      <c r="V235">
        <f>Source!S89</f>
        <v>0</v>
      </c>
      <c r="W235">
        <f>Source!Q89</f>
        <v>0</v>
      </c>
      <c r="X235">
        <f>Source!R89</f>
        <v>0</v>
      </c>
      <c r="Y235">
        <f>Source!U89</f>
        <v>0</v>
      </c>
      <c r="Z235">
        <f>Source!V89</f>
        <v>0</v>
      </c>
      <c r="AA235">
        <f>Source!X89</f>
        <v>0</v>
      </c>
      <c r="AB235">
        <f>Source!Y89</f>
        <v>0</v>
      </c>
    </row>
    <row r="236" spans="1:28" ht="14.25" x14ac:dyDescent="0.2">
      <c r="C236" s="23" t="s">
        <v>1686</v>
      </c>
      <c r="D236" s="23">
        <f>Source!BC89</f>
        <v>6.56</v>
      </c>
      <c r="F236" s="12"/>
      <c r="G236" s="12"/>
      <c r="H236" s="12"/>
    </row>
    <row r="237" spans="1:28" ht="14.25" x14ac:dyDescent="0.2">
      <c r="A237" s="46">
        <v>25</v>
      </c>
      <c r="B237" s="46" t="str">
        <f>Source!E90</f>
        <v>16,2</v>
      </c>
      <c r="C237" s="46" t="str">
        <f>Source!G90</f>
        <v>Блоки оконные пластиковые</v>
      </c>
      <c r="D237" s="46" t="str">
        <f>Source!F90</f>
        <v>11.3.02.03</v>
      </c>
      <c r="E237" s="31" t="str">
        <f>Source!H90</f>
        <v>м2</v>
      </c>
      <c r="F237" s="12">
        <f>Source!I90</f>
        <v>0.9</v>
      </c>
      <c r="G237" s="22">
        <f>Source!AB90</f>
        <v>0</v>
      </c>
      <c r="H237" s="22">
        <f>Source!O90</f>
        <v>0</v>
      </c>
      <c r="T237">
        <f>Source!O90+Source!X90+Source!Y90</f>
        <v>0</v>
      </c>
      <c r="U237">
        <f>Source!P90</f>
        <v>0</v>
      </c>
      <c r="V237">
        <f>Source!S90</f>
        <v>0</v>
      </c>
      <c r="W237">
        <f>Source!Q90</f>
        <v>0</v>
      </c>
      <c r="X237">
        <f>Source!R90</f>
        <v>0</v>
      </c>
      <c r="Y237">
        <f>Source!U90</f>
        <v>0</v>
      </c>
      <c r="Z237">
        <f>Source!V90</f>
        <v>0</v>
      </c>
      <c r="AA237">
        <f>Source!X90</f>
        <v>0</v>
      </c>
      <c r="AB237">
        <f>Source!Y90</f>
        <v>0</v>
      </c>
    </row>
    <row r="238" spans="1:28" ht="14.25" x14ac:dyDescent="0.2">
      <c r="C238" s="23" t="s">
        <v>1686</v>
      </c>
      <c r="D238" s="23">
        <f>Source!BC90</f>
        <v>6.56</v>
      </c>
      <c r="F238" s="12"/>
      <c r="G238" s="12"/>
      <c r="H238" s="12"/>
    </row>
    <row r="239" spans="1:28" ht="42.75" x14ac:dyDescent="0.2">
      <c r="A239" s="46">
        <v>26</v>
      </c>
      <c r="B239" s="46" t="str">
        <f>Source!E91</f>
        <v>17</v>
      </c>
      <c r="C239" s="46" t="str">
        <f>Source!G91</f>
        <v>Устройство мелких покрытий (брандмауэры, парапеты, свесы и т.п.) из листовой оцинкованной стали</v>
      </c>
      <c r="D239" s="46" t="str">
        <f>Source!F91</f>
        <v>12-01-010-01</v>
      </c>
      <c r="E239" s="31" t="str">
        <f>Source!H91</f>
        <v>100 м2</v>
      </c>
      <c r="F239" s="12">
        <f>Source!I91</f>
        <v>2.6499999999999999E-2</v>
      </c>
      <c r="G239" s="22">
        <f>Source!AB91</f>
        <v>10023.950000000001</v>
      </c>
      <c r="H239" s="22">
        <f>Source!O91</f>
        <v>1742.56</v>
      </c>
      <c r="T239">
        <f>Source!O91+Source!X91+Source!Y91</f>
        <v>2057.1999999999998</v>
      </c>
      <c r="U239">
        <f>Source!P91</f>
        <v>1545.54</v>
      </c>
      <c r="V239">
        <f>Source!S91</f>
        <v>192.27</v>
      </c>
      <c r="W239">
        <f>Source!Q91</f>
        <v>4.75</v>
      </c>
      <c r="X239">
        <f>Source!R91</f>
        <v>0.76</v>
      </c>
      <c r="Y239">
        <f>Source!U91</f>
        <v>3.4360562499999996</v>
      </c>
      <c r="Z239">
        <f>Source!V91</f>
        <v>8.9437500000000003E-3</v>
      </c>
      <c r="AA239">
        <f>Source!X91</f>
        <v>208.47</v>
      </c>
      <c r="AB239">
        <f>Source!Y91</f>
        <v>106.17</v>
      </c>
    </row>
    <row r="240" spans="1:28" ht="14.25" x14ac:dyDescent="0.2">
      <c r="C240" s="23" t="str">
        <f>"Объем: "&amp;Source!I91&amp;"=2,65/"&amp;"100"</f>
        <v>Объем: 0,0265=2,65/100</v>
      </c>
      <c r="F240" s="12"/>
      <c r="G240" s="12"/>
      <c r="H240" s="12"/>
    </row>
    <row r="241" spans="1:28" x14ac:dyDescent="0.2">
      <c r="C241" s="23" t="s">
        <v>1684</v>
      </c>
      <c r="D241" s="23">
        <f>Source!BA91</f>
        <v>6.56</v>
      </c>
    </row>
    <row r="242" spans="1:28" x14ac:dyDescent="0.2">
      <c r="C242" s="23" t="s">
        <v>1685</v>
      </c>
      <c r="D242" s="23">
        <f>Source!BB91</f>
        <v>6.56</v>
      </c>
    </row>
    <row r="243" spans="1:28" x14ac:dyDescent="0.2">
      <c r="C243" s="23" t="s">
        <v>1686</v>
      </c>
      <c r="D243" s="23">
        <f>Source!BC91</f>
        <v>6.56</v>
      </c>
    </row>
    <row r="244" spans="1:28" x14ac:dyDescent="0.2">
      <c r="C244" s="23" t="s">
        <v>1687</v>
      </c>
      <c r="D244" s="23">
        <f>Source!BS91</f>
        <v>6.56</v>
      </c>
    </row>
    <row r="245" spans="1:28" x14ac:dyDescent="0.2">
      <c r="C245" s="23" t="s">
        <v>1694</v>
      </c>
      <c r="D245" s="89" t="s">
        <v>172</v>
      </c>
      <c r="E245" s="89"/>
      <c r="F245" s="89"/>
      <c r="G245" s="89"/>
      <c r="H245" s="89"/>
    </row>
    <row r="246" spans="1:28" x14ac:dyDescent="0.2">
      <c r="C246" s="23" t="s">
        <v>1695</v>
      </c>
      <c r="D246" s="89" t="s">
        <v>172</v>
      </c>
      <c r="E246" s="89"/>
      <c r="F246" s="89"/>
      <c r="G246" s="89"/>
      <c r="H246" s="89"/>
    </row>
    <row r="247" spans="1:28" x14ac:dyDescent="0.2">
      <c r="C247" s="23" t="s">
        <v>1696</v>
      </c>
      <c r="D247" s="89" t="s">
        <v>173</v>
      </c>
      <c r="E247" s="89"/>
      <c r="F247" s="89"/>
      <c r="G247" s="89"/>
      <c r="H247" s="89"/>
    </row>
    <row r="248" spans="1:28" x14ac:dyDescent="0.2">
      <c r="C248" s="23" t="s">
        <v>1697</v>
      </c>
      <c r="D248" s="89" t="s">
        <v>173</v>
      </c>
      <c r="E248" s="89"/>
      <c r="F248" s="89"/>
      <c r="G248" s="89"/>
      <c r="H248" s="89"/>
    </row>
    <row r="249" spans="1:28" x14ac:dyDescent="0.2">
      <c r="C249" s="23" t="s">
        <v>1698</v>
      </c>
      <c r="D249" s="89" t="s">
        <v>172</v>
      </c>
      <c r="E249" s="89"/>
      <c r="F249" s="89"/>
      <c r="G249" s="89"/>
      <c r="H249" s="89"/>
    </row>
    <row r="250" spans="1:28" x14ac:dyDescent="0.2">
      <c r="C250" s="9" t="s">
        <v>1688</v>
      </c>
      <c r="D250" s="34"/>
      <c r="E250" s="34"/>
      <c r="F250" s="34">
        <f>Source!BZ91</f>
        <v>120</v>
      </c>
      <c r="G250" s="58">
        <f>(Source!AF91+Source!AE91)*Source!FX91/100</f>
        <v>1199.2428000000002</v>
      </c>
      <c r="H250" s="58">
        <f>Source!X91</f>
        <v>208.47</v>
      </c>
    </row>
    <row r="251" spans="1:28" x14ac:dyDescent="0.2">
      <c r="C251" s="9" t="s">
        <v>1689</v>
      </c>
      <c r="D251" s="34"/>
      <c r="E251" s="34"/>
      <c r="F251" s="34"/>
      <c r="G251" s="34" t="str">
        <f>CONCATENATE(Source!DL91,Source!FT91, "=", Source!FX91, "%")</f>
        <v>*0,9=108%</v>
      </c>
      <c r="H251" s="34" t="str">
        <f>CONCATENATE(Source!AT91)</f>
        <v>108</v>
      </c>
    </row>
    <row r="252" spans="1:28" x14ac:dyDescent="0.2">
      <c r="C252" s="9" t="s">
        <v>1690</v>
      </c>
      <c r="D252" s="34"/>
      <c r="E252" s="34"/>
      <c r="F252" s="34">
        <f>Source!CA91</f>
        <v>65</v>
      </c>
      <c r="G252" s="58">
        <f>(Source!AF91+Source!AE91)*Source!FY91/100</f>
        <v>613.50152500000002</v>
      </c>
      <c r="H252" s="58">
        <f>Source!Y91</f>
        <v>106.17</v>
      </c>
    </row>
    <row r="253" spans="1:28" x14ac:dyDescent="0.2">
      <c r="C253" s="9" t="s">
        <v>1691</v>
      </c>
      <c r="D253" s="34"/>
      <c r="E253" s="34"/>
      <c r="F253" s="34"/>
      <c r="G253" s="34" t="str">
        <f>CONCATENATE(Source!DM91,Source!FU91, "=", Source!FY91, "%")</f>
        <v>*0,85=55,25%</v>
      </c>
      <c r="H253" s="34" t="str">
        <f>CONCATENATE(Source!AU91)</f>
        <v>55</v>
      </c>
    </row>
    <row r="254" spans="1:28" x14ac:dyDescent="0.2">
      <c r="C254" s="9" t="s">
        <v>1692</v>
      </c>
      <c r="D254" s="34"/>
      <c r="E254" s="34"/>
      <c r="F254" s="34"/>
      <c r="G254" s="58">
        <f>((Source!AF91+Source!AE91)*Source!FX91/100)+((Source!AF91+Source!AE91)*Source!FY91/100)+Source!AB91</f>
        <v>11836.694325</v>
      </c>
      <c r="H254" s="58">
        <f>Source!O91+Source!X91+Source!Y91</f>
        <v>2057.1999999999998</v>
      </c>
    </row>
    <row r="255" spans="1:28" ht="28.5" x14ac:dyDescent="0.2">
      <c r="A255" s="46">
        <v>27</v>
      </c>
      <c r="B255" s="46" t="str">
        <f>Source!E92</f>
        <v>18</v>
      </c>
      <c r="C255" s="46" t="str">
        <f>Source!G92</f>
        <v>Установка подоконных досок из ПВХ в каменных стенах толщиной до 0,51 м</v>
      </c>
      <c r="D255" s="46" t="str">
        <f>Source!F92</f>
        <v>10-01-035-01</v>
      </c>
      <c r="E255" s="31" t="str">
        <f>Source!H92</f>
        <v>100 м</v>
      </c>
      <c r="F255" s="12">
        <f>Source!I92</f>
        <v>5.2999999999999999E-2</v>
      </c>
      <c r="G255" s="22">
        <f>Source!AB92</f>
        <v>4213.95</v>
      </c>
      <c r="H255" s="22">
        <f>Source!O92</f>
        <v>1465.11</v>
      </c>
      <c r="T255">
        <f>Source!O92+Source!X92+Source!Y92</f>
        <v>1582.33</v>
      </c>
      <c r="U255">
        <f>Source!P92</f>
        <v>1388.01</v>
      </c>
      <c r="V255">
        <f>Source!S92</f>
        <v>72.27</v>
      </c>
      <c r="W255">
        <f>Source!Q92</f>
        <v>4.83</v>
      </c>
      <c r="X255">
        <f>Source!R92</f>
        <v>0.99</v>
      </c>
      <c r="Y255">
        <f>Source!U92</f>
        <v>1.2915304999999999</v>
      </c>
      <c r="Z255">
        <f>Source!V92</f>
        <v>1.25875E-2</v>
      </c>
      <c r="AA255">
        <f>Source!X92</f>
        <v>77.66</v>
      </c>
      <c r="AB255">
        <f>Source!Y92</f>
        <v>39.56</v>
      </c>
    </row>
    <row r="256" spans="1:28" ht="14.25" x14ac:dyDescent="0.2">
      <c r="C256" s="23" t="str">
        <f>"Объем: "&amp;Source!I92&amp;"=5,3/"&amp;"100"</f>
        <v>Объем: 0,053=5,3/100</v>
      </c>
      <c r="F256" s="12"/>
      <c r="G256" s="12"/>
      <c r="H256" s="12"/>
    </row>
    <row r="257" spans="1:28" x14ac:dyDescent="0.2">
      <c r="C257" s="23" t="s">
        <v>1684</v>
      </c>
      <c r="D257" s="23">
        <f>Source!BA92</f>
        <v>6.56</v>
      </c>
    </row>
    <row r="258" spans="1:28" x14ac:dyDescent="0.2">
      <c r="C258" s="23" t="s">
        <v>1685</v>
      </c>
      <c r="D258" s="23">
        <f>Source!BB92</f>
        <v>6.56</v>
      </c>
    </row>
    <row r="259" spans="1:28" x14ac:dyDescent="0.2">
      <c r="C259" s="23" t="s">
        <v>1686</v>
      </c>
      <c r="D259" s="23">
        <f>Source!BC92</f>
        <v>6.56</v>
      </c>
    </row>
    <row r="260" spans="1:28" x14ac:dyDescent="0.2">
      <c r="C260" s="23" t="s">
        <v>1687</v>
      </c>
      <c r="D260" s="23">
        <f>Source!BS92</f>
        <v>6.56</v>
      </c>
    </row>
    <row r="261" spans="1:28" x14ac:dyDescent="0.2">
      <c r="C261" s="23" t="s">
        <v>1694</v>
      </c>
      <c r="D261" s="89" t="s">
        <v>172</v>
      </c>
      <c r="E261" s="89"/>
      <c r="F261" s="89"/>
      <c r="G261" s="89"/>
      <c r="H261" s="89"/>
    </row>
    <row r="262" spans="1:28" x14ac:dyDescent="0.2">
      <c r="C262" s="23" t="s">
        <v>1695</v>
      </c>
      <c r="D262" s="89" t="s">
        <v>172</v>
      </c>
      <c r="E262" s="89"/>
      <c r="F262" s="89"/>
      <c r="G262" s="89"/>
      <c r="H262" s="89"/>
    </row>
    <row r="263" spans="1:28" x14ac:dyDescent="0.2">
      <c r="C263" s="23" t="s">
        <v>1696</v>
      </c>
      <c r="D263" s="89" t="s">
        <v>173</v>
      </c>
      <c r="E263" s="89"/>
      <c r="F263" s="89"/>
      <c r="G263" s="89"/>
      <c r="H263" s="89"/>
    </row>
    <row r="264" spans="1:28" x14ac:dyDescent="0.2">
      <c r="C264" s="23" t="s">
        <v>1697</v>
      </c>
      <c r="D264" s="89" t="s">
        <v>173</v>
      </c>
      <c r="E264" s="89"/>
      <c r="F264" s="89"/>
      <c r="G264" s="89"/>
      <c r="H264" s="89"/>
    </row>
    <row r="265" spans="1:28" x14ac:dyDescent="0.2">
      <c r="C265" s="23" t="s">
        <v>1698</v>
      </c>
      <c r="D265" s="89" t="s">
        <v>172</v>
      </c>
      <c r="E265" s="89"/>
      <c r="F265" s="89"/>
      <c r="G265" s="89"/>
      <c r="H265" s="89"/>
    </row>
    <row r="266" spans="1:28" x14ac:dyDescent="0.2">
      <c r="C266" s="9" t="s">
        <v>1688</v>
      </c>
      <c r="D266" s="34"/>
      <c r="E266" s="34"/>
      <c r="F266" s="34">
        <f>Source!BZ92</f>
        <v>118</v>
      </c>
      <c r="G266" s="58">
        <f>(Source!AF92+Source!AE92)*Source!FX92/100</f>
        <v>223.77402000000001</v>
      </c>
      <c r="H266" s="58">
        <f>Source!X92</f>
        <v>77.66</v>
      </c>
    </row>
    <row r="267" spans="1:28" x14ac:dyDescent="0.2">
      <c r="C267" s="9" t="s">
        <v>1689</v>
      </c>
      <c r="D267" s="34"/>
      <c r="E267" s="34"/>
      <c r="F267" s="34"/>
      <c r="G267" s="34" t="str">
        <f>CONCATENATE(Source!DL92,Source!FT92, "=", Source!FX92, "%")</f>
        <v>*0,9=106,2%</v>
      </c>
      <c r="H267" s="34" t="str">
        <f>CONCATENATE(Source!AT92)</f>
        <v>106</v>
      </c>
    </row>
    <row r="268" spans="1:28" x14ac:dyDescent="0.2">
      <c r="C268" s="9" t="s">
        <v>1690</v>
      </c>
      <c r="D268" s="34"/>
      <c r="E268" s="34"/>
      <c r="F268" s="34">
        <f>Source!CA92</f>
        <v>63</v>
      </c>
      <c r="G268" s="58">
        <f>(Source!AF92+Source!AE92)*Source!FY92/100</f>
        <v>112.835205</v>
      </c>
      <c r="H268" s="58">
        <f>Source!Y92</f>
        <v>39.56</v>
      </c>
    </row>
    <row r="269" spans="1:28" x14ac:dyDescent="0.2">
      <c r="C269" s="9" t="s">
        <v>1691</v>
      </c>
      <c r="D269" s="34"/>
      <c r="E269" s="34"/>
      <c r="F269" s="34"/>
      <c r="G269" s="34" t="str">
        <f>CONCATENATE(Source!DM92,Source!FU92, "=", Source!FY92, "%")</f>
        <v>*0,85=53,55%</v>
      </c>
      <c r="H269" s="34" t="str">
        <f>CONCATENATE(Source!AU92)</f>
        <v>54</v>
      </c>
    </row>
    <row r="270" spans="1:28" x14ac:dyDescent="0.2">
      <c r="C270" s="9" t="s">
        <v>1692</v>
      </c>
      <c r="D270" s="34"/>
      <c r="E270" s="34"/>
      <c r="F270" s="34"/>
      <c r="G270" s="58">
        <f>((Source!AF92+Source!AE92)*Source!FX92/100)+((Source!AF92+Source!AE92)*Source!FY92/100)+Source!AB92</f>
        <v>4550.559225</v>
      </c>
      <c r="H270" s="58">
        <f>Source!O92+Source!X92+Source!Y92</f>
        <v>1582.33</v>
      </c>
    </row>
    <row r="271" spans="1:28" ht="28.5" x14ac:dyDescent="0.2">
      <c r="A271" s="46">
        <v>28</v>
      </c>
      <c r="B271" s="46" t="str">
        <f>Source!E93</f>
        <v>18,1</v>
      </c>
      <c r="C271" s="46" t="str">
        <f>Source!G93</f>
        <v>Доски подоконные ПВХ, шириной 500 мм</v>
      </c>
      <c r="D271" s="46" t="str">
        <f>Source!F93</f>
        <v>11.3.03.01-0010</v>
      </c>
      <c r="E271" s="31" t="str">
        <f>Source!H93</f>
        <v>м</v>
      </c>
      <c r="F271" s="12">
        <f>Source!I93</f>
        <v>5.3</v>
      </c>
      <c r="G271" s="22">
        <f>Source!AB93</f>
        <v>64.349999999999994</v>
      </c>
      <c r="H271" s="22">
        <f>Source!O93</f>
        <v>2237.3200000000002</v>
      </c>
      <c r="T271">
        <f>Source!O93+Source!X93+Source!Y93</f>
        <v>2237.3200000000002</v>
      </c>
      <c r="U271">
        <f>Source!P93</f>
        <v>2237.3200000000002</v>
      </c>
      <c r="V271">
        <f>Source!S93</f>
        <v>0</v>
      </c>
      <c r="W271">
        <f>Source!Q93</f>
        <v>0</v>
      </c>
      <c r="X271">
        <f>Source!R93</f>
        <v>0</v>
      </c>
      <c r="Y271">
        <f>Source!U93</f>
        <v>0</v>
      </c>
      <c r="Z271">
        <f>Source!V93</f>
        <v>0</v>
      </c>
      <c r="AA271">
        <f>Source!X93</f>
        <v>0</v>
      </c>
      <c r="AB271">
        <f>Source!Y93</f>
        <v>0</v>
      </c>
    </row>
    <row r="272" spans="1:28" ht="14.25" x14ac:dyDescent="0.2">
      <c r="C272" s="23" t="s">
        <v>1686</v>
      </c>
      <c r="D272" s="23">
        <f>Source!BC93</f>
        <v>6.56</v>
      </c>
      <c r="F272" s="12"/>
      <c r="G272" s="12"/>
      <c r="H272" s="12"/>
    </row>
    <row r="273" spans="1:28" ht="42.75" x14ac:dyDescent="0.2">
      <c r="A273" s="46">
        <v>29</v>
      </c>
      <c r="B273" s="46" t="str">
        <f>Source!E94</f>
        <v>19</v>
      </c>
      <c r="C273" s="46" t="str">
        <f>Source!G94</f>
        <v>Штукатурка поверхностей оконных и дверных откосов по бетону и камню плоских</v>
      </c>
      <c r="D273" s="46" t="str">
        <f>Source!F94</f>
        <v>15-02-031-01</v>
      </c>
      <c r="E273" s="31" t="str">
        <f>Source!H94</f>
        <v>100 м2</v>
      </c>
      <c r="F273" s="12">
        <f>Source!I94</f>
        <v>0.2114</v>
      </c>
      <c r="G273" s="22">
        <f>Source!AB94</f>
        <v>4507.09</v>
      </c>
      <c r="H273" s="22">
        <f>Source!O94</f>
        <v>6250.36</v>
      </c>
      <c r="T273">
        <f>Source!O94+Source!X94+Source!Y94</f>
        <v>10611.9</v>
      </c>
      <c r="U273">
        <f>Source!P94</f>
        <v>3115.42</v>
      </c>
      <c r="V273">
        <f>Source!S94</f>
        <v>3023.3</v>
      </c>
      <c r="W273">
        <f>Source!Q94</f>
        <v>111.64</v>
      </c>
      <c r="X273">
        <f>Source!R94</f>
        <v>48.2</v>
      </c>
      <c r="Y273">
        <f>Source!U94</f>
        <v>49.6090266</v>
      </c>
      <c r="Z273">
        <f>Source!V94</f>
        <v>0.54435500000000003</v>
      </c>
      <c r="AA273">
        <f>Source!X94</f>
        <v>2917.93</v>
      </c>
      <c r="AB273">
        <f>Source!Y94</f>
        <v>1443.61</v>
      </c>
    </row>
    <row r="274" spans="1:28" ht="14.25" x14ac:dyDescent="0.2">
      <c r="C274" s="23" t="str">
        <f>"Объем: "&amp;Source!I94&amp;"=21,14/"&amp;"100"</f>
        <v>Объем: 0,2114=21,14/100</v>
      </c>
      <c r="F274" s="12"/>
      <c r="G274" s="12"/>
      <c r="H274" s="12"/>
    </row>
    <row r="275" spans="1:28" x14ac:dyDescent="0.2">
      <c r="C275" s="23" t="s">
        <v>1684</v>
      </c>
      <c r="D275" s="23">
        <f>Source!BA94</f>
        <v>6.56</v>
      </c>
    </row>
    <row r="276" spans="1:28" x14ac:dyDescent="0.2">
      <c r="C276" s="23" t="s">
        <v>1685</v>
      </c>
      <c r="D276" s="23">
        <f>Source!BB94</f>
        <v>6.56</v>
      </c>
    </row>
    <row r="277" spans="1:28" x14ac:dyDescent="0.2">
      <c r="C277" s="23" t="s">
        <v>1686</v>
      </c>
      <c r="D277" s="23">
        <f>Source!BC94</f>
        <v>6.56</v>
      </c>
    </row>
    <row r="278" spans="1:28" x14ac:dyDescent="0.2">
      <c r="C278" s="23" t="s">
        <v>1687</v>
      </c>
      <c r="D278" s="23">
        <f>Source!BS94</f>
        <v>6.56</v>
      </c>
    </row>
    <row r="279" spans="1:28" x14ac:dyDescent="0.2">
      <c r="C279" s="23" t="s">
        <v>1694</v>
      </c>
      <c r="D279" s="89" t="s">
        <v>172</v>
      </c>
      <c r="E279" s="89"/>
      <c r="F279" s="89"/>
      <c r="G279" s="89"/>
      <c r="H279" s="89"/>
    </row>
    <row r="280" spans="1:28" x14ac:dyDescent="0.2">
      <c r="C280" s="23" t="s">
        <v>1695</v>
      </c>
      <c r="D280" s="89" t="s">
        <v>172</v>
      </c>
      <c r="E280" s="89"/>
      <c r="F280" s="89"/>
      <c r="G280" s="89"/>
      <c r="H280" s="89"/>
    </row>
    <row r="281" spans="1:28" x14ac:dyDescent="0.2">
      <c r="C281" s="23" t="s">
        <v>1696</v>
      </c>
      <c r="D281" s="89" t="s">
        <v>173</v>
      </c>
      <c r="E281" s="89"/>
      <c r="F281" s="89"/>
      <c r="G281" s="89"/>
      <c r="H281" s="89"/>
    </row>
    <row r="282" spans="1:28" x14ac:dyDescent="0.2">
      <c r="C282" s="23" t="s">
        <v>1697</v>
      </c>
      <c r="D282" s="89" t="s">
        <v>173</v>
      </c>
      <c r="E282" s="89"/>
      <c r="F282" s="89"/>
      <c r="G282" s="89"/>
      <c r="H282" s="89"/>
    </row>
    <row r="283" spans="1:28" x14ac:dyDescent="0.2">
      <c r="C283" s="23" t="s">
        <v>1698</v>
      </c>
      <c r="D283" s="89" t="s">
        <v>172</v>
      </c>
      <c r="E283" s="89"/>
      <c r="F283" s="89"/>
      <c r="G283" s="89"/>
      <c r="H283" s="89"/>
    </row>
    <row r="284" spans="1:28" x14ac:dyDescent="0.2">
      <c r="C284" s="9" t="s">
        <v>1688</v>
      </c>
      <c r="D284" s="34"/>
      <c r="E284" s="34"/>
      <c r="F284" s="34">
        <f>Source!BZ94</f>
        <v>105</v>
      </c>
      <c r="G284" s="58">
        <f>(Source!AF94+Source!AE94)*Source!FX94/100</f>
        <v>2093.0237999999999</v>
      </c>
      <c r="H284" s="58">
        <f>Source!X94</f>
        <v>2917.93</v>
      </c>
    </row>
    <row r="285" spans="1:28" x14ac:dyDescent="0.2">
      <c r="C285" s="9" t="s">
        <v>1689</v>
      </c>
      <c r="D285" s="34"/>
      <c r="E285" s="34"/>
      <c r="F285" s="34"/>
      <c r="G285" s="34" t="str">
        <f>CONCATENATE(Source!DL94,Source!FT94, "=", Source!FX94, "%")</f>
        <v>*0,9=94,5%</v>
      </c>
      <c r="H285" s="34" t="str">
        <f>CONCATENATE(Source!AT94)</f>
        <v>95</v>
      </c>
    </row>
    <row r="286" spans="1:28" x14ac:dyDescent="0.2">
      <c r="C286" s="9" t="s">
        <v>1690</v>
      </c>
      <c r="D286" s="34"/>
      <c r="E286" s="34"/>
      <c r="F286" s="34">
        <f>Source!CA94</f>
        <v>55</v>
      </c>
      <c r="G286" s="58">
        <f>(Source!AF94+Source!AE94)*Source!FY94/100</f>
        <v>1035.4376999999999</v>
      </c>
      <c r="H286" s="58">
        <f>Source!Y94</f>
        <v>1443.61</v>
      </c>
    </row>
    <row r="287" spans="1:28" x14ac:dyDescent="0.2">
      <c r="C287" s="9" t="s">
        <v>1691</v>
      </c>
      <c r="D287" s="34"/>
      <c r="E287" s="34"/>
      <c r="F287" s="34"/>
      <c r="G287" s="34" t="str">
        <f>CONCATENATE(Source!DM94,Source!FU94, "=", Source!FY94, "%")</f>
        <v>*0,85=46,75%</v>
      </c>
      <c r="H287" s="34" t="str">
        <f>CONCATENATE(Source!AU94)</f>
        <v>47</v>
      </c>
    </row>
    <row r="288" spans="1:28" x14ac:dyDescent="0.2">
      <c r="C288" s="9" t="s">
        <v>1692</v>
      </c>
      <c r="D288" s="34"/>
      <c r="E288" s="34"/>
      <c r="F288" s="34"/>
      <c r="G288" s="58">
        <f>((Source!AF94+Source!AE94)*Source!FX94/100)+((Source!AF94+Source!AE94)*Source!FY94/100)+Source!AB94</f>
        <v>7635.5514999999996</v>
      </c>
      <c r="H288" s="58">
        <f>Source!O94+Source!X94+Source!Y94</f>
        <v>10611.9</v>
      </c>
    </row>
    <row r="289" spans="1:28" ht="57" x14ac:dyDescent="0.2">
      <c r="A289" s="46">
        <v>30</v>
      </c>
      <c r="B289" s="46" t="str">
        <f>Source!E95</f>
        <v>20</v>
      </c>
      <c r="C289" s="46" t="str">
        <f>Source!G95</f>
        <v>Окраска поливинилацетатными водоэмульсионными составами улучшенная по штукатурке стен (откосы)</v>
      </c>
      <c r="D289" s="46" t="str">
        <f>Source!F95</f>
        <v>15-04-005-03</v>
      </c>
      <c r="E289" s="31" t="str">
        <f>Source!H95</f>
        <v>100 м2</v>
      </c>
      <c r="F289" s="12">
        <f>Source!I95</f>
        <v>0.28460000000000002</v>
      </c>
      <c r="G289" s="22">
        <f>Source!AB95</f>
        <v>735.94</v>
      </c>
      <c r="H289" s="22">
        <f>Source!O95</f>
        <v>1373.98</v>
      </c>
      <c r="T289">
        <f>Source!O95+Source!X95+Source!Y95</f>
        <v>2553.83</v>
      </c>
      <c r="U289">
        <f>Source!P95</f>
        <v>523.30999999999995</v>
      </c>
      <c r="V289">
        <f>Source!S95</f>
        <v>826.19</v>
      </c>
      <c r="W289">
        <f>Source!Q95</f>
        <v>24.48</v>
      </c>
      <c r="X289">
        <f>Source!R95</f>
        <v>4.6900000000000004</v>
      </c>
      <c r="Y289">
        <f>Source!U95</f>
        <v>14.040740999999999</v>
      </c>
      <c r="Z289">
        <f>Source!V95</f>
        <v>6.047750000000001E-2</v>
      </c>
      <c r="AA289">
        <f>Source!X95</f>
        <v>789.34</v>
      </c>
      <c r="AB289">
        <f>Source!Y95</f>
        <v>390.51</v>
      </c>
    </row>
    <row r="290" spans="1:28" ht="14.25" x14ac:dyDescent="0.2">
      <c r="C290" s="23" t="str">
        <f>"Объем: "&amp;Source!I95&amp;"=28,46/"&amp;"100"</f>
        <v>Объем: 0,2846=28,46/100</v>
      </c>
      <c r="F290" s="12"/>
      <c r="G290" s="12"/>
      <c r="H290" s="12"/>
    </row>
    <row r="291" spans="1:28" x14ac:dyDescent="0.2">
      <c r="C291" s="23" t="s">
        <v>1684</v>
      </c>
      <c r="D291" s="23">
        <f>Source!BA95</f>
        <v>6.56</v>
      </c>
    </row>
    <row r="292" spans="1:28" x14ac:dyDescent="0.2">
      <c r="C292" s="23" t="s">
        <v>1685</v>
      </c>
      <c r="D292" s="23">
        <f>Source!BB95</f>
        <v>6.56</v>
      </c>
    </row>
    <row r="293" spans="1:28" x14ac:dyDescent="0.2">
      <c r="C293" s="23" t="s">
        <v>1686</v>
      </c>
      <c r="D293" s="23">
        <f>Source!BC95</f>
        <v>6.56</v>
      </c>
    </row>
    <row r="294" spans="1:28" x14ac:dyDescent="0.2">
      <c r="C294" s="23" t="s">
        <v>1687</v>
      </c>
      <c r="D294" s="23">
        <f>Source!BS95</f>
        <v>6.56</v>
      </c>
    </row>
    <row r="295" spans="1:28" x14ac:dyDescent="0.2">
      <c r="C295" s="23" t="s">
        <v>1694</v>
      </c>
      <c r="D295" s="89" t="s">
        <v>172</v>
      </c>
      <c r="E295" s="89"/>
      <c r="F295" s="89"/>
      <c r="G295" s="89"/>
      <c r="H295" s="89"/>
    </row>
    <row r="296" spans="1:28" x14ac:dyDescent="0.2">
      <c r="C296" s="23" t="s">
        <v>1695</v>
      </c>
      <c r="D296" s="89" t="s">
        <v>172</v>
      </c>
      <c r="E296" s="89"/>
      <c r="F296" s="89"/>
      <c r="G296" s="89"/>
      <c r="H296" s="89"/>
    </row>
    <row r="297" spans="1:28" x14ac:dyDescent="0.2">
      <c r="C297" s="23" t="s">
        <v>1696</v>
      </c>
      <c r="D297" s="89" t="s">
        <v>173</v>
      </c>
      <c r="E297" s="89"/>
      <c r="F297" s="89"/>
      <c r="G297" s="89"/>
      <c r="H297" s="89"/>
    </row>
    <row r="298" spans="1:28" x14ac:dyDescent="0.2">
      <c r="C298" s="23" t="s">
        <v>1697</v>
      </c>
      <c r="D298" s="89" t="s">
        <v>173</v>
      </c>
      <c r="E298" s="89"/>
      <c r="F298" s="89"/>
      <c r="G298" s="89"/>
      <c r="H298" s="89"/>
    </row>
    <row r="299" spans="1:28" x14ac:dyDescent="0.2">
      <c r="C299" s="23" t="s">
        <v>1698</v>
      </c>
      <c r="D299" s="89" t="s">
        <v>172</v>
      </c>
      <c r="E299" s="89"/>
      <c r="F299" s="89"/>
      <c r="G299" s="89"/>
      <c r="H299" s="89"/>
    </row>
    <row r="300" spans="1:28" x14ac:dyDescent="0.2">
      <c r="C300" s="9" t="s">
        <v>1688</v>
      </c>
      <c r="D300" s="34"/>
      <c r="E300" s="34"/>
      <c r="F300" s="34">
        <f>Source!BZ95</f>
        <v>105</v>
      </c>
      <c r="G300" s="58">
        <f>(Source!AF95+Source!AE95)*Source!FX95/100</f>
        <v>420.56279999999998</v>
      </c>
      <c r="H300" s="58">
        <f>Source!X95</f>
        <v>789.34</v>
      </c>
    </row>
    <row r="301" spans="1:28" x14ac:dyDescent="0.2">
      <c r="C301" s="9" t="s">
        <v>1689</v>
      </c>
      <c r="D301" s="34"/>
      <c r="E301" s="34"/>
      <c r="F301" s="34"/>
      <c r="G301" s="34" t="str">
        <f>CONCATENATE(Source!DL95,Source!FT95, "=", Source!FX95, "%")</f>
        <v>*0,9=94,5%</v>
      </c>
      <c r="H301" s="34" t="str">
        <f>CONCATENATE(Source!AT95)</f>
        <v>95</v>
      </c>
    </row>
    <row r="302" spans="1:28" x14ac:dyDescent="0.2">
      <c r="C302" s="9" t="s">
        <v>1690</v>
      </c>
      <c r="D302" s="34"/>
      <c r="E302" s="34"/>
      <c r="F302" s="34">
        <f>Source!CA95</f>
        <v>55</v>
      </c>
      <c r="G302" s="58">
        <f>(Source!AF95+Source!AE95)*Source!FY95/100</f>
        <v>208.05619999999999</v>
      </c>
      <c r="H302" s="58">
        <f>Source!Y95</f>
        <v>390.51</v>
      </c>
    </row>
    <row r="303" spans="1:28" x14ac:dyDescent="0.2">
      <c r="C303" s="9" t="s">
        <v>1691</v>
      </c>
      <c r="D303" s="34"/>
      <c r="E303" s="34"/>
      <c r="F303" s="34"/>
      <c r="G303" s="34" t="str">
        <f>CONCATENATE(Source!DM95,Source!FU95, "=", Source!FY95, "%")</f>
        <v>*0,85=46,75%</v>
      </c>
      <c r="H303" s="34" t="str">
        <f>CONCATENATE(Source!AU95)</f>
        <v>47</v>
      </c>
    </row>
    <row r="304" spans="1:28" x14ac:dyDescent="0.2">
      <c r="C304" s="9" t="s">
        <v>1692</v>
      </c>
      <c r="D304" s="34"/>
      <c r="E304" s="34"/>
      <c r="F304" s="34"/>
      <c r="G304" s="58">
        <f>((Source!AF95+Source!AE95)*Source!FX95/100)+((Source!AF95+Source!AE95)*Source!FY95/100)+Source!AB95</f>
        <v>1364.559</v>
      </c>
      <c r="H304" s="58">
        <f>Source!O95+Source!X95+Source!Y95</f>
        <v>2553.83</v>
      </c>
    </row>
    <row r="305" spans="1:28" ht="28.5" x14ac:dyDescent="0.2">
      <c r="A305" s="46">
        <v>31</v>
      </c>
      <c r="B305" s="46" t="str">
        <f>Source!E96</f>
        <v>20,1</v>
      </c>
      <c r="C305" s="46" t="str">
        <f>Source!G96</f>
        <v>Краска водно-дисперсионная "БИРСС Интерьер-Колор", цвет белый</v>
      </c>
      <c r="D305" s="46" t="str">
        <f>Source!F96</f>
        <v>14.3.02.01-0208</v>
      </c>
      <c r="E305" s="31" t="str">
        <f>Source!H96</f>
        <v>т</v>
      </c>
      <c r="F305" s="12">
        <f>Source!I96</f>
        <v>1.7930000000000001E-2</v>
      </c>
      <c r="G305" s="22">
        <f>Source!AB96</f>
        <v>15445.9</v>
      </c>
      <c r="H305" s="22">
        <f>Source!O96</f>
        <v>1816.76</v>
      </c>
      <c r="T305">
        <f>Source!O96+Source!X96+Source!Y96</f>
        <v>1816.76</v>
      </c>
      <c r="U305">
        <f>Source!P96</f>
        <v>1816.76</v>
      </c>
      <c r="V305">
        <f>Source!S96</f>
        <v>0</v>
      </c>
      <c r="W305">
        <f>Source!Q96</f>
        <v>0</v>
      </c>
      <c r="X305">
        <f>Source!R96</f>
        <v>0</v>
      </c>
      <c r="Y305">
        <f>Source!U96</f>
        <v>0</v>
      </c>
      <c r="Z305">
        <f>Source!V96</f>
        <v>0</v>
      </c>
      <c r="AA305">
        <f>Source!X96</f>
        <v>0</v>
      </c>
      <c r="AB305">
        <f>Source!Y96</f>
        <v>0</v>
      </c>
    </row>
    <row r="306" spans="1:28" ht="14.25" x14ac:dyDescent="0.2">
      <c r="C306" s="23" t="s">
        <v>1686</v>
      </c>
      <c r="D306" s="23">
        <f>Source!BC96</f>
        <v>6.56</v>
      </c>
      <c r="F306" s="12"/>
      <c r="G306" s="12"/>
      <c r="H306" s="12"/>
    </row>
    <row r="307" spans="1:28" ht="14.25" x14ac:dyDescent="0.2">
      <c r="A307" s="46">
        <v>32</v>
      </c>
      <c r="B307" s="46" t="str">
        <f>Source!E97</f>
        <v>20,2</v>
      </c>
      <c r="C307" s="46" t="str">
        <f>Source!G97</f>
        <v>Краска водоэмульсионная</v>
      </c>
      <c r="D307" s="46" t="str">
        <f>Source!F97</f>
        <v>14.3.02.01</v>
      </c>
      <c r="E307" s="31" t="str">
        <f>Source!H97</f>
        <v>т</v>
      </c>
      <c r="F307" s="12">
        <f>Source!I97</f>
        <v>1.7930000000000001E-2</v>
      </c>
      <c r="G307" s="22">
        <f>Source!AB97</f>
        <v>0</v>
      </c>
      <c r="H307" s="22">
        <f>Source!O97</f>
        <v>0</v>
      </c>
      <c r="T307">
        <f>Source!O97+Source!X97+Source!Y97</f>
        <v>0</v>
      </c>
      <c r="U307">
        <f>Source!P97</f>
        <v>0</v>
      </c>
      <c r="V307">
        <f>Source!S97</f>
        <v>0</v>
      </c>
      <c r="W307">
        <f>Source!Q97</f>
        <v>0</v>
      </c>
      <c r="X307">
        <f>Source!R97</f>
        <v>0</v>
      </c>
      <c r="Y307">
        <f>Source!U97</f>
        <v>0</v>
      </c>
      <c r="Z307">
        <f>Source!V97</f>
        <v>0</v>
      </c>
      <c r="AA307">
        <f>Source!X97</f>
        <v>0</v>
      </c>
      <c r="AB307">
        <f>Source!Y97</f>
        <v>0</v>
      </c>
    </row>
    <row r="308" spans="1:28" ht="14.25" x14ac:dyDescent="0.2">
      <c r="C308" s="23" t="s">
        <v>1686</v>
      </c>
      <c r="D308" s="23">
        <f>Source!BC97</f>
        <v>6.56</v>
      </c>
      <c r="F308" s="12"/>
      <c r="G308" s="12"/>
      <c r="H308" s="12"/>
    </row>
    <row r="309" spans="1:28" ht="28.5" x14ac:dyDescent="0.2">
      <c r="A309" s="46">
        <v>33</v>
      </c>
      <c r="B309" s="46" t="str">
        <f>Source!E98</f>
        <v>21</v>
      </c>
      <c r="C309" s="46" t="str">
        <f>Source!G98</f>
        <v>Установка металлических дверных блоков в готовые проемы</v>
      </c>
      <c r="D309" s="46" t="str">
        <f>Source!F98</f>
        <v>09-04-012-01</v>
      </c>
      <c r="E309" s="31" t="str">
        <f>Source!H98</f>
        <v>м2</v>
      </c>
      <c r="F309" s="12">
        <f>Source!I98</f>
        <v>11.28</v>
      </c>
      <c r="G309" s="22">
        <f>Source!AB98</f>
        <v>71.11</v>
      </c>
      <c r="H309" s="22">
        <f>Source!O98</f>
        <v>5261.91</v>
      </c>
      <c r="T309">
        <f>Source!O98+Source!X98+Source!Y98</f>
        <v>8640.24</v>
      </c>
      <c r="U309">
        <f>Source!P98</f>
        <v>1903.2</v>
      </c>
      <c r="V309">
        <f>Source!S98</f>
        <v>2026.03</v>
      </c>
      <c r="W309">
        <f>Source!Q98</f>
        <v>1332.68</v>
      </c>
      <c r="X309">
        <f>Source!R98</f>
        <v>182.03</v>
      </c>
      <c r="Y309">
        <f>Source!U98</f>
        <v>31.132799999999996</v>
      </c>
      <c r="Z309">
        <f>Source!V98</f>
        <v>2.3970000000000002</v>
      </c>
      <c r="AA309">
        <f>Source!X98</f>
        <v>1788.53</v>
      </c>
      <c r="AB309">
        <f>Source!Y98</f>
        <v>1589.8</v>
      </c>
    </row>
    <row r="310" spans="1:28" ht="14.25" x14ac:dyDescent="0.2">
      <c r="C310" s="23" t="s">
        <v>1684</v>
      </c>
      <c r="D310" s="23">
        <f>Source!BA98</f>
        <v>6.56</v>
      </c>
      <c r="F310" s="12"/>
      <c r="G310" s="12"/>
      <c r="H310" s="12"/>
    </row>
    <row r="311" spans="1:28" x14ac:dyDescent="0.2">
      <c r="C311" s="23" t="s">
        <v>1685</v>
      </c>
      <c r="D311" s="23">
        <f>Source!BB98</f>
        <v>6.56</v>
      </c>
    </row>
    <row r="312" spans="1:28" x14ac:dyDescent="0.2">
      <c r="C312" s="23" t="s">
        <v>1686</v>
      </c>
      <c r="D312" s="23">
        <f>Source!BC98</f>
        <v>6.56</v>
      </c>
    </row>
    <row r="313" spans="1:28" x14ac:dyDescent="0.2">
      <c r="C313" s="23" t="s">
        <v>1687</v>
      </c>
      <c r="D313" s="23">
        <f>Source!BS98</f>
        <v>6.56</v>
      </c>
    </row>
    <row r="314" spans="1:28" x14ac:dyDescent="0.2">
      <c r="C314" s="23" t="s">
        <v>1694</v>
      </c>
      <c r="D314" s="89" t="s">
        <v>172</v>
      </c>
      <c r="E314" s="89"/>
      <c r="F314" s="89"/>
      <c r="G314" s="89"/>
      <c r="H314" s="89"/>
    </row>
    <row r="315" spans="1:28" x14ac:dyDescent="0.2">
      <c r="C315" s="23" t="s">
        <v>1695</v>
      </c>
      <c r="D315" s="89" t="s">
        <v>172</v>
      </c>
      <c r="E315" s="89"/>
      <c r="F315" s="89"/>
      <c r="G315" s="89"/>
      <c r="H315" s="89"/>
    </row>
    <row r="316" spans="1:28" x14ac:dyDescent="0.2">
      <c r="C316" s="23" t="s">
        <v>1696</v>
      </c>
      <c r="D316" s="89" t="s">
        <v>173</v>
      </c>
      <c r="E316" s="89"/>
      <c r="F316" s="89"/>
      <c r="G316" s="89"/>
      <c r="H316" s="89"/>
    </row>
    <row r="317" spans="1:28" x14ac:dyDescent="0.2">
      <c r="C317" s="23" t="s">
        <v>1697</v>
      </c>
      <c r="D317" s="89" t="s">
        <v>173</v>
      </c>
      <c r="E317" s="89"/>
      <c r="F317" s="89"/>
      <c r="G317" s="89"/>
      <c r="H317" s="89"/>
    </row>
    <row r="318" spans="1:28" x14ac:dyDescent="0.2">
      <c r="C318" s="23" t="s">
        <v>1698</v>
      </c>
      <c r="D318" s="89" t="s">
        <v>172</v>
      </c>
      <c r="E318" s="89"/>
      <c r="F318" s="89"/>
      <c r="G318" s="89"/>
      <c r="H318" s="89"/>
    </row>
    <row r="319" spans="1:28" x14ac:dyDescent="0.2">
      <c r="C319" s="9" t="s">
        <v>1688</v>
      </c>
      <c r="D319" s="34"/>
      <c r="E319" s="34"/>
      <c r="F319" s="34">
        <f>Source!BZ98</f>
        <v>90</v>
      </c>
      <c r="G319" s="58">
        <f>(Source!AF98+Source!AE98)*Source!FX98/100</f>
        <v>24.170400000000001</v>
      </c>
      <c r="H319" s="58">
        <f>Source!X98</f>
        <v>1788.53</v>
      </c>
    </row>
    <row r="320" spans="1:28" x14ac:dyDescent="0.2">
      <c r="C320" s="9" t="s">
        <v>1689</v>
      </c>
      <c r="D320" s="34"/>
      <c r="E320" s="34"/>
      <c r="F320" s="34"/>
      <c r="G320" s="34" t="str">
        <f>CONCATENATE(Source!DL98,Source!FT98, "=", Source!FX98, "%")</f>
        <v>*0,9=81%</v>
      </c>
      <c r="H320" s="34" t="str">
        <f>CONCATENATE(Source!AT98)</f>
        <v>81</v>
      </c>
    </row>
    <row r="321" spans="1:28" x14ac:dyDescent="0.2">
      <c r="C321" s="9" t="s">
        <v>1690</v>
      </c>
      <c r="D321" s="34"/>
      <c r="E321" s="34"/>
      <c r="F321" s="34">
        <f>Source!CA98</f>
        <v>85</v>
      </c>
      <c r="G321" s="58">
        <f>(Source!AF98+Source!AE98)*Source!FY98/100</f>
        <v>21.5594</v>
      </c>
      <c r="H321" s="58">
        <f>Source!Y98</f>
        <v>1589.8</v>
      </c>
    </row>
    <row r="322" spans="1:28" x14ac:dyDescent="0.2">
      <c r="C322" s="9" t="s">
        <v>1691</v>
      </c>
      <c r="D322" s="34"/>
      <c r="E322" s="34"/>
      <c r="F322" s="34"/>
      <c r="G322" s="34" t="str">
        <f>CONCATENATE(Source!DM98,Source!FU98, "=", Source!FY98, "%")</f>
        <v>*0,85=72,25%</v>
      </c>
      <c r="H322" s="34" t="str">
        <f>CONCATENATE(Source!AU98)</f>
        <v>72</v>
      </c>
    </row>
    <row r="323" spans="1:28" x14ac:dyDescent="0.2">
      <c r="C323" s="9" t="s">
        <v>1692</v>
      </c>
      <c r="D323" s="34"/>
      <c r="E323" s="34"/>
      <c r="F323" s="34"/>
      <c r="G323" s="58">
        <f>((Source!AF98+Source!AE98)*Source!FX98/100)+((Source!AF98+Source!AE98)*Source!FY98/100)+Source!AB98</f>
        <v>116.8398</v>
      </c>
      <c r="H323" s="58">
        <f>Source!O98+Source!X98+Source!Y98</f>
        <v>8640.24</v>
      </c>
    </row>
    <row r="324" spans="1:28" ht="28.5" x14ac:dyDescent="0.2">
      <c r="A324" s="46">
        <v>34</v>
      </c>
      <c r="B324" s="46" t="str">
        <f>Source!E99</f>
        <v>21,1</v>
      </c>
      <c r="C324" s="46" t="str">
        <f>Source!G99</f>
        <v>Замок врезной оцинкованный с цилиндровым механизмом из латуни</v>
      </c>
      <c r="D324" s="46" t="str">
        <f>Source!F99</f>
        <v>01.7.04.04-0012</v>
      </c>
      <c r="E324" s="31" t="str">
        <f>Source!H99</f>
        <v>компл.</v>
      </c>
      <c r="F324" s="12">
        <f>Source!I99</f>
        <v>4</v>
      </c>
      <c r="G324" s="22">
        <f>Source!AB99</f>
        <v>92.52</v>
      </c>
      <c r="H324" s="22">
        <f>Source!O99</f>
        <v>2427.7199999999998</v>
      </c>
      <c r="T324">
        <f>Source!O99+Source!X99+Source!Y99</f>
        <v>2427.7199999999998</v>
      </c>
      <c r="U324">
        <f>Source!P99</f>
        <v>2427.7199999999998</v>
      </c>
      <c r="V324">
        <f>Source!S99</f>
        <v>0</v>
      </c>
      <c r="W324">
        <f>Source!Q99</f>
        <v>0</v>
      </c>
      <c r="X324">
        <f>Source!R99</f>
        <v>0</v>
      </c>
      <c r="Y324">
        <f>Source!U99</f>
        <v>0</v>
      </c>
      <c r="Z324">
        <f>Source!V99</f>
        <v>0</v>
      </c>
      <c r="AA324">
        <f>Source!X99</f>
        <v>0</v>
      </c>
      <c r="AB324">
        <f>Source!Y99</f>
        <v>0</v>
      </c>
    </row>
    <row r="325" spans="1:28" ht="14.25" x14ac:dyDescent="0.2">
      <c r="C325" s="23" t="s">
        <v>1686</v>
      </c>
      <c r="D325" s="23">
        <f>Source!BC99</f>
        <v>6.56</v>
      </c>
      <c r="F325" s="12"/>
      <c r="G325" s="12"/>
      <c r="H325" s="12"/>
    </row>
    <row r="326" spans="1:28" ht="42.75" x14ac:dyDescent="0.2">
      <c r="A326" s="46">
        <v>35</v>
      </c>
      <c r="B326" s="46" t="str">
        <f>Source!E100</f>
        <v>21,2</v>
      </c>
      <c r="C326" s="46" t="str">
        <f>Source!G100</f>
        <v>Блок дверной стальной наружный двупольный ДСН ДКН, площадь 2,73 м2 (ГОСТ 31173-2003)</v>
      </c>
      <c r="D326" s="46" t="str">
        <f>Source!F100</f>
        <v>07.1.01.03-0002</v>
      </c>
      <c r="E326" s="31" t="str">
        <f>Source!H100</f>
        <v>м2</v>
      </c>
      <c r="F326" s="12">
        <f>Source!I100</f>
        <v>11.28</v>
      </c>
      <c r="G326" s="22">
        <f>Source!AB100</f>
        <v>1465.11</v>
      </c>
      <c r="H326" s="22">
        <f>Source!O100</f>
        <v>108413.45</v>
      </c>
      <c r="T326">
        <f>Source!O100+Source!X100+Source!Y100</f>
        <v>108413.45</v>
      </c>
      <c r="U326">
        <f>Source!P100</f>
        <v>108413.45</v>
      </c>
      <c r="V326">
        <f>Source!S100</f>
        <v>0</v>
      </c>
      <c r="W326">
        <f>Source!Q100</f>
        <v>0</v>
      </c>
      <c r="X326">
        <f>Source!R100</f>
        <v>0</v>
      </c>
      <c r="Y326">
        <f>Source!U100</f>
        <v>0</v>
      </c>
      <c r="Z326">
        <f>Source!V100</f>
        <v>0</v>
      </c>
      <c r="AA326">
        <f>Source!X100</f>
        <v>0</v>
      </c>
      <c r="AB326">
        <f>Source!Y100</f>
        <v>0</v>
      </c>
    </row>
    <row r="327" spans="1:28" ht="14.25" x14ac:dyDescent="0.2">
      <c r="C327" s="23" t="s">
        <v>1686</v>
      </c>
      <c r="D327" s="23">
        <f>Source!BC100</f>
        <v>6.56</v>
      </c>
      <c r="F327" s="12"/>
      <c r="G327" s="12"/>
      <c r="H327" s="12"/>
    </row>
    <row r="328" spans="1:28" ht="14.25" x14ac:dyDescent="0.2">
      <c r="A328" s="46">
        <v>36</v>
      </c>
      <c r="B328" s="46" t="str">
        <f>Source!E101</f>
        <v>21,3</v>
      </c>
      <c r="C328" s="46" t="str">
        <f>Source!G101</f>
        <v>Блоки дверные металлические</v>
      </c>
      <c r="D328" s="46" t="str">
        <f>Source!F101</f>
        <v>07.1.01.03</v>
      </c>
      <c r="E328" s="31" t="str">
        <f>Source!H101</f>
        <v>м2</v>
      </c>
      <c r="F328" s="12">
        <f>Source!I101</f>
        <v>11.28</v>
      </c>
      <c r="G328" s="22">
        <f>Source!AB101</f>
        <v>0</v>
      </c>
      <c r="H328" s="22">
        <f>Source!O101</f>
        <v>0</v>
      </c>
      <c r="T328">
        <f>Source!O101+Source!X101+Source!Y101</f>
        <v>0</v>
      </c>
      <c r="U328">
        <f>Source!P101</f>
        <v>0</v>
      </c>
      <c r="V328">
        <f>Source!S101</f>
        <v>0</v>
      </c>
      <c r="W328">
        <f>Source!Q101</f>
        <v>0</v>
      </c>
      <c r="X328">
        <f>Source!R101</f>
        <v>0</v>
      </c>
      <c r="Y328">
        <f>Source!U101</f>
        <v>0</v>
      </c>
      <c r="Z328">
        <f>Source!V101</f>
        <v>0</v>
      </c>
      <c r="AA328">
        <f>Source!X101</f>
        <v>0</v>
      </c>
      <c r="AB328">
        <f>Source!Y101</f>
        <v>0</v>
      </c>
    </row>
    <row r="329" spans="1:28" ht="14.25" x14ac:dyDescent="0.2">
      <c r="C329" s="23" t="s">
        <v>1686</v>
      </c>
      <c r="D329" s="23">
        <f>Source!BC101</f>
        <v>6.56</v>
      </c>
      <c r="F329" s="12"/>
      <c r="G329" s="12"/>
      <c r="H329" s="12"/>
    </row>
    <row r="330" spans="1:28" ht="28.5" x14ac:dyDescent="0.2">
      <c r="A330" s="46">
        <v>37</v>
      </c>
      <c r="B330" s="46" t="str">
        <f>Source!E102</f>
        <v>22</v>
      </c>
      <c r="C330" s="46" t="str">
        <f>Source!G102</f>
        <v>Установка дверного доводчика к металлическим дверям</v>
      </c>
      <c r="D330" s="46" t="str">
        <f>Source!F102</f>
        <v>09-04-012-02</v>
      </c>
      <c r="E330" s="31" t="str">
        <f>Source!H102</f>
        <v>ШТ</v>
      </c>
      <c r="F330" s="12">
        <f>Source!I102</f>
        <v>4</v>
      </c>
      <c r="G330" s="22">
        <f>Source!AB102</f>
        <v>16.02</v>
      </c>
      <c r="H330" s="22">
        <f>Source!O102</f>
        <v>420.36</v>
      </c>
      <c r="T330">
        <f>Source!O102+Source!X102+Source!Y102</f>
        <v>928.62000000000012</v>
      </c>
      <c r="U330">
        <f>Source!P102</f>
        <v>18.89</v>
      </c>
      <c r="V330">
        <f>Source!S102</f>
        <v>332.2</v>
      </c>
      <c r="W330">
        <f>Source!Q102</f>
        <v>69.27</v>
      </c>
      <c r="X330">
        <f>Source!R102</f>
        <v>0</v>
      </c>
      <c r="Y330">
        <f>Source!U102</f>
        <v>5.1059999999999999</v>
      </c>
      <c r="Z330">
        <f>Source!V102</f>
        <v>0</v>
      </c>
      <c r="AA330">
        <f>Source!X102</f>
        <v>269.08</v>
      </c>
      <c r="AB330">
        <f>Source!Y102</f>
        <v>239.18</v>
      </c>
    </row>
    <row r="331" spans="1:28" ht="14.25" x14ac:dyDescent="0.2">
      <c r="C331" s="23" t="s">
        <v>1684</v>
      </c>
      <c r="D331" s="23">
        <f>Source!BA102</f>
        <v>6.56</v>
      </c>
      <c r="F331" s="12"/>
      <c r="G331" s="12"/>
      <c r="H331" s="12"/>
    </row>
    <row r="332" spans="1:28" x14ac:dyDescent="0.2">
      <c r="C332" s="23" t="s">
        <v>1685</v>
      </c>
      <c r="D332" s="23">
        <f>Source!BB102</f>
        <v>6.56</v>
      </c>
    </row>
    <row r="333" spans="1:28" x14ac:dyDescent="0.2">
      <c r="C333" s="23" t="s">
        <v>1686</v>
      </c>
      <c r="D333" s="23">
        <f>Source!BC102</f>
        <v>6.56</v>
      </c>
    </row>
    <row r="334" spans="1:28" x14ac:dyDescent="0.2">
      <c r="C334" s="23" t="s">
        <v>1687</v>
      </c>
      <c r="D334" s="23">
        <f>Source!BS102</f>
        <v>6.56</v>
      </c>
    </row>
    <row r="335" spans="1:28" x14ac:dyDescent="0.2">
      <c r="C335" s="23" t="s">
        <v>1694</v>
      </c>
      <c r="D335" s="89" t="s">
        <v>172</v>
      </c>
      <c r="E335" s="89"/>
      <c r="F335" s="89"/>
      <c r="G335" s="89"/>
      <c r="H335" s="89"/>
    </row>
    <row r="336" spans="1:28" x14ac:dyDescent="0.2">
      <c r="C336" s="23" t="s">
        <v>1695</v>
      </c>
      <c r="D336" s="89" t="s">
        <v>172</v>
      </c>
      <c r="E336" s="89"/>
      <c r="F336" s="89"/>
      <c r="G336" s="89"/>
      <c r="H336" s="89"/>
    </row>
    <row r="337" spans="1:28" x14ac:dyDescent="0.2">
      <c r="C337" s="23" t="s">
        <v>1696</v>
      </c>
      <c r="D337" s="89" t="s">
        <v>173</v>
      </c>
      <c r="E337" s="89"/>
      <c r="F337" s="89"/>
      <c r="G337" s="89"/>
      <c r="H337" s="89"/>
    </row>
    <row r="338" spans="1:28" x14ac:dyDescent="0.2">
      <c r="C338" s="23" t="s">
        <v>1697</v>
      </c>
      <c r="D338" s="89" t="s">
        <v>173</v>
      </c>
      <c r="E338" s="89"/>
      <c r="F338" s="89"/>
      <c r="G338" s="89"/>
      <c r="H338" s="89"/>
    </row>
    <row r="339" spans="1:28" x14ac:dyDescent="0.2">
      <c r="C339" s="23" t="s">
        <v>1698</v>
      </c>
      <c r="D339" s="89" t="s">
        <v>172</v>
      </c>
      <c r="E339" s="89"/>
      <c r="F339" s="89"/>
      <c r="G339" s="89"/>
      <c r="H339" s="89"/>
    </row>
    <row r="340" spans="1:28" x14ac:dyDescent="0.2">
      <c r="C340" s="9" t="s">
        <v>1688</v>
      </c>
      <c r="D340" s="34"/>
      <c r="E340" s="34"/>
      <c r="F340" s="34">
        <f>Source!BZ102</f>
        <v>90</v>
      </c>
      <c r="G340" s="58">
        <f>(Source!AF102+Source!AE102)*Source!FX102/100</f>
        <v>10.2546</v>
      </c>
      <c r="H340" s="58">
        <f>Source!X102</f>
        <v>269.08</v>
      </c>
    </row>
    <row r="341" spans="1:28" x14ac:dyDescent="0.2">
      <c r="C341" s="9" t="s">
        <v>1689</v>
      </c>
      <c r="D341" s="34"/>
      <c r="E341" s="34"/>
      <c r="F341" s="34"/>
      <c r="G341" s="34" t="str">
        <f>CONCATENATE(Source!DL102,Source!FT102, "=", Source!FX102, "%")</f>
        <v>*0,9=81%</v>
      </c>
      <c r="H341" s="34" t="str">
        <f>CONCATENATE(Source!AT102)</f>
        <v>81</v>
      </c>
    </row>
    <row r="342" spans="1:28" x14ac:dyDescent="0.2">
      <c r="C342" s="9" t="s">
        <v>1690</v>
      </c>
      <c r="D342" s="34"/>
      <c r="E342" s="34"/>
      <c r="F342" s="34">
        <f>Source!CA102</f>
        <v>85</v>
      </c>
      <c r="G342" s="58">
        <f>(Source!AF102+Source!AE102)*Source!FY102/100</f>
        <v>9.1468500000000006</v>
      </c>
      <c r="H342" s="58">
        <f>Source!Y102</f>
        <v>239.18</v>
      </c>
    </row>
    <row r="343" spans="1:28" x14ac:dyDescent="0.2">
      <c r="C343" s="9" t="s">
        <v>1691</v>
      </c>
      <c r="D343" s="34"/>
      <c r="E343" s="34"/>
      <c r="F343" s="34"/>
      <c r="G343" s="34" t="str">
        <f>CONCATENATE(Source!DM102,Source!FU102, "=", Source!FY102, "%")</f>
        <v>*0,85=72,25%</v>
      </c>
      <c r="H343" s="34" t="str">
        <f>CONCATENATE(Source!AU102)</f>
        <v>72</v>
      </c>
    </row>
    <row r="344" spans="1:28" x14ac:dyDescent="0.2">
      <c r="C344" s="9" t="s">
        <v>1692</v>
      </c>
      <c r="D344" s="34"/>
      <c r="E344" s="34"/>
      <c r="F344" s="34"/>
      <c r="G344" s="58">
        <f>((Source!AF102+Source!AE102)*Source!FX102/100)+((Source!AF102+Source!AE102)*Source!FY102/100)+Source!AB102</f>
        <v>35.42145</v>
      </c>
      <c r="H344" s="58">
        <f>Source!O102+Source!X102+Source!Y102</f>
        <v>928.62000000000012</v>
      </c>
    </row>
    <row r="345" spans="1:28" ht="28.5" x14ac:dyDescent="0.2">
      <c r="A345" s="46">
        <v>38</v>
      </c>
      <c r="B345" s="46" t="str">
        <f>Source!E103</f>
        <v>22,1</v>
      </c>
      <c r="C345" s="46" t="str">
        <f>Source!G103</f>
        <v>Доводчик дверной DS 73 BC "Серия Premium", усилие закрывания EN2-5</v>
      </c>
      <c r="D345" s="46" t="str">
        <f>Source!F103</f>
        <v>01.7.04.01-0001</v>
      </c>
      <c r="E345" s="31" t="str">
        <f>Source!H103</f>
        <v>шт.</v>
      </c>
      <c r="F345" s="12">
        <f>Source!I103</f>
        <v>4</v>
      </c>
      <c r="G345" s="22">
        <f>Source!AB103</f>
        <v>371.2</v>
      </c>
      <c r="H345" s="22">
        <f>Source!O103</f>
        <v>9740.2900000000009</v>
      </c>
      <c r="T345">
        <f>Source!O103+Source!X103+Source!Y103</f>
        <v>9740.2900000000009</v>
      </c>
      <c r="U345">
        <f>Source!P103</f>
        <v>9740.2900000000009</v>
      </c>
      <c r="V345">
        <f>Source!S103</f>
        <v>0</v>
      </c>
      <c r="W345">
        <f>Source!Q103</f>
        <v>0</v>
      </c>
      <c r="X345">
        <f>Source!R103</f>
        <v>0</v>
      </c>
      <c r="Y345">
        <f>Source!U103</f>
        <v>0</v>
      </c>
      <c r="Z345">
        <f>Source!V103</f>
        <v>0</v>
      </c>
      <c r="AA345">
        <f>Source!X103</f>
        <v>0</v>
      </c>
      <c r="AB345">
        <f>Source!Y103</f>
        <v>0</v>
      </c>
    </row>
    <row r="346" spans="1:28" ht="14.25" x14ac:dyDescent="0.2">
      <c r="C346" s="23" t="s">
        <v>1686</v>
      </c>
      <c r="D346" s="23">
        <f>Source!BC103</f>
        <v>6.56</v>
      </c>
      <c r="F346" s="12"/>
      <c r="G346" s="12"/>
      <c r="H346" s="12"/>
    </row>
    <row r="347" spans="1:28" ht="57" x14ac:dyDescent="0.2">
      <c r="A347" s="46">
        <v>39</v>
      </c>
      <c r="B347" s="46" t="str">
        <f>Source!E104</f>
        <v>23</v>
      </c>
      <c r="C347" s="46" t="str">
        <f>Source!G104</f>
        <v>Установка блоков в наружных и внутренних дверных проемах в каменных стенах, площадь проема до 3 м2</v>
      </c>
      <c r="D347" s="46" t="str">
        <f>Source!F104</f>
        <v>10-01-039-01</v>
      </c>
      <c r="E347" s="31" t="str">
        <f>Source!H104</f>
        <v>100 м2</v>
      </c>
      <c r="F347" s="12">
        <f>Source!I104</f>
        <v>7.0199999999999999E-2</v>
      </c>
      <c r="G347" s="22">
        <f>Source!AB104</f>
        <v>3858.97</v>
      </c>
      <c r="H347" s="22">
        <f>Source!O104</f>
        <v>1777.1</v>
      </c>
      <c r="T347">
        <f>Source!O104+Source!X104+Source!Y104</f>
        <v>2615.2600000000002</v>
      </c>
      <c r="U347">
        <f>Source!P104</f>
        <v>784.63</v>
      </c>
      <c r="V347">
        <f>Source!S104</f>
        <v>435.26</v>
      </c>
      <c r="W347">
        <f>Source!Q104</f>
        <v>557.21</v>
      </c>
      <c r="X347">
        <f>Source!R104</f>
        <v>88.59</v>
      </c>
      <c r="Y347">
        <f>Source!U104</f>
        <v>7.2277568999999993</v>
      </c>
      <c r="Z347">
        <f>Source!V104</f>
        <v>1.0249200000000001</v>
      </c>
      <c r="AA347">
        <f>Source!X104</f>
        <v>555.28</v>
      </c>
      <c r="AB347">
        <f>Source!Y104</f>
        <v>282.88</v>
      </c>
    </row>
    <row r="348" spans="1:28" ht="14.25" x14ac:dyDescent="0.2">
      <c r="C348" s="23" t="str">
        <f>"Объем: "&amp;Source!I104&amp;"=7,02/"&amp;"100"</f>
        <v>Объем: 0,0702=7,02/100</v>
      </c>
      <c r="F348" s="12"/>
      <c r="G348" s="12"/>
      <c r="H348" s="12"/>
    </row>
    <row r="349" spans="1:28" x14ac:dyDescent="0.2">
      <c r="C349" s="23" t="s">
        <v>1684</v>
      </c>
      <c r="D349" s="23">
        <f>Source!BA104</f>
        <v>6.56</v>
      </c>
    </row>
    <row r="350" spans="1:28" x14ac:dyDescent="0.2">
      <c r="C350" s="23" t="s">
        <v>1685</v>
      </c>
      <c r="D350" s="23">
        <f>Source!BB104</f>
        <v>6.56</v>
      </c>
    </row>
    <row r="351" spans="1:28" x14ac:dyDescent="0.2">
      <c r="C351" s="23" t="s">
        <v>1686</v>
      </c>
      <c r="D351" s="23">
        <f>Source!BC104</f>
        <v>6.56</v>
      </c>
    </row>
    <row r="352" spans="1:28" x14ac:dyDescent="0.2">
      <c r="C352" s="23" t="s">
        <v>1687</v>
      </c>
      <c r="D352" s="23">
        <f>Source!BS104</f>
        <v>6.56</v>
      </c>
    </row>
    <row r="353" spans="1:28" x14ac:dyDescent="0.2">
      <c r="C353" s="23" t="s">
        <v>1694</v>
      </c>
      <c r="D353" s="89" t="s">
        <v>172</v>
      </c>
      <c r="E353" s="89"/>
      <c r="F353" s="89"/>
      <c r="G353" s="89"/>
      <c r="H353" s="89"/>
    </row>
    <row r="354" spans="1:28" x14ac:dyDescent="0.2">
      <c r="C354" s="23" t="s">
        <v>1695</v>
      </c>
      <c r="D354" s="89" t="s">
        <v>172</v>
      </c>
      <c r="E354" s="89"/>
      <c r="F354" s="89"/>
      <c r="G354" s="89"/>
      <c r="H354" s="89"/>
    </row>
    <row r="355" spans="1:28" x14ac:dyDescent="0.2">
      <c r="C355" s="23" t="s">
        <v>1696</v>
      </c>
      <c r="D355" s="89" t="s">
        <v>173</v>
      </c>
      <c r="E355" s="89"/>
      <c r="F355" s="89"/>
      <c r="G355" s="89"/>
      <c r="H355" s="89"/>
    </row>
    <row r="356" spans="1:28" x14ac:dyDescent="0.2">
      <c r="C356" s="23" t="s">
        <v>1697</v>
      </c>
      <c r="D356" s="89" t="s">
        <v>173</v>
      </c>
      <c r="E356" s="89"/>
      <c r="F356" s="89"/>
      <c r="G356" s="89"/>
      <c r="H356" s="89"/>
    </row>
    <row r="357" spans="1:28" x14ac:dyDescent="0.2">
      <c r="C357" s="23" t="s">
        <v>1698</v>
      </c>
      <c r="D357" s="89" t="s">
        <v>172</v>
      </c>
      <c r="E357" s="89"/>
      <c r="F357" s="89"/>
      <c r="G357" s="89"/>
      <c r="H357" s="89"/>
    </row>
    <row r="358" spans="1:28" x14ac:dyDescent="0.2">
      <c r="C358" s="9" t="s">
        <v>1688</v>
      </c>
      <c r="D358" s="34"/>
      <c r="E358" s="34"/>
      <c r="F358" s="34">
        <f>Source!BZ104</f>
        <v>118</v>
      </c>
      <c r="G358" s="58">
        <f>(Source!AF104+Source!AE104)*Source!FX104/100</f>
        <v>1208.0780999999999</v>
      </c>
      <c r="H358" s="58">
        <f>Source!X104</f>
        <v>555.28</v>
      </c>
    </row>
    <row r="359" spans="1:28" x14ac:dyDescent="0.2">
      <c r="C359" s="9" t="s">
        <v>1689</v>
      </c>
      <c r="D359" s="34"/>
      <c r="E359" s="34"/>
      <c r="F359" s="34"/>
      <c r="G359" s="34" t="str">
        <f>CONCATENATE(Source!DL104,Source!FT104, "=", Source!FX104, "%")</f>
        <v>*0,9=106,2%</v>
      </c>
      <c r="H359" s="34" t="str">
        <f>CONCATENATE(Source!AT104)</f>
        <v>106</v>
      </c>
    </row>
    <row r="360" spans="1:28" x14ac:dyDescent="0.2">
      <c r="C360" s="9" t="s">
        <v>1690</v>
      </c>
      <c r="D360" s="34"/>
      <c r="E360" s="34"/>
      <c r="F360" s="34">
        <f>Source!CA104</f>
        <v>63</v>
      </c>
      <c r="G360" s="58">
        <f>(Source!AF104+Source!AE104)*Source!FY104/100</f>
        <v>609.15802499999995</v>
      </c>
      <c r="H360" s="58">
        <f>Source!Y104</f>
        <v>282.88</v>
      </c>
    </row>
    <row r="361" spans="1:28" x14ac:dyDescent="0.2">
      <c r="C361" s="9" t="s">
        <v>1691</v>
      </c>
      <c r="D361" s="34"/>
      <c r="E361" s="34"/>
      <c r="F361" s="34"/>
      <c r="G361" s="34" t="str">
        <f>CONCATENATE(Source!DM104,Source!FU104, "=", Source!FY104, "%")</f>
        <v>*0,85=53,55%</v>
      </c>
      <c r="H361" s="34" t="str">
        <f>CONCATENATE(Source!AU104)</f>
        <v>54</v>
      </c>
    </row>
    <row r="362" spans="1:28" x14ac:dyDescent="0.2">
      <c r="C362" s="9" t="s">
        <v>1692</v>
      </c>
      <c r="D362" s="34"/>
      <c r="E362" s="34"/>
      <c r="F362" s="34"/>
      <c r="G362" s="58">
        <f>((Source!AF104+Source!AE104)*Source!FX104/100)+((Source!AF104+Source!AE104)*Source!FY104/100)+Source!AB104</f>
        <v>5676.2061249999997</v>
      </c>
      <c r="H362" s="58">
        <f>Source!O104+Source!X104+Source!Y104</f>
        <v>2615.2600000000002</v>
      </c>
    </row>
    <row r="363" spans="1:28" ht="42.75" x14ac:dyDescent="0.2">
      <c r="A363" s="46">
        <v>40</v>
      </c>
      <c r="B363" s="46" t="str">
        <f>Source!E105</f>
        <v>23,1</v>
      </c>
      <c r="C363" s="46" t="str">
        <f>Source!G105</f>
        <v>Блоки дверные внутренние однопольные глухие шлифованные, из массива сосны, тонированные</v>
      </c>
      <c r="D363" s="46" t="str">
        <f>Source!F105</f>
        <v>11.2.02.01-0032</v>
      </c>
      <c r="E363" s="31" t="str">
        <f>Source!H105</f>
        <v>м2</v>
      </c>
      <c r="F363" s="12">
        <f>Source!I105</f>
        <v>7.02</v>
      </c>
      <c r="G363" s="22">
        <f>Source!AB105</f>
        <v>1448.8</v>
      </c>
      <c r="H363" s="22">
        <f>Source!O105</f>
        <v>66718.98</v>
      </c>
      <c r="T363">
        <f>Source!O105+Source!X105+Source!Y105</f>
        <v>66718.98</v>
      </c>
      <c r="U363">
        <f>Source!P105</f>
        <v>66718.98</v>
      </c>
      <c r="V363">
        <f>Source!S105</f>
        <v>0</v>
      </c>
      <c r="W363">
        <f>Source!Q105</f>
        <v>0</v>
      </c>
      <c r="X363">
        <f>Source!R105</f>
        <v>0</v>
      </c>
      <c r="Y363">
        <f>Source!U105</f>
        <v>0</v>
      </c>
      <c r="Z363">
        <f>Source!V105</f>
        <v>0</v>
      </c>
      <c r="AA363">
        <f>Source!X105</f>
        <v>0</v>
      </c>
      <c r="AB363">
        <f>Source!Y105</f>
        <v>0</v>
      </c>
    </row>
    <row r="364" spans="1:28" ht="14.25" x14ac:dyDescent="0.2">
      <c r="C364" s="23" t="s">
        <v>1686</v>
      </c>
      <c r="D364" s="23">
        <f>Source!BC105</f>
        <v>6.56</v>
      </c>
      <c r="F364" s="12"/>
      <c r="G364" s="12"/>
      <c r="H364" s="12"/>
    </row>
    <row r="365" spans="1:28" ht="42.75" x14ac:dyDescent="0.2">
      <c r="A365" s="46">
        <v>41</v>
      </c>
      <c r="B365" s="46" t="str">
        <f>Source!E106</f>
        <v>23,2</v>
      </c>
      <c r="C365" s="46" t="str">
        <f>Source!G106</f>
        <v>Скобяные изделия для блоков входных дверей в помещение однопольных</v>
      </c>
      <c r="D365" s="46" t="str">
        <f>Source!F106</f>
        <v>01.7.04.07-0003</v>
      </c>
      <c r="E365" s="31" t="str">
        <f>Source!H106</f>
        <v>компл.</v>
      </c>
      <c r="F365" s="12">
        <f>Source!I106</f>
        <v>2.9999999999999996</v>
      </c>
      <c r="G365" s="22">
        <f>Source!AB106</f>
        <v>94.68</v>
      </c>
      <c r="H365" s="22">
        <f>Source!O106</f>
        <v>1863.3</v>
      </c>
      <c r="T365">
        <f>Source!O106+Source!X106+Source!Y106</f>
        <v>1863.3</v>
      </c>
      <c r="U365">
        <f>Source!P106</f>
        <v>1863.3</v>
      </c>
      <c r="V365">
        <f>Source!S106</f>
        <v>0</v>
      </c>
      <c r="W365">
        <f>Source!Q106</f>
        <v>0</v>
      </c>
      <c r="X365">
        <f>Source!R106</f>
        <v>0</v>
      </c>
      <c r="Y365">
        <f>Source!U106</f>
        <v>0</v>
      </c>
      <c r="Z365">
        <f>Source!V106</f>
        <v>0</v>
      </c>
      <c r="AA365">
        <f>Source!X106</f>
        <v>0</v>
      </c>
      <c r="AB365">
        <f>Source!Y106</f>
        <v>0</v>
      </c>
    </row>
    <row r="366" spans="1:28" ht="14.25" x14ac:dyDescent="0.2">
      <c r="C366" s="23" t="s">
        <v>1686</v>
      </c>
      <c r="D366" s="23">
        <f>Source!BC106</f>
        <v>6.56</v>
      </c>
      <c r="F366" s="12"/>
      <c r="G366" s="12"/>
      <c r="H366" s="12"/>
    </row>
    <row r="367" spans="1:28" ht="14.25" x14ac:dyDescent="0.2">
      <c r="A367" s="46">
        <v>42</v>
      </c>
      <c r="B367" s="46" t="str">
        <f>Source!E107</f>
        <v>23,3</v>
      </c>
      <c r="C367" s="46" t="str">
        <f>Source!G107</f>
        <v>Блоки дверные</v>
      </c>
      <c r="D367" s="46" t="str">
        <f>Source!F107</f>
        <v>11.2.02.01</v>
      </c>
      <c r="E367" s="31" t="str">
        <f>Source!H107</f>
        <v>м2</v>
      </c>
      <c r="F367" s="12">
        <f>Source!I107</f>
        <v>7.02</v>
      </c>
      <c r="G367" s="22">
        <f>Source!AB107</f>
        <v>0</v>
      </c>
      <c r="H367" s="22">
        <f>Source!O107</f>
        <v>0</v>
      </c>
      <c r="T367">
        <f>Source!O107+Source!X107+Source!Y107</f>
        <v>0</v>
      </c>
      <c r="U367">
        <f>Source!P107</f>
        <v>0</v>
      </c>
      <c r="V367">
        <f>Source!S107</f>
        <v>0</v>
      </c>
      <c r="W367">
        <f>Source!Q107</f>
        <v>0</v>
      </c>
      <c r="X367">
        <f>Source!R107</f>
        <v>0</v>
      </c>
      <c r="Y367">
        <f>Source!U107</f>
        <v>0</v>
      </c>
      <c r="Z367">
        <f>Source!V107</f>
        <v>0</v>
      </c>
      <c r="AA367">
        <f>Source!X107</f>
        <v>0</v>
      </c>
      <c r="AB367">
        <f>Source!Y107</f>
        <v>0</v>
      </c>
    </row>
    <row r="368" spans="1:28" ht="14.25" x14ac:dyDescent="0.2">
      <c r="C368" s="23" t="s">
        <v>1686</v>
      </c>
      <c r="D368" s="23">
        <f>Source!BC107</f>
        <v>6.56</v>
      </c>
      <c r="F368" s="12"/>
      <c r="G368" s="12"/>
      <c r="H368" s="12"/>
    </row>
    <row r="369" spans="1:28" ht="57" x14ac:dyDescent="0.2">
      <c r="A369" s="46">
        <v>43</v>
      </c>
      <c r="B369" s="46" t="str">
        <f>Source!E108</f>
        <v>24</v>
      </c>
      <c r="C369" s="46" t="str">
        <f>Source!G108</f>
        <v>Устройство сантехнических перегородок (стандартные туалетные кабины) на каркасе из алюминиевого профиля</v>
      </c>
      <c r="D369" s="46" t="str">
        <f>Source!F108</f>
        <v>10-04-014-01</v>
      </c>
      <c r="E369" s="31" t="str">
        <f>Source!H108</f>
        <v>100 м2</v>
      </c>
      <c r="F369" s="12">
        <f>Source!I108</f>
        <v>0.16800000000000001</v>
      </c>
      <c r="G369" s="22">
        <f>Source!AB108</f>
        <v>70470.02</v>
      </c>
      <c r="H369" s="22">
        <f>Source!O108</f>
        <v>77663.600000000006</v>
      </c>
      <c r="T369">
        <f>Source!O108+Source!X108+Source!Y108</f>
        <v>78261.41</v>
      </c>
      <c r="U369">
        <f>Source!P108</f>
        <v>77289.97</v>
      </c>
      <c r="V369">
        <f>Source!S108</f>
        <v>373.63</v>
      </c>
      <c r="W369">
        <f>Source!Q108</f>
        <v>0</v>
      </c>
      <c r="X369">
        <f>Source!R108</f>
        <v>0</v>
      </c>
      <c r="Y369">
        <f>Source!U108</f>
        <v>6.6769920000000003</v>
      </c>
      <c r="Z369">
        <f>Source!V108</f>
        <v>0</v>
      </c>
      <c r="AA369">
        <f>Source!X108</f>
        <v>396.05</v>
      </c>
      <c r="AB369">
        <f>Source!Y108</f>
        <v>201.76</v>
      </c>
    </row>
    <row r="370" spans="1:28" ht="14.25" x14ac:dyDescent="0.2">
      <c r="C370" s="23" t="str">
        <f>"Объем: "&amp;Source!I108&amp;"=16,8/"&amp;"100"</f>
        <v>Объем: 0,168=16,8/100</v>
      </c>
      <c r="F370" s="12"/>
      <c r="G370" s="12"/>
      <c r="H370" s="12"/>
    </row>
    <row r="371" spans="1:28" x14ac:dyDescent="0.2">
      <c r="C371" s="23" t="s">
        <v>1684</v>
      </c>
      <c r="D371" s="23">
        <f>Source!BA108</f>
        <v>6.56</v>
      </c>
    </row>
    <row r="372" spans="1:28" x14ac:dyDescent="0.2">
      <c r="C372" s="23" t="s">
        <v>1685</v>
      </c>
      <c r="D372" s="23">
        <f>Source!BB108</f>
        <v>6.56</v>
      </c>
    </row>
    <row r="373" spans="1:28" x14ac:dyDescent="0.2">
      <c r="C373" s="23" t="s">
        <v>1686</v>
      </c>
      <c r="D373" s="23">
        <f>Source!BC108</f>
        <v>6.56</v>
      </c>
    </row>
    <row r="374" spans="1:28" x14ac:dyDescent="0.2">
      <c r="C374" s="23" t="s">
        <v>1687</v>
      </c>
      <c r="D374" s="23">
        <f>Source!BS108</f>
        <v>6.56</v>
      </c>
    </row>
    <row r="375" spans="1:28" x14ac:dyDescent="0.2">
      <c r="C375" s="23" t="s">
        <v>1694</v>
      </c>
      <c r="D375" s="89" t="s">
        <v>172</v>
      </c>
      <c r="E375" s="89"/>
      <c r="F375" s="89"/>
      <c r="G375" s="89"/>
      <c r="H375" s="89"/>
    </row>
    <row r="376" spans="1:28" x14ac:dyDescent="0.2">
      <c r="C376" s="23" t="s">
        <v>1695</v>
      </c>
      <c r="D376" s="89" t="s">
        <v>172</v>
      </c>
      <c r="E376" s="89"/>
      <c r="F376" s="89"/>
      <c r="G376" s="89"/>
      <c r="H376" s="89"/>
    </row>
    <row r="377" spans="1:28" x14ac:dyDescent="0.2">
      <c r="C377" s="23" t="s">
        <v>1696</v>
      </c>
      <c r="D377" s="89" t="s">
        <v>173</v>
      </c>
      <c r="E377" s="89"/>
      <c r="F377" s="89"/>
      <c r="G377" s="89"/>
      <c r="H377" s="89"/>
    </row>
    <row r="378" spans="1:28" x14ac:dyDescent="0.2">
      <c r="C378" s="23" t="s">
        <v>1697</v>
      </c>
      <c r="D378" s="89" t="s">
        <v>173</v>
      </c>
      <c r="E378" s="89"/>
      <c r="F378" s="89"/>
      <c r="G378" s="89"/>
      <c r="H378" s="89"/>
    </row>
    <row r="379" spans="1:28" x14ac:dyDescent="0.2">
      <c r="C379" s="23" t="s">
        <v>1698</v>
      </c>
      <c r="D379" s="89" t="s">
        <v>172</v>
      </c>
      <c r="E379" s="89"/>
      <c r="F379" s="89"/>
      <c r="G379" s="89"/>
      <c r="H379" s="89"/>
    </row>
    <row r="380" spans="1:28" x14ac:dyDescent="0.2">
      <c r="C380" s="9" t="s">
        <v>1688</v>
      </c>
      <c r="D380" s="34"/>
      <c r="E380" s="34"/>
      <c r="F380" s="34">
        <f>Source!BZ108</f>
        <v>118</v>
      </c>
      <c r="G380" s="58">
        <f>(Source!AF108+Source!AE108)*Source!FX108/100</f>
        <v>360.03924000000001</v>
      </c>
      <c r="H380" s="58">
        <f>Source!X108</f>
        <v>396.05</v>
      </c>
    </row>
    <row r="381" spans="1:28" x14ac:dyDescent="0.2">
      <c r="C381" s="9" t="s">
        <v>1689</v>
      </c>
      <c r="D381" s="34"/>
      <c r="E381" s="34"/>
      <c r="F381" s="34"/>
      <c r="G381" s="34" t="str">
        <f>CONCATENATE(Source!DL108,Source!FT108, "=", Source!FX108, "%")</f>
        <v>*0,9=106,2%</v>
      </c>
      <c r="H381" s="34" t="str">
        <f>CONCATENATE(Source!AT108)</f>
        <v>106</v>
      </c>
    </row>
    <row r="382" spans="1:28" x14ac:dyDescent="0.2">
      <c r="C382" s="9" t="s">
        <v>1690</v>
      </c>
      <c r="D382" s="34"/>
      <c r="E382" s="34"/>
      <c r="F382" s="34">
        <f>Source!CA108</f>
        <v>63</v>
      </c>
      <c r="G382" s="58">
        <f>(Source!AF108+Source!AE108)*Source!FY108/100</f>
        <v>181.54520999999997</v>
      </c>
      <c r="H382" s="58">
        <f>Source!Y108</f>
        <v>201.76</v>
      </c>
    </row>
    <row r="383" spans="1:28" x14ac:dyDescent="0.2">
      <c r="C383" s="9" t="s">
        <v>1691</v>
      </c>
      <c r="D383" s="34"/>
      <c r="E383" s="34"/>
      <c r="F383" s="34"/>
      <c r="G383" s="34" t="str">
        <f>CONCATENATE(Source!DM108,Source!FU108, "=", Source!FY108, "%")</f>
        <v>*0,85=53,55%</v>
      </c>
      <c r="H383" s="34" t="str">
        <f>CONCATENATE(Source!AU108)</f>
        <v>54</v>
      </c>
    </row>
    <row r="384" spans="1:28" x14ac:dyDescent="0.2">
      <c r="C384" s="9" t="s">
        <v>1692</v>
      </c>
      <c r="D384" s="34"/>
      <c r="E384" s="34"/>
      <c r="F384" s="34"/>
      <c r="G384" s="58">
        <f>((Source!AF108+Source!AE108)*Source!FX108/100)+((Source!AF108+Source!AE108)*Source!FY108/100)+Source!AB108</f>
        <v>71011.604449999999</v>
      </c>
      <c r="H384" s="58">
        <f>Source!O108+Source!X108+Source!Y108</f>
        <v>78261.41</v>
      </c>
    </row>
    <row r="385" spans="1:28" ht="57" x14ac:dyDescent="0.2">
      <c r="A385" s="46">
        <v>44</v>
      </c>
      <c r="B385" s="46" t="str">
        <f>Source!E109</f>
        <v>25</v>
      </c>
      <c r="C385" s="46" t="str">
        <f>Source!G109</f>
        <v>Ремонт штукатурки откосов внутри здания по камню и бетону цементно-известковым раствором прямолинейных</v>
      </c>
      <c r="D385" s="46" t="str">
        <f>Source!F109</f>
        <v>61-7-1</v>
      </c>
      <c r="E385" s="31" t="str">
        <f>Source!H109</f>
        <v>100 м2</v>
      </c>
      <c r="F385" s="12">
        <f>Source!I109</f>
        <v>7.3200000000000001E-2</v>
      </c>
      <c r="G385" s="22">
        <f>Source!AB109</f>
        <v>5751.96</v>
      </c>
      <c r="H385" s="22">
        <f>Source!O109</f>
        <v>2762.04</v>
      </c>
      <c r="T385">
        <f>Source!O109+Source!X109+Source!Y109</f>
        <v>4900.1899999999996</v>
      </c>
      <c r="U385">
        <f>Source!P109</f>
        <v>1094.67</v>
      </c>
      <c r="V385">
        <f>Source!S109</f>
        <v>1649.96</v>
      </c>
      <c r="W385">
        <f>Source!Q109</f>
        <v>17.41</v>
      </c>
      <c r="X385">
        <f>Source!R109</f>
        <v>7.52</v>
      </c>
      <c r="Y385">
        <f>Source!U109</f>
        <v>28.039992000000002</v>
      </c>
      <c r="Z385">
        <f>Source!V109</f>
        <v>8.4912000000000001E-2</v>
      </c>
      <c r="AA385">
        <f>Source!X109</f>
        <v>1309.4100000000001</v>
      </c>
      <c r="AB385">
        <f>Source!Y109</f>
        <v>828.74</v>
      </c>
    </row>
    <row r="386" spans="1:28" ht="14.25" x14ac:dyDescent="0.2">
      <c r="C386" s="23" t="str">
        <f>"Объем: "&amp;Source!I109&amp;"=7,32/"&amp;"100"</f>
        <v>Объем: 0,0732=7,32/100</v>
      </c>
      <c r="F386" s="12"/>
      <c r="G386" s="12"/>
      <c r="H386" s="12"/>
    </row>
    <row r="387" spans="1:28" x14ac:dyDescent="0.2">
      <c r="C387" s="23" t="s">
        <v>1684</v>
      </c>
      <c r="D387" s="23">
        <f>Source!BA109</f>
        <v>6.56</v>
      </c>
    </row>
    <row r="388" spans="1:28" x14ac:dyDescent="0.2">
      <c r="C388" s="23" t="s">
        <v>1685</v>
      </c>
      <c r="D388" s="23">
        <f>Source!BB109</f>
        <v>6.56</v>
      </c>
    </row>
    <row r="389" spans="1:28" x14ac:dyDescent="0.2">
      <c r="C389" s="23" t="s">
        <v>1686</v>
      </c>
      <c r="D389" s="23">
        <f>Source!BC109</f>
        <v>6.56</v>
      </c>
    </row>
    <row r="390" spans="1:28" x14ac:dyDescent="0.2">
      <c r="C390" s="23" t="s">
        <v>1687</v>
      </c>
      <c r="D390" s="23">
        <f>Source!BS109</f>
        <v>6.56</v>
      </c>
    </row>
    <row r="391" spans="1:28" x14ac:dyDescent="0.2">
      <c r="C391" s="9" t="s">
        <v>1688</v>
      </c>
      <c r="D391" s="34"/>
      <c r="E391" s="34"/>
      <c r="F391" s="34">
        <f>Source!BZ109</f>
        <v>79</v>
      </c>
      <c r="G391" s="58">
        <f>(Source!AF109+Source!AE109)*Source!FX109/100</f>
        <v>2726.8509000000004</v>
      </c>
      <c r="H391" s="58">
        <f>Source!X109</f>
        <v>1309.4100000000001</v>
      </c>
    </row>
    <row r="392" spans="1:28" x14ac:dyDescent="0.2">
      <c r="C392" s="9" t="s">
        <v>1690</v>
      </c>
      <c r="D392" s="34"/>
      <c r="E392" s="34"/>
      <c r="F392" s="34">
        <f>Source!CA109</f>
        <v>50</v>
      </c>
      <c r="G392" s="58">
        <f>(Source!AF109+Source!AE109)*Source!FY109/100</f>
        <v>1725.855</v>
      </c>
      <c r="H392" s="58">
        <f>Source!Y109</f>
        <v>828.74</v>
      </c>
    </row>
    <row r="393" spans="1:28" x14ac:dyDescent="0.2">
      <c r="C393" s="9" t="s">
        <v>1692</v>
      </c>
      <c r="D393" s="34"/>
      <c r="E393" s="34"/>
      <c r="F393" s="34"/>
      <c r="G393" s="58">
        <f>((Source!AF109+Source!AE109)*Source!FX109/100)+((Source!AF109+Source!AE109)*Source!FY109/100)+Source!AB109</f>
        <v>10204.6659</v>
      </c>
      <c r="H393" s="58">
        <f>Source!O109+Source!X109+Source!Y109</f>
        <v>4900.1899999999996</v>
      </c>
    </row>
    <row r="394" spans="1:28" ht="14.25" x14ac:dyDescent="0.2">
      <c r="A394" s="46">
        <v>45</v>
      </c>
      <c r="B394" s="46" t="str">
        <f>Source!E110</f>
        <v>25,1</v>
      </c>
      <c r="C394" s="46" t="str">
        <f>Source!G110</f>
        <v>Строительный мусор</v>
      </c>
      <c r="D394" s="46" t="str">
        <f>Source!F110</f>
        <v>01.7.07.07</v>
      </c>
      <c r="E394" s="31" t="str">
        <f>Source!H110</f>
        <v>т</v>
      </c>
      <c r="F394" s="12">
        <f>Source!I110</f>
        <v>0.59292</v>
      </c>
      <c r="G394" s="22">
        <f>Source!AB110</f>
        <v>0</v>
      </c>
      <c r="H394" s="22">
        <f>Source!O110</f>
        <v>0</v>
      </c>
      <c r="T394">
        <f>Source!O110+Source!X110+Source!Y110</f>
        <v>0</v>
      </c>
      <c r="U394">
        <f>Source!P110</f>
        <v>0</v>
      </c>
      <c r="V394">
        <f>Source!S110</f>
        <v>0</v>
      </c>
      <c r="W394">
        <f>Source!Q110</f>
        <v>0</v>
      </c>
      <c r="X394">
        <f>Source!R110</f>
        <v>0</v>
      </c>
      <c r="Y394">
        <f>Source!U110</f>
        <v>0</v>
      </c>
      <c r="Z394">
        <f>Source!V110</f>
        <v>0</v>
      </c>
      <c r="AA394">
        <f>Source!X110</f>
        <v>0</v>
      </c>
      <c r="AB394">
        <f>Source!Y110</f>
        <v>0</v>
      </c>
    </row>
    <row r="395" spans="1:28" ht="14.25" x14ac:dyDescent="0.2">
      <c r="C395" s="23" t="s">
        <v>1686</v>
      </c>
      <c r="D395" s="23">
        <f>Source!BC110</f>
        <v>6.56</v>
      </c>
      <c r="F395" s="12"/>
      <c r="G395" s="12"/>
      <c r="H395" s="12"/>
    </row>
    <row r="396" spans="1:28" ht="28.5" x14ac:dyDescent="0.2">
      <c r="A396" s="46">
        <v>46</v>
      </c>
      <c r="B396" s="46" t="str">
        <f>Source!E111</f>
        <v>26</v>
      </c>
      <c r="C396" s="46" t="str">
        <f>Source!G111</f>
        <v>Устройство металлических перемычек в стенах существующих зданий</v>
      </c>
      <c r="D396" s="46" t="str">
        <f>Source!F111</f>
        <v>53-25-1</v>
      </c>
      <c r="E396" s="31" t="str">
        <f>Source!H111</f>
        <v>т</v>
      </c>
      <c r="F396" s="12">
        <f>Source!I111</f>
        <v>0.01</v>
      </c>
      <c r="G396" s="22">
        <f>Source!AB111</f>
        <v>1581.13</v>
      </c>
      <c r="H396" s="22">
        <f>Source!O111</f>
        <v>103.72</v>
      </c>
      <c r="T396">
        <f>Source!O111+Source!X111+Source!Y111</f>
        <v>251.11</v>
      </c>
      <c r="U396">
        <f>Source!P111</f>
        <v>5.56</v>
      </c>
      <c r="V396">
        <f>Source!S111</f>
        <v>94.02</v>
      </c>
      <c r="W396">
        <f>Source!Q111</f>
        <v>4.1399999999999997</v>
      </c>
      <c r="X396">
        <f>Source!R111</f>
        <v>0.46</v>
      </c>
      <c r="Y396">
        <f>Source!U111</f>
        <v>1.6588000000000001</v>
      </c>
      <c r="Z396">
        <f>Source!V111</f>
        <v>6.7000000000000002E-3</v>
      </c>
      <c r="AA396">
        <f>Source!X111</f>
        <v>81.25</v>
      </c>
      <c r="AB396">
        <f>Source!Y111</f>
        <v>66.14</v>
      </c>
    </row>
    <row r="397" spans="1:28" ht="14.25" x14ac:dyDescent="0.2">
      <c r="C397" s="23" t="s">
        <v>1684</v>
      </c>
      <c r="D397" s="23">
        <f>Source!BA111</f>
        <v>6.56</v>
      </c>
      <c r="F397" s="12"/>
      <c r="G397" s="12"/>
      <c r="H397" s="12"/>
    </row>
    <row r="398" spans="1:28" x14ac:dyDescent="0.2">
      <c r="C398" s="23" t="s">
        <v>1685</v>
      </c>
      <c r="D398" s="23">
        <f>Source!BB111</f>
        <v>6.56</v>
      </c>
    </row>
    <row r="399" spans="1:28" x14ac:dyDescent="0.2">
      <c r="C399" s="23" t="s">
        <v>1686</v>
      </c>
      <c r="D399" s="23">
        <f>Source!BC111</f>
        <v>6.56</v>
      </c>
    </row>
    <row r="400" spans="1:28" x14ac:dyDescent="0.2">
      <c r="C400" s="23" t="s">
        <v>1687</v>
      </c>
      <c r="D400" s="23">
        <f>Source!BS111</f>
        <v>6.56</v>
      </c>
    </row>
    <row r="401" spans="1:28" x14ac:dyDescent="0.2">
      <c r="C401" s="9" t="s">
        <v>1688</v>
      </c>
      <c r="D401" s="34"/>
      <c r="E401" s="34"/>
      <c r="F401" s="34">
        <f>Source!BZ111</f>
        <v>86</v>
      </c>
      <c r="G401" s="58">
        <f>(Source!AF111+Source!AE111)*Source!FX111/100</f>
        <v>1238.615</v>
      </c>
      <c r="H401" s="58">
        <f>Source!X111</f>
        <v>81.25</v>
      </c>
    </row>
    <row r="402" spans="1:28" x14ac:dyDescent="0.2">
      <c r="C402" s="9" t="s">
        <v>1690</v>
      </c>
      <c r="D402" s="34"/>
      <c r="E402" s="34"/>
      <c r="F402" s="34">
        <f>Source!CA111</f>
        <v>70</v>
      </c>
      <c r="G402" s="58">
        <f>(Source!AF111+Source!AE111)*Source!FY111/100</f>
        <v>1008.175</v>
      </c>
      <c r="H402" s="58">
        <f>Source!Y111</f>
        <v>66.14</v>
      </c>
    </row>
    <row r="403" spans="1:28" x14ac:dyDescent="0.2">
      <c r="C403" s="9" t="s">
        <v>1692</v>
      </c>
      <c r="D403" s="34"/>
      <c r="E403" s="34"/>
      <c r="F403" s="34"/>
      <c r="G403" s="58">
        <f>((Source!AF111+Source!AE111)*Source!FX111/100)+((Source!AF111+Source!AE111)*Source!FY111/100)+Source!AB111</f>
        <v>3827.92</v>
      </c>
      <c r="H403" s="58">
        <f>Source!O111+Source!X111+Source!Y111</f>
        <v>251.11</v>
      </c>
    </row>
    <row r="404" spans="1:28" ht="28.5" x14ac:dyDescent="0.2">
      <c r="A404" s="46">
        <v>47</v>
      </c>
      <c r="B404" s="46" t="str">
        <f>Source!E112</f>
        <v>26,1</v>
      </c>
      <c r="C404" s="46" t="str">
        <f>Source!G112</f>
        <v>Раствор готовый кладочный цементный марки 100</v>
      </c>
      <c r="D404" s="46" t="str">
        <f>Source!F112</f>
        <v>04.3.01.09-0014</v>
      </c>
      <c r="E404" s="31" t="str">
        <f>Source!H112</f>
        <v>м3</v>
      </c>
      <c r="F404" s="12">
        <f>Source!I112</f>
        <v>5.4000000000000003E-3</v>
      </c>
      <c r="G404" s="22">
        <f>Source!AB112</f>
        <v>519.79999999999995</v>
      </c>
      <c r="H404" s="22">
        <f>Source!O112</f>
        <v>18.41</v>
      </c>
      <c r="T404">
        <f>Source!O112+Source!X112+Source!Y112</f>
        <v>18.41</v>
      </c>
      <c r="U404">
        <f>Source!P112</f>
        <v>18.41</v>
      </c>
      <c r="V404">
        <f>Source!S112</f>
        <v>0</v>
      </c>
      <c r="W404">
        <f>Source!Q112</f>
        <v>0</v>
      </c>
      <c r="X404">
        <f>Source!R112</f>
        <v>0</v>
      </c>
      <c r="Y404">
        <f>Source!U112</f>
        <v>0</v>
      </c>
      <c r="Z404">
        <f>Source!V112</f>
        <v>0</v>
      </c>
      <c r="AA404">
        <f>Source!X112</f>
        <v>0</v>
      </c>
      <c r="AB404">
        <f>Source!Y112</f>
        <v>0</v>
      </c>
    </row>
    <row r="405" spans="1:28" ht="14.25" x14ac:dyDescent="0.2">
      <c r="C405" s="23" t="s">
        <v>1686</v>
      </c>
      <c r="D405" s="23">
        <f>Source!BC112</f>
        <v>6.56</v>
      </c>
      <c r="F405" s="12"/>
      <c r="G405" s="12"/>
      <c r="H405" s="12"/>
    </row>
    <row r="406" spans="1:28" ht="28.5" x14ac:dyDescent="0.2">
      <c r="A406" s="46">
        <v>48</v>
      </c>
      <c r="B406" s="46" t="str">
        <f>Source!E113</f>
        <v>26,2</v>
      </c>
      <c r="C406" s="46" t="str">
        <f>Source!G113</f>
        <v>Кирпич керамический одинарный, размером 250х120х65 мм, марка 125</v>
      </c>
      <c r="D406" s="46" t="str">
        <f>Source!F113</f>
        <v>06.1.01.05-0036</v>
      </c>
      <c r="E406" s="31" t="str">
        <f>Source!H113</f>
        <v>1000 шт.</v>
      </c>
      <c r="F406" s="12">
        <f>Source!I113</f>
        <v>5.7000000000000011E-3</v>
      </c>
      <c r="G406" s="22">
        <f>Source!AB113</f>
        <v>1863.37</v>
      </c>
      <c r="H406" s="22">
        <f>Source!O113</f>
        <v>69.680000000000007</v>
      </c>
      <c r="T406">
        <f>Source!O113+Source!X113+Source!Y113</f>
        <v>69.680000000000007</v>
      </c>
      <c r="U406">
        <f>Source!P113</f>
        <v>69.680000000000007</v>
      </c>
      <c r="V406">
        <f>Source!S113</f>
        <v>0</v>
      </c>
      <c r="W406">
        <f>Source!Q113</f>
        <v>0</v>
      </c>
      <c r="X406">
        <f>Source!R113</f>
        <v>0</v>
      </c>
      <c r="Y406">
        <f>Source!U113</f>
        <v>0</v>
      </c>
      <c r="Z406">
        <f>Source!V113</f>
        <v>0</v>
      </c>
      <c r="AA406">
        <f>Source!X113</f>
        <v>0</v>
      </c>
      <c r="AB406">
        <f>Source!Y113</f>
        <v>0</v>
      </c>
    </row>
    <row r="407" spans="1:28" ht="14.25" x14ac:dyDescent="0.2">
      <c r="C407" s="23" t="s">
        <v>1686</v>
      </c>
      <c r="D407" s="23">
        <f>Source!BC113</f>
        <v>6.56</v>
      </c>
      <c r="F407" s="12"/>
      <c r="G407" s="12"/>
      <c r="H407" s="12"/>
    </row>
    <row r="408" spans="1:28" ht="28.5" x14ac:dyDescent="0.2">
      <c r="A408" s="46">
        <v>49</v>
      </c>
      <c r="B408" s="46" t="str">
        <f>Source!E114</f>
        <v>26,3</v>
      </c>
      <c r="C408" s="46" t="str">
        <f>Source!G114</f>
        <v>Сталь угловая равнополочная, марка стали Ст3сп, размером 45х45 мм</v>
      </c>
      <c r="D408" s="46" t="str">
        <f>Source!F114</f>
        <v>08.3.08.02-0083</v>
      </c>
      <c r="E408" s="31" t="str">
        <f>Source!H114</f>
        <v>т</v>
      </c>
      <c r="F408" s="12">
        <f>Source!I114</f>
        <v>1.0400000000000001E-2</v>
      </c>
      <c r="G408" s="22">
        <f>Source!AB114</f>
        <v>6743.51</v>
      </c>
      <c r="H408" s="22">
        <f>Source!O114</f>
        <v>460.07</v>
      </c>
      <c r="T408">
        <f>Source!O114+Source!X114+Source!Y114</f>
        <v>460.07</v>
      </c>
      <c r="U408">
        <f>Source!P114</f>
        <v>460.07</v>
      </c>
      <c r="V408">
        <f>Source!S114</f>
        <v>0</v>
      </c>
      <c r="W408">
        <f>Source!Q114</f>
        <v>0</v>
      </c>
      <c r="X408">
        <f>Source!R114</f>
        <v>0</v>
      </c>
      <c r="Y408">
        <f>Source!U114</f>
        <v>0</v>
      </c>
      <c r="Z408">
        <f>Source!V114</f>
        <v>0</v>
      </c>
      <c r="AA408">
        <f>Source!X114</f>
        <v>0</v>
      </c>
      <c r="AB408">
        <f>Source!Y114</f>
        <v>0</v>
      </c>
    </row>
    <row r="409" spans="1:28" ht="14.25" x14ac:dyDescent="0.2">
      <c r="C409" s="23" t="s">
        <v>1686</v>
      </c>
      <c r="D409" s="23">
        <f>Source!BC114</f>
        <v>6.56</v>
      </c>
      <c r="F409" s="12"/>
      <c r="G409" s="12"/>
      <c r="H409" s="12"/>
    </row>
    <row r="410" spans="1:28" ht="14.25" x14ac:dyDescent="0.2">
      <c r="A410" s="46">
        <v>50</v>
      </c>
      <c r="B410" s="46" t="str">
        <f>Source!E115</f>
        <v>26,4</v>
      </c>
      <c r="C410" s="46" t="str">
        <f>Source!G115</f>
        <v>Раствор цементно-известковый М50</v>
      </c>
      <c r="D410" s="46" t="str">
        <f>Source!F115</f>
        <v>04.3.01.12</v>
      </c>
      <c r="E410" s="31" t="str">
        <f>Source!H115</f>
        <v>м3</v>
      </c>
      <c r="F410" s="12">
        <f>Source!I115</f>
        <v>5.4000000000000003E-3</v>
      </c>
      <c r="G410" s="22">
        <f>Source!AB115</f>
        <v>0</v>
      </c>
      <c r="H410" s="22">
        <f>Source!O115</f>
        <v>0</v>
      </c>
      <c r="T410">
        <f>Source!O115+Source!X115+Source!Y115</f>
        <v>0</v>
      </c>
      <c r="U410">
        <f>Source!P115</f>
        <v>0</v>
      </c>
      <c r="V410">
        <f>Source!S115</f>
        <v>0</v>
      </c>
      <c r="W410">
        <f>Source!Q115</f>
        <v>0</v>
      </c>
      <c r="X410">
        <f>Source!R115</f>
        <v>0</v>
      </c>
      <c r="Y410">
        <f>Source!U115</f>
        <v>0</v>
      </c>
      <c r="Z410">
        <f>Source!V115</f>
        <v>0</v>
      </c>
      <c r="AA410">
        <f>Source!X115</f>
        <v>0</v>
      </c>
      <c r="AB410">
        <f>Source!Y115</f>
        <v>0</v>
      </c>
    </row>
    <row r="411" spans="1:28" ht="14.25" x14ac:dyDescent="0.2">
      <c r="C411" s="23" t="s">
        <v>1686</v>
      </c>
      <c r="D411" s="23">
        <f>Source!BC115</f>
        <v>6.56</v>
      </c>
      <c r="F411" s="12"/>
      <c r="G411" s="12"/>
      <c r="H411" s="12"/>
    </row>
    <row r="412" spans="1:28" ht="14.25" x14ac:dyDescent="0.2">
      <c r="A412" s="46">
        <v>51</v>
      </c>
      <c r="B412" s="46" t="str">
        <f>Source!E116</f>
        <v>26,5</v>
      </c>
      <c r="C412" s="46" t="str">
        <f>Source!G116</f>
        <v>Кирпич</v>
      </c>
      <c r="D412" s="46" t="str">
        <f>Source!F116</f>
        <v>06.1.01.05</v>
      </c>
      <c r="E412" s="31" t="str">
        <f>Source!H116</f>
        <v>1000 шт.</v>
      </c>
      <c r="F412" s="12">
        <f>Source!I116</f>
        <v>5.7000000000000011E-3</v>
      </c>
      <c r="G412" s="22">
        <f>Source!AB116</f>
        <v>0</v>
      </c>
      <c r="H412" s="22">
        <f>Source!O116</f>
        <v>0</v>
      </c>
      <c r="T412">
        <f>Source!O116+Source!X116+Source!Y116</f>
        <v>0</v>
      </c>
      <c r="U412">
        <f>Source!P116</f>
        <v>0</v>
      </c>
      <c r="V412">
        <f>Source!S116</f>
        <v>0</v>
      </c>
      <c r="W412">
        <f>Source!Q116</f>
        <v>0</v>
      </c>
      <c r="X412">
        <f>Source!R116</f>
        <v>0</v>
      </c>
      <c r="Y412">
        <f>Source!U116</f>
        <v>0</v>
      </c>
      <c r="Z412">
        <f>Source!V116</f>
        <v>0</v>
      </c>
      <c r="AA412">
        <f>Source!X116</f>
        <v>0</v>
      </c>
      <c r="AB412">
        <f>Source!Y116</f>
        <v>0</v>
      </c>
    </row>
    <row r="413" spans="1:28" ht="14.25" x14ac:dyDescent="0.2">
      <c r="C413" s="23" t="s">
        <v>1686</v>
      </c>
      <c r="D413" s="23">
        <f>Source!BC116</f>
        <v>6.56</v>
      </c>
      <c r="F413" s="12"/>
      <c r="G413" s="12"/>
      <c r="H413" s="12"/>
    </row>
    <row r="414" spans="1:28" ht="14.25" x14ac:dyDescent="0.2">
      <c r="A414" s="46">
        <v>52</v>
      </c>
      <c r="B414" s="46" t="str">
        <f>Source!E117</f>
        <v>26,6</v>
      </c>
      <c r="C414" s="46" t="str">
        <f>Source!G117</f>
        <v>Конструкции стальные</v>
      </c>
      <c r="D414" s="46" t="str">
        <f>Source!F117</f>
        <v>07.2.07.13</v>
      </c>
      <c r="E414" s="31" t="str">
        <f>Source!H117</f>
        <v>т</v>
      </c>
      <c r="F414" s="12">
        <f>Source!I117</f>
        <v>1.0400000000000001E-2</v>
      </c>
      <c r="G414" s="22">
        <f>Source!AB117</f>
        <v>0</v>
      </c>
      <c r="H414" s="22">
        <f>Source!O117</f>
        <v>0</v>
      </c>
      <c r="T414">
        <f>Source!O117+Source!X117+Source!Y117</f>
        <v>0</v>
      </c>
      <c r="U414">
        <f>Source!P117</f>
        <v>0</v>
      </c>
      <c r="V414">
        <f>Source!S117</f>
        <v>0</v>
      </c>
      <c r="W414">
        <f>Source!Q117</f>
        <v>0</v>
      </c>
      <c r="X414">
        <f>Source!R117</f>
        <v>0</v>
      </c>
      <c r="Y414">
        <f>Source!U117</f>
        <v>0</v>
      </c>
      <c r="Z414">
        <f>Source!V117</f>
        <v>0</v>
      </c>
      <c r="AA414">
        <f>Source!X117</f>
        <v>0</v>
      </c>
      <c r="AB414">
        <f>Source!Y117</f>
        <v>0</v>
      </c>
    </row>
    <row r="415" spans="1:28" ht="14.25" x14ac:dyDescent="0.2">
      <c r="C415" s="23" t="s">
        <v>1686</v>
      </c>
      <c r="D415" s="23">
        <f>Source!BC117</f>
        <v>6.56</v>
      </c>
      <c r="F415" s="12"/>
      <c r="G415" s="12"/>
      <c r="H415" s="12"/>
    </row>
    <row r="416" spans="1:28" ht="42.75" x14ac:dyDescent="0.2">
      <c r="A416" s="46">
        <v>53</v>
      </c>
      <c r="B416" s="46" t="str">
        <f>Source!E118</f>
        <v>27</v>
      </c>
      <c r="C416" s="46" t="str">
        <f>Source!G118</f>
        <v>Кладка перегородок из газобетонных блоков на клее толщиной 200 мм при высоте этажа до 4 м</v>
      </c>
      <c r="D416" s="46" t="str">
        <f>Source!F118</f>
        <v>08-04-003-03</v>
      </c>
      <c r="E416" s="31" t="str">
        <f>Source!H118</f>
        <v>100 м2</v>
      </c>
      <c r="F416" s="12">
        <f>Source!I118</f>
        <v>0.43</v>
      </c>
      <c r="G416" s="22">
        <f>Source!AB118</f>
        <v>1170.1300000000001</v>
      </c>
      <c r="H416" s="22">
        <f>Source!O118</f>
        <v>3300.71</v>
      </c>
      <c r="T416">
        <f>Source!O118+Source!X118+Source!Y118</f>
        <v>6867.44</v>
      </c>
      <c r="U416">
        <f>Source!P118</f>
        <v>769.66</v>
      </c>
      <c r="V416">
        <f>Source!S118</f>
        <v>1913.66</v>
      </c>
      <c r="W416">
        <f>Source!Q118</f>
        <v>617.39</v>
      </c>
      <c r="X416">
        <f>Source!R118</f>
        <v>90.12</v>
      </c>
      <c r="Y416">
        <f>Source!U118</f>
        <v>34.481699999999996</v>
      </c>
      <c r="Z416">
        <f>Source!V118</f>
        <v>1.075</v>
      </c>
      <c r="AA416">
        <f>Source!X118</f>
        <v>2204.16</v>
      </c>
      <c r="AB416">
        <f>Source!Y118</f>
        <v>1362.57</v>
      </c>
    </row>
    <row r="417" spans="1:28" ht="14.25" x14ac:dyDescent="0.2">
      <c r="C417" s="23" t="str">
        <f>"Объем: "&amp;Source!I118&amp;"=43/"&amp;"100"</f>
        <v>Объем: 0,43=43/100</v>
      </c>
      <c r="F417" s="12"/>
      <c r="G417" s="12"/>
      <c r="H417" s="12"/>
    </row>
    <row r="418" spans="1:28" x14ac:dyDescent="0.2">
      <c r="C418" s="23" t="s">
        <v>1684</v>
      </c>
      <c r="D418" s="23">
        <f>Source!BA118</f>
        <v>6.56</v>
      </c>
    </row>
    <row r="419" spans="1:28" x14ac:dyDescent="0.2">
      <c r="C419" s="23" t="s">
        <v>1685</v>
      </c>
      <c r="D419" s="23">
        <f>Source!BB118</f>
        <v>6.56</v>
      </c>
    </row>
    <row r="420" spans="1:28" x14ac:dyDescent="0.2">
      <c r="C420" s="23" t="s">
        <v>1686</v>
      </c>
      <c r="D420" s="23">
        <f>Source!BC118</f>
        <v>6.56</v>
      </c>
    </row>
    <row r="421" spans="1:28" x14ac:dyDescent="0.2">
      <c r="C421" s="23" t="s">
        <v>1687</v>
      </c>
      <c r="D421" s="23">
        <f>Source!BS118</f>
        <v>6.56</v>
      </c>
    </row>
    <row r="422" spans="1:28" x14ac:dyDescent="0.2">
      <c r="C422" s="9" t="s">
        <v>1688</v>
      </c>
      <c r="D422" s="34"/>
      <c r="E422" s="34"/>
      <c r="F422" s="34">
        <f>Source!BZ118</f>
        <v>122</v>
      </c>
      <c r="G422" s="58">
        <f>(Source!AF118+Source!AE118)*Source!FX118/100</f>
        <v>779.97528000000011</v>
      </c>
      <c r="H422" s="58">
        <f>Source!X118</f>
        <v>2204.16</v>
      </c>
    </row>
    <row r="423" spans="1:28" x14ac:dyDescent="0.2">
      <c r="C423" s="9" t="s">
        <v>1689</v>
      </c>
      <c r="D423" s="34"/>
      <c r="E423" s="34"/>
      <c r="F423" s="34"/>
      <c r="G423" s="34" t="str">
        <f>CONCATENATE(Source!DL118,Source!FT118, "=", Source!FX118, "%")</f>
        <v>*0,9=109,8%</v>
      </c>
      <c r="H423" s="34" t="str">
        <f>CONCATENATE(Source!AT118)</f>
        <v>110</v>
      </c>
    </row>
    <row r="424" spans="1:28" x14ac:dyDescent="0.2">
      <c r="C424" s="9" t="s">
        <v>1690</v>
      </c>
      <c r="D424" s="34"/>
      <c r="E424" s="34"/>
      <c r="F424" s="34">
        <f>Source!CA118</f>
        <v>80</v>
      </c>
      <c r="G424" s="58">
        <f>(Source!AF118+Source!AE118)*Source!FY118/100</f>
        <v>483.04480000000001</v>
      </c>
      <c r="H424" s="58">
        <f>Source!Y118</f>
        <v>1362.57</v>
      </c>
    </row>
    <row r="425" spans="1:28" x14ac:dyDescent="0.2">
      <c r="C425" s="9" t="s">
        <v>1691</v>
      </c>
      <c r="D425" s="34"/>
      <c r="E425" s="34"/>
      <c r="F425" s="34"/>
      <c r="G425" s="34" t="str">
        <f>CONCATENATE(Source!DM118,Source!FU118, "=", Source!FY118, "%")</f>
        <v>*0,85=68%</v>
      </c>
      <c r="H425" s="34" t="str">
        <f>CONCATENATE(Source!AU118)</f>
        <v>68</v>
      </c>
    </row>
    <row r="426" spans="1:28" x14ac:dyDescent="0.2">
      <c r="C426" s="9" t="s">
        <v>1692</v>
      </c>
      <c r="D426" s="34"/>
      <c r="E426" s="34"/>
      <c r="F426" s="34"/>
      <c r="G426" s="58">
        <f>((Source!AF118+Source!AE118)*Source!FX118/100)+((Source!AF118+Source!AE118)*Source!FY118/100)+Source!AB118</f>
        <v>2433.1500800000003</v>
      </c>
      <c r="H426" s="58">
        <f>Source!O118+Source!X118+Source!Y118</f>
        <v>6867.44</v>
      </c>
    </row>
    <row r="427" spans="1:28" ht="42.75" x14ac:dyDescent="0.2">
      <c r="A427" s="46">
        <v>54</v>
      </c>
      <c r="B427" s="46" t="str">
        <f>Source!E119</f>
        <v>27,1</v>
      </c>
      <c r="C427" s="46" t="str">
        <f>Source!G119</f>
        <v>Блок пенобетонный, размером 20х30х60, D500 (Пеноблок газоселикатный 600х250х100мм) прим.</v>
      </c>
      <c r="D427" s="46" t="str">
        <f>Source!F119</f>
        <v>05.2.02.07-0010</v>
      </c>
      <c r="E427" s="31" t="str">
        <f>Source!H119</f>
        <v>шт.</v>
      </c>
      <c r="F427" s="12">
        <f>Source!I119</f>
        <v>286.51897600000001</v>
      </c>
      <c r="G427" s="22">
        <f>Source!AB119</f>
        <v>39.880000000000003</v>
      </c>
      <c r="H427" s="22">
        <f>Source!O119</f>
        <v>74957.03</v>
      </c>
      <c r="T427">
        <f>Source!O119+Source!X119+Source!Y119</f>
        <v>74957.03</v>
      </c>
      <c r="U427">
        <f>Source!P119</f>
        <v>74957.03</v>
      </c>
      <c r="V427">
        <f>Source!S119</f>
        <v>0</v>
      </c>
      <c r="W427">
        <f>Source!Q119</f>
        <v>0</v>
      </c>
      <c r="X427">
        <f>Source!R119</f>
        <v>0</v>
      </c>
      <c r="Y427">
        <f>Source!U119</f>
        <v>0</v>
      </c>
      <c r="Z427">
        <f>Source!V119</f>
        <v>0</v>
      </c>
      <c r="AA427">
        <f>Source!X119</f>
        <v>0</v>
      </c>
      <c r="AB427">
        <f>Source!Y119</f>
        <v>0</v>
      </c>
    </row>
    <row r="428" spans="1:28" ht="14.25" x14ac:dyDescent="0.2">
      <c r="C428" s="23" t="s">
        <v>1686</v>
      </c>
      <c r="D428" s="23">
        <f>Source!BC119</f>
        <v>6.56</v>
      </c>
      <c r="F428" s="12"/>
      <c r="G428" s="12"/>
      <c r="H428" s="12"/>
    </row>
    <row r="429" spans="1:28" ht="28.5" x14ac:dyDescent="0.2">
      <c r="A429" s="46">
        <v>55</v>
      </c>
      <c r="B429" s="46" t="str">
        <f>Source!E120</f>
        <v>27,2</v>
      </c>
      <c r="C429" s="46" t="str">
        <f>Source!G120</f>
        <v>Клей для облицовочных работ водостойкий «Плюс» (сухая смесь)</v>
      </c>
      <c r="D429" s="46" t="str">
        <f>Source!F120</f>
        <v>14.1.06.02-0001</v>
      </c>
      <c r="E429" s="31" t="str">
        <f>Source!H120</f>
        <v>т</v>
      </c>
      <c r="F429" s="12">
        <f>Source!I120</f>
        <v>0.176291</v>
      </c>
      <c r="G429" s="22">
        <f>Source!AB120</f>
        <v>4316</v>
      </c>
      <c r="H429" s="22">
        <f>Source!O120</f>
        <v>4991.32</v>
      </c>
      <c r="T429">
        <f>Source!O120+Source!X120+Source!Y120</f>
        <v>4991.32</v>
      </c>
      <c r="U429">
        <f>Source!P120</f>
        <v>4991.32</v>
      </c>
      <c r="V429">
        <f>Source!S120</f>
        <v>0</v>
      </c>
      <c r="W429">
        <f>Source!Q120</f>
        <v>0</v>
      </c>
      <c r="X429">
        <f>Source!R120</f>
        <v>0</v>
      </c>
      <c r="Y429">
        <f>Source!U120</f>
        <v>0</v>
      </c>
      <c r="Z429">
        <f>Source!V120</f>
        <v>0</v>
      </c>
      <c r="AA429">
        <f>Source!X120</f>
        <v>0</v>
      </c>
      <c r="AB429">
        <f>Source!Y120</f>
        <v>0</v>
      </c>
    </row>
    <row r="430" spans="1:28" ht="14.25" x14ac:dyDescent="0.2">
      <c r="C430" s="23" t="s">
        <v>1686</v>
      </c>
      <c r="D430" s="23">
        <f>Source!BC120</f>
        <v>6.56</v>
      </c>
      <c r="F430" s="12"/>
      <c r="G430" s="12"/>
      <c r="H430" s="12"/>
    </row>
    <row r="431" spans="1:28" ht="14.25" x14ac:dyDescent="0.2">
      <c r="A431" s="46">
        <v>56</v>
      </c>
      <c r="B431" s="46" t="str">
        <f>Source!E121</f>
        <v>27,3</v>
      </c>
      <c r="C431" s="46" t="str">
        <f>Source!G121</f>
        <v>Блоки из ячеистых бетонов стеновые</v>
      </c>
      <c r="D431" s="46" t="str">
        <f>Source!F121</f>
        <v>05.2.02.09</v>
      </c>
      <c r="E431" s="31" t="str">
        <f>Source!H121</f>
        <v>м3</v>
      </c>
      <c r="F431" s="12">
        <f>Source!I121</f>
        <v>8.6859999999999999</v>
      </c>
      <c r="G431" s="22">
        <f>Source!AB121</f>
        <v>0</v>
      </c>
      <c r="H431" s="22">
        <f>Source!O121</f>
        <v>0</v>
      </c>
      <c r="T431">
        <f>Source!O121+Source!X121+Source!Y121</f>
        <v>0</v>
      </c>
      <c r="U431">
        <f>Source!P121</f>
        <v>0</v>
      </c>
      <c r="V431">
        <f>Source!S121</f>
        <v>0</v>
      </c>
      <c r="W431">
        <f>Source!Q121</f>
        <v>0</v>
      </c>
      <c r="X431">
        <f>Source!R121</f>
        <v>0</v>
      </c>
      <c r="Y431">
        <f>Source!U121</f>
        <v>0</v>
      </c>
      <c r="Z431">
        <f>Source!V121</f>
        <v>0</v>
      </c>
      <c r="AA431">
        <f>Source!X121</f>
        <v>0</v>
      </c>
      <c r="AB431">
        <f>Source!Y121</f>
        <v>0</v>
      </c>
    </row>
    <row r="432" spans="1:28" ht="14.25" x14ac:dyDescent="0.2">
      <c r="C432" s="23" t="s">
        <v>1686</v>
      </c>
      <c r="D432" s="23">
        <f>Source!BC121</f>
        <v>6.56</v>
      </c>
      <c r="F432" s="12"/>
      <c r="G432" s="12"/>
      <c r="H432" s="12"/>
    </row>
    <row r="433" spans="1:28" ht="14.25" x14ac:dyDescent="0.2">
      <c r="A433" s="46">
        <v>57</v>
      </c>
      <c r="B433" s="46" t="str">
        <f>Source!E122</f>
        <v>27,4</v>
      </c>
      <c r="C433" s="46" t="str">
        <f>Source!G122</f>
        <v>Состав клеящий</v>
      </c>
      <c r="D433" s="46" t="str">
        <f>Source!F122</f>
        <v>14.1.06.05</v>
      </c>
      <c r="E433" s="31" t="str">
        <f>Source!H122</f>
        <v>кг</v>
      </c>
      <c r="F433" s="12">
        <f>Source!I122</f>
        <v>176.29140000000001</v>
      </c>
      <c r="G433" s="22">
        <f>Source!AB122</f>
        <v>0</v>
      </c>
      <c r="H433" s="22">
        <f>Source!O122</f>
        <v>0</v>
      </c>
      <c r="T433">
        <f>Source!O122+Source!X122+Source!Y122</f>
        <v>0</v>
      </c>
      <c r="U433">
        <f>Source!P122</f>
        <v>0</v>
      </c>
      <c r="V433">
        <f>Source!S122</f>
        <v>0</v>
      </c>
      <c r="W433">
        <f>Source!Q122</f>
        <v>0</v>
      </c>
      <c r="X433">
        <f>Source!R122</f>
        <v>0</v>
      </c>
      <c r="Y433">
        <f>Source!U122</f>
        <v>0</v>
      </c>
      <c r="Z433">
        <f>Source!V122</f>
        <v>0</v>
      </c>
      <c r="AA433">
        <f>Source!X122</f>
        <v>0</v>
      </c>
      <c r="AB433">
        <f>Source!Y122</f>
        <v>0</v>
      </c>
    </row>
    <row r="434" spans="1:28" ht="14.25" x14ac:dyDescent="0.2">
      <c r="C434" s="23" t="s">
        <v>1686</v>
      </c>
      <c r="D434" s="23">
        <f>Source!BC122</f>
        <v>6.56</v>
      </c>
      <c r="F434" s="12"/>
      <c r="G434" s="12"/>
      <c r="H434" s="12"/>
    </row>
    <row r="435" spans="1:28" ht="57" x14ac:dyDescent="0.2">
      <c r="A435" s="46">
        <v>58</v>
      </c>
      <c r="B435" s="46" t="str">
        <f>Source!E123</f>
        <v>28</v>
      </c>
      <c r="C435" s="46" t="str">
        <f>Source!G123</f>
        <v>Кладка отдельных участков кирпичных стен и заделка проемов в кирпичных стенах при объеме кладки в одном месте до 5 м3</v>
      </c>
      <c r="D435" s="46" t="str">
        <f>Source!F123</f>
        <v>46-02-007-01</v>
      </c>
      <c r="E435" s="31" t="str">
        <f>Source!H123</f>
        <v>м3</v>
      </c>
      <c r="F435" s="12">
        <f>Source!I123</f>
        <v>0.81</v>
      </c>
      <c r="G435" s="22">
        <f>Source!AB123</f>
        <v>246.41</v>
      </c>
      <c r="H435" s="22">
        <f>Source!O123</f>
        <v>1309.32</v>
      </c>
      <c r="T435">
        <f>Source!O123+Source!X123+Source!Y123</f>
        <v>2319.1799999999998</v>
      </c>
      <c r="U435">
        <f>Source!P123</f>
        <v>662.87</v>
      </c>
      <c r="V435">
        <f>Source!S123</f>
        <v>635.13</v>
      </c>
      <c r="W435">
        <f>Source!Q123</f>
        <v>11.32</v>
      </c>
      <c r="X435">
        <f>Source!R123</f>
        <v>0</v>
      </c>
      <c r="Y435">
        <f>Source!U123</f>
        <v>11.850300000000001</v>
      </c>
      <c r="Z435">
        <f>Source!V123</f>
        <v>0</v>
      </c>
      <c r="AA435">
        <f>Source!X123</f>
        <v>628.78</v>
      </c>
      <c r="AB435">
        <f>Source!Y123</f>
        <v>381.08</v>
      </c>
    </row>
    <row r="436" spans="1:28" ht="14.25" x14ac:dyDescent="0.2">
      <c r="C436" s="23" t="s">
        <v>1684</v>
      </c>
      <c r="D436" s="23">
        <f>Source!BA123</f>
        <v>6.56</v>
      </c>
      <c r="F436" s="12"/>
      <c r="G436" s="12"/>
      <c r="H436" s="12"/>
    </row>
    <row r="437" spans="1:28" x14ac:dyDescent="0.2">
      <c r="C437" s="23" t="s">
        <v>1685</v>
      </c>
      <c r="D437" s="23">
        <f>Source!BB123</f>
        <v>6.56</v>
      </c>
    </row>
    <row r="438" spans="1:28" x14ac:dyDescent="0.2">
      <c r="C438" s="23" t="s">
        <v>1686</v>
      </c>
      <c r="D438" s="23">
        <f>Source!BC123</f>
        <v>6.56</v>
      </c>
    </row>
    <row r="439" spans="1:28" x14ac:dyDescent="0.2">
      <c r="C439" s="23" t="s">
        <v>1687</v>
      </c>
      <c r="D439" s="23">
        <f>Source!BS123</f>
        <v>6.56</v>
      </c>
    </row>
    <row r="440" spans="1:28" x14ac:dyDescent="0.2">
      <c r="C440" s="9" t="s">
        <v>1688</v>
      </c>
      <c r="D440" s="34"/>
      <c r="E440" s="34"/>
      <c r="F440" s="34">
        <f>Source!BZ123</f>
        <v>110</v>
      </c>
      <c r="G440" s="58">
        <f>(Source!AF123+Source!AE123)*Source!FX123/100</f>
        <v>118.3347</v>
      </c>
      <c r="H440" s="58">
        <f>Source!X123</f>
        <v>628.78</v>
      </c>
    </row>
    <row r="441" spans="1:28" x14ac:dyDescent="0.2">
      <c r="C441" s="9" t="s">
        <v>1689</v>
      </c>
      <c r="D441" s="34"/>
      <c r="E441" s="34"/>
      <c r="F441" s="34"/>
      <c r="G441" s="34" t="str">
        <f>CONCATENATE(Source!DL123,Source!FT123, "=", Source!FX123, "%")</f>
        <v>*0,9=99%</v>
      </c>
      <c r="H441" s="34" t="str">
        <f>CONCATENATE(Source!AT123)</f>
        <v>99</v>
      </c>
    </row>
    <row r="442" spans="1:28" x14ac:dyDescent="0.2">
      <c r="C442" s="9" t="s">
        <v>1690</v>
      </c>
      <c r="D442" s="34"/>
      <c r="E442" s="34"/>
      <c r="F442" s="34">
        <f>Source!CA123</f>
        <v>70</v>
      </c>
      <c r="G442" s="58">
        <f>(Source!AF123+Source!AE123)*Source!FY123/100</f>
        <v>71.120350000000002</v>
      </c>
      <c r="H442" s="58">
        <f>Source!Y123</f>
        <v>381.08</v>
      </c>
    </row>
    <row r="443" spans="1:28" x14ac:dyDescent="0.2">
      <c r="C443" s="9" t="s">
        <v>1691</v>
      </c>
      <c r="D443" s="34"/>
      <c r="E443" s="34"/>
      <c r="F443" s="34"/>
      <c r="G443" s="34" t="str">
        <f>CONCATENATE(Source!DM123,Source!FU123, "=", Source!FY123, "%")</f>
        <v>*0,85=59,5%</v>
      </c>
      <c r="H443" s="34" t="str">
        <f>CONCATENATE(Source!AU123)</f>
        <v>60</v>
      </c>
    </row>
    <row r="444" spans="1:28" x14ac:dyDescent="0.2">
      <c r="C444" s="9" t="s">
        <v>1692</v>
      </c>
      <c r="D444" s="34"/>
      <c r="E444" s="34"/>
      <c r="F444" s="34"/>
      <c r="G444" s="58">
        <f>((Source!AF123+Source!AE123)*Source!FX123/100)+((Source!AF123+Source!AE123)*Source!FY123/100)+Source!AB123</f>
        <v>435.86505</v>
      </c>
      <c r="H444" s="58">
        <f>Source!O123+Source!X123+Source!Y123</f>
        <v>2319.1799999999998</v>
      </c>
    </row>
    <row r="445" spans="1:28" ht="28.5" x14ac:dyDescent="0.2">
      <c r="A445" s="46">
        <v>59</v>
      </c>
      <c r="B445" s="46" t="str">
        <f>Source!E124</f>
        <v>28,1</v>
      </c>
      <c r="C445" s="46" t="str">
        <f>Source!G124</f>
        <v>Кирпич-половняк силикатный</v>
      </c>
      <c r="D445" s="46" t="str">
        <f>Source!F124</f>
        <v>06.1.01.09-0002</v>
      </c>
      <c r="E445" s="31" t="str">
        <f>Source!H124</f>
        <v>м3</v>
      </c>
      <c r="F445" s="12">
        <f>Source!I124</f>
        <v>0.81</v>
      </c>
      <c r="G445" s="22">
        <f>Source!AB124</f>
        <v>103.41</v>
      </c>
      <c r="H445" s="22">
        <f>Source!O124</f>
        <v>549.48</v>
      </c>
      <c r="T445">
        <f>Source!O124+Source!X124+Source!Y124</f>
        <v>549.48</v>
      </c>
      <c r="U445">
        <f>Source!P124</f>
        <v>549.48</v>
      </c>
      <c r="V445">
        <f>Source!S124</f>
        <v>0</v>
      </c>
      <c r="W445">
        <f>Source!Q124</f>
        <v>0</v>
      </c>
      <c r="X445">
        <f>Source!R124</f>
        <v>0</v>
      </c>
      <c r="Y445">
        <f>Source!U124</f>
        <v>0</v>
      </c>
      <c r="Z445">
        <f>Source!V124</f>
        <v>0</v>
      </c>
      <c r="AA445">
        <f>Source!X124</f>
        <v>0</v>
      </c>
      <c r="AB445">
        <f>Source!Y124</f>
        <v>0</v>
      </c>
    </row>
    <row r="446" spans="1:28" ht="14.25" x14ac:dyDescent="0.2">
      <c r="C446" s="23" t="s">
        <v>1686</v>
      </c>
      <c r="D446" s="23">
        <f>Source!BC124</f>
        <v>6.56</v>
      </c>
      <c r="F446" s="12"/>
      <c r="G446" s="12"/>
      <c r="H446" s="12"/>
    </row>
    <row r="447" spans="1:28" ht="14.25" x14ac:dyDescent="0.2">
      <c r="A447" s="46">
        <v>60</v>
      </c>
      <c r="B447" s="46" t="str">
        <f>Source!E125</f>
        <v>28,2</v>
      </c>
      <c r="C447" s="46" t="str">
        <f>Source!G125</f>
        <v>Кирпич глиняный обыкновенный</v>
      </c>
      <c r="D447" s="46" t="str">
        <f>Source!F125</f>
        <v>06.1.01.05</v>
      </c>
      <c r="E447" s="31" t="str">
        <f>Source!H125</f>
        <v>1000 шт.</v>
      </c>
      <c r="F447" s="12">
        <f>Source!I125</f>
        <v>0.32400000000000001</v>
      </c>
      <c r="G447" s="22">
        <f>Source!AB125</f>
        <v>0</v>
      </c>
      <c r="H447" s="22">
        <f>Source!O125</f>
        <v>0</v>
      </c>
      <c r="T447">
        <f>Source!O125+Source!X125+Source!Y125</f>
        <v>0</v>
      </c>
      <c r="U447">
        <f>Source!P125</f>
        <v>0</v>
      </c>
      <c r="V447">
        <f>Source!S125</f>
        <v>0</v>
      </c>
      <c r="W447">
        <f>Source!Q125</f>
        <v>0</v>
      </c>
      <c r="X447">
        <f>Source!R125</f>
        <v>0</v>
      </c>
      <c r="Y447">
        <f>Source!U125</f>
        <v>0</v>
      </c>
      <c r="Z447">
        <f>Source!V125</f>
        <v>0</v>
      </c>
      <c r="AA447">
        <f>Source!X125</f>
        <v>0</v>
      </c>
      <c r="AB447">
        <f>Source!Y125</f>
        <v>0</v>
      </c>
    </row>
    <row r="448" spans="1:28" ht="14.25" x14ac:dyDescent="0.2">
      <c r="C448" s="23" t="s">
        <v>1686</v>
      </c>
      <c r="D448" s="23">
        <f>Source!BC125</f>
        <v>6.56</v>
      </c>
      <c r="F448" s="12"/>
      <c r="G448" s="12"/>
      <c r="H448" s="12"/>
    </row>
    <row r="449" spans="1:28" ht="85.5" x14ac:dyDescent="0.2">
      <c r="A449" s="46">
        <v>61</v>
      </c>
      <c r="B449" s="46" t="str">
        <f>Source!E126</f>
        <v>29</v>
      </c>
      <c r="C449" s="46" t="str">
        <f>Source!G126</f>
        <v>Сплошное выравнивание внутренних поверхностей (однослойное оштукатуривание) из сухих растворных смесей толщиной до 10 мм для последующей окраски или оклейки обоями стен</v>
      </c>
      <c r="D449" s="46" t="str">
        <f>Source!F126</f>
        <v>61-1-9</v>
      </c>
      <c r="E449" s="31" t="str">
        <f>Source!H126</f>
        <v>100 м2</v>
      </c>
      <c r="F449" s="12">
        <f>Source!I126</f>
        <v>2.8643000000000001</v>
      </c>
      <c r="G449" s="22">
        <f>Source!AB126</f>
        <v>321.52999999999997</v>
      </c>
      <c r="H449" s="22">
        <f>Source!O126</f>
        <v>6041.49</v>
      </c>
      <c r="T449">
        <f>Source!O126+Source!X126+Source!Y126</f>
        <v>13635.529999999999</v>
      </c>
      <c r="U449">
        <f>Source!P126</f>
        <v>23.49</v>
      </c>
      <c r="V449">
        <f>Source!S126</f>
        <v>5695.57</v>
      </c>
      <c r="W449">
        <f>Source!Q126</f>
        <v>322.43</v>
      </c>
      <c r="X449">
        <f>Source!R126</f>
        <v>191.28</v>
      </c>
      <c r="Y449">
        <f>Source!U126</f>
        <v>102.627869</v>
      </c>
      <c r="Z449">
        <f>Source!V126</f>
        <v>2.6924419999999998</v>
      </c>
      <c r="AA449">
        <f>Source!X126</f>
        <v>4650.6099999999997</v>
      </c>
      <c r="AB449">
        <f>Source!Y126</f>
        <v>2943.43</v>
      </c>
    </row>
    <row r="450" spans="1:28" ht="14.25" x14ac:dyDescent="0.2">
      <c r="C450" s="23" t="str">
        <f>"Объем: "&amp;Source!I126&amp;"=286,43/"&amp;"100"</f>
        <v>Объем: 2,8643=286,43/100</v>
      </c>
      <c r="F450" s="12"/>
      <c r="G450" s="12"/>
      <c r="H450" s="12"/>
    </row>
    <row r="451" spans="1:28" x14ac:dyDescent="0.2">
      <c r="C451" s="23" t="s">
        <v>1684</v>
      </c>
      <c r="D451" s="23">
        <f>Source!BA126</f>
        <v>6.56</v>
      </c>
    </row>
    <row r="452" spans="1:28" x14ac:dyDescent="0.2">
      <c r="C452" s="23" t="s">
        <v>1685</v>
      </c>
      <c r="D452" s="23">
        <f>Source!BB126</f>
        <v>6.56</v>
      </c>
    </row>
    <row r="453" spans="1:28" x14ac:dyDescent="0.2">
      <c r="C453" s="23" t="s">
        <v>1686</v>
      </c>
      <c r="D453" s="23">
        <f>Source!BC126</f>
        <v>6.56</v>
      </c>
    </row>
    <row r="454" spans="1:28" x14ac:dyDescent="0.2">
      <c r="C454" s="23" t="s">
        <v>1687</v>
      </c>
      <c r="D454" s="23">
        <f>Source!BS126</f>
        <v>6.56</v>
      </c>
    </row>
    <row r="455" spans="1:28" x14ac:dyDescent="0.2">
      <c r="C455" s="9" t="s">
        <v>1688</v>
      </c>
      <c r="D455" s="34"/>
      <c r="E455" s="34"/>
      <c r="F455" s="34">
        <f>Source!BZ126</f>
        <v>79</v>
      </c>
      <c r="G455" s="58">
        <f>(Source!AF126+Source!AE126)*Source!FX126/100</f>
        <v>247.50700000000001</v>
      </c>
      <c r="H455" s="58">
        <f>Source!X126</f>
        <v>4650.6099999999997</v>
      </c>
    </row>
    <row r="456" spans="1:28" x14ac:dyDescent="0.2">
      <c r="C456" s="9" t="s">
        <v>1690</v>
      </c>
      <c r="D456" s="34"/>
      <c r="E456" s="34"/>
      <c r="F456" s="34">
        <f>Source!CA126</f>
        <v>50</v>
      </c>
      <c r="G456" s="58">
        <f>(Source!AF126+Source!AE126)*Source!FY126/100</f>
        <v>156.65</v>
      </c>
      <c r="H456" s="58">
        <f>Source!Y126</f>
        <v>2943.43</v>
      </c>
    </row>
    <row r="457" spans="1:28" x14ac:dyDescent="0.2">
      <c r="C457" s="9" t="s">
        <v>1692</v>
      </c>
      <c r="D457" s="34"/>
      <c r="E457" s="34"/>
      <c r="F457" s="34"/>
      <c r="G457" s="58">
        <f>((Source!AF126+Source!AE126)*Source!FX126/100)+((Source!AF126+Source!AE126)*Source!FY126/100)+Source!AB126</f>
        <v>725.68700000000001</v>
      </c>
      <c r="H457" s="58">
        <f>Source!O126+Source!X126+Source!Y126</f>
        <v>13635.529999999999</v>
      </c>
    </row>
    <row r="458" spans="1:28" ht="28.5" x14ac:dyDescent="0.2">
      <c r="A458" s="46">
        <v>62</v>
      </c>
      <c r="B458" s="46" t="str">
        <f>Source!E127</f>
        <v>29,1</v>
      </c>
      <c r="C458" s="46" t="str">
        <f>Source!G127</f>
        <v>Смесь штукатурная «Ротбанд», КНАУФ</v>
      </c>
      <c r="D458" s="46" t="str">
        <f>Source!F127</f>
        <v>04.3.02.05-0002</v>
      </c>
      <c r="E458" s="31" t="str">
        <f>Source!H127</f>
        <v>кг</v>
      </c>
      <c r="F458" s="12">
        <f>Source!I127</f>
        <v>2448.976557</v>
      </c>
      <c r="G458" s="22">
        <f>Source!AB127</f>
        <v>2.0699999999999998</v>
      </c>
      <c r="H458" s="22">
        <f>Source!O127</f>
        <v>33255.14</v>
      </c>
      <c r="T458">
        <f>Source!O127+Source!X127+Source!Y127</f>
        <v>33255.14</v>
      </c>
      <c r="U458">
        <f>Source!P127</f>
        <v>33255.14</v>
      </c>
      <c r="V458">
        <f>Source!S127</f>
        <v>0</v>
      </c>
      <c r="W458">
        <f>Source!Q127</f>
        <v>0</v>
      </c>
      <c r="X458">
        <f>Source!R127</f>
        <v>0</v>
      </c>
      <c r="Y458">
        <f>Source!U127</f>
        <v>0</v>
      </c>
      <c r="Z458">
        <f>Source!V127</f>
        <v>0</v>
      </c>
      <c r="AA458">
        <f>Source!X127</f>
        <v>0</v>
      </c>
      <c r="AB458">
        <f>Source!Y127</f>
        <v>0</v>
      </c>
    </row>
    <row r="459" spans="1:28" ht="14.25" x14ac:dyDescent="0.2">
      <c r="C459" s="23" t="s">
        <v>1686</v>
      </c>
      <c r="D459" s="23">
        <f>Source!BC127</f>
        <v>6.56</v>
      </c>
      <c r="F459" s="12"/>
      <c r="G459" s="12"/>
      <c r="H459" s="12"/>
    </row>
    <row r="460" spans="1:28" ht="14.25" x14ac:dyDescent="0.2">
      <c r="A460" s="46">
        <v>63</v>
      </c>
      <c r="B460" s="46" t="str">
        <f>Source!E128</f>
        <v>29,2</v>
      </c>
      <c r="C460" s="46" t="str">
        <f>Source!G128</f>
        <v>Смеси на цементной основе</v>
      </c>
      <c r="D460" s="46" t="str">
        <f>Source!F128</f>
        <v>04.3.02.09</v>
      </c>
      <c r="E460" s="31" t="str">
        <f>Source!H128</f>
        <v>т</v>
      </c>
      <c r="F460" s="12">
        <f>Source!I128</f>
        <v>2.4489770000000002</v>
      </c>
      <c r="G460" s="22">
        <f>Source!AB128</f>
        <v>0</v>
      </c>
      <c r="H460" s="22">
        <f>Source!O128</f>
        <v>0</v>
      </c>
      <c r="T460">
        <f>Source!O128+Source!X128+Source!Y128</f>
        <v>0</v>
      </c>
      <c r="U460">
        <f>Source!P128</f>
        <v>0</v>
      </c>
      <c r="V460">
        <f>Source!S128</f>
        <v>0</v>
      </c>
      <c r="W460">
        <f>Source!Q128</f>
        <v>0</v>
      </c>
      <c r="X460">
        <f>Source!R128</f>
        <v>0</v>
      </c>
      <c r="Y460">
        <f>Source!U128</f>
        <v>0</v>
      </c>
      <c r="Z460">
        <f>Source!V128</f>
        <v>0</v>
      </c>
      <c r="AA460">
        <f>Source!X128</f>
        <v>0</v>
      </c>
      <c r="AB460">
        <f>Source!Y128</f>
        <v>0</v>
      </c>
    </row>
    <row r="461" spans="1:28" ht="14.25" x14ac:dyDescent="0.2">
      <c r="C461" s="23" t="s">
        <v>1686</v>
      </c>
      <c r="D461" s="23">
        <f>Source!BC128</f>
        <v>6.56</v>
      </c>
      <c r="F461" s="12"/>
      <c r="G461" s="12"/>
      <c r="H461" s="12"/>
    </row>
    <row r="462" spans="1:28" ht="57" x14ac:dyDescent="0.2">
      <c r="A462" s="46">
        <v>64</v>
      </c>
      <c r="B462" s="46" t="str">
        <f>Source!E129</f>
        <v>30</v>
      </c>
      <c r="C462" s="46" t="str">
        <f>Source!G129</f>
        <v>Штукатурка поверхностей внутри здания цементно-известковым или цементным раствором по камню и бетону улучшенная стен</v>
      </c>
      <c r="D462" s="46" t="str">
        <f>Source!F129</f>
        <v>15-02-016-03</v>
      </c>
      <c r="E462" s="31" t="str">
        <f>Source!H129</f>
        <v>100 м2</v>
      </c>
      <c r="F462" s="12">
        <f>Source!I129</f>
        <v>0.6</v>
      </c>
      <c r="G462" s="22">
        <f>Source!AB129</f>
        <v>2040.68</v>
      </c>
      <c r="H462" s="22">
        <f>Source!O129</f>
        <v>8032.11</v>
      </c>
      <c r="T462">
        <f>Source!O129+Source!X129+Source!Y129</f>
        <v>12876.76</v>
      </c>
      <c r="U462">
        <f>Source!P129</f>
        <v>4449.25</v>
      </c>
      <c r="V462">
        <f>Source!S129</f>
        <v>3175.96</v>
      </c>
      <c r="W462">
        <f>Source!Q129</f>
        <v>406.9</v>
      </c>
      <c r="X462">
        <f>Source!R129</f>
        <v>235.77</v>
      </c>
      <c r="Y462">
        <f>Source!U129</f>
        <v>51.503999999999998</v>
      </c>
      <c r="Z462">
        <f>Source!V129</f>
        <v>3.774</v>
      </c>
      <c r="AA462">
        <f>Source!X129</f>
        <v>3241.14</v>
      </c>
      <c r="AB462">
        <f>Source!Y129</f>
        <v>1603.51</v>
      </c>
    </row>
    <row r="463" spans="1:28" ht="14.25" x14ac:dyDescent="0.2">
      <c r="C463" s="23" t="str">
        <f>"Объем: "&amp;Source!I129&amp;"=60/"&amp;"100"</f>
        <v>Объем: 0,6=60/100</v>
      </c>
      <c r="F463" s="12"/>
      <c r="G463" s="12"/>
      <c r="H463" s="12"/>
    </row>
    <row r="464" spans="1:28" x14ac:dyDescent="0.2">
      <c r="C464" s="23" t="s">
        <v>1684</v>
      </c>
      <c r="D464" s="23">
        <f>Source!BA129</f>
        <v>6.56</v>
      </c>
    </row>
    <row r="465" spans="1:28" x14ac:dyDescent="0.2">
      <c r="C465" s="23" t="s">
        <v>1685</v>
      </c>
      <c r="D465" s="23">
        <f>Source!BB129</f>
        <v>6.56</v>
      </c>
    </row>
    <row r="466" spans="1:28" x14ac:dyDescent="0.2">
      <c r="C466" s="23" t="s">
        <v>1686</v>
      </c>
      <c r="D466" s="23">
        <f>Source!BC129</f>
        <v>6.56</v>
      </c>
    </row>
    <row r="467" spans="1:28" x14ac:dyDescent="0.2">
      <c r="C467" s="23" t="s">
        <v>1687</v>
      </c>
      <c r="D467" s="23">
        <f>Source!BS129</f>
        <v>6.56</v>
      </c>
    </row>
    <row r="468" spans="1:28" x14ac:dyDescent="0.2">
      <c r="C468" s="9" t="s">
        <v>1688</v>
      </c>
      <c r="D468" s="34"/>
      <c r="E468" s="34"/>
      <c r="F468" s="34">
        <f>Source!BZ129</f>
        <v>105</v>
      </c>
      <c r="G468" s="58">
        <f>(Source!AF129+Source!AE129)*Source!FX129/100</f>
        <v>819.12599999999986</v>
      </c>
      <c r="H468" s="58">
        <f>Source!X129</f>
        <v>3241.14</v>
      </c>
    </row>
    <row r="469" spans="1:28" x14ac:dyDescent="0.2">
      <c r="C469" s="9" t="s">
        <v>1689</v>
      </c>
      <c r="D469" s="34"/>
      <c r="E469" s="34"/>
      <c r="F469" s="34"/>
      <c r="G469" s="34" t="str">
        <f>CONCATENATE(Source!DL129,Source!FT129, "=", Source!FX129, "%")</f>
        <v>*0,9=94,5%</v>
      </c>
      <c r="H469" s="34" t="str">
        <f>CONCATENATE(Source!AT129)</f>
        <v>95</v>
      </c>
    </row>
    <row r="470" spans="1:28" x14ac:dyDescent="0.2">
      <c r="C470" s="9" t="s">
        <v>1690</v>
      </c>
      <c r="D470" s="34"/>
      <c r="E470" s="34"/>
      <c r="F470" s="34">
        <f>Source!CA129</f>
        <v>55</v>
      </c>
      <c r="G470" s="58">
        <f>(Source!AF129+Source!AE129)*Source!FY129/100</f>
        <v>405.22900000000004</v>
      </c>
      <c r="H470" s="58">
        <f>Source!Y129</f>
        <v>1603.51</v>
      </c>
    </row>
    <row r="471" spans="1:28" x14ac:dyDescent="0.2">
      <c r="C471" s="9" t="s">
        <v>1691</v>
      </c>
      <c r="D471" s="34"/>
      <c r="E471" s="34"/>
      <c r="F471" s="34"/>
      <c r="G471" s="34" t="str">
        <f>CONCATENATE(Source!DM129,Source!FU129, "=", Source!FY129, "%")</f>
        <v>*0,85=46,75%</v>
      </c>
      <c r="H471" s="34" t="str">
        <f>CONCATENATE(Source!AU129)</f>
        <v>47</v>
      </c>
    </row>
    <row r="472" spans="1:28" x14ac:dyDescent="0.2">
      <c r="C472" s="9" t="s">
        <v>1692</v>
      </c>
      <c r="D472" s="34"/>
      <c r="E472" s="34"/>
      <c r="F472" s="34"/>
      <c r="G472" s="58">
        <f>((Source!AF129+Source!AE129)*Source!FX129/100)+((Source!AF129+Source!AE129)*Source!FY129/100)+Source!AB129</f>
        <v>3265.0349999999999</v>
      </c>
      <c r="H472" s="58">
        <f>Source!O129+Source!X129+Source!Y129</f>
        <v>12876.76</v>
      </c>
    </row>
    <row r="473" spans="1:28" ht="71.25" x14ac:dyDescent="0.2">
      <c r="A473" s="46">
        <v>65</v>
      </c>
      <c r="B473" s="46" t="str">
        <f>Source!E130</f>
        <v>31</v>
      </c>
      <c r="C473" s="46" t="str">
        <f>Source!G130</f>
        <v>Окрашивание водоэмульсионными составами поверхностей стен, ранее окрашенных водоэмульсионной краской с расчисткой старой краски до 35%</v>
      </c>
      <c r="D473" s="46" t="str">
        <f>Source!F130</f>
        <v>62-16-3</v>
      </c>
      <c r="E473" s="31" t="str">
        <f>Source!H130</f>
        <v>100 м2</v>
      </c>
      <c r="F473" s="12">
        <f>Source!I130</f>
        <v>0.71</v>
      </c>
      <c r="G473" s="22">
        <f>Source!AB130</f>
        <v>681.71</v>
      </c>
      <c r="H473" s="22">
        <f>Source!O130</f>
        <v>3175.13</v>
      </c>
      <c r="T473">
        <f>Source!O130+Source!X130+Source!Y130</f>
        <v>4653.38</v>
      </c>
      <c r="U473">
        <f>Source!P130</f>
        <v>2014.64</v>
      </c>
      <c r="V473">
        <f>Source!S130</f>
        <v>1127.56</v>
      </c>
      <c r="W473">
        <f>Source!Q130</f>
        <v>32.93</v>
      </c>
      <c r="X473">
        <f>Source!R130</f>
        <v>9.5500000000000007</v>
      </c>
      <c r="Y473">
        <f>Source!U130</f>
        <v>19.894199999999998</v>
      </c>
      <c r="Z473">
        <f>Source!V130</f>
        <v>0.11359999999999999</v>
      </c>
      <c r="AA473">
        <f>Source!X130</f>
        <v>909.69</v>
      </c>
      <c r="AB473">
        <f>Source!Y130</f>
        <v>568.55999999999995</v>
      </c>
    </row>
    <row r="474" spans="1:28" ht="14.25" x14ac:dyDescent="0.2">
      <c r="C474" s="23" t="str">
        <f>"Объем: "&amp;Source!I130&amp;"=71/"&amp;"100"</f>
        <v>Объем: 0,71=71/100</v>
      </c>
      <c r="F474" s="12"/>
      <c r="G474" s="12"/>
      <c r="H474" s="12"/>
    </row>
    <row r="475" spans="1:28" x14ac:dyDescent="0.2">
      <c r="C475" s="23" t="s">
        <v>1684</v>
      </c>
      <c r="D475" s="23">
        <f>Source!BA130</f>
        <v>6.56</v>
      </c>
    </row>
    <row r="476" spans="1:28" x14ac:dyDescent="0.2">
      <c r="C476" s="23" t="s">
        <v>1685</v>
      </c>
      <c r="D476" s="23">
        <f>Source!BB130</f>
        <v>6.56</v>
      </c>
    </row>
    <row r="477" spans="1:28" x14ac:dyDescent="0.2">
      <c r="C477" s="23" t="s">
        <v>1686</v>
      </c>
      <c r="D477" s="23">
        <f>Source!BC130</f>
        <v>6.56</v>
      </c>
    </row>
    <row r="478" spans="1:28" x14ac:dyDescent="0.2">
      <c r="C478" s="23" t="s">
        <v>1687</v>
      </c>
      <c r="D478" s="23">
        <f>Source!BS130</f>
        <v>6.56</v>
      </c>
    </row>
    <row r="479" spans="1:28" x14ac:dyDescent="0.2">
      <c r="C479" s="9" t="s">
        <v>1688</v>
      </c>
      <c r="D479" s="34"/>
      <c r="E479" s="34"/>
      <c r="F479" s="34">
        <f>Source!BZ130</f>
        <v>80</v>
      </c>
      <c r="G479" s="58">
        <f>(Source!AF130+Source!AE130)*Source!FX130/100</f>
        <v>195.31200000000001</v>
      </c>
      <c r="H479" s="58">
        <f>Source!X130</f>
        <v>909.69</v>
      </c>
    </row>
    <row r="480" spans="1:28" x14ac:dyDescent="0.2">
      <c r="C480" s="9" t="s">
        <v>1690</v>
      </c>
      <c r="D480" s="34"/>
      <c r="E480" s="34"/>
      <c r="F480" s="34">
        <f>Source!CA130</f>
        <v>50</v>
      </c>
      <c r="G480" s="58">
        <f>(Source!AF130+Source!AE130)*Source!FY130/100</f>
        <v>122.07</v>
      </c>
      <c r="H480" s="58">
        <f>Source!Y130</f>
        <v>568.55999999999995</v>
      </c>
    </row>
    <row r="481" spans="1:28" x14ac:dyDescent="0.2">
      <c r="C481" s="9" t="s">
        <v>1692</v>
      </c>
      <c r="D481" s="34"/>
      <c r="E481" s="34"/>
      <c r="F481" s="34"/>
      <c r="G481" s="58">
        <f>((Source!AF130+Source!AE130)*Source!FX130/100)+((Source!AF130+Source!AE130)*Source!FY130/100)+Source!AB130</f>
        <v>999.0920000000001</v>
      </c>
      <c r="H481" s="58">
        <f>Source!O130+Source!X130+Source!Y130</f>
        <v>4653.38</v>
      </c>
    </row>
    <row r="482" spans="1:28" ht="28.5" x14ac:dyDescent="0.2">
      <c r="A482" s="46">
        <v>66</v>
      </c>
      <c r="B482" s="46" t="str">
        <f>Source!E131</f>
        <v>31,1</v>
      </c>
      <c r="C482" s="46" t="str">
        <f>Source!G131</f>
        <v>Краска акриловая АКВА ВД-АК-11</v>
      </c>
      <c r="D482" s="46" t="str">
        <f>Source!F131</f>
        <v>14.3.02.01-0026</v>
      </c>
      <c r="E482" s="31" t="str">
        <f>Source!H131</f>
        <v>т</v>
      </c>
      <c r="F482" s="12">
        <f>Source!I131</f>
        <v>4.7570000000000001E-2</v>
      </c>
      <c r="G482" s="22">
        <f>Source!AB131</f>
        <v>8505</v>
      </c>
      <c r="H482" s="22">
        <f>Source!O131</f>
        <v>2654.06</v>
      </c>
      <c r="T482">
        <f>Source!O131+Source!X131+Source!Y131</f>
        <v>2654.06</v>
      </c>
      <c r="U482">
        <f>Source!P131</f>
        <v>2654.06</v>
      </c>
      <c r="V482">
        <f>Source!S131</f>
        <v>0</v>
      </c>
      <c r="W482">
        <f>Source!Q131</f>
        <v>0</v>
      </c>
      <c r="X482">
        <f>Source!R131</f>
        <v>0</v>
      </c>
      <c r="Y482">
        <f>Source!U131</f>
        <v>0</v>
      </c>
      <c r="Z482">
        <f>Source!V131</f>
        <v>0</v>
      </c>
      <c r="AA482">
        <f>Source!X131</f>
        <v>0</v>
      </c>
      <c r="AB482">
        <f>Source!Y131</f>
        <v>0</v>
      </c>
    </row>
    <row r="483" spans="1:28" ht="14.25" x14ac:dyDescent="0.2">
      <c r="C483" s="23" t="s">
        <v>1686</v>
      </c>
      <c r="D483" s="23">
        <f>Source!BC131</f>
        <v>6.56</v>
      </c>
      <c r="F483" s="12"/>
      <c r="G483" s="12"/>
      <c r="H483" s="12"/>
    </row>
    <row r="484" spans="1:28" ht="14.25" x14ac:dyDescent="0.2">
      <c r="A484" s="46">
        <v>67</v>
      </c>
      <c r="B484" s="46" t="str">
        <f>Source!E132</f>
        <v>31,2</v>
      </c>
      <c r="C484" s="46" t="str">
        <f>Source!G132</f>
        <v>Краска водоэмульсионная</v>
      </c>
      <c r="D484" s="46" t="str">
        <f>Source!F132</f>
        <v>14.3.02.01</v>
      </c>
      <c r="E484" s="31" t="str">
        <f>Source!H132</f>
        <v>т</v>
      </c>
      <c r="F484" s="12">
        <f>Source!I132</f>
        <v>4.7570000000000001E-2</v>
      </c>
      <c r="G484" s="22">
        <f>Source!AB132</f>
        <v>0</v>
      </c>
      <c r="H484" s="22">
        <f>Source!O132</f>
        <v>0</v>
      </c>
      <c r="T484">
        <f>Source!O132+Source!X132+Source!Y132</f>
        <v>0</v>
      </c>
      <c r="U484">
        <f>Source!P132</f>
        <v>0</v>
      </c>
      <c r="V484">
        <f>Source!S132</f>
        <v>0</v>
      </c>
      <c r="W484">
        <f>Source!Q132</f>
        <v>0</v>
      </c>
      <c r="X484">
        <f>Source!R132</f>
        <v>0</v>
      </c>
      <c r="Y484">
        <f>Source!U132</f>
        <v>0</v>
      </c>
      <c r="Z484">
        <f>Source!V132</f>
        <v>0</v>
      </c>
      <c r="AA484">
        <f>Source!X132</f>
        <v>0</v>
      </c>
      <c r="AB484">
        <f>Source!Y132</f>
        <v>0</v>
      </c>
    </row>
    <row r="485" spans="1:28" ht="14.25" x14ac:dyDescent="0.2">
      <c r="C485" s="23" t="s">
        <v>1686</v>
      </c>
      <c r="D485" s="23">
        <f>Source!BC132</f>
        <v>6.56</v>
      </c>
      <c r="F485" s="12"/>
      <c r="G485" s="12"/>
      <c r="H485" s="12"/>
    </row>
    <row r="486" spans="1:28" ht="42.75" x14ac:dyDescent="0.2">
      <c r="A486" s="46">
        <v>68</v>
      </c>
      <c r="B486" s="46" t="str">
        <f>Source!E133</f>
        <v>32</v>
      </c>
      <c r="C486" s="46" t="str">
        <f>Source!G133</f>
        <v>Оклейка обоями стен по монолитной штукатурке и бетону простыми и средней плотности</v>
      </c>
      <c r="D486" s="46" t="str">
        <f>Source!F133</f>
        <v>15-06-001-01</v>
      </c>
      <c r="E486" s="31" t="str">
        <f>Source!H133</f>
        <v>100 м2</v>
      </c>
      <c r="F486" s="12">
        <f>Source!I133</f>
        <v>2.1543000000000001</v>
      </c>
      <c r="G486" s="22">
        <f>Source!AB133</f>
        <v>419.87</v>
      </c>
      <c r="H486" s="22">
        <f>Source!O133</f>
        <v>5933.69</v>
      </c>
      <c r="T486">
        <f>Source!O133+Source!X133+Source!Y133</f>
        <v>11918.289999999999</v>
      </c>
      <c r="U486">
        <f>Source!P133</f>
        <v>1709.15</v>
      </c>
      <c r="V486">
        <f>Source!S133</f>
        <v>4210.83</v>
      </c>
      <c r="W486">
        <f>Source!Q133</f>
        <v>13.71</v>
      </c>
      <c r="X486">
        <f>Source!R133</f>
        <v>3.67</v>
      </c>
      <c r="Y486">
        <f>Source!U133</f>
        <v>72.449109000000007</v>
      </c>
      <c r="Z486">
        <f>Source!V133</f>
        <v>4.3086000000000006E-2</v>
      </c>
      <c r="AA486">
        <f>Source!X133</f>
        <v>4003.78</v>
      </c>
      <c r="AB486">
        <f>Source!Y133</f>
        <v>1980.82</v>
      </c>
    </row>
    <row r="487" spans="1:28" ht="14.25" x14ac:dyDescent="0.2">
      <c r="C487" s="23" t="str">
        <f>"Объем: "&amp;Source!I133&amp;"=215,43/"&amp;"100"</f>
        <v>Объем: 2,1543=215,43/100</v>
      </c>
      <c r="F487" s="12"/>
      <c r="G487" s="12"/>
      <c r="H487" s="12"/>
    </row>
    <row r="488" spans="1:28" x14ac:dyDescent="0.2">
      <c r="C488" s="23" t="s">
        <v>1684</v>
      </c>
      <c r="D488" s="23">
        <f>Source!BA133</f>
        <v>6.56</v>
      </c>
    </row>
    <row r="489" spans="1:28" x14ac:dyDescent="0.2">
      <c r="C489" s="23" t="s">
        <v>1685</v>
      </c>
      <c r="D489" s="23">
        <f>Source!BB133</f>
        <v>6.56</v>
      </c>
    </row>
    <row r="490" spans="1:28" x14ac:dyDescent="0.2">
      <c r="C490" s="23" t="s">
        <v>1686</v>
      </c>
      <c r="D490" s="23">
        <f>Source!BC133</f>
        <v>6.56</v>
      </c>
    </row>
    <row r="491" spans="1:28" x14ac:dyDescent="0.2">
      <c r="C491" s="23" t="s">
        <v>1687</v>
      </c>
      <c r="D491" s="23">
        <f>Source!BS133</f>
        <v>6.56</v>
      </c>
    </row>
    <row r="492" spans="1:28" x14ac:dyDescent="0.2">
      <c r="C492" s="9" t="s">
        <v>1688</v>
      </c>
      <c r="D492" s="34"/>
      <c r="E492" s="34"/>
      <c r="F492" s="34">
        <f>Source!BZ133</f>
        <v>105</v>
      </c>
      <c r="G492" s="58">
        <f>(Source!AF133+Source!AE133)*Source!FX133/100</f>
        <v>281.81789999999995</v>
      </c>
      <c r="H492" s="58">
        <f>Source!X133</f>
        <v>4003.78</v>
      </c>
    </row>
    <row r="493" spans="1:28" x14ac:dyDescent="0.2">
      <c r="C493" s="9" t="s">
        <v>1689</v>
      </c>
      <c r="D493" s="34"/>
      <c r="E493" s="34"/>
      <c r="F493" s="34"/>
      <c r="G493" s="34" t="str">
        <f>CONCATENATE(Source!DL133,Source!FT133, "=", Source!FX133, "%")</f>
        <v>*0,9=94,5%</v>
      </c>
      <c r="H493" s="34" t="str">
        <f>CONCATENATE(Source!AT133)</f>
        <v>95</v>
      </c>
    </row>
    <row r="494" spans="1:28" x14ac:dyDescent="0.2">
      <c r="C494" s="9" t="s">
        <v>1690</v>
      </c>
      <c r="D494" s="34"/>
      <c r="E494" s="34"/>
      <c r="F494" s="34">
        <f>Source!CA133</f>
        <v>55</v>
      </c>
      <c r="G494" s="58">
        <f>(Source!AF133+Source!AE133)*Source!FY133/100</f>
        <v>139.41784999999999</v>
      </c>
      <c r="H494" s="58">
        <f>Source!Y133</f>
        <v>1980.82</v>
      </c>
    </row>
    <row r="495" spans="1:28" x14ac:dyDescent="0.2">
      <c r="C495" s="9" t="s">
        <v>1691</v>
      </c>
      <c r="D495" s="34"/>
      <c r="E495" s="34"/>
      <c r="F495" s="34"/>
      <c r="G495" s="34" t="str">
        <f>CONCATENATE(Source!DM133,Source!FU133, "=", Source!FY133, "%")</f>
        <v>*0,85=46,75%</v>
      </c>
      <c r="H495" s="34" t="str">
        <f>CONCATENATE(Source!AU133)</f>
        <v>47</v>
      </c>
    </row>
    <row r="496" spans="1:28" x14ac:dyDescent="0.2">
      <c r="C496" s="9" t="s">
        <v>1692</v>
      </c>
      <c r="D496" s="34"/>
      <c r="E496" s="34"/>
      <c r="F496" s="34"/>
      <c r="G496" s="58">
        <f>((Source!AF133+Source!AE133)*Source!FX133/100)+((Source!AF133+Source!AE133)*Source!FY133/100)+Source!AB133</f>
        <v>841.10574999999994</v>
      </c>
      <c r="H496" s="58">
        <f>Source!O133+Source!X133+Source!Y133</f>
        <v>11918.289999999999</v>
      </c>
    </row>
    <row r="497" spans="1:28" ht="14.25" x14ac:dyDescent="0.2">
      <c r="A497" s="46">
        <v>69</v>
      </c>
      <c r="B497" s="46" t="str">
        <f>Source!E134</f>
        <v>32,1</v>
      </c>
      <c r="C497" s="46" t="str">
        <f>Source!G134</f>
        <v>Обои</v>
      </c>
      <c r="D497" s="46" t="str">
        <f>Source!F134</f>
        <v>01.6.02.01</v>
      </c>
      <c r="E497" s="31" t="str">
        <f>Source!H134</f>
        <v>100 м2</v>
      </c>
      <c r="F497" s="12">
        <f>Source!I134</f>
        <v>2.4343590000000002</v>
      </c>
      <c r="G497" s="22">
        <f>Source!AB134</f>
        <v>0</v>
      </c>
      <c r="H497" s="22">
        <f>Source!O134</f>
        <v>0</v>
      </c>
      <c r="T497">
        <f>Source!O134+Source!X134+Source!Y134</f>
        <v>0</v>
      </c>
      <c r="U497">
        <f>Source!P134</f>
        <v>0</v>
      </c>
      <c r="V497">
        <f>Source!S134</f>
        <v>0</v>
      </c>
      <c r="W497">
        <f>Source!Q134</f>
        <v>0</v>
      </c>
      <c r="X497">
        <f>Source!R134</f>
        <v>0</v>
      </c>
      <c r="Y497">
        <f>Source!U134</f>
        <v>0</v>
      </c>
      <c r="Z497">
        <f>Source!V134</f>
        <v>0</v>
      </c>
      <c r="AA497">
        <f>Source!X134</f>
        <v>0</v>
      </c>
      <c r="AB497">
        <f>Source!Y134</f>
        <v>0</v>
      </c>
    </row>
    <row r="498" spans="1:28" ht="14.25" x14ac:dyDescent="0.2">
      <c r="C498" s="23" t="s">
        <v>1686</v>
      </c>
      <c r="D498" s="23">
        <f>Source!BC134</f>
        <v>6.56</v>
      </c>
      <c r="F498" s="12"/>
      <c r="G498" s="12"/>
      <c r="H498" s="12"/>
    </row>
    <row r="499" spans="1:28" ht="28.5" x14ac:dyDescent="0.2">
      <c r="A499" s="46">
        <v>70</v>
      </c>
      <c r="B499" s="46" t="str">
        <f>Source!E135</f>
        <v>33</v>
      </c>
      <c r="C499" s="46" t="str">
        <f>Source!G135</f>
        <v>Вторая окраска стен, оклееных стеклообоями, красками</v>
      </c>
      <c r="D499" s="46" t="str">
        <f>Source!F135</f>
        <v>15-06-004-01</v>
      </c>
      <c r="E499" s="31" t="str">
        <f>Source!H135</f>
        <v>100 м2</v>
      </c>
      <c r="F499" s="12">
        <f>Source!I135</f>
        <v>2.1543000000000001</v>
      </c>
      <c r="G499" s="22">
        <f>Source!AB135</f>
        <v>80.62</v>
      </c>
      <c r="H499" s="22">
        <f>Source!O135</f>
        <v>1139.3399999999999</v>
      </c>
      <c r="T499">
        <f>Source!O135+Source!X135+Source!Y135</f>
        <v>2757.2</v>
      </c>
      <c r="U499">
        <f>Source!P135</f>
        <v>0</v>
      </c>
      <c r="V499">
        <f>Source!S135</f>
        <v>1139.3399999999999</v>
      </c>
      <c r="W499">
        <f>Source!Q135</f>
        <v>0</v>
      </c>
      <c r="X499">
        <f>Source!R135</f>
        <v>0</v>
      </c>
      <c r="Y499">
        <f>Source!U135</f>
        <v>18.053034000000004</v>
      </c>
      <c r="Z499">
        <f>Source!V135</f>
        <v>0</v>
      </c>
      <c r="AA499">
        <f>Source!X135</f>
        <v>1082.3699999999999</v>
      </c>
      <c r="AB499">
        <f>Source!Y135</f>
        <v>535.49</v>
      </c>
    </row>
    <row r="500" spans="1:28" ht="14.25" x14ac:dyDescent="0.2">
      <c r="C500" s="23" t="str">
        <f>"Объем: "&amp;Source!I135&amp;"=215,43/"&amp;"100"</f>
        <v>Объем: 2,1543=215,43/100</v>
      </c>
      <c r="F500" s="12"/>
      <c r="G500" s="12"/>
      <c r="H500" s="12"/>
    </row>
    <row r="501" spans="1:28" x14ac:dyDescent="0.2">
      <c r="C501" s="23" t="s">
        <v>1684</v>
      </c>
      <c r="D501" s="23">
        <f>Source!BA135</f>
        <v>6.56</v>
      </c>
    </row>
    <row r="502" spans="1:28" x14ac:dyDescent="0.2">
      <c r="C502" s="23" t="s">
        <v>1685</v>
      </c>
      <c r="D502" s="23">
        <f>Source!BB135</f>
        <v>6.56</v>
      </c>
    </row>
    <row r="503" spans="1:28" x14ac:dyDescent="0.2">
      <c r="C503" s="23" t="s">
        <v>1686</v>
      </c>
      <c r="D503" s="23">
        <f>Source!BC135</f>
        <v>6.56</v>
      </c>
    </row>
    <row r="504" spans="1:28" x14ac:dyDescent="0.2">
      <c r="C504" s="23" t="s">
        <v>1687</v>
      </c>
      <c r="D504" s="23">
        <f>Source!BS135</f>
        <v>6.56</v>
      </c>
    </row>
    <row r="505" spans="1:28" x14ac:dyDescent="0.2">
      <c r="C505" s="9" t="s">
        <v>1688</v>
      </c>
      <c r="D505" s="34"/>
      <c r="E505" s="34"/>
      <c r="F505" s="34">
        <f>Source!BZ135</f>
        <v>105</v>
      </c>
      <c r="G505" s="58">
        <f>(Source!AF135+Source!AE135)*Source!FX135/100</f>
        <v>76.185900000000004</v>
      </c>
      <c r="H505" s="58">
        <f>Source!X135</f>
        <v>1082.3699999999999</v>
      </c>
    </row>
    <row r="506" spans="1:28" x14ac:dyDescent="0.2">
      <c r="C506" s="9" t="s">
        <v>1689</v>
      </c>
      <c r="D506" s="34"/>
      <c r="E506" s="34"/>
      <c r="F506" s="34"/>
      <c r="G506" s="34" t="str">
        <f>CONCATENATE(Source!DL135,Source!FT135, "=", Source!FX135, "%")</f>
        <v>*0,9=94,5%</v>
      </c>
      <c r="H506" s="34" t="str">
        <f>CONCATENATE(Source!AT135)</f>
        <v>95</v>
      </c>
    </row>
    <row r="507" spans="1:28" x14ac:dyDescent="0.2">
      <c r="C507" s="9" t="s">
        <v>1690</v>
      </c>
      <c r="D507" s="34"/>
      <c r="E507" s="34"/>
      <c r="F507" s="34">
        <f>Source!CA135</f>
        <v>55</v>
      </c>
      <c r="G507" s="58">
        <f>(Source!AF135+Source!AE135)*Source!FY135/100</f>
        <v>37.68985</v>
      </c>
      <c r="H507" s="58">
        <f>Source!Y135</f>
        <v>535.49</v>
      </c>
    </row>
    <row r="508" spans="1:28" x14ac:dyDescent="0.2">
      <c r="C508" s="9" t="s">
        <v>1691</v>
      </c>
      <c r="D508" s="34"/>
      <c r="E508" s="34"/>
      <c r="F508" s="34"/>
      <c r="G508" s="34" t="str">
        <f>CONCATENATE(Source!DM135,Source!FU135, "=", Source!FY135, "%")</f>
        <v>*0,85=46,75%</v>
      </c>
      <c r="H508" s="34" t="str">
        <f>CONCATENATE(Source!AU135)</f>
        <v>47</v>
      </c>
    </row>
    <row r="509" spans="1:28" x14ac:dyDescent="0.2">
      <c r="C509" s="9" t="s">
        <v>1692</v>
      </c>
      <c r="D509" s="34"/>
      <c r="E509" s="34"/>
      <c r="F509" s="34"/>
      <c r="G509" s="58">
        <f>((Source!AF135+Source!AE135)*Source!FX135/100)+((Source!AF135+Source!AE135)*Source!FY135/100)+Source!AB135</f>
        <v>194.49575000000002</v>
      </c>
      <c r="H509" s="58">
        <f>Source!O135+Source!X135+Source!Y135</f>
        <v>2757.2</v>
      </c>
    </row>
    <row r="510" spans="1:28" ht="28.5" x14ac:dyDescent="0.2">
      <c r="A510" s="46">
        <v>71</v>
      </c>
      <c r="B510" s="46" t="str">
        <f>Source!E136</f>
        <v>33,1</v>
      </c>
      <c r="C510" s="46" t="str">
        <f>Source!G136</f>
        <v>Краска акриловая АКВА ВД-АК-11</v>
      </c>
      <c r="D510" s="46" t="str">
        <f>Source!F136</f>
        <v>14.3.02.01-0026</v>
      </c>
      <c r="E510" s="31" t="str">
        <f>Source!H136</f>
        <v>т</v>
      </c>
      <c r="F510" s="12">
        <f>Source!I136</f>
        <v>3.4469E-2</v>
      </c>
      <c r="G510" s="22">
        <f>Source!AB136</f>
        <v>8505</v>
      </c>
      <c r="H510" s="22">
        <f>Source!O136</f>
        <v>1923.12</v>
      </c>
      <c r="T510">
        <f>Source!O136+Source!X136+Source!Y136</f>
        <v>1923.12</v>
      </c>
      <c r="U510">
        <f>Source!P136</f>
        <v>1923.12</v>
      </c>
      <c r="V510">
        <f>Source!S136</f>
        <v>0</v>
      </c>
      <c r="W510">
        <f>Source!Q136</f>
        <v>0</v>
      </c>
      <c r="X510">
        <f>Source!R136</f>
        <v>0</v>
      </c>
      <c r="Y510">
        <f>Source!U136</f>
        <v>0</v>
      </c>
      <c r="Z510">
        <f>Source!V136</f>
        <v>0</v>
      </c>
      <c r="AA510">
        <f>Source!X136</f>
        <v>0</v>
      </c>
      <c r="AB510">
        <f>Source!Y136</f>
        <v>0</v>
      </c>
    </row>
    <row r="511" spans="1:28" ht="14.25" x14ac:dyDescent="0.2">
      <c r="C511" s="23" t="s">
        <v>1686</v>
      </c>
      <c r="D511" s="23">
        <f>Source!BC136</f>
        <v>6.56</v>
      </c>
      <c r="F511" s="12"/>
      <c r="G511" s="12"/>
      <c r="H511" s="12"/>
    </row>
    <row r="512" spans="1:28" ht="14.25" x14ac:dyDescent="0.2">
      <c r="A512" s="46">
        <v>72</v>
      </c>
      <c r="B512" s="46" t="str">
        <f>Source!E137</f>
        <v>33,2</v>
      </c>
      <c r="C512" s="46" t="str">
        <f>Source!G137</f>
        <v>Краска</v>
      </c>
      <c r="D512" s="46" t="str">
        <f>Source!F137</f>
        <v>14.4.02.09</v>
      </c>
      <c r="E512" s="31" t="str">
        <f>Source!H137</f>
        <v>т</v>
      </c>
      <c r="F512" s="12">
        <f>Source!I137</f>
        <v>3.4469E-2</v>
      </c>
      <c r="G512" s="22">
        <f>Source!AB137</f>
        <v>0</v>
      </c>
      <c r="H512" s="22">
        <f>Source!O137</f>
        <v>0</v>
      </c>
      <c r="T512">
        <f>Source!O137+Source!X137+Source!Y137</f>
        <v>0</v>
      </c>
      <c r="U512">
        <f>Source!P137</f>
        <v>0</v>
      </c>
      <c r="V512">
        <f>Source!S137</f>
        <v>0</v>
      </c>
      <c r="W512">
        <f>Source!Q137</f>
        <v>0</v>
      </c>
      <c r="X512">
        <f>Source!R137</f>
        <v>0</v>
      </c>
      <c r="Y512">
        <f>Source!U137</f>
        <v>0</v>
      </c>
      <c r="Z512">
        <f>Source!V137</f>
        <v>0</v>
      </c>
      <c r="AA512">
        <f>Source!X137</f>
        <v>0</v>
      </c>
      <c r="AB512">
        <f>Source!Y137</f>
        <v>0</v>
      </c>
    </row>
    <row r="513" spans="1:28" ht="14.25" x14ac:dyDescent="0.2">
      <c r="C513" s="23" t="s">
        <v>1686</v>
      </c>
      <c r="D513" s="23">
        <f>Source!BC137</f>
        <v>6.56</v>
      </c>
      <c r="F513" s="12"/>
      <c r="G513" s="12"/>
      <c r="H513" s="12"/>
    </row>
    <row r="514" spans="1:28" ht="57" x14ac:dyDescent="0.2">
      <c r="A514" s="46">
        <v>73</v>
      </c>
      <c r="B514" s="46" t="str">
        <f>Source!E138</f>
        <v>34</v>
      </c>
      <c r="C514" s="46" t="str">
        <f>Source!G138</f>
        <v>Устройство металлического каркаса из направляющих профилей под облицовку различными материалами перегородок (канализационные стояки)</v>
      </c>
      <c r="D514" s="46" t="str">
        <f>Source!F138</f>
        <v>15-02-041-02 прим.</v>
      </c>
      <c r="E514" s="31" t="str">
        <f>Source!H138</f>
        <v>100 м2</v>
      </c>
      <c r="F514" s="12">
        <f>Source!I138</f>
        <v>2.8000000000000001E-2</v>
      </c>
      <c r="G514" s="22">
        <f>Source!AB138</f>
        <v>3433.66</v>
      </c>
      <c r="H514" s="22">
        <f>Source!O138</f>
        <v>630.70000000000005</v>
      </c>
      <c r="T514">
        <f>Source!O138+Source!X138+Source!Y138</f>
        <v>777.44</v>
      </c>
      <c r="U514">
        <f>Source!P138</f>
        <v>527.09</v>
      </c>
      <c r="V514">
        <f>Source!S138</f>
        <v>103.17</v>
      </c>
      <c r="W514">
        <f>Source!Q138</f>
        <v>0.44</v>
      </c>
      <c r="X514">
        <f>Source!R138</f>
        <v>0.17</v>
      </c>
      <c r="Y514">
        <f>Source!U138</f>
        <v>1.8437719999999997</v>
      </c>
      <c r="Z514">
        <f>Source!V138</f>
        <v>2.0999999999999999E-3</v>
      </c>
      <c r="AA514">
        <f>Source!X138</f>
        <v>98.17</v>
      </c>
      <c r="AB514">
        <f>Source!Y138</f>
        <v>48.57</v>
      </c>
    </row>
    <row r="515" spans="1:28" ht="14.25" x14ac:dyDescent="0.2">
      <c r="C515" s="23" t="str">
        <f>"Объем: "&amp;Source!I138&amp;"=2,8/"&amp;"100"</f>
        <v>Объем: 0,028=2,8/100</v>
      </c>
      <c r="F515" s="12"/>
      <c r="G515" s="12"/>
      <c r="H515" s="12"/>
    </row>
    <row r="516" spans="1:28" x14ac:dyDescent="0.2">
      <c r="C516" s="23" t="s">
        <v>1684</v>
      </c>
      <c r="D516" s="23">
        <f>Source!BA138</f>
        <v>6.56</v>
      </c>
    </row>
    <row r="517" spans="1:28" x14ac:dyDescent="0.2">
      <c r="C517" s="23" t="s">
        <v>1685</v>
      </c>
      <c r="D517" s="23">
        <f>Source!BB138</f>
        <v>6.56</v>
      </c>
    </row>
    <row r="518" spans="1:28" x14ac:dyDescent="0.2">
      <c r="C518" s="23" t="s">
        <v>1686</v>
      </c>
      <c r="D518" s="23">
        <f>Source!BC138</f>
        <v>6.56</v>
      </c>
    </row>
    <row r="519" spans="1:28" x14ac:dyDescent="0.2">
      <c r="C519" s="23" t="s">
        <v>1687</v>
      </c>
      <c r="D519" s="23">
        <f>Source!BS138</f>
        <v>6.56</v>
      </c>
    </row>
    <row r="520" spans="1:28" x14ac:dyDescent="0.2">
      <c r="C520" s="23" t="s">
        <v>1694</v>
      </c>
      <c r="D520" s="89" t="s">
        <v>172</v>
      </c>
      <c r="E520" s="89"/>
      <c r="F520" s="89"/>
      <c r="G520" s="89"/>
      <c r="H520" s="89"/>
    </row>
    <row r="521" spans="1:28" x14ac:dyDescent="0.2">
      <c r="C521" s="23" t="s">
        <v>1695</v>
      </c>
      <c r="D521" s="89" t="s">
        <v>172</v>
      </c>
      <c r="E521" s="89"/>
      <c r="F521" s="89"/>
      <c r="G521" s="89"/>
      <c r="H521" s="89"/>
    </row>
    <row r="522" spans="1:28" x14ac:dyDescent="0.2">
      <c r="C522" s="23" t="s">
        <v>1696</v>
      </c>
      <c r="D522" s="89" t="s">
        <v>173</v>
      </c>
      <c r="E522" s="89"/>
      <c r="F522" s="89"/>
      <c r="G522" s="89"/>
      <c r="H522" s="89"/>
    </row>
    <row r="523" spans="1:28" x14ac:dyDescent="0.2">
      <c r="C523" s="23" t="s">
        <v>1697</v>
      </c>
      <c r="D523" s="89" t="s">
        <v>173</v>
      </c>
      <c r="E523" s="89"/>
      <c r="F523" s="89"/>
      <c r="G523" s="89"/>
      <c r="H523" s="89"/>
    </row>
    <row r="524" spans="1:28" x14ac:dyDescent="0.2">
      <c r="C524" s="23" t="s">
        <v>1698</v>
      </c>
      <c r="D524" s="89" t="s">
        <v>172</v>
      </c>
      <c r="E524" s="89"/>
      <c r="F524" s="89"/>
      <c r="G524" s="89"/>
      <c r="H524" s="89"/>
    </row>
    <row r="525" spans="1:28" x14ac:dyDescent="0.2">
      <c r="C525" s="9" t="s">
        <v>1688</v>
      </c>
      <c r="D525" s="34"/>
      <c r="E525" s="34"/>
      <c r="F525" s="34">
        <f>Source!BZ138</f>
        <v>105</v>
      </c>
      <c r="G525" s="58">
        <f>(Source!AF138+Source!AE138)*Source!FX138/100</f>
        <v>531.67590000000007</v>
      </c>
      <c r="H525" s="58">
        <f>Source!X138</f>
        <v>98.17</v>
      </c>
    </row>
    <row r="526" spans="1:28" x14ac:dyDescent="0.2">
      <c r="C526" s="9" t="s">
        <v>1689</v>
      </c>
      <c r="D526" s="34"/>
      <c r="E526" s="34"/>
      <c r="F526" s="34"/>
      <c r="G526" s="34" t="str">
        <f>CONCATENATE(Source!DL138,Source!FT138, "=", Source!FX138, "%")</f>
        <v>*0,9=94,5%</v>
      </c>
      <c r="H526" s="34" t="str">
        <f>CONCATENATE(Source!AT138)</f>
        <v>95</v>
      </c>
    </row>
    <row r="527" spans="1:28" x14ac:dyDescent="0.2">
      <c r="C527" s="9" t="s">
        <v>1690</v>
      </c>
      <c r="D527" s="34"/>
      <c r="E527" s="34"/>
      <c r="F527" s="34">
        <f>Source!CA138</f>
        <v>55</v>
      </c>
      <c r="G527" s="58">
        <f>(Source!AF138+Source!AE138)*Source!FY138/100</f>
        <v>263.02485000000001</v>
      </c>
      <c r="H527" s="58">
        <f>Source!Y138</f>
        <v>48.57</v>
      </c>
    </row>
    <row r="528" spans="1:28" x14ac:dyDescent="0.2">
      <c r="C528" s="9" t="s">
        <v>1691</v>
      </c>
      <c r="D528" s="34"/>
      <c r="E528" s="34"/>
      <c r="F528" s="34"/>
      <c r="G528" s="34" t="str">
        <f>CONCATENATE(Source!DM138,Source!FU138, "=", Source!FY138, "%")</f>
        <v>*0,85=46,75%</v>
      </c>
      <c r="H528" s="34" t="str">
        <f>CONCATENATE(Source!AU138)</f>
        <v>47</v>
      </c>
    </row>
    <row r="529" spans="1:28" x14ac:dyDescent="0.2">
      <c r="C529" s="9" t="s">
        <v>1692</v>
      </c>
      <c r="D529" s="34"/>
      <c r="E529" s="34"/>
      <c r="F529" s="34"/>
      <c r="G529" s="58">
        <f>((Source!AF138+Source!AE138)*Source!FX138/100)+((Source!AF138+Source!AE138)*Source!FY138/100)+Source!AB138</f>
        <v>4228.3607499999998</v>
      </c>
      <c r="H529" s="58">
        <f>Source!O138+Source!X138+Source!Y138</f>
        <v>777.44</v>
      </c>
    </row>
    <row r="530" spans="1:28" ht="42.75" x14ac:dyDescent="0.2">
      <c r="A530" s="46">
        <v>74</v>
      </c>
      <c r="B530" s="46" t="str">
        <f>Source!E139</f>
        <v>35</v>
      </c>
      <c r="C530" s="46" t="str">
        <f>Source!G139</f>
        <v>Обшивка каркасных стен плитами древесноволокнистыми твердыми 5 мм (канализационные стояки)</v>
      </c>
      <c r="D530" s="46" t="str">
        <f>Source!F139</f>
        <v>10-01-012-02 прим.</v>
      </c>
      <c r="E530" s="31" t="str">
        <f>Source!H139</f>
        <v>100 м2</v>
      </c>
      <c r="F530" s="12">
        <f>Source!I139</f>
        <v>2.8000000000000001E-2</v>
      </c>
      <c r="G530" s="22">
        <f>Source!AB139</f>
        <v>1477.49</v>
      </c>
      <c r="H530" s="22">
        <f>Source!O139</f>
        <v>271.39</v>
      </c>
      <c r="T530">
        <f>Source!O139+Source!X139+Source!Y139</f>
        <v>324.55</v>
      </c>
      <c r="U530">
        <f>Source!P139</f>
        <v>231.69</v>
      </c>
      <c r="V530">
        <f>Source!S139</f>
        <v>31.85</v>
      </c>
      <c r="W530">
        <f>Source!Q139</f>
        <v>7.85</v>
      </c>
      <c r="X530">
        <f>Source!R139</f>
        <v>1.38</v>
      </c>
      <c r="Y530">
        <f>Source!U139</f>
        <v>0.58926000000000001</v>
      </c>
      <c r="Z530">
        <f>Source!V139</f>
        <v>1.8200000000000001E-2</v>
      </c>
      <c r="AA530">
        <f>Source!X139</f>
        <v>35.22</v>
      </c>
      <c r="AB530">
        <f>Source!Y139</f>
        <v>17.940000000000001</v>
      </c>
    </row>
    <row r="531" spans="1:28" ht="14.25" x14ac:dyDescent="0.2">
      <c r="C531" s="23" t="str">
        <f>"Объем: "&amp;Source!I139&amp;"=2,8/"&amp;"100"</f>
        <v>Объем: 0,028=2,8/100</v>
      </c>
      <c r="F531" s="12"/>
      <c r="G531" s="12"/>
      <c r="H531" s="12"/>
    </row>
    <row r="532" spans="1:28" x14ac:dyDescent="0.2">
      <c r="C532" s="23" t="s">
        <v>1684</v>
      </c>
      <c r="D532" s="23">
        <f>Source!BA139</f>
        <v>6.56</v>
      </c>
    </row>
    <row r="533" spans="1:28" x14ac:dyDescent="0.2">
      <c r="C533" s="23" t="s">
        <v>1685</v>
      </c>
      <c r="D533" s="23">
        <f>Source!BB139</f>
        <v>6.56</v>
      </c>
    </row>
    <row r="534" spans="1:28" x14ac:dyDescent="0.2">
      <c r="C534" s="23" t="s">
        <v>1686</v>
      </c>
      <c r="D534" s="23">
        <f>Source!BC139</f>
        <v>6.56</v>
      </c>
    </row>
    <row r="535" spans="1:28" x14ac:dyDescent="0.2">
      <c r="C535" s="23" t="s">
        <v>1687</v>
      </c>
      <c r="D535" s="23">
        <f>Source!BS139</f>
        <v>6.56</v>
      </c>
    </row>
    <row r="536" spans="1:28" x14ac:dyDescent="0.2">
      <c r="C536" s="23" t="s">
        <v>1694</v>
      </c>
      <c r="D536" s="89" t="s">
        <v>172</v>
      </c>
      <c r="E536" s="89"/>
      <c r="F536" s="89"/>
      <c r="G536" s="89"/>
      <c r="H536" s="89"/>
    </row>
    <row r="537" spans="1:28" x14ac:dyDescent="0.2">
      <c r="C537" s="23" t="s">
        <v>1695</v>
      </c>
      <c r="D537" s="89" t="s">
        <v>172</v>
      </c>
      <c r="E537" s="89"/>
      <c r="F537" s="89"/>
      <c r="G537" s="89"/>
      <c r="H537" s="89"/>
    </row>
    <row r="538" spans="1:28" x14ac:dyDescent="0.2">
      <c r="C538" s="23" t="s">
        <v>1696</v>
      </c>
      <c r="D538" s="89" t="s">
        <v>173</v>
      </c>
      <c r="E538" s="89"/>
      <c r="F538" s="89"/>
      <c r="G538" s="89"/>
      <c r="H538" s="89"/>
    </row>
    <row r="539" spans="1:28" x14ac:dyDescent="0.2">
      <c r="C539" s="23" t="s">
        <v>1697</v>
      </c>
      <c r="D539" s="89" t="s">
        <v>173</v>
      </c>
      <c r="E539" s="89"/>
      <c r="F539" s="89"/>
      <c r="G539" s="89"/>
      <c r="H539" s="89"/>
    </row>
    <row r="540" spans="1:28" x14ac:dyDescent="0.2">
      <c r="C540" s="23" t="s">
        <v>1698</v>
      </c>
      <c r="D540" s="89" t="s">
        <v>172</v>
      </c>
      <c r="E540" s="89"/>
      <c r="F540" s="89"/>
      <c r="G540" s="89"/>
      <c r="H540" s="89"/>
    </row>
    <row r="541" spans="1:28" x14ac:dyDescent="0.2">
      <c r="C541" s="9" t="s">
        <v>1688</v>
      </c>
      <c r="D541" s="34"/>
      <c r="E541" s="34"/>
      <c r="F541" s="34">
        <f>Source!BZ139</f>
        <v>118</v>
      </c>
      <c r="G541" s="58">
        <f>(Source!AF139+Source!AE139)*Source!FX139/100</f>
        <v>192.16890000000001</v>
      </c>
      <c r="H541" s="58">
        <f>Source!X139</f>
        <v>35.22</v>
      </c>
    </row>
    <row r="542" spans="1:28" x14ac:dyDescent="0.2">
      <c r="C542" s="9" t="s">
        <v>1689</v>
      </c>
      <c r="D542" s="34"/>
      <c r="E542" s="34"/>
      <c r="F542" s="34"/>
      <c r="G542" s="34" t="str">
        <f>CONCATENATE(Source!DL139,Source!FT139, "=", Source!FX139, "%")</f>
        <v>*0,9=106,2%</v>
      </c>
      <c r="H542" s="34" t="str">
        <f>CONCATENATE(Source!AT139)</f>
        <v>106</v>
      </c>
    </row>
    <row r="543" spans="1:28" x14ac:dyDescent="0.2">
      <c r="C543" s="9" t="s">
        <v>1690</v>
      </c>
      <c r="D543" s="34"/>
      <c r="E543" s="34"/>
      <c r="F543" s="34">
        <f>Source!CA139</f>
        <v>63</v>
      </c>
      <c r="G543" s="58">
        <f>(Source!AF139+Source!AE139)*Source!FY139/100</f>
        <v>96.898724999999999</v>
      </c>
      <c r="H543" s="58">
        <f>Source!Y139</f>
        <v>17.940000000000001</v>
      </c>
    </row>
    <row r="544" spans="1:28" x14ac:dyDescent="0.2">
      <c r="C544" s="9" t="s">
        <v>1691</v>
      </c>
      <c r="D544" s="34"/>
      <c r="E544" s="34"/>
      <c r="F544" s="34"/>
      <c r="G544" s="34" t="str">
        <f>CONCATENATE(Source!DM139,Source!FU139, "=", Source!FY139, "%")</f>
        <v>*0,85=53,55%</v>
      </c>
      <c r="H544" s="34" t="str">
        <f>CONCATENATE(Source!AU139)</f>
        <v>54</v>
      </c>
    </row>
    <row r="545" spans="1:28" x14ac:dyDescent="0.2">
      <c r="C545" s="9" t="s">
        <v>1692</v>
      </c>
      <c r="D545" s="34"/>
      <c r="E545" s="34"/>
      <c r="F545" s="34"/>
      <c r="G545" s="58">
        <f>((Source!AF139+Source!AE139)*Source!FX139/100)+((Source!AF139+Source!AE139)*Source!FY139/100)+Source!AB139</f>
        <v>1766.5576249999999</v>
      </c>
      <c r="H545" s="58">
        <f>Source!O139+Source!X139+Source!Y139</f>
        <v>324.55</v>
      </c>
    </row>
    <row r="546" spans="1:28" ht="28.5" x14ac:dyDescent="0.2">
      <c r="A546" s="46">
        <v>75</v>
      </c>
      <c r="B546" s="46" t="str">
        <f>Source!E140</f>
        <v>35,1</v>
      </c>
      <c r="C546" s="46" t="str">
        <f>Source!G140</f>
        <v>Листы гипсокартонные ГКЛВ 12,5 мм</v>
      </c>
      <c r="D546" s="46" t="str">
        <f>Source!F140</f>
        <v>01.6.01.02-0008</v>
      </c>
      <c r="E546" s="31" t="str">
        <f>Source!H140</f>
        <v>м2</v>
      </c>
      <c r="F546" s="12">
        <f>Source!I140</f>
        <v>2.87</v>
      </c>
      <c r="G546" s="22">
        <f>Source!AB140</f>
        <v>20.47</v>
      </c>
      <c r="H546" s="22">
        <f>Source!O140</f>
        <v>385.39</v>
      </c>
      <c r="T546">
        <f>Source!O140+Source!X140+Source!Y140</f>
        <v>385.39</v>
      </c>
      <c r="U546">
        <f>Source!P140</f>
        <v>385.39</v>
      </c>
      <c r="V546">
        <f>Source!S140</f>
        <v>0</v>
      </c>
      <c r="W546">
        <f>Source!Q140</f>
        <v>0</v>
      </c>
      <c r="X546">
        <f>Source!R140</f>
        <v>0</v>
      </c>
      <c r="Y546">
        <f>Source!U140</f>
        <v>0</v>
      </c>
      <c r="Z546">
        <f>Source!V140</f>
        <v>0</v>
      </c>
      <c r="AA546">
        <f>Source!X140</f>
        <v>0</v>
      </c>
      <c r="AB546">
        <f>Source!Y140</f>
        <v>0</v>
      </c>
    </row>
    <row r="547" spans="1:28" ht="14.25" x14ac:dyDescent="0.2">
      <c r="C547" s="23" t="s">
        <v>1686</v>
      </c>
      <c r="D547" s="23">
        <f>Source!BC140</f>
        <v>6.56</v>
      </c>
      <c r="F547" s="12"/>
      <c r="G547" s="12"/>
      <c r="H547" s="12"/>
    </row>
    <row r="548" spans="1:28" ht="57" x14ac:dyDescent="0.2">
      <c r="A548" s="46">
        <v>76</v>
      </c>
      <c r="B548" s="46" t="str">
        <f>Source!E141</f>
        <v>35,2</v>
      </c>
      <c r="C548" s="46" t="s">
        <v>1699</v>
      </c>
      <c r="D548" s="46" t="str">
        <f>Source!F141</f>
        <v>11.2.08.02-0010</v>
      </c>
      <c r="E548" s="31" t="str">
        <f>Source!H141</f>
        <v>1000 м2</v>
      </c>
      <c r="F548" s="12">
        <f>Source!I141</f>
        <v>-2.8700000000000002E-3</v>
      </c>
      <c r="G548" s="22">
        <f>Source!AB141</f>
        <v>12000</v>
      </c>
      <c r="H548" s="22">
        <f>Source!O141</f>
        <v>-225.93</v>
      </c>
      <c r="T548">
        <f>Source!O141+Source!X141+Source!Y141</f>
        <v>-225.93</v>
      </c>
      <c r="U548">
        <f>Source!P141</f>
        <v>-225.93</v>
      </c>
      <c r="V548">
        <f>Source!S141</f>
        <v>0</v>
      </c>
      <c r="W548">
        <f>Source!Q141</f>
        <v>0</v>
      </c>
      <c r="X548">
        <f>Source!R141</f>
        <v>0</v>
      </c>
      <c r="Y548">
        <f>Source!U141</f>
        <v>0</v>
      </c>
      <c r="Z548">
        <f>Source!V141</f>
        <v>0</v>
      </c>
      <c r="AA548">
        <f>Source!X141</f>
        <v>0</v>
      </c>
      <c r="AB548">
        <f>Source!Y141</f>
        <v>0</v>
      </c>
    </row>
    <row r="549" spans="1:28" ht="14.25" x14ac:dyDescent="0.2">
      <c r="C549" s="23" t="s">
        <v>1686</v>
      </c>
      <c r="D549" s="23">
        <f>Source!BC141</f>
        <v>6.56</v>
      </c>
      <c r="F549" s="12"/>
      <c r="G549" s="12"/>
      <c r="H549" s="12"/>
    </row>
    <row r="550" spans="1:28" ht="85.5" x14ac:dyDescent="0.2">
      <c r="A550" s="46">
        <v>77</v>
      </c>
      <c r="B550" s="46" t="str">
        <f>Source!E142</f>
        <v>36</v>
      </c>
      <c r="C550" s="46" t="str">
        <f>Source!G142</f>
        <v>Гладкая облицовка стен, столбов, пилястр и откосов (без карнизных, плинтусных и угловых плиток) без установки плиток туалетного гарнитура на клее из сухих смесей по кирпичу и бетону</v>
      </c>
      <c r="D550" s="46" t="str">
        <f>Source!F142</f>
        <v>15-01-019-05</v>
      </c>
      <c r="E550" s="31" t="str">
        <f>Source!H142</f>
        <v>100 м2</v>
      </c>
      <c r="F550" s="12">
        <f>Source!I142</f>
        <v>0.6</v>
      </c>
      <c r="G550" s="22">
        <f>Source!AB142</f>
        <v>1728.51</v>
      </c>
      <c r="H550" s="22">
        <f>Source!O142</f>
        <v>6803.42</v>
      </c>
      <c r="T550">
        <f>Source!O142+Source!X142+Source!Y142</f>
        <v>16347.12</v>
      </c>
      <c r="U550">
        <f>Source!P142</f>
        <v>12.52</v>
      </c>
      <c r="V550">
        <f>Source!S142</f>
        <v>6634.68</v>
      </c>
      <c r="W550">
        <f>Source!Q142</f>
        <v>156.22</v>
      </c>
      <c r="X550">
        <f>Source!R142</f>
        <v>86.24</v>
      </c>
      <c r="Y550">
        <f>Source!U142</f>
        <v>110.17229999999998</v>
      </c>
      <c r="Z550">
        <f>Source!V142</f>
        <v>1.2375</v>
      </c>
      <c r="AA550">
        <f>Source!X142</f>
        <v>6384.87</v>
      </c>
      <c r="AB550">
        <f>Source!Y142</f>
        <v>3158.83</v>
      </c>
    </row>
    <row r="551" spans="1:28" ht="14.25" x14ac:dyDescent="0.2">
      <c r="C551" s="23" t="str">
        <f>"Объем: "&amp;Source!I142&amp;"=60/"&amp;"100"</f>
        <v>Объем: 0,6=60/100</v>
      </c>
      <c r="F551" s="12"/>
      <c r="G551" s="12"/>
      <c r="H551" s="12"/>
    </row>
    <row r="552" spans="1:28" x14ac:dyDescent="0.2">
      <c r="C552" s="23" t="s">
        <v>1684</v>
      </c>
      <c r="D552" s="23">
        <f>Source!BA142</f>
        <v>6.56</v>
      </c>
    </row>
    <row r="553" spans="1:28" x14ac:dyDescent="0.2">
      <c r="C553" s="23" t="s">
        <v>1685</v>
      </c>
      <c r="D553" s="23">
        <f>Source!BB142</f>
        <v>6.56</v>
      </c>
    </row>
    <row r="554" spans="1:28" x14ac:dyDescent="0.2">
      <c r="C554" s="23" t="s">
        <v>1686</v>
      </c>
      <c r="D554" s="23">
        <f>Source!BC142</f>
        <v>6.56</v>
      </c>
    </row>
    <row r="555" spans="1:28" x14ac:dyDescent="0.2">
      <c r="C555" s="23" t="s">
        <v>1687</v>
      </c>
      <c r="D555" s="23">
        <f>Source!BS142</f>
        <v>6.56</v>
      </c>
    </row>
    <row r="556" spans="1:28" x14ac:dyDescent="0.2">
      <c r="C556" s="23" t="s">
        <v>1694</v>
      </c>
      <c r="D556" s="89" t="s">
        <v>172</v>
      </c>
      <c r="E556" s="89"/>
      <c r="F556" s="89"/>
      <c r="G556" s="89"/>
      <c r="H556" s="89"/>
    </row>
    <row r="557" spans="1:28" x14ac:dyDescent="0.2">
      <c r="C557" s="23" t="s">
        <v>1695</v>
      </c>
      <c r="D557" s="89" t="s">
        <v>172</v>
      </c>
      <c r="E557" s="89"/>
      <c r="F557" s="89"/>
      <c r="G557" s="89"/>
      <c r="H557" s="89"/>
    </row>
    <row r="558" spans="1:28" x14ac:dyDescent="0.2">
      <c r="C558" s="23" t="s">
        <v>1696</v>
      </c>
      <c r="D558" s="89" t="s">
        <v>173</v>
      </c>
      <c r="E558" s="89"/>
      <c r="F558" s="89"/>
      <c r="G558" s="89"/>
      <c r="H558" s="89"/>
    </row>
    <row r="559" spans="1:28" x14ac:dyDescent="0.2">
      <c r="C559" s="23" t="s">
        <v>1697</v>
      </c>
      <c r="D559" s="89" t="s">
        <v>173</v>
      </c>
      <c r="E559" s="89"/>
      <c r="F559" s="89"/>
      <c r="G559" s="89"/>
      <c r="H559" s="89"/>
    </row>
    <row r="560" spans="1:28" x14ac:dyDescent="0.2">
      <c r="C560" s="23" t="s">
        <v>1698</v>
      </c>
      <c r="D560" s="89" t="s">
        <v>172</v>
      </c>
      <c r="E560" s="89"/>
      <c r="F560" s="89"/>
      <c r="G560" s="89"/>
      <c r="H560" s="89"/>
    </row>
    <row r="561" spans="1:28" x14ac:dyDescent="0.2">
      <c r="C561" s="9" t="s">
        <v>1688</v>
      </c>
      <c r="D561" s="34"/>
      <c r="E561" s="34"/>
      <c r="F561" s="34">
        <f>Source!BZ142</f>
        <v>105</v>
      </c>
      <c r="G561" s="58">
        <f>(Source!AF142+Source!AE142)*Source!FX142/100</f>
        <v>1613.6347500000002</v>
      </c>
      <c r="H561" s="58">
        <f>Source!X142</f>
        <v>6384.87</v>
      </c>
    </row>
    <row r="562" spans="1:28" x14ac:dyDescent="0.2">
      <c r="C562" s="9" t="s">
        <v>1689</v>
      </c>
      <c r="D562" s="34"/>
      <c r="E562" s="34"/>
      <c r="F562" s="34"/>
      <c r="G562" s="34" t="str">
        <f>CONCATENATE(Source!DL142,Source!FT142, "=", Source!FX142, "%")</f>
        <v>*0,9=94,5%</v>
      </c>
      <c r="H562" s="34" t="str">
        <f>CONCATENATE(Source!AT142)</f>
        <v>95</v>
      </c>
    </row>
    <row r="563" spans="1:28" x14ac:dyDescent="0.2">
      <c r="C563" s="9" t="s">
        <v>1690</v>
      </c>
      <c r="D563" s="34"/>
      <c r="E563" s="34"/>
      <c r="F563" s="34">
        <f>Source!CA142</f>
        <v>55</v>
      </c>
      <c r="G563" s="58">
        <f>(Source!AF142+Source!AE142)*Source!FY142/100</f>
        <v>798.27962500000012</v>
      </c>
      <c r="H563" s="58">
        <f>Source!Y142</f>
        <v>3158.83</v>
      </c>
    </row>
    <row r="564" spans="1:28" x14ac:dyDescent="0.2">
      <c r="C564" s="9" t="s">
        <v>1691</v>
      </c>
      <c r="D564" s="34"/>
      <c r="E564" s="34"/>
      <c r="F564" s="34"/>
      <c r="G564" s="34" t="str">
        <f>CONCATENATE(Source!DM142,Source!FU142, "=", Source!FY142, "%")</f>
        <v>*0,85=46,75%</v>
      </c>
      <c r="H564" s="34" t="str">
        <f>CONCATENATE(Source!AU142)</f>
        <v>47</v>
      </c>
    </row>
    <row r="565" spans="1:28" x14ac:dyDescent="0.2">
      <c r="C565" s="9" t="s">
        <v>1692</v>
      </c>
      <c r="D565" s="34"/>
      <c r="E565" s="34"/>
      <c r="F565" s="34"/>
      <c r="G565" s="58">
        <f>((Source!AF142+Source!AE142)*Source!FX142/100)+((Source!AF142+Source!AE142)*Source!FY142/100)+Source!AB142</f>
        <v>4140.4243750000005</v>
      </c>
      <c r="H565" s="58">
        <f>Source!O142+Source!X142+Source!Y142</f>
        <v>16347.12</v>
      </c>
    </row>
    <row r="566" spans="1:28" ht="14.25" x14ac:dyDescent="0.2">
      <c r="A566" s="46">
        <v>78</v>
      </c>
      <c r="B566" s="46" t="str">
        <f>Source!E143</f>
        <v>36,1</v>
      </c>
      <c r="C566" s="46" t="str">
        <f>Source!G143</f>
        <v>Смесь сухая для заделки швов</v>
      </c>
      <c r="D566" s="46" t="str">
        <f>Source!F143</f>
        <v>04.3.02.09</v>
      </c>
      <c r="E566" s="31" t="str">
        <f>Source!H143</f>
        <v>т</v>
      </c>
      <c r="F566" s="12">
        <f>Source!I143</f>
        <v>0.03</v>
      </c>
      <c r="G566" s="22">
        <f>Source!AB143</f>
        <v>0</v>
      </c>
      <c r="H566" s="22">
        <f>Source!O143</f>
        <v>0</v>
      </c>
      <c r="T566">
        <f>Source!O143+Source!X143+Source!Y143</f>
        <v>0</v>
      </c>
      <c r="U566">
        <f>Source!P143</f>
        <v>0</v>
      </c>
      <c r="V566">
        <f>Source!S143</f>
        <v>0</v>
      </c>
      <c r="W566">
        <f>Source!Q143</f>
        <v>0</v>
      </c>
      <c r="X566">
        <f>Source!R143</f>
        <v>0</v>
      </c>
      <c r="Y566">
        <f>Source!U143</f>
        <v>0</v>
      </c>
      <c r="Z566">
        <f>Source!V143</f>
        <v>0</v>
      </c>
      <c r="AA566">
        <f>Source!X143</f>
        <v>0</v>
      </c>
      <c r="AB566">
        <f>Source!Y143</f>
        <v>0</v>
      </c>
    </row>
    <row r="567" spans="1:28" ht="14.25" x14ac:dyDescent="0.2">
      <c r="C567" s="23" t="s">
        <v>1686</v>
      </c>
      <c r="D567" s="23">
        <f>Source!BC143</f>
        <v>6.56</v>
      </c>
      <c r="F567" s="12"/>
      <c r="G567" s="12"/>
      <c r="H567" s="12"/>
    </row>
    <row r="568" spans="1:28" ht="28.5" x14ac:dyDescent="0.2">
      <c r="A568" s="46">
        <v>79</v>
      </c>
      <c r="B568" s="46" t="str">
        <f>Source!E144</f>
        <v>36,2</v>
      </c>
      <c r="C568" s="46" t="str">
        <f>Source!G144</f>
        <v>Смесь сухая (фуга) АТЛАС разных цветов для заделки швов водостойкая</v>
      </c>
      <c r="D568" s="46" t="str">
        <f>Source!F144</f>
        <v>04.3.02.09-0741</v>
      </c>
      <c r="E568" s="31" t="str">
        <f>Source!H144</f>
        <v>т</v>
      </c>
      <c r="F568" s="12">
        <f>Source!I144</f>
        <v>0.03</v>
      </c>
      <c r="G568" s="22">
        <f>Source!AB144</f>
        <v>9000</v>
      </c>
      <c r="H568" s="22">
        <f>Source!O144</f>
        <v>1771.2</v>
      </c>
      <c r="T568">
        <f>Source!O144+Source!X144+Source!Y144</f>
        <v>1771.2</v>
      </c>
      <c r="U568">
        <f>Source!P144</f>
        <v>1771.2</v>
      </c>
      <c r="V568">
        <f>Source!S144</f>
        <v>0</v>
      </c>
      <c r="W568">
        <f>Source!Q144</f>
        <v>0</v>
      </c>
      <c r="X568">
        <f>Source!R144</f>
        <v>0</v>
      </c>
      <c r="Y568">
        <f>Source!U144</f>
        <v>0</v>
      </c>
      <c r="Z568">
        <f>Source!V144</f>
        <v>0</v>
      </c>
      <c r="AA568">
        <f>Source!X144</f>
        <v>0</v>
      </c>
      <c r="AB568">
        <f>Source!Y144</f>
        <v>0</v>
      </c>
    </row>
    <row r="569" spans="1:28" ht="14.25" x14ac:dyDescent="0.2">
      <c r="C569" s="23" t="s">
        <v>1686</v>
      </c>
      <c r="D569" s="23">
        <f>Source!BC144</f>
        <v>6.56</v>
      </c>
      <c r="F569" s="12"/>
      <c r="G569" s="12"/>
      <c r="H569" s="12"/>
    </row>
    <row r="570" spans="1:28" ht="57" x14ac:dyDescent="0.2">
      <c r="A570" s="46">
        <v>80</v>
      </c>
      <c r="B570" s="46" t="str">
        <f>Source!E145</f>
        <v>36,3</v>
      </c>
      <c r="C570" s="46" t="str">
        <f>Source!G145</f>
        <v>Плитки керамические глазурованные для внутренней облицовки стен гладкие без завала цветные (однотонные)</v>
      </c>
      <c r="D570" s="46" t="str">
        <f>Source!F145</f>
        <v>06.2.01.02-0012</v>
      </c>
      <c r="E570" s="31" t="str">
        <f>Source!H145</f>
        <v>м2</v>
      </c>
      <c r="F570" s="12">
        <f>Source!I145</f>
        <v>60</v>
      </c>
      <c r="G570" s="22">
        <f>Source!AB145</f>
        <v>108.12</v>
      </c>
      <c r="H570" s="22">
        <f>Source!O145</f>
        <v>42556.03</v>
      </c>
      <c r="T570">
        <f>Source!O145+Source!X145+Source!Y145</f>
        <v>42556.03</v>
      </c>
      <c r="U570">
        <f>Source!P145</f>
        <v>42556.03</v>
      </c>
      <c r="V570">
        <f>Source!S145</f>
        <v>0</v>
      </c>
      <c r="W570">
        <f>Source!Q145</f>
        <v>0</v>
      </c>
      <c r="X570">
        <f>Source!R145</f>
        <v>0</v>
      </c>
      <c r="Y570">
        <f>Source!U145</f>
        <v>0</v>
      </c>
      <c r="Z570">
        <f>Source!V145</f>
        <v>0</v>
      </c>
      <c r="AA570">
        <f>Source!X145</f>
        <v>0</v>
      </c>
      <c r="AB570">
        <f>Source!Y145</f>
        <v>0</v>
      </c>
    </row>
    <row r="571" spans="1:28" ht="14.25" x14ac:dyDescent="0.2">
      <c r="C571" s="23" t="s">
        <v>1686</v>
      </c>
      <c r="D571" s="23">
        <f>Source!BC145</f>
        <v>6.56</v>
      </c>
      <c r="F571" s="12"/>
      <c r="G571" s="12"/>
      <c r="H571" s="12"/>
    </row>
    <row r="572" spans="1:28" ht="28.5" x14ac:dyDescent="0.2">
      <c r="A572" s="46">
        <v>81</v>
      </c>
      <c r="B572" s="46" t="str">
        <f>Source!E146</f>
        <v>36,4</v>
      </c>
      <c r="C572" s="46" t="str">
        <f>Source!G146</f>
        <v>Клей для плитки Ветонит "Renovation FIX" (сухая смесь)</v>
      </c>
      <c r="D572" s="46" t="str">
        <f>Source!F146</f>
        <v>14.1.06.02-0006</v>
      </c>
      <c r="E572" s="31" t="str">
        <f>Source!H146</f>
        <v>т</v>
      </c>
      <c r="F572" s="12">
        <f>Source!I146</f>
        <v>0.22499999999999998</v>
      </c>
      <c r="G572" s="22">
        <f>Source!AB146</f>
        <v>5607.68</v>
      </c>
      <c r="H572" s="22">
        <f>Source!O146</f>
        <v>8276.94</v>
      </c>
      <c r="T572">
        <f>Source!O146+Source!X146+Source!Y146</f>
        <v>8276.94</v>
      </c>
      <c r="U572">
        <f>Source!P146</f>
        <v>8276.94</v>
      </c>
      <c r="V572">
        <f>Source!S146</f>
        <v>0</v>
      </c>
      <c r="W572">
        <f>Source!Q146</f>
        <v>0</v>
      </c>
      <c r="X572">
        <f>Source!R146</f>
        <v>0</v>
      </c>
      <c r="Y572">
        <f>Source!U146</f>
        <v>0</v>
      </c>
      <c r="Z572">
        <f>Source!V146</f>
        <v>0</v>
      </c>
      <c r="AA572">
        <f>Source!X146</f>
        <v>0</v>
      </c>
      <c r="AB572">
        <f>Source!Y146</f>
        <v>0</v>
      </c>
    </row>
    <row r="573" spans="1:28" ht="14.25" x14ac:dyDescent="0.2">
      <c r="C573" s="23" t="s">
        <v>1686</v>
      </c>
      <c r="D573" s="23">
        <f>Source!BC146</f>
        <v>6.56</v>
      </c>
      <c r="F573" s="12"/>
      <c r="G573" s="12"/>
      <c r="H573" s="12"/>
    </row>
    <row r="574" spans="1:28" ht="14.25" x14ac:dyDescent="0.2">
      <c r="A574" s="46">
        <v>82</v>
      </c>
      <c r="B574" s="46" t="str">
        <f>Source!E147</f>
        <v>36,5</v>
      </c>
      <c r="C574" s="46" t="str">
        <f>Source!G147</f>
        <v>Плитки рядовые</v>
      </c>
      <c r="D574" s="46" t="str">
        <f>Source!F147</f>
        <v>06.2.05.04</v>
      </c>
      <c r="E574" s="31" t="str">
        <f>Source!H147</f>
        <v>м2</v>
      </c>
      <c r="F574" s="12">
        <f>Source!I147</f>
        <v>60</v>
      </c>
      <c r="G574" s="22">
        <f>Source!AB147</f>
        <v>0</v>
      </c>
      <c r="H574" s="22">
        <f>Source!O147</f>
        <v>0</v>
      </c>
      <c r="T574">
        <f>Source!O147+Source!X147+Source!Y147</f>
        <v>0</v>
      </c>
      <c r="U574">
        <f>Source!P147</f>
        <v>0</v>
      </c>
      <c r="V574">
        <f>Source!S147</f>
        <v>0</v>
      </c>
      <c r="W574">
        <f>Source!Q147</f>
        <v>0</v>
      </c>
      <c r="X574">
        <f>Source!R147</f>
        <v>0</v>
      </c>
      <c r="Y574">
        <f>Source!U147</f>
        <v>0</v>
      </c>
      <c r="Z574">
        <f>Source!V147</f>
        <v>0</v>
      </c>
      <c r="AA574">
        <f>Source!X147</f>
        <v>0</v>
      </c>
      <c r="AB574">
        <f>Source!Y147</f>
        <v>0</v>
      </c>
    </row>
    <row r="575" spans="1:28" ht="14.25" x14ac:dyDescent="0.2">
      <c r="C575" s="23" t="s">
        <v>1686</v>
      </c>
      <c r="D575" s="23">
        <f>Source!BC147</f>
        <v>6.56</v>
      </c>
      <c r="F575" s="12"/>
      <c r="G575" s="12"/>
      <c r="H575" s="12"/>
    </row>
    <row r="576" spans="1:28" ht="28.5" x14ac:dyDescent="0.2">
      <c r="A576" s="46">
        <v>83</v>
      </c>
      <c r="B576" s="46" t="str">
        <f>Source!E148</f>
        <v>36,6</v>
      </c>
      <c r="C576" s="46" t="str">
        <f>Source!G148</f>
        <v>Клей для облицовочных работ (сухая смесь)</v>
      </c>
      <c r="D576" s="46" t="str">
        <f>Source!F148</f>
        <v>14.1.06.02</v>
      </c>
      <c r="E576" s="31" t="str">
        <f>Source!H148</f>
        <v>т</v>
      </c>
      <c r="F576" s="12">
        <f>Source!I148</f>
        <v>0.22499999999999998</v>
      </c>
      <c r="G576" s="22">
        <f>Source!AB148</f>
        <v>0</v>
      </c>
      <c r="H576" s="22">
        <f>Source!O148</f>
        <v>0</v>
      </c>
      <c r="T576">
        <f>Source!O148+Source!X148+Source!Y148</f>
        <v>0</v>
      </c>
      <c r="U576">
        <f>Source!P148</f>
        <v>0</v>
      </c>
      <c r="V576">
        <f>Source!S148</f>
        <v>0</v>
      </c>
      <c r="W576">
        <f>Source!Q148</f>
        <v>0</v>
      </c>
      <c r="X576">
        <f>Source!R148</f>
        <v>0</v>
      </c>
      <c r="Y576">
        <f>Source!U148</f>
        <v>0</v>
      </c>
      <c r="Z576">
        <f>Source!V148</f>
        <v>0</v>
      </c>
      <c r="AA576">
        <f>Source!X148</f>
        <v>0</v>
      </c>
      <c r="AB576">
        <f>Source!Y148</f>
        <v>0</v>
      </c>
    </row>
    <row r="577" spans="1:28" ht="14.25" x14ac:dyDescent="0.2">
      <c r="C577" s="23" t="s">
        <v>1686</v>
      </c>
      <c r="D577" s="23">
        <f>Source!BC148</f>
        <v>6.56</v>
      </c>
      <c r="F577" s="12"/>
      <c r="G577" s="12"/>
      <c r="H577" s="12"/>
    </row>
    <row r="578" spans="1:28" ht="28.5" x14ac:dyDescent="0.2">
      <c r="A578" s="46">
        <v>84</v>
      </c>
      <c r="B578" s="46" t="str">
        <f>Source!E149</f>
        <v>37</v>
      </c>
      <c r="C578" s="46" t="str">
        <f>Source!G149</f>
        <v>Установка люков герметических (лючки ревизионные)</v>
      </c>
      <c r="D578" s="46" t="str">
        <f>Source!F149</f>
        <v>20-02-017-07 прим.</v>
      </c>
      <c r="E578" s="31" t="str">
        <f>Source!H149</f>
        <v>ШТ</v>
      </c>
      <c r="F578" s="12">
        <f>Source!I149</f>
        <v>1</v>
      </c>
      <c r="G578" s="22">
        <f>Source!AB149</f>
        <v>46.12</v>
      </c>
      <c r="H578" s="22">
        <f>Source!O149</f>
        <v>302.55</v>
      </c>
      <c r="T578">
        <f>Source!O149+Source!X149+Source!Y149</f>
        <v>490.07</v>
      </c>
      <c r="U578">
        <f>Source!P149</f>
        <v>146.03</v>
      </c>
      <c r="V578">
        <f>Source!S149</f>
        <v>97.02</v>
      </c>
      <c r="W578">
        <f>Source!Q149</f>
        <v>59.5</v>
      </c>
      <c r="X578">
        <f>Source!R149</f>
        <v>3.8</v>
      </c>
      <c r="Y578">
        <f>Source!U149</f>
        <v>1.4489999999999998</v>
      </c>
      <c r="Z578">
        <f>Source!V149</f>
        <v>0.05</v>
      </c>
      <c r="AA578">
        <f>Source!X149</f>
        <v>115.94</v>
      </c>
      <c r="AB578">
        <f>Source!Y149</f>
        <v>71.58</v>
      </c>
    </row>
    <row r="579" spans="1:28" ht="14.25" x14ac:dyDescent="0.2">
      <c r="C579" s="23" t="s">
        <v>1684</v>
      </c>
      <c r="D579" s="23">
        <f>Source!BA149</f>
        <v>6.56</v>
      </c>
      <c r="F579" s="12"/>
      <c r="G579" s="12"/>
      <c r="H579" s="12"/>
    </row>
    <row r="580" spans="1:28" x14ac:dyDescent="0.2">
      <c r="C580" s="23" t="s">
        <v>1685</v>
      </c>
      <c r="D580" s="23">
        <f>Source!BB149</f>
        <v>6.56</v>
      </c>
    </row>
    <row r="581" spans="1:28" x14ac:dyDescent="0.2">
      <c r="C581" s="23" t="s">
        <v>1686</v>
      </c>
      <c r="D581" s="23">
        <f>Source!BC149</f>
        <v>6.56</v>
      </c>
    </row>
    <row r="582" spans="1:28" x14ac:dyDescent="0.2">
      <c r="C582" s="23" t="s">
        <v>1687</v>
      </c>
      <c r="D582" s="23">
        <f>Source!BS149</f>
        <v>6.56</v>
      </c>
    </row>
    <row r="583" spans="1:28" x14ac:dyDescent="0.2">
      <c r="C583" s="23" t="s">
        <v>1694</v>
      </c>
      <c r="D583" s="89" t="s">
        <v>172</v>
      </c>
      <c r="E583" s="89"/>
      <c r="F583" s="89"/>
      <c r="G583" s="89"/>
      <c r="H583" s="89"/>
    </row>
    <row r="584" spans="1:28" x14ac:dyDescent="0.2">
      <c r="C584" s="23" t="s">
        <v>1695</v>
      </c>
      <c r="D584" s="89" t="s">
        <v>172</v>
      </c>
      <c r="E584" s="89"/>
      <c r="F584" s="89"/>
      <c r="G584" s="89"/>
      <c r="H584" s="89"/>
    </row>
    <row r="585" spans="1:28" x14ac:dyDescent="0.2">
      <c r="C585" s="23" t="s">
        <v>1696</v>
      </c>
      <c r="D585" s="89" t="s">
        <v>173</v>
      </c>
      <c r="E585" s="89"/>
      <c r="F585" s="89"/>
      <c r="G585" s="89"/>
      <c r="H585" s="89"/>
    </row>
    <row r="586" spans="1:28" x14ac:dyDescent="0.2">
      <c r="C586" s="23" t="s">
        <v>1697</v>
      </c>
      <c r="D586" s="89" t="s">
        <v>173</v>
      </c>
      <c r="E586" s="89"/>
      <c r="F586" s="89"/>
      <c r="G586" s="89"/>
      <c r="H586" s="89"/>
    </row>
    <row r="587" spans="1:28" x14ac:dyDescent="0.2">
      <c r="C587" s="23" t="s">
        <v>1698</v>
      </c>
      <c r="D587" s="89" t="s">
        <v>172</v>
      </c>
      <c r="E587" s="89"/>
      <c r="F587" s="89"/>
      <c r="G587" s="89"/>
      <c r="H587" s="89"/>
    </row>
    <row r="588" spans="1:28" x14ac:dyDescent="0.2">
      <c r="C588" s="9" t="s">
        <v>1688</v>
      </c>
      <c r="D588" s="34"/>
      <c r="E588" s="34"/>
      <c r="F588" s="34">
        <f>Source!BZ149</f>
        <v>128</v>
      </c>
      <c r="G588" s="58">
        <f>(Source!AF149+Source!AE149)*Source!FX149/100</f>
        <v>17.706240000000001</v>
      </c>
      <c r="H588" s="58">
        <f>Source!X149</f>
        <v>115.94</v>
      </c>
    </row>
    <row r="589" spans="1:28" x14ac:dyDescent="0.2">
      <c r="C589" s="9" t="s">
        <v>1689</v>
      </c>
      <c r="D589" s="34"/>
      <c r="E589" s="34"/>
      <c r="F589" s="34"/>
      <c r="G589" s="34" t="str">
        <f>CONCATENATE(Source!DL149,Source!FT149, "=", Source!FX149, "%")</f>
        <v>*0,9=115,2%</v>
      </c>
      <c r="H589" s="34" t="str">
        <f>CONCATENATE(Source!AT149)</f>
        <v>115</v>
      </c>
    </row>
    <row r="590" spans="1:28" x14ac:dyDescent="0.2">
      <c r="C590" s="9" t="s">
        <v>1690</v>
      </c>
      <c r="D590" s="34"/>
      <c r="E590" s="34"/>
      <c r="F590" s="34">
        <f>Source!CA149</f>
        <v>83</v>
      </c>
      <c r="G590" s="58">
        <f>(Source!AF149+Source!AE149)*Source!FY149/100</f>
        <v>10.843534999999999</v>
      </c>
      <c r="H590" s="58">
        <f>Source!Y149</f>
        <v>71.58</v>
      </c>
    </row>
    <row r="591" spans="1:28" x14ac:dyDescent="0.2">
      <c r="C591" s="9" t="s">
        <v>1691</v>
      </c>
      <c r="D591" s="34"/>
      <c r="E591" s="34"/>
      <c r="F591" s="34"/>
      <c r="G591" s="34" t="str">
        <f>CONCATENATE(Source!DM149,Source!FU149, "=", Source!FY149, "%")</f>
        <v>*0,85=70,55%</v>
      </c>
      <c r="H591" s="34" t="str">
        <f>CONCATENATE(Source!AU149)</f>
        <v>71</v>
      </c>
    </row>
    <row r="592" spans="1:28" x14ac:dyDescent="0.2">
      <c r="C592" s="9" t="s">
        <v>1692</v>
      </c>
      <c r="D592" s="34"/>
      <c r="E592" s="34"/>
      <c r="F592" s="34"/>
      <c r="G592" s="58">
        <f>((Source!AF149+Source!AE149)*Source!FX149/100)+((Source!AF149+Source!AE149)*Source!FY149/100)+Source!AB149</f>
        <v>74.669775000000001</v>
      </c>
      <c r="H592" s="58">
        <f>Source!O149+Source!X149+Source!Y149</f>
        <v>490.07</v>
      </c>
    </row>
    <row r="593" spans="1:28" ht="57" x14ac:dyDescent="0.2">
      <c r="A593" s="46">
        <v>85</v>
      </c>
      <c r="B593" s="46" t="str">
        <f>Source!E150</f>
        <v>37,1</v>
      </c>
      <c r="C593" s="46" t="str">
        <f>Source!G150</f>
        <v>Ревизия полиэтиленовая с крышкой размером 100х50 мм (Ревизионные лючки ПВХ  размером 400х300мм) прим.</v>
      </c>
      <c r="D593" s="46" t="str">
        <f>Source!F150</f>
        <v>24.3.05.12-0002</v>
      </c>
      <c r="E593" s="31" t="str">
        <f>Source!H150</f>
        <v>шт.</v>
      </c>
      <c r="F593" s="12">
        <f>Source!I150</f>
        <v>1</v>
      </c>
      <c r="G593" s="22">
        <f>Source!AB150</f>
        <v>6.78</v>
      </c>
      <c r="H593" s="22">
        <f>Source!O150</f>
        <v>44.48</v>
      </c>
      <c r="T593">
        <f>Source!O150+Source!X150+Source!Y150</f>
        <v>44.48</v>
      </c>
      <c r="U593">
        <f>Source!P150</f>
        <v>44.48</v>
      </c>
      <c r="V593">
        <f>Source!S150</f>
        <v>0</v>
      </c>
      <c r="W593">
        <f>Source!Q150</f>
        <v>0</v>
      </c>
      <c r="X593">
        <f>Source!R150</f>
        <v>0</v>
      </c>
      <c r="Y593">
        <f>Source!U150</f>
        <v>0</v>
      </c>
      <c r="Z593">
        <f>Source!V150</f>
        <v>0</v>
      </c>
      <c r="AA593">
        <f>Source!X150</f>
        <v>0</v>
      </c>
      <c r="AB593">
        <f>Source!Y150</f>
        <v>0</v>
      </c>
    </row>
    <row r="594" spans="1:28" ht="14.25" x14ac:dyDescent="0.2">
      <c r="C594" s="23" t="s">
        <v>1686</v>
      </c>
      <c r="D594" s="23">
        <f>Source!BC150</f>
        <v>6.56</v>
      </c>
      <c r="F594" s="12"/>
      <c r="G594" s="12"/>
      <c r="H594" s="12"/>
    </row>
    <row r="595" spans="1:28" ht="14.25" x14ac:dyDescent="0.2">
      <c r="A595" s="46">
        <v>86</v>
      </c>
      <c r="B595" s="46" t="str">
        <f>Source!E151</f>
        <v>37,2</v>
      </c>
      <c r="C595" s="46" t="str">
        <f>Source!G151</f>
        <v>Люки герметические</v>
      </c>
      <c r="D595" s="46" t="str">
        <f>Source!F151</f>
        <v>22.2.02.10</v>
      </c>
      <c r="E595" s="31" t="str">
        <f>Source!H151</f>
        <v>шт.</v>
      </c>
      <c r="F595" s="12">
        <f>Source!I151</f>
        <v>1</v>
      </c>
      <c r="G595" s="22">
        <f>Source!AB151</f>
        <v>0</v>
      </c>
      <c r="H595" s="22">
        <f>Source!O151</f>
        <v>0</v>
      </c>
      <c r="T595">
        <f>Source!O151+Source!X151+Source!Y151</f>
        <v>0</v>
      </c>
      <c r="U595">
        <f>Source!P151</f>
        <v>0</v>
      </c>
      <c r="V595">
        <f>Source!S151</f>
        <v>0</v>
      </c>
      <c r="W595">
        <f>Source!Q151</f>
        <v>0</v>
      </c>
      <c r="X595">
        <f>Source!R151</f>
        <v>0</v>
      </c>
      <c r="Y595">
        <f>Source!U151</f>
        <v>0</v>
      </c>
      <c r="Z595">
        <f>Source!V151</f>
        <v>0</v>
      </c>
      <c r="AA595">
        <f>Source!X151</f>
        <v>0</v>
      </c>
      <c r="AB595">
        <f>Source!Y151</f>
        <v>0</v>
      </c>
    </row>
    <row r="596" spans="1:28" ht="14.25" x14ac:dyDescent="0.2">
      <c r="C596" s="23" t="s">
        <v>1686</v>
      </c>
      <c r="D596" s="23">
        <f>Source!BC151</f>
        <v>6.56</v>
      </c>
      <c r="F596" s="12"/>
      <c r="G596" s="12"/>
      <c r="H596" s="12"/>
    </row>
    <row r="597" spans="1:28" ht="28.5" x14ac:dyDescent="0.2">
      <c r="A597" s="46">
        <v>87</v>
      </c>
      <c r="B597" s="46" t="str">
        <f>Source!E152</f>
        <v>38</v>
      </c>
      <c r="C597" s="46" t="str">
        <f>Source!G152</f>
        <v>Устройство стяжек бетонных толщиной 20 мм</v>
      </c>
      <c r="D597" s="46" t="str">
        <f>Source!F152</f>
        <v>11-01-011-03</v>
      </c>
      <c r="E597" s="31" t="str">
        <f>Source!H152</f>
        <v>100 м2</v>
      </c>
      <c r="F597" s="12">
        <f>Source!I152</f>
        <v>1.01</v>
      </c>
      <c r="G597" s="22">
        <f>Source!AB152</f>
        <v>425.74</v>
      </c>
      <c r="H597" s="22">
        <f>Source!O152</f>
        <v>2820.78</v>
      </c>
      <c r="T597">
        <f>Source!O152+Source!X152+Source!Y152</f>
        <v>7297.17</v>
      </c>
      <c r="U597">
        <f>Source!P152</f>
        <v>56.58</v>
      </c>
      <c r="V597">
        <f>Source!S152</f>
        <v>2415.89</v>
      </c>
      <c r="W597">
        <f>Source!Q152</f>
        <v>348.31</v>
      </c>
      <c r="X597">
        <f>Source!R152</f>
        <v>142.05000000000001</v>
      </c>
      <c r="Y597">
        <f>Source!U152</f>
        <v>47.214974999999995</v>
      </c>
      <c r="Z597">
        <f>Source!V152</f>
        <v>1.603375</v>
      </c>
      <c r="AA597">
        <f>Source!X152</f>
        <v>2839.31</v>
      </c>
      <c r="AB597">
        <f>Source!Y152</f>
        <v>1637.08</v>
      </c>
    </row>
    <row r="598" spans="1:28" ht="14.25" x14ac:dyDescent="0.2">
      <c r="C598" s="23" t="str">
        <f>"Объем: "&amp;Source!I152&amp;"=101/"&amp;"100"</f>
        <v>Объем: 1,01=101/100</v>
      </c>
      <c r="F598" s="12"/>
      <c r="G598" s="12"/>
      <c r="H598" s="12"/>
    </row>
    <row r="599" spans="1:28" x14ac:dyDescent="0.2">
      <c r="C599" s="23" t="s">
        <v>1684</v>
      </c>
      <c r="D599" s="23">
        <f>Source!BA152</f>
        <v>6.56</v>
      </c>
    </row>
    <row r="600" spans="1:28" x14ac:dyDescent="0.2">
      <c r="C600" s="23" t="s">
        <v>1685</v>
      </c>
      <c r="D600" s="23">
        <f>Source!BB152</f>
        <v>6.56</v>
      </c>
    </row>
    <row r="601" spans="1:28" x14ac:dyDescent="0.2">
      <c r="C601" s="23" t="s">
        <v>1686</v>
      </c>
      <c r="D601" s="23">
        <f>Source!BC152</f>
        <v>6.56</v>
      </c>
    </row>
    <row r="602" spans="1:28" x14ac:dyDescent="0.2">
      <c r="C602" s="23" t="s">
        <v>1687</v>
      </c>
      <c r="D602" s="23">
        <f>Source!BS152</f>
        <v>6.56</v>
      </c>
    </row>
    <row r="603" spans="1:28" x14ac:dyDescent="0.2">
      <c r="C603" s="23" t="s">
        <v>1694</v>
      </c>
      <c r="D603" s="89" t="s">
        <v>172</v>
      </c>
      <c r="E603" s="89"/>
      <c r="F603" s="89"/>
      <c r="G603" s="89"/>
      <c r="H603" s="89"/>
    </row>
    <row r="604" spans="1:28" x14ac:dyDescent="0.2">
      <c r="C604" s="23" t="s">
        <v>1695</v>
      </c>
      <c r="D604" s="89" t="s">
        <v>172</v>
      </c>
      <c r="E604" s="89"/>
      <c r="F604" s="89"/>
      <c r="G604" s="89"/>
      <c r="H604" s="89"/>
    </row>
    <row r="605" spans="1:28" x14ac:dyDescent="0.2">
      <c r="C605" s="23" t="s">
        <v>1696</v>
      </c>
      <c r="D605" s="89" t="s">
        <v>173</v>
      </c>
      <c r="E605" s="89"/>
      <c r="F605" s="89"/>
      <c r="G605" s="89"/>
      <c r="H605" s="89"/>
    </row>
    <row r="606" spans="1:28" x14ac:dyDescent="0.2">
      <c r="C606" s="23" t="s">
        <v>1697</v>
      </c>
      <c r="D606" s="89" t="s">
        <v>173</v>
      </c>
      <c r="E606" s="89"/>
      <c r="F606" s="89"/>
      <c r="G606" s="89"/>
      <c r="H606" s="89"/>
    </row>
    <row r="607" spans="1:28" x14ac:dyDescent="0.2">
      <c r="C607" s="23" t="s">
        <v>1698</v>
      </c>
      <c r="D607" s="89" t="s">
        <v>172</v>
      </c>
      <c r="E607" s="89"/>
      <c r="F607" s="89"/>
      <c r="G607" s="89"/>
      <c r="H607" s="89"/>
    </row>
    <row r="608" spans="1:28" x14ac:dyDescent="0.2">
      <c r="C608" s="9" t="s">
        <v>1688</v>
      </c>
      <c r="D608" s="34"/>
      <c r="E608" s="34"/>
      <c r="F608" s="34">
        <f>Source!BZ152</f>
        <v>123</v>
      </c>
      <c r="G608" s="58">
        <f>(Source!AF152+Source!AE152)*Source!FX152/100</f>
        <v>427.37949000000003</v>
      </c>
      <c r="H608" s="58">
        <f>Source!X152</f>
        <v>2839.31</v>
      </c>
    </row>
    <row r="609" spans="1:28" x14ac:dyDescent="0.2">
      <c r="C609" s="9" t="s">
        <v>1689</v>
      </c>
      <c r="D609" s="34"/>
      <c r="E609" s="34"/>
      <c r="F609" s="34"/>
      <c r="G609" s="34" t="str">
        <f>CONCATENATE(Source!DL152,Source!FT152, "=", Source!FX152, "%")</f>
        <v>*0,9=110,7%</v>
      </c>
      <c r="H609" s="34" t="str">
        <f>CONCATENATE(Source!AT152)</f>
        <v>111</v>
      </c>
    </row>
    <row r="610" spans="1:28" x14ac:dyDescent="0.2">
      <c r="C610" s="9" t="s">
        <v>1690</v>
      </c>
      <c r="D610" s="34"/>
      <c r="E610" s="34"/>
      <c r="F610" s="34">
        <f>Source!CA152</f>
        <v>75</v>
      </c>
      <c r="G610" s="58">
        <f>(Source!AF152+Source!AE152)*Source!FY152/100</f>
        <v>246.11962499999998</v>
      </c>
      <c r="H610" s="58">
        <f>Source!Y152</f>
        <v>1637.08</v>
      </c>
    </row>
    <row r="611" spans="1:28" x14ac:dyDescent="0.2">
      <c r="C611" s="9" t="s">
        <v>1691</v>
      </c>
      <c r="D611" s="34"/>
      <c r="E611" s="34"/>
      <c r="F611" s="34"/>
      <c r="G611" s="34" t="str">
        <f>CONCATENATE(Source!DM152,Source!FU152, "=", Source!FY152, "%")</f>
        <v>*0,85=63,75%</v>
      </c>
      <c r="H611" s="34" t="str">
        <f>CONCATENATE(Source!AU152)</f>
        <v>64</v>
      </c>
    </row>
    <row r="612" spans="1:28" x14ac:dyDescent="0.2">
      <c r="C612" s="9" t="s">
        <v>1692</v>
      </c>
      <c r="D612" s="34"/>
      <c r="E612" s="34"/>
      <c r="F612" s="34"/>
      <c r="G612" s="58">
        <f>((Source!AF152+Source!AE152)*Source!FX152/100)+((Source!AF152+Source!AE152)*Source!FY152/100)+Source!AB152</f>
        <v>1099.2391150000001</v>
      </c>
      <c r="H612" s="58">
        <f>Source!O152+Source!X152+Source!Y152</f>
        <v>7297.17</v>
      </c>
    </row>
    <row r="613" spans="1:28" ht="28.5" x14ac:dyDescent="0.2">
      <c r="A613" s="46">
        <v>88</v>
      </c>
      <c r="B613" s="46" t="str">
        <f>Source!E153</f>
        <v>38,1</v>
      </c>
      <c r="C613" s="46" t="str">
        <f>Source!G153</f>
        <v>Бетон мелкозернистый, класс В22,5 (М300)</v>
      </c>
      <c r="D613" s="46" t="str">
        <f>Source!F153</f>
        <v>04.1.02.01-0008</v>
      </c>
      <c r="E613" s="31" t="str">
        <f>Source!H153</f>
        <v>м3</v>
      </c>
      <c r="F613" s="12">
        <f>Source!I153</f>
        <v>2.0604</v>
      </c>
      <c r="G613" s="22">
        <f>Source!AB153</f>
        <v>643.42999999999995</v>
      </c>
      <c r="H613" s="22">
        <f>Source!O153</f>
        <v>8696.74</v>
      </c>
      <c r="T613">
        <f>Source!O153+Source!X153+Source!Y153</f>
        <v>8696.74</v>
      </c>
      <c r="U613">
        <f>Source!P153</f>
        <v>8696.74</v>
      </c>
      <c r="V613">
        <f>Source!S153</f>
        <v>0</v>
      </c>
      <c r="W613">
        <f>Source!Q153</f>
        <v>0</v>
      </c>
      <c r="X613">
        <f>Source!R153</f>
        <v>0</v>
      </c>
      <c r="Y613">
        <f>Source!U153</f>
        <v>0</v>
      </c>
      <c r="Z613">
        <f>Source!V153</f>
        <v>0</v>
      </c>
      <c r="AA613">
        <f>Source!X153</f>
        <v>0</v>
      </c>
      <c r="AB613">
        <f>Source!Y153</f>
        <v>0</v>
      </c>
    </row>
    <row r="614" spans="1:28" ht="14.25" x14ac:dyDescent="0.2">
      <c r="C614" s="23" t="s">
        <v>1686</v>
      </c>
      <c r="D614" s="23">
        <f>Source!BC153</f>
        <v>6.56</v>
      </c>
      <c r="F614" s="12"/>
      <c r="G614" s="12"/>
      <c r="H614" s="12"/>
    </row>
    <row r="615" spans="1:28" ht="14.25" x14ac:dyDescent="0.2">
      <c r="A615" s="46">
        <v>89</v>
      </c>
      <c r="B615" s="46" t="str">
        <f>Source!E154</f>
        <v>38,2</v>
      </c>
      <c r="C615" s="46" t="str">
        <f>Source!G154</f>
        <v>Бетон тяжелый</v>
      </c>
      <c r="D615" s="46" t="str">
        <f>Source!F154</f>
        <v>04.1.02.06</v>
      </c>
      <c r="E615" s="31" t="str">
        <f>Source!H154</f>
        <v>м3</v>
      </c>
      <c r="F615" s="12">
        <f>Source!I154</f>
        <v>2.0604</v>
      </c>
      <c r="G615" s="22">
        <f>Source!AB154</f>
        <v>0</v>
      </c>
      <c r="H615" s="22">
        <f>Source!O154</f>
        <v>0</v>
      </c>
      <c r="T615">
        <f>Source!O154+Source!X154+Source!Y154</f>
        <v>0</v>
      </c>
      <c r="U615">
        <f>Source!P154</f>
        <v>0</v>
      </c>
      <c r="V615">
        <f>Source!S154</f>
        <v>0</v>
      </c>
      <c r="W615">
        <f>Source!Q154</f>
        <v>0</v>
      </c>
      <c r="X615">
        <f>Source!R154</f>
        <v>0</v>
      </c>
      <c r="Y615">
        <f>Source!U154</f>
        <v>0</v>
      </c>
      <c r="Z615">
        <f>Source!V154</f>
        <v>0</v>
      </c>
      <c r="AA615">
        <f>Source!X154</f>
        <v>0</v>
      </c>
      <c r="AB615">
        <f>Source!Y154</f>
        <v>0</v>
      </c>
    </row>
    <row r="616" spans="1:28" ht="14.25" x14ac:dyDescent="0.2">
      <c r="C616" s="23" t="s">
        <v>1686</v>
      </c>
      <c r="D616" s="23">
        <f>Source!BC154</f>
        <v>6.56</v>
      </c>
      <c r="F616" s="12"/>
      <c r="G616" s="12"/>
      <c r="H616" s="12"/>
    </row>
    <row r="617" spans="1:28" ht="57" x14ac:dyDescent="0.2">
      <c r="A617" s="46">
        <v>90</v>
      </c>
      <c r="B617" s="46" t="str">
        <f>Source!E155</f>
        <v>39</v>
      </c>
      <c r="C617" s="46" t="str">
        <f>Source!G155</f>
        <v>Устройство стяжек на каждые 5 мм изменения толщины стяжки добавлять или исключать к расценке 11-01-011-03 (тол.30мм)</v>
      </c>
      <c r="D617" s="46" t="str">
        <f>Source!F155</f>
        <v>11-01-011-04</v>
      </c>
      <c r="E617" s="31" t="str">
        <f>Source!H155</f>
        <v>100 м2</v>
      </c>
      <c r="F617" s="12">
        <f>Source!I155</f>
        <v>1.01</v>
      </c>
      <c r="G617" s="22">
        <f>Source!AB155</f>
        <v>84.81</v>
      </c>
      <c r="H617" s="22">
        <f>Source!O155</f>
        <v>561.91</v>
      </c>
      <c r="T617">
        <f>Source!O155+Source!X155+Source!Y155</f>
        <v>1120.9000000000001</v>
      </c>
      <c r="U617">
        <f>Source!P155</f>
        <v>0</v>
      </c>
      <c r="V617">
        <f>Source!S155</f>
        <v>178.29</v>
      </c>
      <c r="W617">
        <f>Source!Q155</f>
        <v>383.62</v>
      </c>
      <c r="X617">
        <f>Source!R155</f>
        <v>141.13</v>
      </c>
      <c r="Y617">
        <f>Source!U155</f>
        <v>3.4844999999999997</v>
      </c>
      <c r="Z617">
        <f>Source!V155</f>
        <v>1.5907500000000001</v>
      </c>
      <c r="AA617">
        <f>Source!X155</f>
        <v>354.56</v>
      </c>
      <c r="AB617">
        <f>Source!Y155</f>
        <v>204.43</v>
      </c>
    </row>
    <row r="618" spans="1:28" ht="14.25" x14ac:dyDescent="0.2">
      <c r="C618" s="23" t="str">
        <f>"Объем: "&amp;Source!I155&amp;"=101/"&amp;"100"</f>
        <v>Объем: 1,01=101/100</v>
      </c>
      <c r="F618" s="12"/>
      <c r="G618" s="12"/>
      <c r="H618" s="12"/>
    </row>
    <row r="619" spans="1:28" x14ac:dyDescent="0.2">
      <c r="C619" s="23" t="s">
        <v>1684</v>
      </c>
      <c r="D619" s="23">
        <f>Source!BA155</f>
        <v>6.56</v>
      </c>
    </row>
    <row r="620" spans="1:28" x14ac:dyDescent="0.2">
      <c r="C620" s="23" t="s">
        <v>1685</v>
      </c>
      <c r="D620" s="23">
        <f>Source!BB155</f>
        <v>6.56</v>
      </c>
    </row>
    <row r="621" spans="1:28" x14ac:dyDescent="0.2">
      <c r="C621" s="23" t="s">
        <v>1686</v>
      </c>
      <c r="D621" s="23">
        <f>Source!BC155</f>
        <v>6.56</v>
      </c>
    </row>
    <row r="622" spans="1:28" x14ac:dyDescent="0.2">
      <c r="C622" s="23" t="s">
        <v>1687</v>
      </c>
      <c r="D622" s="23">
        <f>Source!BS155</f>
        <v>6.56</v>
      </c>
    </row>
    <row r="623" spans="1:28" x14ac:dyDescent="0.2">
      <c r="C623" s="23" t="s">
        <v>1693</v>
      </c>
      <c r="D623" s="89" t="s">
        <v>445</v>
      </c>
      <c r="E623" s="89"/>
      <c r="F623" s="89"/>
      <c r="G623" s="89"/>
      <c r="H623" s="89"/>
    </row>
    <row r="624" spans="1:28" x14ac:dyDescent="0.2">
      <c r="C624" s="23" t="s">
        <v>1694</v>
      </c>
      <c r="D624" s="89" t="s">
        <v>446</v>
      </c>
      <c r="E624" s="89"/>
      <c r="F624" s="89"/>
      <c r="G624" s="89"/>
      <c r="H624" s="89"/>
    </row>
    <row r="625" spans="1:28" x14ac:dyDescent="0.2">
      <c r="C625" s="23" t="s">
        <v>1695</v>
      </c>
      <c r="D625" s="89" t="s">
        <v>446</v>
      </c>
      <c r="E625" s="89"/>
      <c r="F625" s="89"/>
      <c r="G625" s="89"/>
      <c r="H625" s="89"/>
    </row>
    <row r="626" spans="1:28" x14ac:dyDescent="0.2">
      <c r="C626" s="23" t="s">
        <v>1696</v>
      </c>
      <c r="D626" s="89" t="s">
        <v>447</v>
      </c>
      <c r="E626" s="89"/>
      <c r="F626" s="89"/>
      <c r="G626" s="89"/>
      <c r="H626" s="89"/>
    </row>
    <row r="627" spans="1:28" x14ac:dyDescent="0.2">
      <c r="C627" s="23" t="s">
        <v>1697</v>
      </c>
      <c r="D627" s="89" t="s">
        <v>447</v>
      </c>
      <c r="E627" s="89"/>
      <c r="F627" s="89"/>
      <c r="G627" s="89"/>
      <c r="H627" s="89"/>
    </row>
    <row r="628" spans="1:28" x14ac:dyDescent="0.2">
      <c r="C628" s="23" t="s">
        <v>1698</v>
      </c>
      <c r="D628" s="89" t="s">
        <v>446</v>
      </c>
      <c r="E628" s="89"/>
      <c r="F628" s="89"/>
      <c r="G628" s="89"/>
      <c r="H628" s="89"/>
    </row>
    <row r="629" spans="1:28" x14ac:dyDescent="0.2">
      <c r="C629" s="9" t="s">
        <v>1688</v>
      </c>
      <c r="D629" s="34"/>
      <c r="E629" s="34"/>
      <c r="F629" s="34">
        <f>Source!BZ155</f>
        <v>123</v>
      </c>
      <c r="G629" s="58">
        <f>(Source!AF155+Source!AE155)*Source!FX155/100</f>
        <v>53.368470000000009</v>
      </c>
      <c r="H629" s="58">
        <f>Source!X155</f>
        <v>354.56</v>
      </c>
    </row>
    <row r="630" spans="1:28" x14ac:dyDescent="0.2">
      <c r="C630" s="9" t="s">
        <v>1689</v>
      </c>
      <c r="D630" s="34"/>
      <c r="E630" s="34"/>
      <c r="F630" s="34"/>
      <c r="G630" s="34" t="str">
        <f>CONCATENATE(Source!DL155,Source!FT155, "=", Source!FX155, "%")</f>
        <v>*0,9=110,7%</v>
      </c>
      <c r="H630" s="34" t="str">
        <f>CONCATENATE(Source!AT155)</f>
        <v>111</v>
      </c>
    </row>
    <row r="631" spans="1:28" x14ac:dyDescent="0.2">
      <c r="C631" s="9" t="s">
        <v>1690</v>
      </c>
      <c r="D631" s="34"/>
      <c r="E631" s="34"/>
      <c r="F631" s="34">
        <f>Source!CA155</f>
        <v>75</v>
      </c>
      <c r="G631" s="58">
        <f>(Source!AF155+Source!AE155)*Source!FY155/100</f>
        <v>30.733875000000001</v>
      </c>
      <c r="H631" s="58">
        <f>Source!Y155</f>
        <v>204.43</v>
      </c>
    </row>
    <row r="632" spans="1:28" x14ac:dyDescent="0.2">
      <c r="C632" s="9" t="s">
        <v>1691</v>
      </c>
      <c r="D632" s="34"/>
      <c r="E632" s="34"/>
      <c r="F632" s="34"/>
      <c r="G632" s="34" t="str">
        <f>CONCATENATE(Source!DM155,Source!FU155, "=", Source!FY155, "%")</f>
        <v>*0,85=63,75%</v>
      </c>
      <c r="H632" s="34" t="str">
        <f>CONCATENATE(Source!AU155)</f>
        <v>64</v>
      </c>
    </row>
    <row r="633" spans="1:28" x14ac:dyDescent="0.2">
      <c r="C633" s="9" t="s">
        <v>1692</v>
      </c>
      <c r="D633" s="34"/>
      <c r="E633" s="34"/>
      <c r="F633" s="34"/>
      <c r="G633" s="58">
        <f>((Source!AF155+Source!AE155)*Source!FX155/100)+((Source!AF155+Source!AE155)*Source!FY155/100)+Source!AB155</f>
        <v>168.91234500000002</v>
      </c>
      <c r="H633" s="58">
        <f>Source!O155+Source!X155+Source!Y155</f>
        <v>1120.9000000000001</v>
      </c>
    </row>
    <row r="634" spans="1:28" ht="28.5" x14ac:dyDescent="0.2">
      <c r="A634" s="46">
        <v>91</v>
      </c>
      <c r="B634" s="46" t="str">
        <f>Source!E156</f>
        <v>39,1</v>
      </c>
      <c r="C634" s="46" t="str">
        <f>Source!G156</f>
        <v>Бетон мелкозернистый, класс В22,5 (М300)</v>
      </c>
      <c r="D634" s="46" t="str">
        <f>Source!F156</f>
        <v>04.1.02.01-0008</v>
      </c>
      <c r="E634" s="31" t="str">
        <f>Source!H156</f>
        <v>м3</v>
      </c>
      <c r="F634" s="12">
        <f>Source!I156</f>
        <v>3.0905999999999998</v>
      </c>
      <c r="G634" s="22">
        <f>Source!AB156</f>
        <v>643.42999999999995</v>
      </c>
      <c r="H634" s="22">
        <f>Source!O156</f>
        <v>13045.12</v>
      </c>
      <c r="T634">
        <f>Source!O156+Source!X156+Source!Y156</f>
        <v>13045.12</v>
      </c>
      <c r="U634">
        <f>Source!P156</f>
        <v>13045.12</v>
      </c>
      <c r="V634">
        <f>Source!S156</f>
        <v>0</v>
      </c>
      <c r="W634">
        <f>Source!Q156</f>
        <v>0</v>
      </c>
      <c r="X634">
        <f>Source!R156</f>
        <v>0</v>
      </c>
      <c r="Y634">
        <f>Source!U156</f>
        <v>0</v>
      </c>
      <c r="Z634">
        <f>Source!V156</f>
        <v>0</v>
      </c>
      <c r="AA634">
        <f>Source!X156</f>
        <v>0</v>
      </c>
      <c r="AB634">
        <f>Source!Y156</f>
        <v>0</v>
      </c>
    </row>
    <row r="635" spans="1:28" ht="14.25" x14ac:dyDescent="0.2">
      <c r="C635" s="23" t="s">
        <v>1686</v>
      </c>
      <c r="D635" s="23">
        <f>Source!BC156</f>
        <v>6.56</v>
      </c>
      <c r="F635" s="12"/>
      <c r="G635" s="12"/>
      <c r="H635" s="12"/>
    </row>
    <row r="636" spans="1:28" ht="14.25" x14ac:dyDescent="0.2">
      <c r="A636" s="46">
        <v>92</v>
      </c>
      <c r="B636" s="46" t="str">
        <f>Source!E157</f>
        <v>39,2</v>
      </c>
      <c r="C636" s="46" t="str">
        <f>Source!G157</f>
        <v>Бетон тяжелый</v>
      </c>
      <c r="D636" s="46" t="str">
        <f>Source!F157</f>
        <v>04.1.02.06</v>
      </c>
      <c r="E636" s="31" t="str">
        <f>Source!H157</f>
        <v>м3</v>
      </c>
      <c r="F636" s="12">
        <f>Source!I157</f>
        <v>3.0905999999999998</v>
      </c>
      <c r="G636" s="22">
        <f>Source!AB157</f>
        <v>0</v>
      </c>
      <c r="H636" s="22">
        <f>Source!O157</f>
        <v>0</v>
      </c>
      <c r="T636">
        <f>Source!O157+Source!X157+Source!Y157</f>
        <v>0</v>
      </c>
      <c r="U636">
        <f>Source!P157</f>
        <v>0</v>
      </c>
      <c r="V636">
        <f>Source!S157</f>
        <v>0</v>
      </c>
      <c r="W636">
        <f>Source!Q157</f>
        <v>0</v>
      </c>
      <c r="X636">
        <f>Source!R157</f>
        <v>0</v>
      </c>
      <c r="Y636">
        <f>Source!U157</f>
        <v>0</v>
      </c>
      <c r="Z636">
        <f>Source!V157</f>
        <v>0</v>
      </c>
      <c r="AA636">
        <f>Source!X157</f>
        <v>0</v>
      </c>
      <c r="AB636">
        <f>Source!Y157</f>
        <v>0</v>
      </c>
    </row>
    <row r="637" spans="1:28" ht="14.25" x14ac:dyDescent="0.2">
      <c r="C637" s="23" t="s">
        <v>1686</v>
      </c>
      <c r="D637" s="23">
        <f>Source!BC157</f>
        <v>6.56</v>
      </c>
      <c r="F637" s="12"/>
      <c r="G637" s="12"/>
      <c r="H637" s="12"/>
    </row>
    <row r="638" spans="1:28" ht="42.75" x14ac:dyDescent="0.2">
      <c r="A638" s="46">
        <v>93</v>
      </c>
      <c r="B638" s="46" t="str">
        <f>Source!E158</f>
        <v>40</v>
      </c>
      <c r="C638" s="46" t="str">
        <f>Source!G158</f>
        <v>Устройство стяжек из выравнивающей смеси типа "Ветонит" 5000, толщиной 5 мм</v>
      </c>
      <c r="D638" s="46" t="str">
        <f>Source!F158</f>
        <v>11-01-011-08</v>
      </c>
      <c r="E638" s="31" t="str">
        <f>Source!H158</f>
        <v>100 м2</v>
      </c>
      <c r="F638" s="12">
        <f>Source!I158</f>
        <v>1.01</v>
      </c>
      <c r="G638" s="22">
        <f>Source!AB158</f>
        <v>11078.65</v>
      </c>
      <c r="H638" s="22">
        <f>Source!O158</f>
        <v>73402.7</v>
      </c>
      <c r="T638">
        <f>Source!O158+Source!X158+Source!Y158</f>
        <v>77715.850000000006</v>
      </c>
      <c r="U638">
        <f>Source!P158</f>
        <v>70902.73</v>
      </c>
      <c r="V638">
        <f>Source!S158</f>
        <v>2448.36</v>
      </c>
      <c r="W638">
        <f>Source!Q158</f>
        <v>51.61</v>
      </c>
      <c r="X638">
        <f>Source!R158</f>
        <v>16.3</v>
      </c>
      <c r="Y638">
        <f>Source!U158</f>
        <v>43.753704999999997</v>
      </c>
      <c r="Z638">
        <f>Source!V158</f>
        <v>0.21462500000000004</v>
      </c>
      <c r="AA638">
        <f>Source!X158</f>
        <v>2735.77</v>
      </c>
      <c r="AB638">
        <f>Source!Y158</f>
        <v>1577.38</v>
      </c>
    </row>
    <row r="639" spans="1:28" ht="14.25" x14ac:dyDescent="0.2">
      <c r="C639" s="23" t="str">
        <f>"Объем: "&amp;Source!I158&amp;"=101/"&amp;"100"</f>
        <v>Объем: 1,01=101/100</v>
      </c>
      <c r="F639" s="12"/>
      <c r="G639" s="12"/>
      <c r="H639" s="12"/>
    </row>
    <row r="640" spans="1:28" x14ac:dyDescent="0.2">
      <c r="C640" s="23" t="s">
        <v>1684</v>
      </c>
      <c r="D640" s="23">
        <f>Source!BA158</f>
        <v>6.56</v>
      </c>
    </row>
    <row r="641" spans="1:28" x14ac:dyDescent="0.2">
      <c r="C641" s="23" t="s">
        <v>1685</v>
      </c>
      <c r="D641" s="23">
        <f>Source!BB158</f>
        <v>6.56</v>
      </c>
    </row>
    <row r="642" spans="1:28" x14ac:dyDescent="0.2">
      <c r="C642" s="23" t="s">
        <v>1686</v>
      </c>
      <c r="D642" s="23">
        <f>Source!BC158</f>
        <v>6.56</v>
      </c>
    </row>
    <row r="643" spans="1:28" x14ac:dyDescent="0.2">
      <c r="C643" s="23" t="s">
        <v>1687</v>
      </c>
      <c r="D643" s="23">
        <f>Source!BS158</f>
        <v>6.56</v>
      </c>
    </row>
    <row r="644" spans="1:28" x14ac:dyDescent="0.2">
      <c r="C644" s="23" t="s">
        <v>1694</v>
      </c>
      <c r="D644" s="89" t="s">
        <v>172</v>
      </c>
      <c r="E644" s="89"/>
      <c r="F644" s="89"/>
      <c r="G644" s="89"/>
      <c r="H644" s="89"/>
    </row>
    <row r="645" spans="1:28" x14ac:dyDescent="0.2">
      <c r="C645" s="23" t="s">
        <v>1695</v>
      </c>
      <c r="D645" s="89" t="s">
        <v>172</v>
      </c>
      <c r="E645" s="89"/>
      <c r="F645" s="89"/>
      <c r="G645" s="89"/>
      <c r="H645" s="89"/>
    </row>
    <row r="646" spans="1:28" x14ac:dyDescent="0.2">
      <c r="C646" s="23" t="s">
        <v>1696</v>
      </c>
      <c r="D646" s="89" t="s">
        <v>173</v>
      </c>
      <c r="E646" s="89"/>
      <c r="F646" s="89"/>
      <c r="G646" s="89"/>
      <c r="H646" s="89"/>
    </row>
    <row r="647" spans="1:28" x14ac:dyDescent="0.2">
      <c r="C647" s="23" t="s">
        <v>1697</v>
      </c>
      <c r="D647" s="89" t="s">
        <v>173</v>
      </c>
      <c r="E647" s="89"/>
      <c r="F647" s="89"/>
      <c r="G647" s="89"/>
      <c r="H647" s="89"/>
    </row>
    <row r="648" spans="1:28" x14ac:dyDescent="0.2">
      <c r="C648" s="23" t="s">
        <v>1698</v>
      </c>
      <c r="D648" s="89" t="s">
        <v>172</v>
      </c>
      <c r="E648" s="89"/>
      <c r="F648" s="89"/>
      <c r="G648" s="89"/>
      <c r="H648" s="89"/>
    </row>
    <row r="649" spans="1:28" x14ac:dyDescent="0.2">
      <c r="C649" s="9" t="s">
        <v>1688</v>
      </c>
      <c r="D649" s="34"/>
      <c r="E649" s="34"/>
      <c r="F649" s="34">
        <f>Source!BZ158</f>
        <v>123</v>
      </c>
      <c r="G649" s="58">
        <f>(Source!AF158+Source!AE158)*Source!FX158/100</f>
        <v>411.79292999999996</v>
      </c>
      <c r="H649" s="58">
        <f>Source!X158</f>
        <v>2735.77</v>
      </c>
    </row>
    <row r="650" spans="1:28" x14ac:dyDescent="0.2">
      <c r="C650" s="9" t="s">
        <v>1689</v>
      </c>
      <c r="D650" s="34"/>
      <c r="E650" s="34"/>
      <c r="F650" s="34"/>
      <c r="G650" s="34" t="str">
        <f>CONCATENATE(Source!DL158,Source!FT158, "=", Source!FX158, "%")</f>
        <v>*0,9=110,7%</v>
      </c>
      <c r="H650" s="34" t="str">
        <f>CONCATENATE(Source!AT158)</f>
        <v>111</v>
      </c>
    </row>
    <row r="651" spans="1:28" x14ac:dyDescent="0.2">
      <c r="C651" s="9" t="s">
        <v>1690</v>
      </c>
      <c r="D651" s="34"/>
      <c r="E651" s="34"/>
      <c r="F651" s="34">
        <f>Source!CA158</f>
        <v>75</v>
      </c>
      <c r="G651" s="58">
        <f>(Source!AF158+Source!AE158)*Source!FY158/100</f>
        <v>237.14362499999996</v>
      </c>
      <c r="H651" s="58">
        <f>Source!Y158</f>
        <v>1577.38</v>
      </c>
    </row>
    <row r="652" spans="1:28" x14ac:dyDescent="0.2">
      <c r="C652" s="9" t="s">
        <v>1691</v>
      </c>
      <c r="D652" s="34"/>
      <c r="E652" s="34"/>
      <c r="F652" s="34"/>
      <c r="G652" s="34" t="str">
        <f>CONCATENATE(Source!DM158,Source!FU158, "=", Source!FY158, "%")</f>
        <v>*0,85=63,75%</v>
      </c>
      <c r="H652" s="34" t="str">
        <f>CONCATENATE(Source!AU158)</f>
        <v>64</v>
      </c>
    </row>
    <row r="653" spans="1:28" x14ac:dyDescent="0.2">
      <c r="C653" s="9" t="s">
        <v>1692</v>
      </c>
      <c r="D653" s="34"/>
      <c r="E653" s="34"/>
      <c r="F653" s="34"/>
      <c r="G653" s="58">
        <f>((Source!AF158+Source!AE158)*Source!FX158/100)+((Source!AF158+Source!AE158)*Source!FY158/100)+Source!AB158</f>
        <v>11727.586555</v>
      </c>
      <c r="H653" s="58">
        <f>Source!O158+Source!X158+Source!Y158</f>
        <v>77715.850000000006</v>
      </c>
    </row>
    <row r="654" spans="1:28" ht="57" x14ac:dyDescent="0.2">
      <c r="A654" s="46">
        <v>94</v>
      </c>
      <c r="B654" s="46" t="str">
        <f>Source!E159</f>
        <v>41</v>
      </c>
      <c r="C654" s="46" t="str">
        <f>Source!G159</f>
        <v>Устройство стяжек на каждый последующий слой толщиной 1 мм добавлять к расценке 11-01-011-08 (тол.5мм)</v>
      </c>
      <c r="D654" s="46" t="str">
        <f>Source!F159</f>
        <v>11-01-011-10</v>
      </c>
      <c r="E654" s="31" t="str">
        <f>Source!H159</f>
        <v>100 м2</v>
      </c>
      <c r="F654" s="12">
        <f>Source!I159</f>
        <v>1.01</v>
      </c>
      <c r="G654" s="22">
        <f>Source!AB159</f>
        <v>10370</v>
      </c>
      <c r="H654" s="22">
        <f>Source!O159</f>
        <v>68707.48</v>
      </c>
      <c r="T654">
        <f>Source!O159+Source!X159+Source!Y159</f>
        <v>70108.949999999983</v>
      </c>
      <c r="U654">
        <f>Source!P159</f>
        <v>67870.990000000005</v>
      </c>
      <c r="V654">
        <f>Source!S159</f>
        <v>786.33</v>
      </c>
      <c r="W654">
        <f>Source!Q159</f>
        <v>50.16</v>
      </c>
      <c r="X654">
        <f>Source!R159</f>
        <v>14.51</v>
      </c>
      <c r="Y654">
        <f>Source!U159</f>
        <v>14.05415</v>
      </c>
      <c r="Z654">
        <f>Source!V159</f>
        <v>0.18937500000000002</v>
      </c>
      <c r="AA654">
        <f>Source!X159</f>
        <v>888.93</v>
      </c>
      <c r="AB654">
        <f>Source!Y159</f>
        <v>512.54</v>
      </c>
    </row>
    <row r="655" spans="1:28" ht="14.25" x14ac:dyDescent="0.2">
      <c r="C655" s="23" t="str">
        <f>"Объем: "&amp;Source!I159&amp;"=101/"&amp;"100"</f>
        <v>Объем: 1,01=101/100</v>
      </c>
      <c r="F655" s="12"/>
      <c r="G655" s="12"/>
      <c r="H655" s="12"/>
    </row>
    <row r="656" spans="1:28" x14ac:dyDescent="0.2">
      <c r="C656" s="23" t="s">
        <v>1684</v>
      </c>
      <c r="D656" s="23">
        <f>Source!BA159</f>
        <v>6.56</v>
      </c>
    </row>
    <row r="657" spans="1:28" x14ac:dyDescent="0.2">
      <c r="C657" s="23" t="s">
        <v>1685</v>
      </c>
      <c r="D657" s="23">
        <f>Source!BB159</f>
        <v>6.56</v>
      </c>
    </row>
    <row r="658" spans="1:28" x14ac:dyDescent="0.2">
      <c r="C658" s="23" t="s">
        <v>1686</v>
      </c>
      <c r="D658" s="23">
        <f>Source!BC159</f>
        <v>6.56</v>
      </c>
    </row>
    <row r="659" spans="1:28" x14ac:dyDescent="0.2">
      <c r="C659" s="23" t="s">
        <v>1687</v>
      </c>
      <c r="D659" s="23">
        <f>Source!BS159</f>
        <v>6.56</v>
      </c>
    </row>
    <row r="660" spans="1:28" x14ac:dyDescent="0.2">
      <c r="C660" s="23" t="s">
        <v>1693</v>
      </c>
      <c r="D660" s="89" t="s">
        <v>458</v>
      </c>
      <c r="E660" s="89"/>
      <c r="F660" s="89"/>
      <c r="G660" s="89"/>
      <c r="H660" s="89"/>
    </row>
    <row r="661" spans="1:28" x14ac:dyDescent="0.2">
      <c r="C661" s="23" t="s">
        <v>1694</v>
      </c>
      <c r="D661" s="89" t="s">
        <v>459</v>
      </c>
      <c r="E661" s="89"/>
      <c r="F661" s="89"/>
      <c r="G661" s="89"/>
      <c r="H661" s="89"/>
    </row>
    <row r="662" spans="1:28" x14ac:dyDescent="0.2">
      <c r="C662" s="23" t="s">
        <v>1695</v>
      </c>
      <c r="D662" s="89" t="s">
        <v>459</v>
      </c>
      <c r="E662" s="89"/>
      <c r="F662" s="89"/>
      <c r="G662" s="89"/>
      <c r="H662" s="89"/>
    </row>
    <row r="663" spans="1:28" x14ac:dyDescent="0.2">
      <c r="C663" s="23" t="s">
        <v>1696</v>
      </c>
      <c r="D663" s="89" t="s">
        <v>460</v>
      </c>
      <c r="E663" s="89"/>
      <c r="F663" s="89"/>
      <c r="G663" s="89"/>
      <c r="H663" s="89"/>
    </row>
    <row r="664" spans="1:28" x14ac:dyDescent="0.2">
      <c r="C664" s="23" t="s">
        <v>1697</v>
      </c>
      <c r="D664" s="89" t="s">
        <v>460</v>
      </c>
      <c r="E664" s="89"/>
      <c r="F664" s="89"/>
      <c r="G664" s="89"/>
      <c r="H664" s="89"/>
    </row>
    <row r="665" spans="1:28" x14ac:dyDescent="0.2">
      <c r="C665" s="23" t="s">
        <v>1698</v>
      </c>
      <c r="D665" s="89" t="s">
        <v>459</v>
      </c>
      <c r="E665" s="89"/>
      <c r="F665" s="89"/>
      <c r="G665" s="89"/>
      <c r="H665" s="89"/>
    </row>
    <row r="666" spans="1:28" x14ac:dyDescent="0.2">
      <c r="C666" s="9" t="s">
        <v>1688</v>
      </c>
      <c r="D666" s="34"/>
      <c r="E666" s="34"/>
      <c r="F666" s="34">
        <f>Source!BZ159</f>
        <v>123</v>
      </c>
      <c r="G666" s="58">
        <f>(Source!AF159+Source!AE159)*Source!FX159/100</f>
        <v>133.80309</v>
      </c>
      <c r="H666" s="58">
        <f>Source!X159</f>
        <v>888.93</v>
      </c>
    </row>
    <row r="667" spans="1:28" x14ac:dyDescent="0.2">
      <c r="C667" s="9" t="s">
        <v>1689</v>
      </c>
      <c r="D667" s="34"/>
      <c r="E667" s="34"/>
      <c r="F667" s="34"/>
      <c r="G667" s="34" t="str">
        <f>CONCATENATE(Source!DL159,Source!FT159, "=", Source!FX159, "%")</f>
        <v>*0,9=110,7%</v>
      </c>
      <c r="H667" s="34" t="str">
        <f>CONCATENATE(Source!AT159)</f>
        <v>111</v>
      </c>
    </row>
    <row r="668" spans="1:28" x14ac:dyDescent="0.2">
      <c r="C668" s="9" t="s">
        <v>1690</v>
      </c>
      <c r="D668" s="34"/>
      <c r="E668" s="34"/>
      <c r="F668" s="34">
        <f>Source!CA159</f>
        <v>75</v>
      </c>
      <c r="G668" s="58">
        <f>(Source!AF159+Source!AE159)*Source!FY159/100</f>
        <v>77.054625000000001</v>
      </c>
      <c r="H668" s="58">
        <f>Source!Y159</f>
        <v>512.54</v>
      </c>
    </row>
    <row r="669" spans="1:28" x14ac:dyDescent="0.2">
      <c r="C669" s="9" t="s">
        <v>1691</v>
      </c>
      <c r="D669" s="34"/>
      <c r="E669" s="34"/>
      <c r="F669" s="34"/>
      <c r="G669" s="34" t="str">
        <f>CONCATENATE(Source!DM159,Source!FU159, "=", Source!FY159, "%")</f>
        <v>*0,85=63,75%</v>
      </c>
      <c r="H669" s="34" t="str">
        <f>CONCATENATE(Source!AU159)</f>
        <v>64</v>
      </c>
    </row>
    <row r="670" spans="1:28" x14ac:dyDescent="0.2">
      <c r="C670" s="9" t="s">
        <v>1692</v>
      </c>
      <c r="D670" s="34"/>
      <c r="E670" s="34"/>
      <c r="F670" s="34"/>
      <c r="G670" s="58">
        <f>((Source!AF159+Source!AE159)*Source!FX159/100)+((Source!AF159+Source!AE159)*Source!FY159/100)+Source!AB159</f>
        <v>10580.857715</v>
      </c>
      <c r="H670" s="58">
        <f>Source!O159+Source!X159+Source!Y159</f>
        <v>70108.949999999983</v>
      </c>
    </row>
    <row r="671" spans="1:28" ht="42.75" x14ac:dyDescent="0.2">
      <c r="A671" s="46">
        <v>95</v>
      </c>
      <c r="B671" s="46" t="str">
        <f>Source!E160</f>
        <v>42</v>
      </c>
      <c r="C671" s="46" t="str">
        <f>Source!G160</f>
        <v>Шлифовка бетонных или металлоцементных покрытий (из мрамора)</v>
      </c>
      <c r="D671" s="46" t="str">
        <f>Source!F160</f>
        <v>11-01-015-07 прим.</v>
      </c>
      <c r="E671" s="31" t="str">
        <f>Source!H160</f>
        <v>100 м2</v>
      </c>
      <c r="F671" s="12">
        <f>Source!I160</f>
        <v>0.23</v>
      </c>
      <c r="G671" s="22">
        <f>Source!AB160</f>
        <v>1146.28</v>
      </c>
      <c r="H671" s="22">
        <f>Source!O160</f>
        <v>1729.5</v>
      </c>
      <c r="T671">
        <f>Source!O160+Source!X160+Source!Y160</f>
        <v>4003.26</v>
      </c>
      <c r="U671">
        <f>Source!P160</f>
        <v>24.59</v>
      </c>
      <c r="V671">
        <f>Source!S160</f>
        <v>1259.6199999999999</v>
      </c>
      <c r="W671">
        <f>Source!Q160</f>
        <v>445.29</v>
      </c>
      <c r="X671">
        <f>Source!R160</f>
        <v>39.67</v>
      </c>
      <c r="Y671">
        <f>Source!U160</f>
        <v>21.170580000000001</v>
      </c>
      <c r="Z671">
        <f>Source!V160</f>
        <v>0.60087499999999994</v>
      </c>
      <c r="AA671">
        <f>Source!X160</f>
        <v>1442.21</v>
      </c>
      <c r="AB671">
        <f>Source!Y160</f>
        <v>831.55</v>
      </c>
    </row>
    <row r="672" spans="1:28" ht="14.25" x14ac:dyDescent="0.2">
      <c r="C672" s="23" t="str">
        <f>"Объем: "&amp;Source!I160&amp;"=23/"&amp;"100"</f>
        <v>Объем: 0,23=23/100</v>
      </c>
      <c r="F672" s="12"/>
      <c r="G672" s="12"/>
      <c r="H672" s="12"/>
    </row>
    <row r="673" spans="1:28" x14ac:dyDescent="0.2">
      <c r="C673" s="23" t="s">
        <v>1684</v>
      </c>
      <c r="D673" s="23">
        <f>Source!BA160</f>
        <v>6.56</v>
      </c>
    </row>
    <row r="674" spans="1:28" x14ac:dyDescent="0.2">
      <c r="C674" s="23" t="s">
        <v>1685</v>
      </c>
      <c r="D674" s="23">
        <f>Source!BB160</f>
        <v>6.56</v>
      </c>
    </row>
    <row r="675" spans="1:28" x14ac:dyDescent="0.2">
      <c r="C675" s="23" t="s">
        <v>1686</v>
      </c>
      <c r="D675" s="23">
        <f>Source!BC160</f>
        <v>6.56</v>
      </c>
    </row>
    <row r="676" spans="1:28" x14ac:dyDescent="0.2">
      <c r="C676" s="23" t="s">
        <v>1687</v>
      </c>
      <c r="D676" s="23">
        <f>Source!BS160</f>
        <v>6.56</v>
      </c>
    </row>
    <row r="677" spans="1:28" x14ac:dyDescent="0.2">
      <c r="C677" s="23" t="s">
        <v>1694</v>
      </c>
      <c r="D677" s="89" t="s">
        <v>172</v>
      </c>
      <c r="E677" s="89"/>
      <c r="F677" s="89"/>
      <c r="G677" s="89"/>
      <c r="H677" s="89"/>
    </row>
    <row r="678" spans="1:28" x14ac:dyDescent="0.2">
      <c r="C678" s="23" t="s">
        <v>1695</v>
      </c>
      <c r="D678" s="89" t="s">
        <v>172</v>
      </c>
      <c r="E678" s="89"/>
      <c r="F678" s="89"/>
      <c r="G678" s="89"/>
      <c r="H678" s="89"/>
    </row>
    <row r="679" spans="1:28" x14ac:dyDescent="0.2">
      <c r="C679" s="23" t="s">
        <v>1696</v>
      </c>
      <c r="D679" s="89" t="s">
        <v>173</v>
      </c>
      <c r="E679" s="89"/>
      <c r="F679" s="89"/>
      <c r="G679" s="89"/>
      <c r="H679" s="89"/>
    </row>
    <row r="680" spans="1:28" x14ac:dyDescent="0.2">
      <c r="C680" s="23" t="s">
        <v>1697</v>
      </c>
      <c r="D680" s="89" t="s">
        <v>173</v>
      </c>
      <c r="E680" s="89"/>
      <c r="F680" s="89"/>
      <c r="G680" s="89"/>
      <c r="H680" s="89"/>
    </row>
    <row r="681" spans="1:28" x14ac:dyDescent="0.2">
      <c r="C681" s="23" t="s">
        <v>1698</v>
      </c>
      <c r="D681" s="89" t="s">
        <v>172</v>
      </c>
      <c r="E681" s="89"/>
      <c r="F681" s="89"/>
      <c r="G681" s="89"/>
      <c r="H681" s="89"/>
    </row>
    <row r="682" spans="1:28" x14ac:dyDescent="0.2">
      <c r="C682" s="9" t="s">
        <v>1688</v>
      </c>
      <c r="D682" s="34"/>
      <c r="E682" s="34"/>
      <c r="F682" s="34">
        <f>Source!BZ160</f>
        <v>123</v>
      </c>
      <c r="G682" s="58">
        <f>(Source!AF160+Source!AE160)*Source!FX160/100</f>
        <v>953.28198000000009</v>
      </c>
      <c r="H682" s="58">
        <f>Source!X160</f>
        <v>1442.21</v>
      </c>
    </row>
    <row r="683" spans="1:28" x14ac:dyDescent="0.2">
      <c r="C683" s="9" t="s">
        <v>1689</v>
      </c>
      <c r="D683" s="34"/>
      <c r="E683" s="34"/>
      <c r="F683" s="34"/>
      <c r="G683" s="34" t="str">
        <f>CONCATENATE(Source!DL160,Source!FT160, "=", Source!FX160, "%")</f>
        <v>*0,9=110,7%</v>
      </c>
      <c r="H683" s="34" t="str">
        <f>CONCATENATE(Source!AT160)</f>
        <v>111</v>
      </c>
    </row>
    <row r="684" spans="1:28" x14ac:dyDescent="0.2">
      <c r="C684" s="9" t="s">
        <v>1690</v>
      </c>
      <c r="D684" s="34"/>
      <c r="E684" s="34"/>
      <c r="F684" s="34">
        <f>Source!CA160</f>
        <v>75</v>
      </c>
      <c r="G684" s="58">
        <f>(Source!AF160+Source!AE160)*Source!FY160/100</f>
        <v>548.97674999999992</v>
      </c>
      <c r="H684" s="58">
        <f>Source!Y160</f>
        <v>831.55</v>
      </c>
    </row>
    <row r="685" spans="1:28" x14ac:dyDescent="0.2">
      <c r="C685" s="9" t="s">
        <v>1691</v>
      </c>
      <c r="D685" s="34"/>
      <c r="E685" s="34"/>
      <c r="F685" s="34"/>
      <c r="G685" s="34" t="str">
        <f>CONCATENATE(Source!DM160,Source!FU160, "=", Source!FY160, "%")</f>
        <v>*0,85=63,75%</v>
      </c>
      <c r="H685" s="34" t="str">
        <f>CONCATENATE(Source!AU160)</f>
        <v>64</v>
      </c>
    </row>
    <row r="686" spans="1:28" x14ac:dyDescent="0.2">
      <c r="C686" s="9" t="s">
        <v>1692</v>
      </c>
      <c r="D686" s="34"/>
      <c r="E686" s="34"/>
      <c r="F686" s="34"/>
      <c r="G686" s="58">
        <f>((Source!AF160+Source!AE160)*Source!FX160/100)+((Source!AF160+Source!AE160)*Source!FY160/100)+Source!AB160</f>
        <v>2648.5387300000002</v>
      </c>
      <c r="H686" s="58">
        <f>Source!O160+Source!X160+Source!Y160</f>
        <v>4003.26</v>
      </c>
    </row>
    <row r="687" spans="1:28" ht="28.5" x14ac:dyDescent="0.2">
      <c r="A687" s="46">
        <v>96</v>
      </c>
      <c r="B687" s="46" t="str">
        <f>Source!E161</f>
        <v>43</v>
      </c>
      <c r="C687" s="46" t="str">
        <f>Source!G161</f>
        <v>Устройство покрытий из плит керамогранитных размером 40х40 см</v>
      </c>
      <c r="D687" s="46" t="str">
        <f>Source!F161</f>
        <v>11-01-047-01</v>
      </c>
      <c r="E687" s="31" t="str">
        <f>Source!H161</f>
        <v>100 м2</v>
      </c>
      <c r="F687" s="12">
        <f>Source!I161</f>
        <v>0.114</v>
      </c>
      <c r="G687" s="22">
        <f>Source!AB161</f>
        <v>21989.86</v>
      </c>
      <c r="H687" s="22">
        <f>Source!O161</f>
        <v>16444.900000000001</v>
      </c>
      <c r="T687">
        <f>Source!O161+Source!X161+Source!Y161</f>
        <v>20556.79</v>
      </c>
      <c r="U687">
        <f>Source!P161</f>
        <v>14089.04</v>
      </c>
      <c r="V687">
        <f>Source!S161</f>
        <v>2333.2800000000002</v>
      </c>
      <c r="W687">
        <f>Source!Q161</f>
        <v>22.58</v>
      </c>
      <c r="X687">
        <f>Source!R161</f>
        <v>16.37</v>
      </c>
      <c r="Y687">
        <f>Source!U161</f>
        <v>40.696062000000005</v>
      </c>
      <c r="Z687">
        <f>Source!V161</f>
        <v>0.24652500000000002</v>
      </c>
      <c r="AA687">
        <f>Source!X161</f>
        <v>2608.11</v>
      </c>
      <c r="AB687">
        <f>Source!Y161</f>
        <v>1503.78</v>
      </c>
    </row>
    <row r="688" spans="1:28" ht="14.25" x14ac:dyDescent="0.2">
      <c r="C688" s="23" t="str">
        <f>"Объем: "&amp;Source!I161&amp;"=11,4/"&amp;"100"</f>
        <v>Объем: 0,114=11,4/100</v>
      </c>
      <c r="F688" s="12"/>
      <c r="G688" s="12"/>
      <c r="H688" s="12"/>
    </row>
    <row r="689" spans="1:28" x14ac:dyDescent="0.2">
      <c r="C689" s="23" t="s">
        <v>1684</v>
      </c>
      <c r="D689" s="23">
        <f>Source!BA161</f>
        <v>6.56</v>
      </c>
    </row>
    <row r="690" spans="1:28" x14ac:dyDescent="0.2">
      <c r="C690" s="23" t="s">
        <v>1685</v>
      </c>
      <c r="D690" s="23">
        <f>Source!BB161</f>
        <v>6.56</v>
      </c>
    </row>
    <row r="691" spans="1:28" x14ac:dyDescent="0.2">
      <c r="C691" s="23" t="s">
        <v>1686</v>
      </c>
      <c r="D691" s="23">
        <f>Source!BC161</f>
        <v>6.56</v>
      </c>
    </row>
    <row r="692" spans="1:28" x14ac:dyDescent="0.2">
      <c r="C692" s="23" t="s">
        <v>1687</v>
      </c>
      <c r="D692" s="23">
        <f>Source!BS161</f>
        <v>6.56</v>
      </c>
    </row>
    <row r="693" spans="1:28" x14ac:dyDescent="0.2">
      <c r="C693" s="23" t="s">
        <v>1694</v>
      </c>
      <c r="D693" s="89" t="s">
        <v>172</v>
      </c>
      <c r="E693" s="89"/>
      <c r="F693" s="89"/>
      <c r="G693" s="89"/>
      <c r="H693" s="89"/>
    </row>
    <row r="694" spans="1:28" x14ac:dyDescent="0.2">
      <c r="C694" s="23" t="s">
        <v>1695</v>
      </c>
      <c r="D694" s="89" t="s">
        <v>172</v>
      </c>
      <c r="E694" s="89"/>
      <c r="F694" s="89"/>
      <c r="G694" s="89"/>
      <c r="H694" s="89"/>
    </row>
    <row r="695" spans="1:28" x14ac:dyDescent="0.2">
      <c r="C695" s="23" t="s">
        <v>1696</v>
      </c>
      <c r="D695" s="89" t="s">
        <v>173</v>
      </c>
      <c r="E695" s="89"/>
      <c r="F695" s="89"/>
      <c r="G695" s="89"/>
      <c r="H695" s="89"/>
    </row>
    <row r="696" spans="1:28" x14ac:dyDescent="0.2">
      <c r="C696" s="23" t="s">
        <v>1697</v>
      </c>
      <c r="D696" s="89" t="s">
        <v>173</v>
      </c>
      <c r="E696" s="89"/>
      <c r="F696" s="89"/>
      <c r="G696" s="89"/>
      <c r="H696" s="89"/>
    </row>
    <row r="697" spans="1:28" x14ac:dyDescent="0.2">
      <c r="C697" s="23" t="s">
        <v>1698</v>
      </c>
      <c r="D697" s="89" t="s">
        <v>172</v>
      </c>
      <c r="E697" s="89"/>
      <c r="F697" s="89"/>
      <c r="G697" s="89"/>
      <c r="H697" s="89"/>
    </row>
    <row r="698" spans="1:28" x14ac:dyDescent="0.2">
      <c r="C698" s="9" t="s">
        <v>1688</v>
      </c>
      <c r="D698" s="34"/>
      <c r="E698" s="34"/>
      <c r="F698" s="34">
        <f>Source!BZ161</f>
        <v>123</v>
      </c>
      <c r="G698" s="58">
        <f>(Source!AF161+Source!AE161)*Source!FX161/100</f>
        <v>3478.1054399999998</v>
      </c>
      <c r="H698" s="58">
        <f>Source!X161</f>
        <v>2608.11</v>
      </c>
    </row>
    <row r="699" spans="1:28" x14ac:dyDescent="0.2">
      <c r="C699" s="9" t="s">
        <v>1689</v>
      </c>
      <c r="D699" s="34"/>
      <c r="E699" s="34"/>
      <c r="F699" s="34"/>
      <c r="G699" s="34" t="str">
        <f>CONCATENATE(Source!DL161,Source!FT161, "=", Source!FX161, "%")</f>
        <v>*0,9=110,7%</v>
      </c>
      <c r="H699" s="34" t="str">
        <f>CONCATENATE(Source!AT161)</f>
        <v>111</v>
      </c>
    </row>
    <row r="700" spans="1:28" x14ac:dyDescent="0.2">
      <c r="C700" s="9" t="s">
        <v>1690</v>
      </c>
      <c r="D700" s="34"/>
      <c r="E700" s="34"/>
      <c r="F700" s="34">
        <f>Source!CA161</f>
        <v>75</v>
      </c>
      <c r="G700" s="58">
        <f>(Source!AF161+Source!AE161)*Source!FY161/100</f>
        <v>2002.9739999999999</v>
      </c>
      <c r="H700" s="58">
        <f>Source!Y161</f>
        <v>1503.78</v>
      </c>
    </row>
    <row r="701" spans="1:28" x14ac:dyDescent="0.2">
      <c r="C701" s="9" t="s">
        <v>1691</v>
      </c>
      <c r="D701" s="34"/>
      <c r="E701" s="34"/>
      <c r="F701" s="34"/>
      <c r="G701" s="34" t="str">
        <f>CONCATENATE(Source!DM161,Source!FU161, "=", Source!FY161, "%")</f>
        <v>*0,85=63,75%</v>
      </c>
      <c r="H701" s="34" t="str">
        <f>CONCATENATE(Source!AU161)</f>
        <v>64</v>
      </c>
    </row>
    <row r="702" spans="1:28" x14ac:dyDescent="0.2">
      <c r="C702" s="9" t="s">
        <v>1692</v>
      </c>
      <c r="D702" s="34"/>
      <c r="E702" s="34"/>
      <c r="F702" s="34"/>
      <c r="G702" s="58">
        <f>((Source!AF161+Source!AE161)*Source!FX161/100)+((Source!AF161+Source!AE161)*Source!FY161/100)+Source!AB161</f>
        <v>27470.939440000002</v>
      </c>
      <c r="H702" s="58">
        <f>Source!O161+Source!X161+Source!Y161</f>
        <v>20556.79</v>
      </c>
    </row>
    <row r="703" spans="1:28" ht="57" x14ac:dyDescent="0.2">
      <c r="A703" s="46">
        <v>97</v>
      </c>
      <c r="B703" s="46" t="str">
        <f>Source!E162</f>
        <v>43,1</v>
      </c>
      <c r="C703" s="46" t="s">
        <v>1700</v>
      </c>
      <c r="D703" s="46" t="str">
        <f>Source!F162</f>
        <v>06.2.05.03-0003</v>
      </c>
      <c r="E703" s="31" t="str">
        <f>Source!H162</f>
        <v>м2</v>
      </c>
      <c r="F703" s="12">
        <f>Source!I162</f>
        <v>-11.628</v>
      </c>
      <c r="G703" s="22">
        <f>Source!AB162</f>
        <v>140.44999999999999</v>
      </c>
      <c r="H703" s="22">
        <f>Source!O162</f>
        <v>-10713.48</v>
      </c>
      <c r="T703">
        <f>Source!O162+Source!X162+Source!Y162</f>
        <v>-10713.48</v>
      </c>
      <c r="U703">
        <f>Source!P162</f>
        <v>-10713.48</v>
      </c>
      <c r="V703">
        <f>Source!S162</f>
        <v>0</v>
      </c>
      <c r="W703">
        <f>Source!Q162</f>
        <v>0</v>
      </c>
      <c r="X703">
        <f>Source!R162</f>
        <v>0</v>
      </c>
      <c r="Y703">
        <f>Source!U162</f>
        <v>0</v>
      </c>
      <c r="Z703">
        <f>Source!V162</f>
        <v>0</v>
      </c>
      <c r="AA703">
        <f>Source!X162</f>
        <v>0</v>
      </c>
      <c r="AB703">
        <f>Source!Y162</f>
        <v>0</v>
      </c>
    </row>
    <row r="704" spans="1:28" ht="14.25" x14ac:dyDescent="0.2">
      <c r="C704" s="23" t="s">
        <v>1686</v>
      </c>
      <c r="D704" s="23">
        <f>Source!BC162</f>
        <v>6.56</v>
      </c>
      <c r="F704" s="12"/>
      <c r="G704" s="12"/>
      <c r="H704" s="12"/>
    </row>
    <row r="705" spans="1:28" ht="42.75" x14ac:dyDescent="0.2">
      <c r="A705" s="46">
        <v>98</v>
      </c>
      <c r="B705" s="46" t="str">
        <f>Source!E163</f>
        <v>43,2</v>
      </c>
      <c r="C705" s="46" t="str">
        <f>Source!G163</f>
        <v>Плитка керамогранитная неполированная Керабуд (коллекция "Грес" К001) размером 300х300 мм</v>
      </c>
      <c r="D705" s="46" t="str">
        <f>Source!F163</f>
        <v>06.2.05.03-0021</v>
      </c>
      <c r="E705" s="31" t="str">
        <f>Source!H163</f>
        <v>м2</v>
      </c>
      <c r="F705" s="12">
        <f>Source!I163</f>
        <v>11.628</v>
      </c>
      <c r="G705" s="22">
        <f>Source!AB163</f>
        <v>56.77</v>
      </c>
      <c r="H705" s="22">
        <f>Source!O163</f>
        <v>4330.3999999999996</v>
      </c>
      <c r="T705">
        <f>Source!O163+Source!X163+Source!Y163</f>
        <v>4330.3999999999996</v>
      </c>
      <c r="U705">
        <f>Source!P163</f>
        <v>4330.3999999999996</v>
      </c>
      <c r="V705">
        <f>Source!S163</f>
        <v>0</v>
      </c>
      <c r="W705">
        <f>Source!Q163</f>
        <v>0</v>
      </c>
      <c r="X705">
        <f>Source!R163</f>
        <v>0</v>
      </c>
      <c r="Y705">
        <f>Source!U163</f>
        <v>0</v>
      </c>
      <c r="Z705">
        <f>Source!V163</f>
        <v>0</v>
      </c>
      <c r="AA705">
        <f>Source!X163</f>
        <v>0</v>
      </c>
      <c r="AB705">
        <f>Source!Y163</f>
        <v>0</v>
      </c>
    </row>
    <row r="706" spans="1:28" ht="14.25" x14ac:dyDescent="0.2">
      <c r="C706" s="23" t="s">
        <v>1686</v>
      </c>
      <c r="D706" s="23">
        <f>Source!BC163</f>
        <v>6.56</v>
      </c>
      <c r="F706" s="12"/>
      <c r="G706" s="12"/>
      <c r="H706" s="12"/>
    </row>
    <row r="707" spans="1:28" ht="42.75" x14ac:dyDescent="0.2">
      <c r="A707" s="46">
        <v>99</v>
      </c>
      <c r="B707" s="46" t="str">
        <f>Source!E164</f>
        <v>44</v>
      </c>
      <c r="C707" s="46" t="str">
        <f>Source!G164</f>
        <v>Устройство гидроизоляции обмазочной в один слой толщиной 2 мм</v>
      </c>
      <c r="D707" s="46" t="str">
        <f>Source!F164</f>
        <v>11-01-004-05</v>
      </c>
      <c r="E707" s="31" t="str">
        <f>Source!H164</f>
        <v>100 м2</v>
      </c>
      <c r="F707" s="12">
        <f>Source!I164</f>
        <v>0.114</v>
      </c>
      <c r="G707" s="22">
        <f>Source!AB164</f>
        <v>1228.44</v>
      </c>
      <c r="H707" s="22">
        <f>Source!O164</f>
        <v>918.68</v>
      </c>
      <c r="T707">
        <f>Source!O164+Source!X164+Source!Y164</f>
        <v>1371.4599999999998</v>
      </c>
      <c r="U707">
        <f>Source!P164</f>
        <v>517.97</v>
      </c>
      <c r="V707">
        <f>Source!S164</f>
        <v>253.75</v>
      </c>
      <c r="W707">
        <f>Source!Q164</f>
        <v>146.96</v>
      </c>
      <c r="X707">
        <f>Source!R164</f>
        <v>4.9800000000000004</v>
      </c>
      <c r="Y707">
        <f>Source!U164</f>
        <v>3.5357669999999994</v>
      </c>
      <c r="Z707">
        <f>Source!V164</f>
        <v>6.1275000000000003E-2</v>
      </c>
      <c r="AA707">
        <f>Source!X164</f>
        <v>287.19</v>
      </c>
      <c r="AB707">
        <f>Source!Y164</f>
        <v>165.59</v>
      </c>
    </row>
    <row r="708" spans="1:28" ht="14.25" x14ac:dyDescent="0.2">
      <c r="C708" s="23" t="str">
        <f>"Объем: "&amp;Source!I164&amp;"=11,4/"&amp;"100"</f>
        <v>Объем: 0,114=11,4/100</v>
      </c>
      <c r="F708" s="12"/>
      <c r="G708" s="12"/>
      <c r="H708" s="12"/>
    </row>
    <row r="709" spans="1:28" x14ac:dyDescent="0.2">
      <c r="C709" s="23" t="s">
        <v>1684</v>
      </c>
      <c r="D709" s="23">
        <f>Source!BA164</f>
        <v>6.56</v>
      </c>
    </row>
    <row r="710" spans="1:28" x14ac:dyDescent="0.2">
      <c r="C710" s="23" t="s">
        <v>1685</v>
      </c>
      <c r="D710" s="23">
        <f>Source!BB164</f>
        <v>6.56</v>
      </c>
    </row>
    <row r="711" spans="1:28" x14ac:dyDescent="0.2">
      <c r="C711" s="23" t="s">
        <v>1686</v>
      </c>
      <c r="D711" s="23">
        <f>Source!BC164</f>
        <v>6.56</v>
      </c>
    </row>
    <row r="712" spans="1:28" x14ac:dyDescent="0.2">
      <c r="C712" s="23" t="s">
        <v>1687</v>
      </c>
      <c r="D712" s="23">
        <f>Source!BS164</f>
        <v>6.56</v>
      </c>
    </row>
    <row r="713" spans="1:28" x14ac:dyDescent="0.2">
      <c r="C713" s="23" t="s">
        <v>1694</v>
      </c>
      <c r="D713" s="89" t="s">
        <v>172</v>
      </c>
      <c r="E713" s="89"/>
      <c r="F713" s="89"/>
      <c r="G713" s="89"/>
      <c r="H713" s="89"/>
    </row>
    <row r="714" spans="1:28" x14ac:dyDescent="0.2">
      <c r="C714" s="23" t="s">
        <v>1695</v>
      </c>
      <c r="D714" s="89" t="s">
        <v>172</v>
      </c>
      <c r="E714" s="89"/>
      <c r="F714" s="89"/>
      <c r="G714" s="89"/>
      <c r="H714" s="89"/>
    </row>
    <row r="715" spans="1:28" x14ac:dyDescent="0.2">
      <c r="C715" s="23" t="s">
        <v>1696</v>
      </c>
      <c r="D715" s="89" t="s">
        <v>173</v>
      </c>
      <c r="E715" s="89"/>
      <c r="F715" s="89"/>
      <c r="G715" s="89"/>
      <c r="H715" s="89"/>
    </row>
    <row r="716" spans="1:28" x14ac:dyDescent="0.2">
      <c r="C716" s="23" t="s">
        <v>1697</v>
      </c>
      <c r="D716" s="89" t="s">
        <v>173</v>
      </c>
      <c r="E716" s="89"/>
      <c r="F716" s="89"/>
      <c r="G716" s="89"/>
      <c r="H716" s="89"/>
    </row>
    <row r="717" spans="1:28" x14ac:dyDescent="0.2">
      <c r="C717" s="23" t="s">
        <v>1698</v>
      </c>
      <c r="D717" s="89" t="s">
        <v>172</v>
      </c>
      <c r="E717" s="89"/>
      <c r="F717" s="89"/>
      <c r="G717" s="89"/>
      <c r="H717" s="89"/>
    </row>
    <row r="718" spans="1:28" x14ac:dyDescent="0.2">
      <c r="C718" s="9" t="s">
        <v>1688</v>
      </c>
      <c r="D718" s="34"/>
      <c r="E718" s="34"/>
      <c r="F718" s="34">
        <f>Source!BZ164</f>
        <v>123</v>
      </c>
      <c r="G718" s="58">
        <f>(Source!AF164+Source!AE164)*Source!FX164/100</f>
        <v>382.98878999999999</v>
      </c>
      <c r="H718" s="58">
        <f>Source!X164</f>
        <v>287.19</v>
      </c>
    </row>
    <row r="719" spans="1:28" x14ac:dyDescent="0.2">
      <c r="C719" s="9" t="s">
        <v>1689</v>
      </c>
      <c r="D719" s="34"/>
      <c r="E719" s="34"/>
      <c r="F719" s="34"/>
      <c r="G719" s="34" t="str">
        <f>CONCATENATE(Source!DL164,Source!FT164, "=", Source!FX164, "%")</f>
        <v>*0,9=110,7%</v>
      </c>
      <c r="H719" s="34" t="str">
        <f>CONCATENATE(Source!AT164)</f>
        <v>111</v>
      </c>
    </row>
    <row r="720" spans="1:28" x14ac:dyDescent="0.2">
      <c r="C720" s="9" t="s">
        <v>1690</v>
      </c>
      <c r="D720" s="34"/>
      <c r="E720" s="34"/>
      <c r="F720" s="34">
        <f>Source!CA164</f>
        <v>75</v>
      </c>
      <c r="G720" s="58">
        <f>(Source!AF164+Source!AE164)*Source!FY164/100</f>
        <v>220.55587500000001</v>
      </c>
      <c r="H720" s="58">
        <f>Source!Y164</f>
        <v>165.59</v>
      </c>
    </row>
    <row r="721" spans="1:28" x14ac:dyDescent="0.2">
      <c r="C721" s="9" t="s">
        <v>1691</v>
      </c>
      <c r="D721" s="34"/>
      <c r="E721" s="34"/>
      <c r="F721" s="34"/>
      <c r="G721" s="34" t="str">
        <f>CONCATENATE(Source!DM164,Source!FU164, "=", Source!FY164, "%")</f>
        <v>*0,85=63,75%</v>
      </c>
      <c r="H721" s="34" t="str">
        <f>CONCATENATE(Source!AU164)</f>
        <v>64</v>
      </c>
    </row>
    <row r="722" spans="1:28" x14ac:dyDescent="0.2">
      <c r="C722" s="9" t="s">
        <v>1692</v>
      </c>
      <c r="D722" s="34"/>
      <c r="E722" s="34"/>
      <c r="F722" s="34"/>
      <c r="G722" s="58">
        <f>((Source!AF164+Source!AE164)*Source!FX164/100)+((Source!AF164+Source!AE164)*Source!FY164/100)+Source!AB164</f>
        <v>1831.9846649999999</v>
      </c>
      <c r="H722" s="58">
        <f>Source!O164+Source!X164+Source!Y164</f>
        <v>1371.4599999999998</v>
      </c>
    </row>
    <row r="723" spans="1:28" ht="28.5" x14ac:dyDescent="0.2">
      <c r="A723" s="46">
        <v>100</v>
      </c>
      <c r="B723" s="46" t="str">
        <f>Source!E165</f>
        <v>45</v>
      </c>
      <c r="C723" s="46" t="str">
        <f>Source!G165</f>
        <v>Устройство покрытий из досок ламинированных замковым способом</v>
      </c>
      <c r="D723" s="46" t="str">
        <f>Source!F165</f>
        <v>11-01-034-04</v>
      </c>
      <c r="E723" s="31" t="str">
        <f>Source!H165</f>
        <v>100 м2</v>
      </c>
      <c r="F723" s="12">
        <f>Source!I165</f>
        <v>1.01</v>
      </c>
      <c r="G723" s="22">
        <f>Source!AB165</f>
        <v>651.5</v>
      </c>
      <c r="H723" s="22">
        <f>Source!O165</f>
        <v>4316.58</v>
      </c>
      <c r="T723">
        <f>Source!O165+Source!X165+Source!Y165</f>
        <v>7543.2999999999993</v>
      </c>
      <c r="U723">
        <f>Source!P165</f>
        <v>2427.9499999999998</v>
      </c>
      <c r="V723">
        <f>Source!S165</f>
        <v>1834.23</v>
      </c>
      <c r="W723">
        <f>Source!Q165</f>
        <v>54.4</v>
      </c>
      <c r="X723">
        <f>Source!R165</f>
        <v>9.61</v>
      </c>
      <c r="Y723">
        <f>Source!U165</f>
        <v>29.746014999999996</v>
      </c>
      <c r="Z723">
        <f>Source!V165</f>
        <v>0.12625</v>
      </c>
      <c r="AA723">
        <f>Source!X165</f>
        <v>2046.66</v>
      </c>
      <c r="AB723">
        <f>Source!Y165</f>
        <v>1180.06</v>
      </c>
    </row>
    <row r="724" spans="1:28" ht="14.25" x14ac:dyDescent="0.2">
      <c r="C724" s="23" t="str">
        <f>"Объем: "&amp;Source!I165&amp;"=101/"&amp;"100"</f>
        <v>Объем: 1,01=101/100</v>
      </c>
      <c r="F724" s="12"/>
      <c r="G724" s="12"/>
      <c r="H724" s="12"/>
    </row>
    <row r="725" spans="1:28" x14ac:dyDescent="0.2">
      <c r="C725" s="23" t="s">
        <v>1684</v>
      </c>
      <c r="D725" s="23">
        <f>Source!BA165</f>
        <v>6.56</v>
      </c>
    </row>
    <row r="726" spans="1:28" x14ac:dyDescent="0.2">
      <c r="C726" s="23" t="s">
        <v>1685</v>
      </c>
      <c r="D726" s="23">
        <f>Source!BB165</f>
        <v>6.56</v>
      </c>
    </row>
    <row r="727" spans="1:28" x14ac:dyDescent="0.2">
      <c r="C727" s="23" t="s">
        <v>1686</v>
      </c>
      <c r="D727" s="23">
        <f>Source!BC165</f>
        <v>6.56</v>
      </c>
    </row>
    <row r="728" spans="1:28" x14ac:dyDescent="0.2">
      <c r="C728" s="23" t="s">
        <v>1687</v>
      </c>
      <c r="D728" s="23">
        <f>Source!BS165</f>
        <v>6.56</v>
      </c>
    </row>
    <row r="729" spans="1:28" x14ac:dyDescent="0.2">
      <c r="C729" s="23" t="s">
        <v>1694</v>
      </c>
      <c r="D729" s="89" t="s">
        <v>172</v>
      </c>
      <c r="E729" s="89"/>
      <c r="F729" s="89"/>
      <c r="G729" s="89"/>
      <c r="H729" s="89"/>
    </row>
    <row r="730" spans="1:28" x14ac:dyDescent="0.2">
      <c r="C730" s="23" t="s">
        <v>1695</v>
      </c>
      <c r="D730" s="89" t="s">
        <v>172</v>
      </c>
      <c r="E730" s="89"/>
      <c r="F730" s="89"/>
      <c r="G730" s="89"/>
      <c r="H730" s="89"/>
    </row>
    <row r="731" spans="1:28" x14ac:dyDescent="0.2">
      <c r="C731" s="23" t="s">
        <v>1696</v>
      </c>
      <c r="D731" s="89" t="s">
        <v>173</v>
      </c>
      <c r="E731" s="89"/>
      <c r="F731" s="89"/>
      <c r="G731" s="89"/>
      <c r="H731" s="89"/>
    </row>
    <row r="732" spans="1:28" x14ac:dyDescent="0.2">
      <c r="C732" s="23" t="s">
        <v>1697</v>
      </c>
      <c r="D732" s="89" t="s">
        <v>173</v>
      </c>
      <c r="E732" s="89"/>
      <c r="F732" s="89"/>
      <c r="G732" s="89"/>
      <c r="H732" s="89"/>
    </row>
    <row r="733" spans="1:28" x14ac:dyDescent="0.2">
      <c r="C733" s="23" t="s">
        <v>1698</v>
      </c>
      <c r="D733" s="89" t="s">
        <v>172</v>
      </c>
      <c r="E733" s="89"/>
      <c r="F733" s="89"/>
      <c r="G733" s="89"/>
      <c r="H733" s="89"/>
    </row>
    <row r="734" spans="1:28" x14ac:dyDescent="0.2">
      <c r="C734" s="9" t="s">
        <v>1688</v>
      </c>
      <c r="D734" s="34"/>
      <c r="E734" s="34"/>
      <c r="F734" s="34">
        <f>Source!BZ165</f>
        <v>123</v>
      </c>
      <c r="G734" s="58">
        <f>(Source!AF165+Source!AE165)*Source!FX165/100</f>
        <v>308.06702999999999</v>
      </c>
      <c r="H734" s="58">
        <f>Source!X165</f>
        <v>2046.66</v>
      </c>
    </row>
    <row r="735" spans="1:28" x14ac:dyDescent="0.2">
      <c r="C735" s="9" t="s">
        <v>1689</v>
      </c>
      <c r="D735" s="34"/>
      <c r="E735" s="34"/>
      <c r="F735" s="34"/>
      <c r="G735" s="34" t="str">
        <f>CONCATENATE(Source!DL165,Source!FT165, "=", Source!FX165, "%")</f>
        <v>*0,9=110,7%</v>
      </c>
      <c r="H735" s="34" t="str">
        <f>CONCATENATE(Source!AT165)</f>
        <v>111</v>
      </c>
    </row>
    <row r="736" spans="1:28" x14ac:dyDescent="0.2">
      <c r="C736" s="9" t="s">
        <v>1690</v>
      </c>
      <c r="D736" s="34"/>
      <c r="E736" s="34"/>
      <c r="F736" s="34">
        <f>Source!CA165</f>
        <v>75</v>
      </c>
      <c r="G736" s="58">
        <f>(Source!AF165+Source!AE165)*Source!FY165/100</f>
        <v>177.409875</v>
      </c>
      <c r="H736" s="58">
        <f>Source!Y165</f>
        <v>1180.06</v>
      </c>
    </row>
    <row r="737" spans="1:28" x14ac:dyDescent="0.2">
      <c r="C737" s="9" t="s">
        <v>1691</v>
      </c>
      <c r="D737" s="34"/>
      <c r="E737" s="34"/>
      <c r="F737" s="34"/>
      <c r="G737" s="34" t="str">
        <f>CONCATENATE(Source!DM165,Source!FU165, "=", Source!FY165, "%")</f>
        <v>*0,85=63,75%</v>
      </c>
      <c r="H737" s="34" t="str">
        <f>CONCATENATE(Source!AU165)</f>
        <v>64</v>
      </c>
    </row>
    <row r="738" spans="1:28" x14ac:dyDescent="0.2">
      <c r="C738" s="9" t="s">
        <v>1692</v>
      </c>
      <c r="D738" s="34"/>
      <c r="E738" s="34"/>
      <c r="F738" s="34"/>
      <c r="G738" s="58">
        <f>((Source!AF165+Source!AE165)*Source!FX165/100)+((Source!AF165+Source!AE165)*Source!FY165/100)+Source!AB165</f>
        <v>1136.976905</v>
      </c>
      <c r="H738" s="58">
        <f>Source!O165+Source!X165+Source!Y165</f>
        <v>7543.2999999999993</v>
      </c>
    </row>
    <row r="739" spans="1:28" ht="28.5" x14ac:dyDescent="0.2">
      <c r="A739" s="46">
        <v>101</v>
      </c>
      <c r="B739" s="46" t="str">
        <f>Source!E166</f>
        <v>45,1</v>
      </c>
      <c r="C739" s="46" t="str">
        <f>Source!G166</f>
        <v>Ламинат "TARKETT " (33 класс, размер 1292х194 мм, толщина 8 мм) прим.</v>
      </c>
      <c r="D739" s="46" t="str">
        <f>Source!F166</f>
        <v>11.2.03.02-0008</v>
      </c>
      <c r="E739" s="31" t="str">
        <f>Source!H166</f>
        <v>м2</v>
      </c>
      <c r="F739" s="12">
        <f>Source!I166</f>
        <v>103.52500000000001</v>
      </c>
      <c r="G739" s="22">
        <f>Source!AB166</f>
        <v>120.14</v>
      </c>
      <c r="H739" s="22">
        <f>Source!O166</f>
        <v>81589.960000000006</v>
      </c>
      <c r="T739">
        <f>Source!O166+Source!X166+Source!Y166</f>
        <v>81589.960000000006</v>
      </c>
      <c r="U739">
        <f>Source!P166</f>
        <v>81589.960000000006</v>
      </c>
      <c r="V739">
        <f>Source!S166</f>
        <v>0</v>
      </c>
      <c r="W739">
        <f>Source!Q166</f>
        <v>0</v>
      </c>
      <c r="X739">
        <f>Source!R166</f>
        <v>0</v>
      </c>
      <c r="Y739">
        <f>Source!U166</f>
        <v>0</v>
      </c>
      <c r="Z739">
        <f>Source!V166</f>
        <v>0</v>
      </c>
      <c r="AA739">
        <f>Source!X166</f>
        <v>0</v>
      </c>
      <c r="AB739">
        <f>Source!Y166</f>
        <v>0</v>
      </c>
    </row>
    <row r="740" spans="1:28" ht="14.25" x14ac:dyDescent="0.2">
      <c r="C740" s="23" t="s">
        <v>1686</v>
      </c>
      <c r="D740" s="23">
        <f>Source!BC166</f>
        <v>6.56</v>
      </c>
      <c r="F740" s="12"/>
      <c r="G740" s="12"/>
      <c r="H740" s="12"/>
    </row>
    <row r="741" spans="1:28" ht="28.5" x14ac:dyDescent="0.2">
      <c r="A741" s="46">
        <v>102</v>
      </c>
      <c r="B741" s="46" t="str">
        <f>Source!E167</f>
        <v>45,2</v>
      </c>
      <c r="C741" s="46" t="str">
        <f>Source!G167</f>
        <v>Покрытие напольное ламинированное (ламинат)</v>
      </c>
      <c r="D741" s="46" t="str">
        <f>Source!F167</f>
        <v>11.2.03.02</v>
      </c>
      <c r="E741" s="31" t="str">
        <f>Source!H167</f>
        <v>м2</v>
      </c>
      <c r="F741" s="12">
        <f>Source!I167</f>
        <v>103.52500000000001</v>
      </c>
      <c r="G741" s="22">
        <f>Source!AB167</f>
        <v>0</v>
      </c>
      <c r="H741" s="22">
        <f>Source!O167</f>
        <v>0</v>
      </c>
      <c r="T741">
        <f>Source!O167+Source!X167+Source!Y167</f>
        <v>0</v>
      </c>
      <c r="U741">
        <f>Source!P167</f>
        <v>0</v>
      </c>
      <c r="V741">
        <f>Source!S167</f>
        <v>0</v>
      </c>
      <c r="W741">
        <f>Source!Q167</f>
        <v>0</v>
      </c>
      <c r="X741">
        <f>Source!R167</f>
        <v>0</v>
      </c>
      <c r="Y741">
        <f>Source!U167</f>
        <v>0</v>
      </c>
      <c r="Z741">
        <f>Source!V167</f>
        <v>0</v>
      </c>
      <c r="AA741">
        <f>Source!X167</f>
        <v>0</v>
      </c>
      <c r="AB741">
        <f>Source!Y167</f>
        <v>0</v>
      </c>
    </row>
    <row r="742" spans="1:28" ht="14.25" x14ac:dyDescent="0.2">
      <c r="C742" s="23" t="s">
        <v>1686</v>
      </c>
      <c r="D742" s="23">
        <f>Source!BC167</f>
        <v>6.56</v>
      </c>
      <c r="F742" s="12"/>
      <c r="G742" s="12"/>
      <c r="H742" s="12"/>
    </row>
    <row r="743" spans="1:28" ht="28.5" x14ac:dyDescent="0.2">
      <c r="A743" s="46">
        <v>103</v>
      </c>
      <c r="B743" s="46" t="str">
        <f>Source!E168</f>
        <v>46</v>
      </c>
      <c r="C743" s="46" t="str">
        <f>Source!G168</f>
        <v>Устройство плинтусов поливинилхлоридных на клее КН-2</v>
      </c>
      <c r="D743" s="46" t="str">
        <f>Source!F168</f>
        <v>11-01-040-01</v>
      </c>
      <c r="E743" s="31" t="str">
        <f>Source!H168</f>
        <v>100 м</v>
      </c>
      <c r="F743" s="12">
        <f>Source!I168</f>
        <v>0.64700000000000002</v>
      </c>
      <c r="G743" s="22">
        <f>Source!AB168</f>
        <v>146.85</v>
      </c>
      <c r="H743" s="22">
        <f>Source!O168</f>
        <v>623.28</v>
      </c>
      <c r="T743">
        <f>Source!O168+Source!X168+Source!Y168</f>
        <v>1378.37</v>
      </c>
      <c r="U743">
        <f>Source!P168</f>
        <v>182.72</v>
      </c>
      <c r="V743">
        <f>Source!S168</f>
        <v>429.23</v>
      </c>
      <c r="W743">
        <f>Source!Q168</f>
        <v>11.33</v>
      </c>
      <c r="X743">
        <f>Source!R168</f>
        <v>2.25</v>
      </c>
      <c r="Y743">
        <f>Source!U168</f>
        <v>6.7038905</v>
      </c>
      <c r="Z743">
        <f>Source!V168</f>
        <v>3.2350000000000004E-2</v>
      </c>
      <c r="AA743">
        <f>Source!X168</f>
        <v>478.94</v>
      </c>
      <c r="AB743">
        <f>Source!Y168</f>
        <v>276.14999999999998</v>
      </c>
    </row>
    <row r="744" spans="1:28" ht="14.25" x14ac:dyDescent="0.2">
      <c r="C744" s="23" t="str">
        <f>"Объем: "&amp;Source!I168&amp;"=64,7/"&amp;"100"</f>
        <v>Объем: 0,647=64,7/100</v>
      </c>
      <c r="F744" s="12"/>
      <c r="G744" s="12"/>
      <c r="H744" s="12"/>
    </row>
    <row r="745" spans="1:28" x14ac:dyDescent="0.2">
      <c r="C745" s="23" t="s">
        <v>1684</v>
      </c>
      <c r="D745" s="23">
        <f>Source!BA168</f>
        <v>6.56</v>
      </c>
    </row>
    <row r="746" spans="1:28" x14ac:dyDescent="0.2">
      <c r="C746" s="23" t="s">
        <v>1685</v>
      </c>
      <c r="D746" s="23">
        <f>Source!BB168</f>
        <v>6.56</v>
      </c>
    </row>
    <row r="747" spans="1:28" x14ac:dyDescent="0.2">
      <c r="C747" s="23" t="s">
        <v>1686</v>
      </c>
      <c r="D747" s="23">
        <f>Source!BC168</f>
        <v>6.56</v>
      </c>
    </row>
    <row r="748" spans="1:28" x14ac:dyDescent="0.2">
      <c r="C748" s="23" t="s">
        <v>1687</v>
      </c>
      <c r="D748" s="23">
        <f>Source!BS168</f>
        <v>6.56</v>
      </c>
    </row>
    <row r="749" spans="1:28" x14ac:dyDescent="0.2">
      <c r="C749" s="23" t="s">
        <v>1694</v>
      </c>
      <c r="D749" s="89" t="s">
        <v>172</v>
      </c>
      <c r="E749" s="89"/>
      <c r="F749" s="89"/>
      <c r="G749" s="89"/>
      <c r="H749" s="89"/>
    </row>
    <row r="750" spans="1:28" x14ac:dyDescent="0.2">
      <c r="C750" s="23" t="s">
        <v>1695</v>
      </c>
      <c r="D750" s="89" t="s">
        <v>172</v>
      </c>
      <c r="E750" s="89"/>
      <c r="F750" s="89"/>
      <c r="G750" s="89"/>
      <c r="H750" s="89"/>
    </row>
    <row r="751" spans="1:28" x14ac:dyDescent="0.2">
      <c r="C751" s="23" t="s">
        <v>1696</v>
      </c>
      <c r="D751" s="89" t="s">
        <v>173</v>
      </c>
      <c r="E751" s="89"/>
      <c r="F751" s="89"/>
      <c r="G751" s="89"/>
      <c r="H751" s="89"/>
    </row>
    <row r="752" spans="1:28" x14ac:dyDescent="0.2">
      <c r="C752" s="23" t="s">
        <v>1697</v>
      </c>
      <c r="D752" s="89" t="s">
        <v>173</v>
      </c>
      <c r="E752" s="89"/>
      <c r="F752" s="89"/>
      <c r="G752" s="89"/>
      <c r="H752" s="89"/>
    </row>
    <row r="753" spans="1:28" x14ac:dyDescent="0.2">
      <c r="C753" s="23" t="s">
        <v>1698</v>
      </c>
      <c r="D753" s="89" t="s">
        <v>172</v>
      </c>
      <c r="E753" s="89"/>
      <c r="F753" s="89"/>
      <c r="G753" s="89"/>
      <c r="H753" s="89"/>
    </row>
    <row r="754" spans="1:28" x14ac:dyDescent="0.2">
      <c r="C754" s="9" t="s">
        <v>1688</v>
      </c>
      <c r="D754" s="34"/>
      <c r="E754" s="34"/>
      <c r="F754" s="34">
        <f>Source!BZ168</f>
        <v>123</v>
      </c>
      <c r="G754" s="58">
        <f>(Source!AF168+Source!AE168)*Source!FX168/100</f>
        <v>112.53762</v>
      </c>
      <c r="H754" s="58">
        <f>Source!X168</f>
        <v>478.94</v>
      </c>
    </row>
    <row r="755" spans="1:28" x14ac:dyDescent="0.2">
      <c r="C755" s="9" t="s">
        <v>1689</v>
      </c>
      <c r="D755" s="34"/>
      <c r="E755" s="34"/>
      <c r="F755" s="34"/>
      <c r="G755" s="34" t="str">
        <f>CONCATENATE(Source!DL168,Source!FT168, "=", Source!FX168, "%")</f>
        <v>*0,9=110,7%</v>
      </c>
      <c r="H755" s="34" t="str">
        <f>CONCATENATE(Source!AT168)</f>
        <v>111</v>
      </c>
    </row>
    <row r="756" spans="1:28" x14ac:dyDescent="0.2">
      <c r="C756" s="9" t="s">
        <v>1690</v>
      </c>
      <c r="D756" s="34"/>
      <c r="E756" s="34"/>
      <c r="F756" s="34">
        <f>Source!CA168</f>
        <v>75</v>
      </c>
      <c r="G756" s="58">
        <f>(Source!AF168+Source!AE168)*Source!FY168/100</f>
        <v>64.808250000000001</v>
      </c>
      <c r="H756" s="58">
        <f>Source!Y168</f>
        <v>276.14999999999998</v>
      </c>
    </row>
    <row r="757" spans="1:28" x14ac:dyDescent="0.2">
      <c r="C757" s="9" t="s">
        <v>1691</v>
      </c>
      <c r="D757" s="34"/>
      <c r="E757" s="34"/>
      <c r="F757" s="34"/>
      <c r="G757" s="34" t="str">
        <f>CONCATENATE(Source!DM168,Source!FU168, "=", Source!FY168, "%")</f>
        <v>*0,85=63,75%</v>
      </c>
      <c r="H757" s="34" t="str">
        <f>CONCATENATE(Source!AU168)</f>
        <v>64</v>
      </c>
    </row>
    <row r="758" spans="1:28" x14ac:dyDescent="0.2">
      <c r="C758" s="9" t="s">
        <v>1692</v>
      </c>
      <c r="D758" s="34"/>
      <c r="E758" s="34"/>
      <c r="F758" s="34"/>
      <c r="G758" s="58">
        <f>((Source!AF168+Source!AE168)*Source!FX168/100)+((Source!AF168+Source!AE168)*Source!FY168/100)+Source!AB168</f>
        <v>324.19587000000001</v>
      </c>
      <c r="H758" s="58">
        <f>Source!O168+Source!X168+Source!Y168</f>
        <v>1378.37</v>
      </c>
    </row>
    <row r="759" spans="1:28" ht="28.5" x14ac:dyDescent="0.2">
      <c r="A759" s="46">
        <v>104</v>
      </c>
      <c r="B759" s="46" t="str">
        <f>Source!E169</f>
        <v>46,1</v>
      </c>
      <c r="C759" s="46" t="str">
        <f>Source!G169</f>
        <v>Плинтуса для полов с кабель-каналом пластиковые, 22х49 мм</v>
      </c>
      <c r="D759" s="46" t="str">
        <f>Source!F169</f>
        <v>11.3.03.06-0002</v>
      </c>
      <c r="E759" s="31" t="str">
        <f>Source!H169</f>
        <v>м</v>
      </c>
      <c r="F759" s="12">
        <f>Source!I169</f>
        <v>65.346999999999994</v>
      </c>
      <c r="G759" s="22">
        <f>Source!AB169</f>
        <v>20.5</v>
      </c>
      <c r="H759" s="22">
        <f>Source!O169</f>
        <v>8787.86</v>
      </c>
      <c r="T759">
        <f>Source!O169+Source!X169+Source!Y169</f>
        <v>8787.86</v>
      </c>
      <c r="U759">
        <f>Source!P169</f>
        <v>8787.86</v>
      </c>
      <c r="V759">
        <f>Source!S169</f>
        <v>0</v>
      </c>
      <c r="W759">
        <f>Source!Q169</f>
        <v>0</v>
      </c>
      <c r="X759">
        <f>Source!R169</f>
        <v>0</v>
      </c>
      <c r="Y759">
        <f>Source!U169</f>
        <v>0</v>
      </c>
      <c r="Z759">
        <f>Source!V169</f>
        <v>0</v>
      </c>
      <c r="AA759">
        <f>Source!X169</f>
        <v>0</v>
      </c>
      <c r="AB759">
        <f>Source!Y169</f>
        <v>0</v>
      </c>
    </row>
    <row r="760" spans="1:28" ht="14.25" x14ac:dyDescent="0.2">
      <c r="C760" s="23" t="s">
        <v>1686</v>
      </c>
      <c r="D760" s="23">
        <f>Source!BC169</f>
        <v>6.56</v>
      </c>
      <c r="F760" s="12"/>
      <c r="G760" s="12"/>
      <c r="H760" s="12"/>
    </row>
    <row r="761" spans="1:28" ht="14.25" x14ac:dyDescent="0.2">
      <c r="A761" s="46">
        <v>105</v>
      </c>
      <c r="B761" s="46" t="str">
        <f>Source!E170</f>
        <v>46,2</v>
      </c>
      <c r="C761" s="46" t="str">
        <f>Source!G170</f>
        <v>Плинтуса для полов пластиковые</v>
      </c>
      <c r="D761" s="46" t="str">
        <f>Source!F170</f>
        <v>11.3.03.06</v>
      </c>
      <c r="E761" s="31" t="str">
        <f>Source!H170</f>
        <v>м</v>
      </c>
      <c r="F761" s="12">
        <f>Source!I170</f>
        <v>65.346999999999994</v>
      </c>
      <c r="G761" s="22">
        <f>Source!AB170</f>
        <v>0</v>
      </c>
      <c r="H761" s="22">
        <f>Source!O170</f>
        <v>0</v>
      </c>
      <c r="T761">
        <f>Source!O170+Source!X170+Source!Y170</f>
        <v>0</v>
      </c>
      <c r="U761">
        <f>Source!P170</f>
        <v>0</v>
      </c>
      <c r="V761">
        <f>Source!S170</f>
        <v>0</v>
      </c>
      <c r="W761">
        <f>Source!Q170</f>
        <v>0</v>
      </c>
      <c r="X761">
        <f>Source!R170</f>
        <v>0</v>
      </c>
      <c r="Y761">
        <f>Source!U170</f>
        <v>0</v>
      </c>
      <c r="Z761">
        <f>Source!V170</f>
        <v>0</v>
      </c>
      <c r="AA761">
        <f>Source!X170</f>
        <v>0</v>
      </c>
      <c r="AB761">
        <f>Source!Y170</f>
        <v>0</v>
      </c>
    </row>
    <row r="762" spans="1:28" ht="14.25" x14ac:dyDescent="0.2">
      <c r="C762" s="23" t="s">
        <v>1686</v>
      </c>
      <c r="D762" s="23">
        <f>Source!BC170</f>
        <v>6.56</v>
      </c>
      <c r="F762" s="12"/>
      <c r="G762" s="12"/>
      <c r="H762" s="12"/>
    </row>
    <row r="763" spans="1:28" ht="28.5" x14ac:dyDescent="0.2">
      <c r="A763" s="46">
        <v>106</v>
      </c>
      <c r="B763" s="46" t="str">
        <f>Source!E171</f>
        <v>47</v>
      </c>
      <c r="C763" s="46" t="str">
        <f>Source!G171</f>
        <v>Устройство плинтусов из плиток керамических</v>
      </c>
      <c r="D763" s="46" t="str">
        <f>Source!F171</f>
        <v>11-01-039-04</v>
      </c>
      <c r="E763" s="31" t="str">
        <f>Source!H171</f>
        <v>100 м</v>
      </c>
      <c r="F763" s="12">
        <f>Source!I171</f>
        <v>0.14000000000000001</v>
      </c>
      <c r="G763" s="22">
        <f>Source!AB171</f>
        <v>267.39</v>
      </c>
      <c r="H763" s="22">
        <f>Source!O171</f>
        <v>245.57</v>
      </c>
      <c r="T763">
        <f>Source!O171+Source!X171+Source!Y171</f>
        <v>667.04</v>
      </c>
      <c r="U763">
        <f>Source!P171</f>
        <v>0</v>
      </c>
      <c r="V763">
        <f>Source!S171</f>
        <v>239.25</v>
      </c>
      <c r="W763">
        <f>Source!Q171</f>
        <v>6.32</v>
      </c>
      <c r="X763">
        <f>Source!R171</f>
        <v>1.59</v>
      </c>
      <c r="Y763">
        <f>Source!U171</f>
        <v>3.8350200000000001</v>
      </c>
      <c r="Z763">
        <f>Source!V171</f>
        <v>1.9250000000000003E-2</v>
      </c>
      <c r="AA763">
        <f>Source!X171</f>
        <v>267.33</v>
      </c>
      <c r="AB763">
        <f>Source!Y171</f>
        <v>154.13999999999999</v>
      </c>
    </row>
    <row r="764" spans="1:28" ht="14.25" x14ac:dyDescent="0.2">
      <c r="C764" s="23" t="str">
        <f>"Объем: "&amp;Source!I171&amp;"=14/"&amp;"100"</f>
        <v>Объем: 0,14=14/100</v>
      </c>
      <c r="F764" s="12"/>
      <c r="G764" s="12"/>
      <c r="H764" s="12"/>
    </row>
    <row r="765" spans="1:28" x14ac:dyDescent="0.2">
      <c r="C765" s="23" t="s">
        <v>1684</v>
      </c>
      <c r="D765" s="23">
        <f>Source!BA171</f>
        <v>6.56</v>
      </c>
    </row>
    <row r="766" spans="1:28" x14ac:dyDescent="0.2">
      <c r="C766" s="23" t="s">
        <v>1685</v>
      </c>
      <c r="D766" s="23">
        <f>Source!BB171</f>
        <v>6.56</v>
      </c>
    </row>
    <row r="767" spans="1:28" x14ac:dyDescent="0.2">
      <c r="C767" s="23" t="s">
        <v>1686</v>
      </c>
      <c r="D767" s="23">
        <f>Source!BC171</f>
        <v>6.56</v>
      </c>
    </row>
    <row r="768" spans="1:28" x14ac:dyDescent="0.2">
      <c r="C768" s="23" t="s">
        <v>1687</v>
      </c>
      <c r="D768" s="23">
        <f>Source!BS171</f>
        <v>6.56</v>
      </c>
    </row>
    <row r="769" spans="1:28" x14ac:dyDescent="0.2">
      <c r="C769" s="23" t="s">
        <v>1694</v>
      </c>
      <c r="D769" s="89" t="s">
        <v>172</v>
      </c>
      <c r="E769" s="89"/>
      <c r="F769" s="89"/>
      <c r="G769" s="89"/>
      <c r="H769" s="89"/>
    </row>
    <row r="770" spans="1:28" x14ac:dyDescent="0.2">
      <c r="C770" s="23" t="s">
        <v>1695</v>
      </c>
      <c r="D770" s="89" t="s">
        <v>172</v>
      </c>
      <c r="E770" s="89"/>
      <c r="F770" s="89"/>
      <c r="G770" s="89"/>
      <c r="H770" s="89"/>
    </row>
    <row r="771" spans="1:28" x14ac:dyDescent="0.2">
      <c r="C771" s="23" t="s">
        <v>1696</v>
      </c>
      <c r="D771" s="89" t="s">
        <v>173</v>
      </c>
      <c r="E771" s="89"/>
      <c r="F771" s="89"/>
      <c r="G771" s="89"/>
      <c r="H771" s="89"/>
    </row>
    <row r="772" spans="1:28" x14ac:dyDescent="0.2">
      <c r="C772" s="23" t="s">
        <v>1697</v>
      </c>
      <c r="D772" s="89" t="s">
        <v>173</v>
      </c>
      <c r="E772" s="89"/>
      <c r="F772" s="89"/>
      <c r="G772" s="89"/>
      <c r="H772" s="89"/>
    </row>
    <row r="773" spans="1:28" x14ac:dyDescent="0.2">
      <c r="C773" s="23" t="s">
        <v>1698</v>
      </c>
      <c r="D773" s="89" t="s">
        <v>172</v>
      </c>
      <c r="E773" s="89"/>
      <c r="F773" s="89"/>
      <c r="G773" s="89"/>
      <c r="H773" s="89"/>
    </row>
    <row r="774" spans="1:28" x14ac:dyDescent="0.2">
      <c r="C774" s="9" t="s">
        <v>1688</v>
      </c>
      <c r="D774" s="34"/>
      <c r="E774" s="34"/>
      <c r="F774" s="34">
        <f>Source!BZ171</f>
        <v>123</v>
      </c>
      <c r="G774" s="58">
        <f>(Source!AF171+Source!AE171)*Source!FX171/100</f>
        <v>290.29968000000002</v>
      </c>
      <c r="H774" s="58">
        <f>Source!X171</f>
        <v>267.33</v>
      </c>
    </row>
    <row r="775" spans="1:28" x14ac:dyDescent="0.2">
      <c r="C775" s="9" t="s">
        <v>1689</v>
      </c>
      <c r="D775" s="34"/>
      <c r="E775" s="34"/>
      <c r="F775" s="34"/>
      <c r="G775" s="34" t="str">
        <f>CONCATENATE(Source!DL171,Source!FT171, "=", Source!FX171, "%")</f>
        <v>*0,9=110,7%</v>
      </c>
      <c r="H775" s="34" t="str">
        <f>CONCATENATE(Source!AT171)</f>
        <v>111</v>
      </c>
    </row>
    <row r="776" spans="1:28" x14ac:dyDescent="0.2">
      <c r="C776" s="9" t="s">
        <v>1690</v>
      </c>
      <c r="D776" s="34"/>
      <c r="E776" s="34"/>
      <c r="F776" s="34">
        <f>Source!CA171</f>
        <v>75</v>
      </c>
      <c r="G776" s="58">
        <f>(Source!AF171+Source!AE171)*Source!FY171/100</f>
        <v>167.178</v>
      </c>
      <c r="H776" s="58">
        <f>Source!Y171</f>
        <v>154.13999999999999</v>
      </c>
    </row>
    <row r="777" spans="1:28" x14ac:dyDescent="0.2">
      <c r="C777" s="9" t="s">
        <v>1691</v>
      </c>
      <c r="D777" s="34"/>
      <c r="E777" s="34"/>
      <c r="F777" s="34"/>
      <c r="G777" s="34" t="str">
        <f>CONCATENATE(Source!DM171,Source!FU171, "=", Source!FY171, "%")</f>
        <v>*0,85=63,75%</v>
      </c>
      <c r="H777" s="34" t="str">
        <f>CONCATENATE(Source!AU171)</f>
        <v>64</v>
      </c>
    </row>
    <row r="778" spans="1:28" x14ac:dyDescent="0.2">
      <c r="C778" s="9" t="s">
        <v>1692</v>
      </c>
      <c r="D778" s="34"/>
      <c r="E778" s="34"/>
      <c r="F778" s="34"/>
      <c r="G778" s="58">
        <f>((Source!AF171+Source!AE171)*Source!FX171/100)+((Source!AF171+Source!AE171)*Source!FY171/100)+Source!AB171</f>
        <v>724.86768000000006</v>
      </c>
      <c r="H778" s="58">
        <f>Source!O171+Source!X171+Source!Y171</f>
        <v>667.04</v>
      </c>
    </row>
    <row r="779" spans="1:28" ht="28.5" x14ac:dyDescent="0.2">
      <c r="A779" s="46">
        <v>107</v>
      </c>
      <c r="B779" s="46" t="str">
        <f>Source!E172</f>
        <v>47,1</v>
      </c>
      <c r="C779" s="46" t="str">
        <f>Source!G172</f>
        <v>Плитки керамические плинтусные прямые</v>
      </c>
      <c r="D779" s="46" t="str">
        <f>Source!F172</f>
        <v>06.2.05.03-0031</v>
      </c>
      <c r="E779" s="31" t="str">
        <f>Source!H172</f>
        <v>м</v>
      </c>
      <c r="F779" s="12">
        <f>Source!I172</f>
        <v>14.14</v>
      </c>
      <c r="G779" s="22">
        <f>Source!AB172</f>
        <v>23.73</v>
      </c>
      <c r="H779" s="22">
        <f>Source!O172</f>
        <v>2201.16</v>
      </c>
      <c r="T779">
        <f>Source!O172+Source!X172+Source!Y172</f>
        <v>2201.16</v>
      </c>
      <c r="U779">
        <f>Source!P172</f>
        <v>2201.16</v>
      </c>
      <c r="V779">
        <f>Source!S172</f>
        <v>0</v>
      </c>
      <c r="W779">
        <f>Source!Q172</f>
        <v>0</v>
      </c>
      <c r="X779">
        <f>Source!R172</f>
        <v>0</v>
      </c>
      <c r="Y779">
        <f>Source!U172</f>
        <v>0</v>
      </c>
      <c r="Z779">
        <f>Source!V172</f>
        <v>0</v>
      </c>
      <c r="AA779">
        <f>Source!X172</f>
        <v>0</v>
      </c>
      <c r="AB779">
        <f>Source!Y172</f>
        <v>0</v>
      </c>
    </row>
    <row r="780" spans="1:28" ht="14.25" x14ac:dyDescent="0.2">
      <c r="C780" s="23" t="s">
        <v>1686</v>
      </c>
      <c r="D780" s="23">
        <f>Source!BC172</f>
        <v>6.56</v>
      </c>
      <c r="F780" s="12"/>
      <c r="G780" s="12"/>
      <c r="H780" s="12"/>
    </row>
    <row r="781" spans="1:28" ht="14.25" x14ac:dyDescent="0.2">
      <c r="A781" s="46">
        <v>108</v>
      </c>
      <c r="B781" s="46" t="str">
        <f>Source!E173</f>
        <v>47,2</v>
      </c>
      <c r="C781" s="46" t="str">
        <f>Source!G173</f>
        <v>Плитки керамические плинтусные</v>
      </c>
      <c r="D781" s="46" t="str">
        <f>Source!F173</f>
        <v>06.2.05.03</v>
      </c>
      <c r="E781" s="31" t="str">
        <f>Source!H173</f>
        <v>м</v>
      </c>
      <c r="F781" s="12">
        <f>Source!I173</f>
        <v>14.14</v>
      </c>
      <c r="G781" s="22">
        <f>Source!AB173</f>
        <v>0</v>
      </c>
      <c r="H781" s="22">
        <f>Source!O173</f>
        <v>0</v>
      </c>
      <c r="T781">
        <f>Source!O173+Source!X173+Source!Y173</f>
        <v>0</v>
      </c>
      <c r="U781">
        <f>Source!P173</f>
        <v>0</v>
      </c>
      <c r="V781">
        <f>Source!S173</f>
        <v>0</v>
      </c>
      <c r="W781">
        <f>Source!Q173</f>
        <v>0</v>
      </c>
      <c r="X781">
        <f>Source!R173</f>
        <v>0</v>
      </c>
      <c r="Y781">
        <f>Source!U173</f>
        <v>0</v>
      </c>
      <c r="Z781">
        <f>Source!V173</f>
        <v>0</v>
      </c>
      <c r="AA781">
        <f>Source!X173</f>
        <v>0</v>
      </c>
      <c r="AB781">
        <f>Source!Y173</f>
        <v>0</v>
      </c>
    </row>
    <row r="782" spans="1:28" ht="14.25" x14ac:dyDescent="0.2">
      <c r="C782" s="23" t="s">
        <v>1686</v>
      </c>
      <c r="D782" s="23">
        <f>Source!BC173</f>
        <v>6.56</v>
      </c>
      <c r="F782" s="12"/>
      <c r="G782" s="12"/>
      <c r="H782" s="12"/>
    </row>
    <row r="783" spans="1:28" ht="28.5" x14ac:dyDescent="0.2">
      <c r="A783" s="46">
        <v>109</v>
      </c>
      <c r="B783" s="46" t="str">
        <f>Source!E174</f>
        <v>48</v>
      </c>
      <c r="C783" s="46" t="str">
        <f>Source!G174</f>
        <v>Укладка металлического накладного профиля (порога)</v>
      </c>
      <c r="D783" s="46" t="str">
        <f>Source!F174</f>
        <v>11-01-049-01</v>
      </c>
      <c r="E783" s="31" t="str">
        <f>Source!H174</f>
        <v>100 м</v>
      </c>
      <c r="F783" s="12">
        <f>Source!I174</f>
        <v>4.1000000000000002E-2</v>
      </c>
      <c r="G783" s="22">
        <f>Source!AB174</f>
        <v>247.64</v>
      </c>
      <c r="H783" s="22">
        <f>Source!O174</f>
        <v>66.599999999999994</v>
      </c>
      <c r="T783">
        <f>Source!O174+Source!X174+Source!Y174</f>
        <v>145.32</v>
      </c>
      <c r="U783">
        <f>Source!P174</f>
        <v>21.62</v>
      </c>
      <c r="V783">
        <f>Source!S174</f>
        <v>44.98</v>
      </c>
      <c r="W783">
        <f>Source!Q174</f>
        <v>0</v>
      </c>
      <c r="X783">
        <f>Source!R174</f>
        <v>0</v>
      </c>
      <c r="Y783">
        <f>Source!U174</f>
        <v>0.78457600000000005</v>
      </c>
      <c r="Z783">
        <f>Source!V174</f>
        <v>0</v>
      </c>
      <c r="AA783">
        <f>Source!X174</f>
        <v>49.93</v>
      </c>
      <c r="AB783">
        <f>Source!Y174</f>
        <v>28.79</v>
      </c>
    </row>
    <row r="784" spans="1:28" ht="14.25" x14ac:dyDescent="0.2">
      <c r="C784" s="23" t="str">
        <f>"Объем: "&amp;Source!I174&amp;"=4,1/"&amp;"100"</f>
        <v>Объем: 0,041=4,1/100</v>
      </c>
      <c r="F784" s="12"/>
      <c r="G784" s="12"/>
      <c r="H784" s="12"/>
    </row>
    <row r="785" spans="1:28" x14ac:dyDescent="0.2">
      <c r="C785" s="23" t="s">
        <v>1684</v>
      </c>
      <c r="D785" s="23">
        <f>Source!BA174</f>
        <v>6.56</v>
      </c>
    </row>
    <row r="786" spans="1:28" x14ac:dyDescent="0.2">
      <c r="C786" s="23" t="s">
        <v>1685</v>
      </c>
      <c r="D786" s="23">
        <f>Source!BB174</f>
        <v>6.56</v>
      </c>
    </row>
    <row r="787" spans="1:28" x14ac:dyDescent="0.2">
      <c r="C787" s="23" t="s">
        <v>1686</v>
      </c>
      <c r="D787" s="23">
        <f>Source!BC174</f>
        <v>6.56</v>
      </c>
    </row>
    <row r="788" spans="1:28" x14ac:dyDescent="0.2">
      <c r="C788" s="23" t="s">
        <v>1687</v>
      </c>
      <c r="D788" s="23">
        <f>Source!BS174</f>
        <v>6.56</v>
      </c>
    </row>
    <row r="789" spans="1:28" x14ac:dyDescent="0.2">
      <c r="C789" s="23" t="s">
        <v>1694</v>
      </c>
      <c r="D789" s="89" t="s">
        <v>172</v>
      </c>
      <c r="E789" s="89"/>
      <c r="F789" s="89"/>
      <c r="G789" s="89"/>
      <c r="H789" s="89"/>
    </row>
    <row r="790" spans="1:28" x14ac:dyDescent="0.2">
      <c r="C790" s="23" t="s">
        <v>1695</v>
      </c>
      <c r="D790" s="89" t="s">
        <v>172</v>
      </c>
      <c r="E790" s="89"/>
      <c r="F790" s="89"/>
      <c r="G790" s="89"/>
      <c r="H790" s="89"/>
    </row>
    <row r="791" spans="1:28" x14ac:dyDescent="0.2">
      <c r="C791" s="23" t="s">
        <v>1696</v>
      </c>
      <c r="D791" s="89" t="s">
        <v>173</v>
      </c>
      <c r="E791" s="89"/>
      <c r="F791" s="89"/>
      <c r="G791" s="89"/>
      <c r="H791" s="89"/>
    </row>
    <row r="792" spans="1:28" x14ac:dyDescent="0.2">
      <c r="C792" s="23" t="s">
        <v>1697</v>
      </c>
      <c r="D792" s="89" t="s">
        <v>173</v>
      </c>
      <c r="E792" s="89"/>
      <c r="F792" s="89"/>
      <c r="G792" s="89"/>
      <c r="H792" s="89"/>
    </row>
    <row r="793" spans="1:28" x14ac:dyDescent="0.2">
      <c r="C793" s="23" t="s">
        <v>1698</v>
      </c>
      <c r="D793" s="89" t="s">
        <v>172</v>
      </c>
      <c r="E793" s="89"/>
      <c r="F793" s="89"/>
      <c r="G793" s="89"/>
      <c r="H793" s="89"/>
    </row>
    <row r="794" spans="1:28" x14ac:dyDescent="0.2">
      <c r="C794" s="9" t="s">
        <v>1688</v>
      </c>
      <c r="D794" s="34"/>
      <c r="E794" s="34"/>
      <c r="F794" s="34">
        <f>Source!BZ174</f>
        <v>123</v>
      </c>
      <c r="G794" s="58">
        <f>(Source!AF174+Source!AE174)*Source!FX174/100</f>
        <v>185.13468</v>
      </c>
      <c r="H794" s="58">
        <f>Source!X174</f>
        <v>49.93</v>
      </c>
    </row>
    <row r="795" spans="1:28" x14ac:dyDescent="0.2">
      <c r="C795" s="9" t="s">
        <v>1689</v>
      </c>
      <c r="D795" s="34"/>
      <c r="E795" s="34"/>
      <c r="F795" s="34"/>
      <c r="G795" s="34" t="str">
        <f>CONCATENATE(Source!DL174,Source!FT174, "=", Source!FX174, "%")</f>
        <v>*0,9=110,7%</v>
      </c>
      <c r="H795" s="34" t="str">
        <f>CONCATENATE(Source!AT174)</f>
        <v>111</v>
      </c>
    </row>
    <row r="796" spans="1:28" x14ac:dyDescent="0.2">
      <c r="C796" s="9" t="s">
        <v>1690</v>
      </c>
      <c r="D796" s="34"/>
      <c r="E796" s="34"/>
      <c r="F796" s="34">
        <f>Source!CA174</f>
        <v>75</v>
      </c>
      <c r="G796" s="58">
        <f>(Source!AF174+Source!AE174)*Source!FY174/100</f>
        <v>106.61550000000001</v>
      </c>
      <c r="H796" s="58">
        <f>Source!Y174</f>
        <v>28.79</v>
      </c>
    </row>
    <row r="797" spans="1:28" x14ac:dyDescent="0.2">
      <c r="C797" s="9" t="s">
        <v>1691</v>
      </c>
      <c r="D797" s="34"/>
      <c r="E797" s="34"/>
      <c r="F797" s="34"/>
      <c r="G797" s="34" t="str">
        <f>CONCATENATE(Source!DM174,Source!FU174, "=", Source!FY174, "%")</f>
        <v>*0,85=63,75%</v>
      </c>
      <c r="H797" s="34" t="str">
        <f>CONCATENATE(Source!AU174)</f>
        <v>64</v>
      </c>
    </row>
    <row r="798" spans="1:28" x14ac:dyDescent="0.2">
      <c r="C798" s="9" t="s">
        <v>1692</v>
      </c>
      <c r="D798" s="34"/>
      <c r="E798" s="34"/>
      <c r="F798" s="34"/>
      <c r="G798" s="58">
        <f>((Source!AF174+Source!AE174)*Source!FX174/100)+((Source!AF174+Source!AE174)*Source!FY174/100)+Source!AB174</f>
        <v>539.39017999999999</v>
      </c>
      <c r="H798" s="58">
        <f>Source!O174+Source!X174+Source!Y174</f>
        <v>145.32</v>
      </c>
    </row>
    <row r="799" spans="1:28" ht="57" x14ac:dyDescent="0.2">
      <c r="A799" s="46">
        <v>110</v>
      </c>
      <c r="B799" s="46" t="str">
        <f>Source!E175</f>
        <v>48,1</v>
      </c>
      <c r="C799" s="46" t="str">
        <f>Source!G175</f>
        <v>Профили стыкоперекрывающие из алюминиевых сплавов (порожки) с покрытием и антискользящей вставкой, шириной 39 мм, длиной 0,9 м</v>
      </c>
      <c r="D799" s="46" t="str">
        <f>Source!F175</f>
        <v>09.2.03.02-0001</v>
      </c>
      <c r="E799" s="31" t="str">
        <f>Source!H175</f>
        <v>шт.</v>
      </c>
      <c r="F799" s="12">
        <f>Source!I175</f>
        <v>4</v>
      </c>
      <c r="G799" s="22">
        <f>Source!AB175</f>
        <v>15.07</v>
      </c>
      <c r="H799" s="22">
        <f>Source!O175</f>
        <v>395.44</v>
      </c>
      <c r="T799">
        <f>Source!O175+Source!X175+Source!Y175</f>
        <v>395.44</v>
      </c>
      <c r="U799">
        <f>Source!P175</f>
        <v>395.44</v>
      </c>
      <c r="V799">
        <f>Source!S175</f>
        <v>0</v>
      </c>
      <c r="W799">
        <f>Source!Q175</f>
        <v>0</v>
      </c>
      <c r="X799">
        <f>Source!R175</f>
        <v>0</v>
      </c>
      <c r="Y799">
        <f>Source!U175</f>
        <v>0</v>
      </c>
      <c r="Z799">
        <f>Source!V175</f>
        <v>0</v>
      </c>
      <c r="AA799">
        <f>Source!X175</f>
        <v>0</v>
      </c>
      <c r="AB799">
        <f>Source!Y175</f>
        <v>0</v>
      </c>
    </row>
    <row r="800" spans="1:28" ht="14.25" x14ac:dyDescent="0.2">
      <c r="C800" s="23" t="s">
        <v>1686</v>
      </c>
      <c r="D800" s="23">
        <f>Source!BC175</f>
        <v>6.56</v>
      </c>
      <c r="F800" s="12"/>
      <c r="G800" s="12"/>
      <c r="H800" s="12"/>
    </row>
    <row r="801" spans="1:28" ht="57" x14ac:dyDescent="0.2">
      <c r="A801" s="46">
        <v>111</v>
      </c>
      <c r="B801" s="46" t="str">
        <f>Source!E176</f>
        <v>48,2</v>
      </c>
      <c r="C801" s="46" t="str">
        <f>Source!G176</f>
        <v>Профили стыкоперекрывающие из алюминиевых сплавов (порожки) с покрытием и антискользящей вставкой, шириной 39 мм, длиной 1,8 м</v>
      </c>
      <c r="D801" s="46" t="str">
        <f>Source!F176</f>
        <v>09.2.03.02-0002</v>
      </c>
      <c r="E801" s="31" t="str">
        <f>Source!H176</f>
        <v>шт.</v>
      </c>
      <c r="F801" s="12">
        <f>Source!I176</f>
        <v>1</v>
      </c>
      <c r="G801" s="22">
        <f>Source!AB176</f>
        <v>31.28</v>
      </c>
      <c r="H801" s="22">
        <f>Source!O176</f>
        <v>205.2</v>
      </c>
      <c r="T801">
        <f>Source!O176+Source!X176+Source!Y176</f>
        <v>205.2</v>
      </c>
      <c r="U801">
        <f>Source!P176</f>
        <v>205.2</v>
      </c>
      <c r="V801">
        <f>Source!S176</f>
        <v>0</v>
      </c>
      <c r="W801">
        <f>Source!Q176</f>
        <v>0</v>
      </c>
      <c r="X801">
        <f>Source!R176</f>
        <v>0</v>
      </c>
      <c r="Y801">
        <f>Source!U176</f>
        <v>0</v>
      </c>
      <c r="Z801">
        <f>Source!V176</f>
        <v>0</v>
      </c>
      <c r="AA801">
        <f>Source!X176</f>
        <v>0</v>
      </c>
      <c r="AB801">
        <f>Source!Y176</f>
        <v>0</v>
      </c>
    </row>
    <row r="802" spans="1:28" ht="14.25" x14ac:dyDescent="0.2">
      <c r="C802" s="23" t="s">
        <v>1686</v>
      </c>
      <c r="D802" s="23">
        <f>Source!BC176</f>
        <v>6.56</v>
      </c>
      <c r="F802" s="12"/>
      <c r="G802" s="12"/>
      <c r="H802" s="12"/>
    </row>
    <row r="803" spans="1:28" ht="42.75" x14ac:dyDescent="0.2">
      <c r="A803" s="46">
        <v>112</v>
      </c>
      <c r="B803" s="46" t="str">
        <f>Source!E177</f>
        <v>48,3</v>
      </c>
      <c r="C803" s="46" t="str">
        <f>Source!G177</f>
        <v>Профили стыкоперекрывающие из алюминиевых сплавов (порожки) с покрытием</v>
      </c>
      <c r="D803" s="46" t="str">
        <f>Source!F177</f>
        <v>09.2.03.02</v>
      </c>
      <c r="E803" s="31" t="str">
        <f>Source!H177</f>
        <v>м</v>
      </c>
      <c r="F803" s="12">
        <f>Source!I177</f>
        <v>4.3049999999999997</v>
      </c>
      <c r="G803" s="22">
        <f>Source!AB177</f>
        <v>0</v>
      </c>
      <c r="H803" s="22">
        <f>Source!O177</f>
        <v>0</v>
      </c>
      <c r="T803">
        <f>Source!O177+Source!X177+Source!Y177</f>
        <v>0</v>
      </c>
      <c r="U803">
        <f>Source!P177</f>
        <v>0</v>
      </c>
      <c r="V803">
        <f>Source!S177</f>
        <v>0</v>
      </c>
      <c r="W803">
        <f>Source!Q177</f>
        <v>0</v>
      </c>
      <c r="X803">
        <f>Source!R177</f>
        <v>0</v>
      </c>
      <c r="Y803">
        <f>Source!U177</f>
        <v>0</v>
      </c>
      <c r="Z803">
        <f>Source!V177</f>
        <v>0</v>
      </c>
      <c r="AA803">
        <f>Source!X177</f>
        <v>0</v>
      </c>
      <c r="AB803">
        <f>Source!Y177</f>
        <v>0</v>
      </c>
    </row>
    <row r="804" spans="1:28" ht="14.25" x14ac:dyDescent="0.2">
      <c r="C804" s="23" t="s">
        <v>1686</v>
      </c>
      <c r="D804" s="23">
        <f>Source!BC177</f>
        <v>6.56</v>
      </c>
      <c r="F804" s="12"/>
      <c r="G804" s="12"/>
      <c r="H804" s="12"/>
    </row>
    <row r="805" spans="1:28" ht="42.75" x14ac:dyDescent="0.2">
      <c r="A805" s="46">
        <v>113</v>
      </c>
      <c r="B805" s="46" t="str">
        <f>Source!E178</f>
        <v>49</v>
      </c>
      <c r="C805" s="46" t="str">
        <f>Source!G178</f>
        <v>Устройство подвесных потолков типа &lt;Армстронг&gt; по каркасу из оцинкованного профиля</v>
      </c>
      <c r="D805" s="46" t="str">
        <f>Source!F178</f>
        <v>15-01-047-15</v>
      </c>
      <c r="E805" s="31" t="str">
        <f>Source!H178</f>
        <v>100 м2</v>
      </c>
      <c r="F805" s="12">
        <f>Source!I178</f>
        <v>1.24</v>
      </c>
      <c r="G805" s="22">
        <f>Source!AB178</f>
        <v>6848.88</v>
      </c>
      <c r="H805" s="22">
        <f>Source!O178</f>
        <v>55711.53</v>
      </c>
      <c r="T805">
        <f>Source!O178+Source!X178+Source!Y178</f>
        <v>69420.42</v>
      </c>
      <c r="U805">
        <f>Source!P178</f>
        <v>43400.28</v>
      </c>
      <c r="V805">
        <f>Source!S178</f>
        <v>9009.58</v>
      </c>
      <c r="W805">
        <f>Source!Q178</f>
        <v>3301.67</v>
      </c>
      <c r="X805">
        <f>Source!R178</f>
        <v>644.57000000000005</v>
      </c>
      <c r="Y805">
        <f>Source!U178</f>
        <v>146.10795999999996</v>
      </c>
      <c r="Z805">
        <f>Source!V178</f>
        <v>8.2769999999999992</v>
      </c>
      <c r="AA805">
        <f>Source!X178</f>
        <v>9171.44</v>
      </c>
      <c r="AB805">
        <f>Source!Y178</f>
        <v>4537.45</v>
      </c>
    </row>
    <row r="806" spans="1:28" ht="14.25" x14ac:dyDescent="0.2">
      <c r="C806" s="23" t="str">
        <f>"Объем: "&amp;Source!I178&amp;"=124/"&amp;"100"</f>
        <v>Объем: 1,24=124/100</v>
      </c>
      <c r="F806" s="12"/>
      <c r="G806" s="12"/>
      <c r="H806" s="12"/>
    </row>
    <row r="807" spans="1:28" x14ac:dyDescent="0.2">
      <c r="C807" s="23" t="s">
        <v>1684</v>
      </c>
      <c r="D807" s="23">
        <f>Source!BA178</f>
        <v>6.56</v>
      </c>
    </row>
    <row r="808" spans="1:28" x14ac:dyDescent="0.2">
      <c r="C808" s="23" t="s">
        <v>1685</v>
      </c>
      <c r="D808" s="23">
        <f>Source!BB178</f>
        <v>6.56</v>
      </c>
    </row>
    <row r="809" spans="1:28" x14ac:dyDescent="0.2">
      <c r="C809" s="23" t="s">
        <v>1686</v>
      </c>
      <c r="D809" s="23">
        <f>Source!BC178</f>
        <v>6.56</v>
      </c>
    </row>
    <row r="810" spans="1:28" x14ac:dyDescent="0.2">
      <c r="C810" s="23" t="s">
        <v>1687</v>
      </c>
      <c r="D810" s="23">
        <f>Source!BS178</f>
        <v>6.56</v>
      </c>
    </row>
    <row r="811" spans="1:28" x14ac:dyDescent="0.2">
      <c r="C811" s="23" t="s">
        <v>1694</v>
      </c>
      <c r="D811" s="89" t="s">
        <v>172</v>
      </c>
      <c r="E811" s="89"/>
      <c r="F811" s="89"/>
      <c r="G811" s="89"/>
      <c r="H811" s="89"/>
    </row>
    <row r="812" spans="1:28" x14ac:dyDescent="0.2">
      <c r="C812" s="23" t="s">
        <v>1695</v>
      </c>
      <c r="D812" s="89" t="s">
        <v>172</v>
      </c>
      <c r="E812" s="89"/>
      <c r="F812" s="89"/>
      <c r="G812" s="89"/>
      <c r="H812" s="89"/>
    </row>
    <row r="813" spans="1:28" x14ac:dyDescent="0.2">
      <c r="C813" s="23" t="s">
        <v>1696</v>
      </c>
      <c r="D813" s="89" t="s">
        <v>173</v>
      </c>
      <c r="E813" s="89"/>
      <c r="F813" s="89"/>
      <c r="G813" s="89"/>
      <c r="H813" s="89"/>
    </row>
    <row r="814" spans="1:28" x14ac:dyDescent="0.2">
      <c r="C814" s="23" t="s">
        <v>1697</v>
      </c>
      <c r="D814" s="89" t="s">
        <v>173</v>
      </c>
      <c r="E814" s="89"/>
      <c r="F814" s="89"/>
      <c r="G814" s="89"/>
      <c r="H814" s="89"/>
    </row>
    <row r="815" spans="1:28" x14ac:dyDescent="0.2">
      <c r="C815" s="23" t="s">
        <v>1698</v>
      </c>
      <c r="D815" s="89" t="s">
        <v>172</v>
      </c>
      <c r="E815" s="89"/>
      <c r="F815" s="89"/>
      <c r="G815" s="89"/>
      <c r="H815" s="89"/>
    </row>
    <row r="816" spans="1:28" x14ac:dyDescent="0.2">
      <c r="C816" s="9" t="s">
        <v>1688</v>
      </c>
      <c r="D816" s="34"/>
      <c r="E816" s="34"/>
      <c r="F816" s="34">
        <f>Source!BZ178</f>
        <v>105</v>
      </c>
      <c r="G816" s="58">
        <f>(Source!AF178+Source!AE178)*Source!FX178/100</f>
        <v>1121.5543499999999</v>
      </c>
      <c r="H816" s="58">
        <f>Source!X178</f>
        <v>9171.44</v>
      </c>
    </row>
    <row r="817" spans="1:28" x14ac:dyDescent="0.2">
      <c r="C817" s="9" t="s">
        <v>1689</v>
      </c>
      <c r="D817" s="34"/>
      <c r="E817" s="34"/>
      <c r="F817" s="34"/>
      <c r="G817" s="34" t="str">
        <f>CONCATENATE(Source!DL178,Source!FT178, "=", Source!FX178, "%")</f>
        <v>*0,9=94,5%</v>
      </c>
      <c r="H817" s="34" t="str">
        <f>CONCATENATE(Source!AT178)</f>
        <v>95</v>
      </c>
    </row>
    <row r="818" spans="1:28" x14ac:dyDescent="0.2">
      <c r="C818" s="9" t="s">
        <v>1690</v>
      </c>
      <c r="D818" s="34"/>
      <c r="E818" s="34"/>
      <c r="F818" s="34">
        <f>Source!CA178</f>
        <v>55</v>
      </c>
      <c r="G818" s="58">
        <f>(Source!AF178+Source!AE178)*Source!FY178/100</f>
        <v>554.84302500000001</v>
      </c>
      <c r="H818" s="58">
        <f>Source!Y178</f>
        <v>4537.45</v>
      </c>
    </row>
    <row r="819" spans="1:28" x14ac:dyDescent="0.2">
      <c r="C819" s="9" t="s">
        <v>1691</v>
      </c>
      <c r="D819" s="34"/>
      <c r="E819" s="34"/>
      <c r="F819" s="34"/>
      <c r="G819" s="34" t="str">
        <f>CONCATENATE(Source!DM178,Source!FU178, "=", Source!FY178, "%")</f>
        <v>*0,85=46,75%</v>
      </c>
      <c r="H819" s="34" t="str">
        <f>CONCATENATE(Source!AU178)</f>
        <v>47</v>
      </c>
    </row>
    <row r="820" spans="1:28" x14ac:dyDescent="0.2">
      <c r="C820" s="9" t="s">
        <v>1692</v>
      </c>
      <c r="D820" s="34"/>
      <c r="E820" s="34"/>
      <c r="F820" s="34"/>
      <c r="G820" s="58">
        <f>((Source!AF178+Source!AE178)*Source!FX178/100)+((Source!AF178+Source!AE178)*Source!FY178/100)+Source!AB178</f>
        <v>8525.2773749999997</v>
      </c>
      <c r="H820" s="58">
        <f>Source!O178+Source!X178+Source!Y178</f>
        <v>69420.42</v>
      </c>
    </row>
    <row r="821" spans="1:28" ht="28.5" x14ac:dyDescent="0.2">
      <c r="A821" s="46">
        <v>114</v>
      </c>
      <c r="B821" s="46" t="str">
        <f>Source!E179</f>
        <v>50</v>
      </c>
      <c r="C821" s="46" t="str">
        <f>Source!G179</f>
        <v>Устройство потолков реечных алюминиевых прим.</v>
      </c>
      <c r="D821" s="46" t="str">
        <f>Source!F179</f>
        <v>15-01-047-16</v>
      </c>
      <c r="E821" s="31" t="str">
        <f>Source!H179</f>
        <v>100 м2</v>
      </c>
      <c r="F821" s="12">
        <f>Source!I179</f>
        <v>0.114</v>
      </c>
      <c r="G821" s="22">
        <f>Source!AB179</f>
        <v>29606.3</v>
      </c>
      <c r="H821" s="22">
        <f>Source!O179</f>
        <v>22140.78</v>
      </c>
      <c r="T821">
        <f>Source!O179+Source!X179+Source!Y179</f>
        <v>23391.329999999998</v>
      </c>
      <c r="U821">
        <f>Source!P179</f>
        <v>21125.51</v>
      </c>
      <c r="V821">
        <f>Source!S179</f>
        <v>876</v>
      </c>
      <c r="W821">
        <f>Source!Q179</f>
        <v>139.27000000000001</v>
      </c>
      <c r="X821">
        <f>Source!R179</f>
        <v>4.67</v>
      </c>
      <c r="Y821">
        <f>Source!U179</f>
        <v>14.205995999999999</v>
      </c>
      <c r="Z821">
        <f>Source!V179</f>
        <v>5.5575000000000006E-2</v>
      </c>
      <c r="AA821">
        <f>Source!X179</f>
        <v>836.64</v>
      </c>
      <c r="AB821">
        <f>Source!Y179</f>
        <v>413.91</v>
      </c>
    </row>
    <row r="822" spans="1:28" ht="14.25" x14ac:dyDescent="0.2">
      <c r="C822" s="23" t="str">
        <f>"Объем: "&amp;Source!I179&amp;"=11,4/"&amp;"100"</f>
        <v>Объем: 0,114=11,4/100</v>
      </c>
      <c r="F822" s="12"/>
      <c r="G822" s="12"/>
      <c r="H822" s="12"/>
    </row>
    <row r="823" spans="1:28" x14ac:dyDescent="0.2">
      <c r="C823" s="23" t="s">
        <v>1684</v>
      </c>
      <c r="D823" s="23">
        <f>Source!BA179</f>
        <v>6.56</v>
      </c>
    </row>
    <row r="824" spans="1:28" x14ac:dyDescent="0.2">
      <c r="C824" s="23" t="s">
        <v>1685</v>
      </c>
      <c r="D824" s="23">
        <f>Source!BB179</f>
        <v>6.56</v>
      </c>
    </row>
    <row r="825" spans="1:28" x14ac:dyDescent="0.2">
      <c r="C825" s="23" t="s">
        <v>1686</v>
      </c>
      <c r="D825" s="23">
        <f>Source!BC179</f>
        <v>6.56</v>
      </c>
    </row>
    <row r="826" spans="1:28" x14ac:dyDescent="0.2">
      <c r="C826" s="23" t="s">
        <v>1687</v>
      </c>
      <c r="D826" s="23">
        <f>Source!BS179</f>
        <v>6.56</v>
      </c>
    </row>
    <row r="827" spans="1:28" x14ac:dyDescent="0.2">
      <c r="C827" s="23" t="s">
        <v>1694</v>
      </c>
      <c r="D827" s="89" t="s">
        <v>172</v>
      </c>
      <c r="E827" s="89"/>
      <c r="F827" s="89"/>
      <c r="G827" s="89"/>
      <c r="H827" s="89"/>
    </row>
    <row r="828" spans="1:28" x14ac:dyDescent="0.2">
      <c r="C828" s="23" t="s">
        <v>1695</v>
      </c>
      <c r="D828" s="89" t="s">
        <v>172</v>
      </c>
      <c r="E828" s="89"/>
      <c r="F828" s="89"/>
      <c r="G828" s="89"/>
      <c r="H828" s="89"/>
    </row>
    <row r="829" spans="1:28" x14ac:dyDescent="0.2">
      <c r="C829" s="23" t="s">
        <v>1696</v>
      </c>
      <c r="D829" s="89" t="s">
        <v>173</v>
      </c>
      <c r="E829" s="89"/>
      <c r="F829" s="89"/>
      <c r="G829" s="89"/>
      <c r="H829" s="89"/>
    </row>
    <row r="830" spans="1:28" x14ac:dyDescent="0.2">
      <c r="C830" s="23" t="s">
        <v>1697</v>
      </c>
      <c r="D830" s="89" t="s">
        <v>173</v>
      </c>
      <c r="E830" s="89"/>
      <c r="F830" s="89"/>
      <c r="G830" s="89"/>
      <c r="H830" s="89"/>
    </row>
    <row r="831" spans="1:28" x14ac:dyDescent="0.2">
      <c r="C831" s="23" t="s">
        <v>1698</v>
      </c>
      <c r="D831" s="89" t="s">
        <v>172</v>
      </c>
      <c r="E831" s="89"/>
      <c r="F831" s="89"/>
      <c r="G831" s="89"/>
      <c r="H831" s="89"/>
    </row>
    <row r="832" spans="1:28" x14ac:dyDescent="0.2">
      <c r="C832" s="9" t="s">
        <v>1688</v>
      </c>
      <c r="D832" s="34"/>
      <c r="E832" s="34"/>
      <c r="F832" s="34">
        <f>Source!BZ179</f>
        <v>105</v>
      </c>
      <c r="G832" s="58">
        <f>(Source!AF179+Source!AE179)*Source!FX179/100</f>
        <v>1112.8508999999999</v>
      </c>
      <c r="H832" s="58">
        <f>Source!X179</f>
        <v>836.64</v>
      </c>
    </row>
    <row r="833" spans="1:28" x14ac:dyDescent="0.2">
      <c r="C833" s="9" t="s">
        <v>1689</v>
      </c>
      <c r="D833" s="34"/>
      <c r="E833" s="34"/>
      <c r="F833" s="34"/>
      <c r="G833" s="34" t="str">
        <f>CONCATENATE(Source!DL179,Source!FT179, "=", Source!FX179, "%")</f>
        <v>*0,9=94,5%</v>
      </c>
      <c r="H833" s="34" t="str">
        <f>CONCATENATE(Source!AT179)</f>
        <v>95</v>
      </c>
    </row>
    <row r="834" spans="1:28" x14ac:dyDescent="0.2">
      <c r="C834" s="9" t="s">
        <v>1690</v>
      </c>
      <c r="D834" s="34"/>
      <c r="E834" s="34"/>
      <c r="F834" s="34">
        <f>Source!CA179</f>
        <v>55</v>
      </c>
      <c r="G834" s="58">
        <f>(Source!AF179+Source!AE179)*Source!FY179/100</f>
        <v>550.53734999999995</v>
      </c>
      <c r="H834" s="58">
        <f>Source!Y179</f>
        <v>413.91</v>
      </c>
    </row>
    <row r="835" spans="1:28" x14ac:dyDescent="0.2">
      <c r="C835" s="9" t="s">
        <v>1691</v>
      </c>
      <c r="D835" s="34"/>
      <c r="E835" s="34"/>
      <c r="F835" s="34"/>
      <c r="G835" s="34" t="str">
        <f>CONCATENATE(Source!DM179,Source!FU179, "=", Source!FY179, "%")</f>
        <v>*0,85=46,75%</v>
      </c>
      <c r="H835" s="34" t="str">
        <f>CONCATENATE(Source!AU179)</f>
        <v>47</v>
      </c>
    </row>
    <row r="836" spans="1:28" x14ac:dyDescent="0.2">
      <c r="C836" s="9" t="s">
        <v>1692</v>
      </c>
      <c r="D836" s="34"/>
      <c r="E836" s="34"/>
      <c r="F836" s="34"/>
      <c r="G836" s="58">
        <f>((Source!AF179+Source!AE179)*Source!FX179/100)+((Source!AF179+Source!AE179)*Source!FY179/100)+Source!AB179</f>
        <v>31269.688249999999</v>
      </c>
      <c r="H836" s="58">
        <f>Source!O179+Source!X179+Source!Y179</f>
        <v>23391.329999999998</v>
      </c>
    </row>
    <row r="837" spans="1:28" ht="28.5" x14ac:dyDescent="0.2">
      <c r="A837" s="46">
        <v>115</v>
      </c>
      <c r="B837" s="46" t="str">
        <f>Source!E180</f>
        <v>50,1</v>
      </c>
      <c r="C837" s="46" t="str">
        <f>Source!G180</f>
        <v>Уголок декоративный (пристенный)</v>
      </c>
      <c r="D837" s="46" t="str">
        <f>Source!F180</f>
        <v>09.2.01.05-0091</v>
      </c>
      <c r="E837" s="31" t="str">
        <f>Source!H180</f>
        <v>м</v>
      </c>
      <c r="F837" s="12">
        <f>Source!I180</f>
        <v>6.5068489999999999</v>
      </c>
      <c r="G837" s="22">
        <f>Source!AB180</f>
        <v>6.28</v>
      </c>
      <c r="H837" s="22">
        <f>Source!O180</f>
        <v>268.06</v>
      </c>
      <c r="T837">
        <f>Source!O180+Source!X180+Source!Y180</f>
        <v>268.06</v>
      </c>
      <c r="U837">
        <f>Source!P180</f>
        <v>268.06</v>
      </c>
      <c r="V837">
        <f>Source!S180</f>
        <v>0</v>
      </c>
      <c r="W837">
        <f>Source!Q180</f>
        <v>0</v>
      </c>
      <c r="X837">
        <f>Source!R180</f>
        <v>0</v>
      </c>
      <c r="Y837">
        <f>Source!U180</f>
        <v>0</v>
      </c>
      <c r="Z837">
        <f>Source!V180</f>
        <v>0</v>
      </c>
      <c r="AA837">
        <f>Source!X180</f>
        <v>0</v>
      </c>
      <c r="AB837">
        <f>Source!Y180</f>
        <v>0</v>
      </c>
    </row>
    <row r="838" spans="1:28" ht="14.25" x14ac:dyDescent="0.2">
      <c r="C838" s="23" t="s">
        <v>1686</v>
      </c>
      <c r="D838" s="23">
        <f>Source!BC180</f>
        <v>6.56</v>
      </c>
      <c r="F838" s="12"/>
      <c r="G838" s="12"/>
      <c r="H838" s="12"/>
    </row>
    <row r="839" spans="1:28" ht="42.75" x14ac:dyDescent="0.2">
      <c r="A839" s="46">
        <v>116</v>
      </c>
      <c r="B839" s="46" t="str">
        <f>Source!E181</f>
        <v>50,2</v>
      </c>
      <c r="C839" s="46" t="s">
        <v>1701</v>
      </c>
      <c r="D839" s="46" t="str">
        <f>Source!F181</f>
        <v>09.2.02.02-0011</v>
      </c>
      <c r="E839" s="31" t="str">
        <f>Source!H181</f>
        <v>м</v>
      </c>
      <c r="F839" s="12">
        <f>Source!I181</f>
        <v>-119.7</v>
      </c>
      <c r="G839" s="22">
        <f>Source!AB181</f>
        <v>24.71</v>
      </c>
      <c r="H839" s="22">
        <f>Source!O181</f>
        <v>-19403.080000000002</v>
      </c>
      <c r="T839">
        <f>Source!O181+Source!X181+Source!Y181</f>
        <v>-19403.080000000002</v>
      </c>
      <c r="U839">
        <f>Source!P181</f>
        <v>-19403.080000000002</v>
      </c>
      <c r="V839">
        <f>Source!S181</f>
        <v>0</v>
      </c>
      <c r="W839">
        <f>Source!Q181</f>
        <v>0</v>
      </c>
      <c r="X839">
        <f>Source!R181</f>
        <v>0</v>
      </c>
      <c r="Y839">
        <f>Source!U181</f>
        <v>0</v>
      </c>
      <c r="Z839">
        <f>Source!V181</f>
        <v>0</v>
      </c>
      <c r="AA839">
        <f>Source!X181</f>
        <v>0</v>
      </c>
      <c r="AB839">
        <f>Source!Y181</f>
        <v>0</v>
      </c>
    </row>
    <row r="840" spans="1:28" ht="14.25" x14ac:dyDescent="0.2">
      <c r="C840" s="23" t="s">
        <v>1686</v>
      </c>
      <c r="D840" s="23">
        <f>Source!BC181</f>
        <v>6.56</v>
      </c>
      <c r="F840" s="12"/>
      <c r="G840" s="12"/>
      <c r="H840" s="12"/>
    </row>
    <row r="841" spans="1:28" ht="28.5" x14ac:dyDescent="0.2">
      <c r="A841" s="46">
        <v>117</v>
      </c>
      <c r="B841" s="46" t="str">
        <f>Source!E182</f>
        <v>50,3</v>
      </c>
      <c r="C841" s="46" t="str">
        <f>Source!G182</f>
        <v>Комплекты элементов потолков реечных "Албест" АР 600А 6/45  прим.</v>
      </c>
      <c r="D841" s="46" t="str">
        <f>Source!F182</f>
        <v>09.2.02.02-0010</v>
      </c>
      <c r="E841" s="31" t="str">
        <f>Source!H182</f>
        <v>100 м2</v>
      </c>
      <c r="F841" s="12">
        <f>Source!I182</f>
        <v>0.114</v>
      </c>
      <c r="G841" s="22">
        <f>Source!AB182</f>
        <v>16943</v>
      </c>
      <c r="H841" s="22">
        <f>Source!O182</f>
        <v>12670.65</v>
      </c>
      <c r="T841">
        <f>Source!O182+Source!X182+Source!Y182</f>
        <v>12670.65</v>
      </c>
      <c r="U841">
        <f>Source!P182</f>
        <v>12670.65</v>
      </c>
      <c r="V841">
        <f>Source!S182</f>
        <v>0</v>
      </c>
      <c r="W841">
        <f>Source!Q182</f>
        <v>0</v>
      </c>
      <c r="X841">
        <f>Source!R182</f>
        <v>0</v>
      </c>
      <c r="Y841">
        <f>Source!U182</f>
        <v>0</v>
      </c>
      <c r="Z841">
        <f>Source!V182</f>
        <v>0</v>
      </c>
      <c r="AA841">
        <f>Source!X182</f>
        <v>0</v>
      </c>
      <c r="AB841">
        <f>Source!Y182</f>
        <v>0</v>
      </c>
    </row>
    <row r="842" spans="1:28" ht="14.25" x14ac:dyDescent="0.2">
      <c r="C842" s="23" t="s">
        <v>1686</v>
      </c>
      <c r="D842" s="23">
        <f>Source!BC182</f>
        <v>6.56</v>
      </c>
      <c r="F842" s="12"/>
      <c r="G842" s="12"/>
      <c r="H842" s="12"/>
    </row>
    <row r="843" spans="1:28" ht="28.5" x14ac:dyDescent="0.2">
      <c r="A843" s="46">
        <v>118</v>
      </c>
      <c r="B843" s="46" t="str">
        <f>Source!E183</f>
        <v>51</v>
      </c>
      <c r="C843" s="46" t="str">
        <f>Source!G183</f>
        <v>Затаривание строительного мусора в мешки</v>
      </c>
      <c r="D843" s="46" t="str">
        <f>Source!F183</f>
        <v>69-15-1</v>
      </c>
      <c r="E843" s="31" t="str">
        <f>Source!H183</f>
        <v>т</v>
      </c>
      <c r="F843" s="12">
        <f>Source!I183</f>
        <v>18</v>
      </c>
      <c r="G843" s="22">
        <f>Source!AB183</f>
        <v>23.81</v>
      </c>
      <c r="H843" s="22">
        <f>Source!O183</f>
        <v>2811.48</v>
      </c>
      <c r="T843">
        <f>Source!O183+Source!X183+Source!Y183</f>
        <v>3931.45</v>
      </c>
      <c r="U843">
        <f>Source!P183</f>
        <v>1936.51</v>
      </c>
      <c r="V843">
        <f>Source!S183</f>
        <v>874.97</v>
      </c>
      <c r="W843">
        <f>Source!Q183</f>
        <v>0</v>
      </c>
      <c r="X843">
        <f>Source!R183</f>
        <v>0</v>
      </c>
      <c r="Y843">
        <f>Source!U183</f>
        <v>18.54</v>
      </c>
      <c r="Z843">
        <f>Source!V183</f>
        <v>0</v>
      </c>
      <c r="AA843">
        <f>Source!X183</f>
        <v>682.48</v>
      </c>
      <c r="AB843">
        <f>Source!Y183</f>
        <v>437.49</v>
      </c>
    </row>
    <row r="844" spans="1:28" ht="14.25" x14ac:dyDescent="0.2">
      <c r="C844" s="23" t="s">
        <v>1684</v>
      </c>
      <c r="D844" s="23">
        <f>Source!BA183</f>
        <v>6.56</v>
      </c>
      <c r="F844" s="12"/>
      <c r="G844" s="12"/>
      <c r="H844" s="12"/>
    </row>
    <row r="845" spans="1:28" x14ac:dyDescent="0.2">
      <c r="C845" s="23" t="s">
        <v>1685</v>
      </c>
      <c r="D845" s="23">
        <f>Source!BB183</f>
        <v>6.56</v>
      </c>
    </row>
    <row r="846" spans="1:28" x14ac:dyDescent="0.2">
      <c r="C846" s="23" t="s">
        <v>1686</v>
      </c>
      <c r="D846" s="23">
        <f>Source!BC183</f>
        <v>6.56</v>
      </c>
    </row>
    <row r="847" spans="1:28" x14ac:dyDescent="0.2">
      <c r="C847" s="23" t="s">
        <v>1687</v>
      </c>
      <c r="D847" s="23">
        <f>Source!BS183</f>
        <v>6.56</v>
      </c>
    </row>
    <row r="848" spans="1:28" x14ac:dyDescent="0.2">
      <c r="C848" s="9" t="s">
        <v>1688</v>
      </c>
      <c r="D848" s="34"/>
      <c r="E848" s="34"/>
      <c r="F848" s="34">
        <f>Source!BZ183</f>
        <v>78</v>
      </c>
      <c r="G848" s="58">
        <f>(Source!AF183+Source!AE183)*Source!FX183/100</f>
        <v>5.7797999999999998</v>
      </c>
      <c r="H848" s="58">
        <f>Source!X183</f>
        <v>682.48</v>
      </c>
    </row>
    <row r="849" spans="1:28" x14ac:dyDescent="0.2">
      <c r="C849" s="9" t="s">
        <v>1690</v>
      </c>
      <c r="D849" s="34"/>
      <c r="E849" s="34"/>
      <c r="F849" s="34">
        <f>Source!CA183</f>
        <v>50</v>
      </c>
      <c r="G849" s="58">
        <f>(Source!AF183+Source!AE183)*Source!FY183/100</f>
        <v>3.7050000000000001</v>
      </c>
      <c r="H849" s="58">
        <f>Source!Y183</f>
        <v>437.49</v>
      </c>
    </row>
    <row r="850" spans="1:28" x14ac:dyDescent="0.2">
      <c r="C850" s="9" t="s">
        <v>1692</v>
      </c>
      <c r="D850" s="34"/>
      <c r="E850" s="34"/>
      <c r="F850" s="34"/>
      <c r="G850" s="58">
        <f>((Source!AF183+Source!AE183)*Source!FX183/100)+((Source!AF183+Source!AE183)*Source!FY183/100)+Source!AB183</f>
        <v>33.294799999999995</v>
      </c>
      <c r="H850" s="58">
        <f>Source!O183+Source!X183+Source!Y183</f>
        <v>3931.45</v>
      </c>
    </row>
    <row r="851" spans="1:28" ht="42.75" x14ac:dyDescent="0.2">
      <c r="A851" s="46">
        <v>119</v>
      </c>
      <c r="B851" s="46" t="str">
        <f>Source!E184</f>
        <v>52</v>
      </c>
      <c r="C851" s="46" t="str">
        <f>Source!G184</f>
        <v>Погрузочные работы при автомобильных перевозках мусора строительного с погрузкой вручную</v>
      </c>
      <c r="D851" s="46" t="str">
        <f>Source!F184</f>
        <v>т01-01-01-041</v>
      </c>
      <c r="E851" s="31" t="str">
        <f>Source!H184</f>
        <v>1 Т ГРУЗА</v>
      </c>
      <c r="F851" s="12">
        <f>Source!I184</f>
        <v>18</v>
      </c>
      <c r="G851" s="22">
        <f>Source!AB184</f>
        <v>42.98</v>
      </c>
      <c r="H851" s="22">
        <f>Source!GM184</f>
        <v>5075.08</v>
      </c>
      <c r="T851">
        <f>Source!GM184</f>
        <v>5075.08</v>
      </c>
      <c r="U851">
        <f>Source!P184</f>
        <v>0</v>
      </c>
      <c r="V851">
        <f>Source!S184</f>
        <v>0</v>
      </c>
      <c r="W851">
        <f>Source!Q184</f>
        <v>0</v>
      </c>
      <c r="X851">
        <f>Source!R184</f>
        <v>0</v>
      </c>
      <c r="Y851">
        <f>Source!U184</f>
        <v>0</v>
      </c>
      <c r="Z851">
        <f>Source!V184</f>
        <v>0</v>
      </c>
      <c r="AA851">
        <f>Source!X184</f>
        <v>0</v>
      </c>
      <c r="AB851">
        <f>Source!Y184</f>
        <v>0</v>
      </c>
    </row>
    <row r="852" spans="1:28" ht="14.25" x14ac:dyDescent="0.2">
      <c r="C852" s="23" t="s">
        <v>1702</v>
      </c>
      <c r="D852" s="23">
        <f>Source!AZ184</f>
        <v>6.56</v>
      </c>
      <c r="F852" s="12"/>
      <c r="G852" s="12"/>
      <c r="H852" s="12"/>
    </row>
    <row r="853" spans="1:28" ht="57" x14ac:dyDescent="0.2">
      <c r="A853" s="46">
        <v>120</v>
      </c>
      <c r="B853" s="46" t="str">
        <f>Source!E185</f>
        <v>53</v>
      </c>
      <c r="C853" s="46" t="str">
        <f>Source!G185</f>
        <v>Перевозка грузов I класса автомобилями бортовыми грузоподъемностью до 15 т на расстояние до 35 км</v>
      </c>
      <c r="D853" s="46" t="str">
        <f>Source!F185</f>
        <v>т03-01-01-035</v>
      </c>
      <c r="E853" s="31" t="str">
        <f>Source!H185</f>
        <v>1 Т ГРУЗА</v>
      </c>
      <c r="F853" s="12">
        <f>Source!I185</f>
        <v>18</v>
      </c>
      <c r="G853" s="22">
        <f>Source!AB185</f>
        <v>19.54</v>
      </c>
      <c r="H853" s="22">
        <f>Source!GM185</f>
        <v>2307.2800000000002</v>
      </c>
      <c r="T853">
        <f>Source!GM185</f>
        <v>2307.2800000000002</v>
      </c>
      <c r="U853">
        <f>Source!P185</f>
        <v>0</v>
      </c>
      <c r="V853">
        <f>Source!S185</f>
        <v>0</v>
      </c>
      <c r="W853">
        <f>Source!Q185</f>
        <v>0</v>
      </c>
      <c r="X853">
        <f>Source!R185</f>
        <v>0</v>
      </c>
      <c r="Y853">
        <f>Source!U185</f>
        <v>0</v>
      </c>
      <c r="Z853">
        <f>Source!V185</f>
        <v>0</v>
      </c>
      <c r="AA853">
        <f>Source!X185</f>
        <v>0</v>
      </c>
      <c r="AB853">
        <f>Source!Y185</f>
        <v>0</v>
      </c>
    </row>
    <row r="854" spans="1:28" ht="14.25" x14ac:dyDescent="0.2">
      <c r="C854" s="23" t="s">
        <v>1702</v>
      </c>
      <c r="D854" s="23">
        <f>Source!AZ185</f>
        <v>6.56</v>
      </c>
      <c r="F854" s="12"/>
      <c r="G854" s="12"/>
      <c r="H854" s="12"/>
    </row>
    <row r="856" spans="1:28" ht="15" x14ac:dyDescent="0.25">
      <c r="A856" s="59"/>
      <c r="B856" s="59"/>
      <c r="C856" s="74" t="str">
        <f>CONCATENATE("Итого по подразделу: ",IF(Source!G187&lt;&gt;"Новый подраздел", Source!G187, ""))</f>
        <v>Итого по подразделу: 2 Монтаж</v>
      </c>
      <c r="D856" s="74"/>
      <c r="E856" s="74"/>
      <c r="F856" s="74"/>
      <c r="G856" s="59"/>
      <c r="H856" s="60">
        <f>IF(SUM(T198:T855)=0, "-", SUM(T198:T855))</f>
        <v>1393260.17</v>
      </c>
    </row>
    <row r="857" spans="1:28" ht="15" x14ac:dyDescent="0.25">
      <c r="A857" s="59"/>
      <c r="B857" s="59"/>
      <c r="C857" s="59"/>
      <c r="D857" s="59"/>
      <c r="E857" s="59"/>
      <c r="F857" s="59"/>
      <c r="G857" s="59"/>
      <c r="H857" s="59"/>
    </row>
    <row r="860" spans="1:28" ht="15" x14ac:dyDescent="0.25">
      <c r="A860" s="59"/>
      <c r="B860" s="59"/>
      <c r="C860" s="74" t="str">
        <f>CONCATENATE("Итого по разделу: ",IF(Source!G216&lt;&gt;"Новый раздел", Source!G216, ""))</f>
        <v>Итого по разделу: 1 Общестроительные работы</v>
      </c>
      <c r="D860" s="74"/>
      <c r="E860" s="74"/>
      <c r="F860" s="74"/>
      <c r="G860" s="59"/>
      <c r="H860" s="60">
        <f>IF(SUM(T39:T859)=0, "-", SUM(T39:T859))</f>
        <v>1426500.1400000001</v>
      </c>
    </row>
    <row r="861" spans="1:28" ht="15" x14ac:dyDescent="0.25">
      <c r="A861" s="59"/>
      <c r="B861" s="59"/>
      <c r="C861" s="59"/>
      <c r="D861" s="59"/>
      <c r="E861" s="59"/>
      <c r="F861" s="59"/>
      <c r="G861" s="59"/>
      <c r="H861" s="59"/>
    </row>
    <row r="864" spans="1:28" ht="16.5" x14ac:dyDescent="0.25">
      <c r="A864" s="75" t="str">
        <f>CONCATENATE("Раздел: ",IF(Source!G245&lt;&gt;"Новый раздел", Source!G245, ""))</f>
        <v>Раздел: 2 Электромонтажные работы</v>
      </c>
      <c r="B864" s="75"/>
      <c r="C864" s="75"/>
      <c r="D864" s="75"/>
      <c r="E864" s="75"/>
      <c r="F864" s="75"/>
      <c r="G864" s="75"/>
      <c r="H864" s="75"/>
    </row>
    <row r="866" spans="1:28" ht="16.5" x14ac:dyDescent="0.25">
      <c r="A866" s="75" t="str">
        <f>CONCATENATE("Подраздел: ",IF(Source!G249&lt;&gt;"Новый подраздел", Source!G249, ""))</f>
        <v>Подраздел: 1Демонтаж</v>
      </c>
      <c r="B866" s="75"/>
      <c r="C866" s="75"/>
      <c r="D866" s="75"/>
      <c r="E866" s="75"/>
      <c r="F866" s="75"/>
      <c r="G866" s="75"/>
      <c r="H866" s="75"/>
    </row>
    <row r="867" spans="1:28" ht="28.5" x14ac:dyDescent="0.2">
      <c r="A867" s="46">
        <v>121</v>
      </c>
      <c r="B867" s="46" t="str">
        <f>Source!E253</f>
        <v>54</v>
      </c>
      <c r="C867" s="46" t="str">
        <f>Source!G253</f>
        <v>Демонтаж светильников для люминесцентных ламп</v>
      </c>
      <c r="D867" s="46" t="str">
        <f>Source!F253</f>
        <v>67-4-5</v>
      </c>
      <c r="E867" s="31" t="str">
        <f>Source!H253</f>
        <v>100 ШТ</v>
      </c>
      <c r="F867" s="12">
        <f>Source!I253</f>
        <v>0.28000000000000003</v>
      </c>
      <c r="G867" s="22">
        <f>Source!AB253</f>
        <v>145.97999999999999</v>
      </c>
      <c r="H867" s="22">
        <f>Source!O253</f>
        <v>268.13</v>
      </c>
      <c r="T867">
        <f>Source!O253+Source!X253+Source!Y253</f>
        <v>666.41</v>
      </c>
      <c r="U867">
        <f>Source!P253</f>
        <v>0</v>
      </c>
      <c r="V867">
        <f>Source!S253</f>
        <v>263.54000000000002</v>
      </c>
      <c r="W867">
        <f>Source!Q253</f>
        <v>4.59</v>
      </c>
      <c r="X867">
        <f>Source!R253</f>
        <v>1.98</v>
      </c>
      <c r="Y867">
        <f>Source!U253</f>
        <v>5.0092000000000008</v>
      </c>
      <c r="Z867">
        <f>Source!V253</f>
        <v>2.2400000000000003E-2</v>
      </c>
      <c r="AA867">
        <f>Source!X253</f>
        <v>225.69</v>
      </c>
      <c r="AB867">
        <f>Source!Y253</f>
        <v>172.59</v>
      </c>
    </row>
    <row r="868" spans="1:28" ht="14.25" x14ac:dyDescent="0.2">
      <c r="C868" s="23" t="str">
        <f>"Объем: "&amp;Source!I253&amp;"=28/"&amp;"100"</f>
        <v>Объем: 0,28=28/100</v>
      </c>
      <c r="F868" s="12"/>
      <c r="G868" s="12"/>
      <c r="H868" s="12"/>
    </row>
    <row r="869" spans="1:28" x14ac:dyDescent="0.2">
      <c r="C869" s="23" t="s">
        <v>1684</v>
      </c>
      <c r="D869" s="23">
        <f>Source!BA253</f>
        <v>6.56</v>
      </c>
    </row>
    <row r="870" spans="1:28" x14ac:dyDescent="0.2">
      <c r="C870" s="23" t="s">
        <v>1685</v>
      </c>
      <c r="D870" s="23">
        <f>Source!BB253</f>
        <v>6.56</v>
      </c>
    </row>
    <row r="871" spans="1:28" x14ac:dyDescent="0.2">
      <c r="C871" s="23" t="s">
        <v>1686</v>
      </c>
      <c r="D871" s="23">
        <f>Source!BC253</f>
        <v>6.56</v>
      </c>
    </row>
    <row r="872" spans="1:28" x14ac:dyDescent="0.2">
      <c r="C872" s="23" t="s">
        <v>1687</v>
      </c>
      <c r="D872" s="23">
        <f>Source!BS253</f>
        <v>6.56</v>
      </c>
    </row>
    <row r="873" spans="1:28" x14ac:dyDescent="0.2">
      <c r="C873" s="9" t="s">
        <v>1688</v>
      </c>
      <c r="D873" s="34"/>
      <c r="E873" s="34"/>
      <c r="F873" s="34">
        <f>Source!BZ253</f>
        <v>85</v>
      </c>
      <c r="G873" s="58">
        <f>(Source!AF253+Source!AE253)*Source!FX253/100</f>
        <v>122.876</v>
      </c>
      <c r="H873" s="58">
        <f>Source!X253</f>
        <v>225.69</v>
      </c>
    </row>
    <row r="874" spans="1:28" x14ac:dyDescent="0.2">
      <c r="C874" s="9" t="s">
        <v>1690</v>
      </c>
      <c r="D874" s="34"/>
      <c r="E874" s="34"/>
      <c r="F874" s="34">
        <f>Source!CA253</f>
        <v>65</v>
      </c>
      <c r="G874" s="58">
        <f>(Source!AF253+Source!AE253)*Source!FY253/100</f>
        <v>93.963999999999999</v>
      </c>
      <c r="H874" s="58">
        <f>Source!Y253</f>
        <v>172.59</v>
      </c>
    </row>
    <row r="875" spans="1:28" x14ac:dyDescent="0.2">
      <c r="C875" s="9" t="s">
        <v>1692</v>
      </c>
      <c r="D875" s="34"/>
      <c r="E875" s="34"/>
      <c r="F875" s="34"/>
      <c r="G875" s="58">
        <f>((Source!AF253+Source!AE253)*Source!FX253/100)+((Source!AF253+Source!AE253)*Source!FY253/100)+Source!AB253</f>
        <v>362.82</v>
      </c>
      <c r="H875" s="58">
        <f>Source!O253+Source!X253+Source!Y253</f>
        <v>666.41</v>
      </c>
    </row>
    <row r="876" spans="1:28" ht="14.25" x14ac:dyDescent="0.2">
      <c r="A876" s="46">
        <v>122</v>
      </c>
      <c r="B876" s="46" t="str">
        <f>Source!E254</f>
        <v>55</v>
      </c>
      <c r="C876" s="46" t="str">
        <f>Source!G254</f>
        <v>Демонтаж кабеля</v>
      </c>
      <c r="D876" s="46" t="str">
        <f>Source!F254</f>
        <v>67-3-1</v>
      </c>
      <c r="E876" s="31" t="str">
        <f>Source!H254</f>
        <v>100 м</v>
      </c>
      <c r="F876" s="12">
        <f>Source!I254</f>
        <v>2.98</v>
      </c>
      <c r="G876" s="22">
        <f>Source!AB254</f>
        <v>75.5</v>
      </c>
      <c r="H876" s="22">
        <f>Source!O254</f>
        <v>1475.93</v>
      </c>
      <c r="T876">
        <f>Source!O254+Source!X254+Source!Y254</f>
        <v>3684.8500000000004</v>
      </c>
      <c r="U876">
        <f>Source!P254</f>
        <v>0</v>
      </c>
      <c r="V876">
        <f>Source!S254</f>
        <v>1469.87</v>
      </c>
      <c r="W876">
        <f>Source!Q254</f>
        <v>6.06</v>
      </c>
      <c r="X876">
        <f>Source!R254</f>
        <v>2.74</v>
      </c>
      <c r="Y876">
        <f>Source!U254</f>
        <v>28.7272</v>
      </c>
      <c r="Z876">
        <f>Source!V254</f>
        <v>2.98E-2</v>
      </c>
      <c r="AA876">
        <f>Source!X254</f>
        <v>1251.72</v>
      </c>
      <c r="AB876">
        <f>Source!Y254</f>
        <v>957.2</v>
      </c>
    </row>
    <row r="877" spans="1:28" ht="14.25" x14ac:dyDescent="0.2">
      <c r="C877" s="23" t="str">
        <f>"Объем: "&amp;Source!I254&amp;"=298/"&amp;"100"</f>
        <v>Объем: 2,98=298/100</v>
      </c>
      <c r="F877" s="12"/>
      <c r="G877" s="12"/>
      <c r="H877" s="12"/>
    </row>
    <row r="878" spans="1:28" x14ac:dyDescent="0.2">
      <c r="C878" s="23" t="s">
        <v>1684</v>
      </c>
      <c r="D878" s="23">
        <f>Source!BA254</f>
        <v>6.56</v>
      </c>
    </row>
    <row r="879" spans="1:28" x14ac:dyDescent="0.2">
      <c r="C879" s="23" t="s">
        <v>1685</v>
      </c>
      <c r="D879" s="23">
        <f>Source!BB254</f>
        <v>6.56</v>
      </c>
    </row>
    <row r="880" spans="1:28" x14ac:dyDescent="0.2">
      <c r="C880" s="23" t="s">
        <v>1686</v>
      </c>
      <c r="D880" s="23">
        <f>Source!BC254</f>
        <v>6.56</v>
      </c>
    </row>
    <row r="881" spans="1:28" x14ac:dyDescent="0.2">
      <c r="C881" s="23" t="s">
        <v>1687</v>
      </c>
      <c r="D881" s="23">
        <f>Source!BS254</f>
        <v>6.56</v>
      </c>
    </row>
    <row r="882" spans="1:28" x14ac:dyDescent="0.2">
      <c r="C882" s="9" t="s">
        <v>1688</v>
      </c>
      <c r="D882" s="34"/>
      <c r="E882" s="34"/>
      <c r="F882" s="34">
        <f>Source!BZ254</f>
        <v>85</v>
      </c>
      <c r="G882" s="58">
        <f>(Source!AF254+Source!AE254)*Source!FX254/100</f>
        <v>64.030500000000004</v>
      </c>
      <c r="H882" s="58">
        <f>Source!X254</f>
        <v>1251.72</v>
      </c>
    </row>
    <row r="883" spans="1:28" x14ac:dyDescent="0.2">
      <c r="C883" s="9" t="s">
        <v>1690</v>
      </c>
      <c r="D883" s="34"/>
      <c r="E883" s="34"/>
      <c r="F883" s="34">
        <f>Source!CA254</f>
        <v>65</v>
      </c>
      <c r="G883" s="58">
        <f>(Source!AF254+Source!AE254)*Source!FY254/100</f>
        <v>48.964500000000001</v>
      </c>
      <c r="H883" s="58">
        <f>Source!Y254</f>
        <v>957.2</v>
      </c>
    </row>
    <row r="884" spans="1:28" x14ac:dyDescent="0.2">
      <c r="C884" s="9" t="s">
        <v>1692</v>
      </c>
      <c r="D884" s="34"/>
      <c r="E884" s="34"/>
      <c r="F884" s="34"/>
      <c r="G884" s="58">
        <f>((Source!AF254+Source!AE254)*Source!FX254/100)+((Source!AF254+Source!AE254)*Source!FY254/100)+Source!AB254</f>
        <v>188.495</v>
      </c>
      <c r="H884" s="58">
        <f>Source!O254+Source!X254+Source!Y254</f>
        <v>3684.8500000000004</v>
      </c>
    </row>
    <row r="885" spans="1:28" ht="14.25" x14ac:dyDescent="0.2">
      <c r="A885" s="46">
        <v>123</v>
      </c>
      <c r="B885" s="46" t="str">
        <f>Source!E255</f>
        <v>56</v>
      </c>
      <c r="C885" s="46" t="str">
        <f>Source!G255</f>
        <v>Демонтаж выключателей, розеток</v>
      </c>
      <c r="D885" s="46" t="str">
        <f>Source!F255</f>
        <v>67-4-1</v>
      </c>
      <c r="E885" s="31" t="str">
        <f>Source!H255</f>
        <v>100 ШТ</v>
      </c>
      <c r="F885" s="12">
        <f>Source!I255</f>
        <v>0.21</v>
      </c>
      <c r="G885" s="22">
        <f>Source!AB255</f>
        <v>45.55</v>
      </c>
      <c r="H885" s="22">
        <f>Source!O255</f>
        <v>62.75</v>
      </c>
      <c r="T885">
        <f>Source!O255+Source!X255+Source!Y255</f>
        <v>156.88</v>
      </c>
      <c r="U885">
        <f>Source!P255</f>
        <v>0</v>
      </c>
      <c r="V885">
        <f>Source!S255</f>
        <v>62.75</v>
      </c>
      <c r="W885">
        <f>Source!Q255</f>
        <v>0</v>
      </c>
      <c r="X885">
        <f>Source!R255</f>
        <v>0</v>
      </c>
      <c r="Y885">
        <f>Source!U255</f>
        <v>1.2263999999999999</v>
      </c>
      <c r="Z885">
        <f>Source!V255</f>
        <v>0</v>
      </c>
      <c r="AA885">
        <f>Source!X255</f>
        <v>53.34</v>
      </c>
      <c r="AB885">
        <f>Source!Y255</f>
        <v>40.79</v>
      </c>
    </row>
    <row r="886" spans="1:28" ht="14.25" x14ac:dyDescent="0.2">
      <c r="C886" s="23" t="str">
        <f>"Объем: "&amp;Source!I255&amp;"=21/"&amp;"100"</f>
        <v>Объем: 0,21=21/100</v>
      </c>
      <c r="F886" s="12"/>
      <c r="G886" s="12"/>
      <c r="H886" s="12"/>
    </row>
    <row r="887" spans="1:28" x14ac:dyDescent="0.2">
      <c r="C887" s="23" t="s">
        <v>1684</v>
      </c>
      <c r="D887" s="23">
        <f>Source!BA255</f>
        <v>6.56</v>
      </c>
    </row>
    <row r="888" spans="1:28" x14ac:dyDescent="0.2">
      <c r="C888" s="23" t="s">
        <v>1685</v>
      </c>
      <c r="D888" s="23">
        <f>Source!BB255</f>
        <v>6.56</v>
      </c>
    </row>
    <row r="889" spans="1:28" x14ac:dyDescent="0.2">
      <c r="C889" s="23" t="s">
        <v>1686</v>
      </c>
      <c r="D889" s="23">
        <f>Source!BC255</f>
        <v>6.56</v>
      </c>
    </row>
    <row r="890" spans="1:28" x14ac:dyDescent="0.2">
      <c r="C890" s="23" t="s">
        <v>1687</v>
      </c>
      <c r="D890" s="23">
        <f>Source!BS255</f>
        <v>6.56</v>
      </c>
    </row>
    <row r="891" spans="1:28" x14ac:dyDescent="0.2">
      <c r="C891" s="9" t="s">
        <v>1688</v>
      </c>
      <c r="D891" s="34"/>
      <c r="E891" s="34"/>
      <c r="F891" s="34">
        <f>Source!BZ255</f>
        <v>85</v>
      </c>
      <c r="G891" s="58">
        <f>(Source!AF255+Source!AE255)*Source!FX255/100</f>
        <v>38.717499999999994</v>
      </c>
      <c r="H891" s="58">
        <f>Source!X255</f>
        <v>53.34</v>
      </c>
    </row>
    <row r="892" spans="1:28" x14ac:dyDescent="0.2">
      <c r="C892" s="9" t="s">
        <v>1690</v>
      </c>
      <c r="D892" s="34"/>
      <c r="E892" s="34"/>
      <c r="F892" s="34">
        <f>Source!CA255</f>
        <v>65</v>
      </c>
      <c r="G892" s="58">
        <f>(Source!AF255+Source!AE255)*Source!FY255/100</f>
        <v>29.607500000000002</v>
      </c>
      <c r="H892" s="58">
        <f>Source!Y255</f>
        <v>40.79</v>
      </c>
    </row>
    <row r="893" spans="1:28" x14ac:dyDescent="0.2">
      <c r="C893" s="9" t="s">
        <v>1692</v>
      </c>
      <c r="D893" s="34"/>
      <c r="E893" s="34"/>
      <c r="F893" s="34"/>
      <c r="G893" s="58">
        <f>((Source!AF255+Source!AE255)*Source!FX255/100)+((Source!AF255+Source!AE255)*Source!FY255/100)+Source!AB255</f>
        <v>113.87499999999999</v>
      </c>
      <c r="H893" s="58">
        <f>Source!O255+Source!X255+Source!Y255</f>
        <v>156.88</v>
      </c>
    </row>
    <row r="894" spans="1:28" ht="28.5" x14ac:dyDescent="0.2">
      <c r="A894" s="46">
        <v>124</v>
      </c>
      <c r="B894" s="46" t="str">
        <f>Source!E256</f>
        <v>57</v>
      </c>
      <c r="C894" s="46" t="str">
        <f>Source!G256</f>
        <v>Демонтаж:Короба пластмассовые шириной до 40 мм</v>
      </c>
      <c r="D894" s="46" t="str">
        <f>Source!F256</f>
        <v>м08-02-390-01</v>
      </c>
      <c r="E894" s="31" t="str">
        <f>Source!H256</f>
        <v>100 м</v>
      </c>
      <c r="F894" s="12">
        <f>Source!I256</f>
        <v>0.32</v>
      </c>
      <c r="G894" s="22">
        <f>Source!AB256</f>
        <v>46.57</v>
      </c>
      <c r="H894" s="22">
        <f>Source!O256</f>
        <v>97.76</v>
      </c>
      <c r="T894">
        <f>Source!O256+Source!X256+Source!Y256</f>
        <v>254</v>
      </c>
      <c r="U894">
        <f>Source!P256</f>
        <v>0</v>
      </c>
      <c r="V894">
        <f>Source!S256</f>
        <v>97.57</v>
      </c>
      <c r="W894">
        <f>Source!Q256</f>
        <v>0.19</v>
      </c>
      <c r="X894">
        <f>Source!R256</f>
        <v>0.08</v>
      </c>
      <c r="Y894">
        <f>Source!U256</f>
        <v>1.5638399999999999</v>
      </c>
      <c r="Z894">
        <f>Source!V256</f>
        <v>9.6000000000000002E-4</v>
      </c>
      <c r="AA894">
        <f>Source!X256</f>
        <v>92.77</v>
      </c>
      <c r="AB894">
        <f>Source!Y256</f>
        <v>63.47</v>
      </c>
    </row>
    <row r="895" spans="1:28" ht="14.25" x14ac:dyDescent="0.2">
      <c r="C895" s="23" t="str">
        <f>"Объем: "&amp;Source!I256&amp;"=32/"&amp;"100"</f>
        <v>Объем: 0,32=32/100</v>
      </c>
      <c r="F895" s="12"/>
      <c r="G895" s="12"/>
      <c r="H895" s="12"/>
    </row>
    <row r="896" spans="1:28" x14ac:dyDescent="0.2">
      <c r="C896" s="23" t="s">
        <v>1684</v>
      </c>
      <c r="D896" s="23">
        <f>Source!BA256</f>
        <v>6.56</v>
      </c>
    </row>
    <row r="897" spans="1:28" x14ac:dyDescent="0.2">
      <c r="C897" s="23" t="s">
        <v>1685</v>
      </c>
      <c r="D897" s="23">
        <f>Source!BB256</f>
        <v>6.56</v>
      </c>
    </row>
    <row r="898" spans="1:28" x14ac:dyDescent="0.2">
      <c r="C898" s="23" t="s">
        <v>1686</v>
      </c>
      <c r="D898" s="23">
        <f>Source!BC256</f>
        <v>6.56</v>
      </c>
    </row>
    <row r="899" spans="1:28" x14ac:dyDescent="0.2">
      <c r="C899" s="23" t="s">
        <v>1687</v>
      </c>
      <c r="D899" s="23">
        <f>Source!BS256</f>
        <v>6.56</v>
      </c>
    </row>
    <row r="900" spans="1:28" x14ac:dyDescent="0.2">
      <c r="C900" s="23" t="s">
        <v>1693</v>
      </c>
      <c r="D900" s="89" t="s">
        <v>92</v>
      </c>
      <c r="E900" s="89"/>
      <c r="F900" s="89"/>
      <c r="G900" s="89"/>
      <c r="H900" s="89"/>
    </row>
    <row r="901" spans="1:28" x14ac:dyDescent="0.2">
      <c r="C901" s="23" t="s">
        <v>1694</v>
      </c>
      <c r="D901" s="89" t="s">
        <v>590</v>
      </c>
      <c r="E901" s="89"/>
      <c r="F901" s="89"/>
      <c r="G901" s="89"/>
      <c r="H901" s="89"/>
    </row>
    <row r="902" spans="1:28" x14ac:dyDescent="0.2">
      <c r="C902" s="23" t="s">
        <v>1695</v>
      </c>
      <c r="D902" s="89" t="s">
        <v>590</v>
      </c>
      <c r="E902" s="89"/>
      <c r="F902" s="89"/>
      <c r="G902" s="89"/>
      <c r="H902" s="89"/>
    </row>
    <row r="903" spans="1:28" x14ac:dyDescent="0.2">
      <c r="C903" s="23" t="s">
        <v>1696</v>
      </c>
      <c r="D903" s="89" t="s">
        <v>590</v>
      </c>
      <c r="E903" s="89"/>
      <c r="F903" s="89"/>
      <c r="G903" s="89"/>
      <c r="H903" s="89"/>
    </row>
    <row r="904" spans="1:28" x14ac:dyDescent="0.2">
      <c r="C904" s="23" t="s">
        <v>1697</v>
      </c>
      <c r="D904" s="89" t="s">
        <v>590</v>
      </c>
      <c r="E904" s="89"/>
      <c r="F904" s="89"/>
      <c r="G904" s="89"/>
      <c r="H904" s="89"/>
    </row>
    <row r="905" spans="1:28" x14ac:dyDescent="0.2">
      <c r="C905" s="23" t="s">
        <v>1698</v>
      </c>
      <c r="D905" s="89" t="s">
        <v>590</v>
      </c>
      <c r="E905" s="89"/>
      <c r="F905" s="89"/>
      <c r="G905" s="89"/>
      <c r="H905" s="89"/>
    </row>
    <row r="906" spans="1:28" x14ac:dyDescent="0.2">
      <c r="C906" s="9" t="s">
        <v>1688</v>
      </c>
      <c r="D906" s="34"/>
      <c r="E906" s="34"/>
      <c r="F906" s="34">
        <f>Source!BZ256</f>
        <v>95</v>
      </c>
      <c r="G906" s="58">
        <f>(Source!AF256+Source!AE256)*Source!FX256/100</f>
        <v>44.193999999999996</v>
      </c>
      <c r="H906" s="58">
        <f>Source!X256</f>
        <v>92.77</v>
      </c>
    </row>
    <row r="907" spans="1:28" x14ac:dyDescent="0.2">
      <c r="C907" s="9" t="s">
        <v>1690</v>
      </c>
      <c r="D907" s="34"/>
      <c r="E907" s="34"/>
      <c r="F907" s="34">
        <f>Source!CA256</f>
        <v>65</v>
      </c>
      <c r="G907" s="58">
        <f>(Source!AF256+Source!AE256)*Source!FY256/100</f>
        <v>30.237999999999996</v>
      </c>
      <c r="H907" s="58">
        <f>Source!Y256</f>
        <v>63.47</v>
      </c>
    </row>
    <row r="908" spans="1:28" x14ac:dyDescent="0.2">
      <c r="C908" s="9" t="s">
        <v>1692</v>
      </c>
      <c r="D908" s="34"/>
      <c r="E908" s="34"/>
      <c r="F908" s="34"/>
      <c r="G908" s="58">
        <f>((Source!AF256+Source!AE256)*Source!FX256/100)+((Source!AF256+Source!AE256)*Source!FY256/100)+Source!AB256</f>
        <v>121.00199999999998</v>
      </c>
      <c r="H908" s="58">
        <f>Source!O256+Source!X256+Source!Y256</f>
        <v>254</v>
      </c>
    </row>
    <row r="909" spans="1:28" ht="28.5" x14ac:dyDescent="0.2">
      <c r="A909" s="46">
        <v>125</v>
      </c>
      <c r="B909" s="46" t="str">
        <f>Source!E257</f>
        <v>58</v>
      </c>
      <c r="C909" s="46" t="str">
        <f>Source!G257</f>
        <v>Демонтаж:Щиток до трех групп, устанавливаемый в нише цоколя</v>
      </c>
      <c r="D909" s="46" t="str">
        <f>Source!F257</f>
        <v>м08-02-370-02</v>
      </c>
      <c r="E909" s="31" t="str">
        <f>Source!H257</f>
        <v>ШТ</v>
      </c>
      <c r="F909" s="12">
        <f>Source!I257</f>
        <v>6</v>
      </c>
      <c r="G909" s="22">
        <f>Source!AB257</f>
        <v>8.17</v>
      </c>
      <c r="H909" s="22">
        <f>Source!O257</f>
        <v>321.57</v>
      </c>
      <c r="T909">
        <f>Source!O257+Source!X257+Source!Y257</f>
        <v>547.66</v>
      </c>
      <c r="U909">
        <f>Source!P257</f>
        <v>0</v>
      </c>
      <c r="V909">
        <f>Source!S257</f>
        <v>111.78</v>
      </c>
      <c r="W909">
        <f>Source!Q257</f>
        <v>209.79</v>
      </c>
      <c r="X909">
        <f>Source!R257</f>
        <v>29.52</v>
      </c>
      <c r="Y909">
        <f>Source!U257</f>
        <v>1.62</v>
      </c>
      <c r="Z909">
        <f>Source!V257</f>
        <v>0.36</v>
      </c>
      <c r="AA909">
        <f>Source!X257</f>
        <v>134.24</v>
      </c>
      <c r="AB909">
        <f>Source!Y257</f>
        <v>91.85</v>
      </c>
    </row>
    <row r="910" spans="1:28" ht="14.25" x14ac:dyDescent="0.2">
      <c r="C910" s="23" t="s">
        <v>1684</v>
      </c>
      <c r="D910" s="23">
        <f>Source!BA257</f>
        <v>6.56</v>
      </c>
      <c r="F910" s="12"/>
      <c r="G910" s="12"/>
      <c r="H910" s="12"/>
    </row>
    <row r="911" spans="1:28" x14ac:dyDescent="0.2">
      <c r="C911" s="23" t="s">
        <v>1685</v>
      </c>
      <c r="D911" s="23">
        <f>Source!BB257</f>
        <v>6.56</v>
      </c>
    </row>
    <row r="912" spans="1:28" x14ac:dyDescent="0.2">
      <c r="C912" s="23" t="s">
        <v>1686</v>
      </c>
      <c r="D912" s="23">
        <f>Source!BC257</f>
        <v>6.56</v>
      </c>
    </row>
    <row r="913" spans="1:8" x14ac:dyDescent="0.2">
      <c r="C913" s="23" t="s">
        <v>1687</v>
      </c>
      <c r="D913" s="23">
        <f>Source!BS257</f>
        <v>6.56</v>
      </c>
    </row>
    <row r="914" spans="1:8" x14ac:dyDescent="0.2">
      <c r="C914" s="23" t="s">
        <v>1693</v>
      </c>
      <c r="D914" s="89" t="s">
        <v>92</v>
      </c>
      <c r="E914" s="89"/>
      <c r="F914" s="89"/>
      <c r="G914" s="89"/>
      <c r="H914" s="89"/>
    </row>
    <row r="915" spans="1:8" x14ac:dyDescent="0.2">
      <c r="C915" s="23" t="s">
        <v>1694</v>
      </c>
      <c r="D915" s="89" t="s">
        <v>590</v>
      </c>
      <c r="E915" s="89"/>
      <c r="F915" s="89"/>
      <c r="G915" s="89"/>
      <c r="H915" s="89"/>
    </row>
    <row r="916" spans="1:8" x14ac:dyDescent="0.2">
      <c r="C916" s="23" t="s">
        <v>1695</v>
      </c>
      <c r="D916" s="89" t="s">
        <v>590</v>
      </c>
      <c r="E916" s="89"/>
      <c r="F916" s="89"/>
      <c r="G916" s="89"/>
      <c r="H916" s="89"/>
    </row>
    <row r="917" spans="1:8" x14ac:dyDescent="0.2">
      <c r="C917" s="23" t="s">
        <v>1696</v>
      </c>
      <c r="D917" s="89" t="s">
        <v>590</v>
      </c>
      <c r="E917" s="89"/>
      <c r="F917" s="89"/>
      <c r="G917" s="89"/>
      <c r="H917" s="89"/>
    </row>
    <row r="918" spans="1:8" x14ac:dyDescent="0.2">
      <c r="C918" s="23" t="s">
        <v>1697</v>
      </c>
      <c r="D918" s="89" t="s">
        <v>590</v>
      </c>
      <c r="E918" s="89"/>
      <c r="F918" s="89"/>
      <c r="G918" s="89"/>
      <c r="H918" s="89"/>
    </row>
    <row r="919" spans="1:8" x14ac:dyDescent="0.2">
      <c r="C919" s="23" t="s">
        <v>1698</v>
      </c>
      <c r="D919" s="89" t="s">
        <v>590</v>
      </c>
      <c r="E919" s="89"/>
      <c r="F919" s="89"/>
      <c r="G919" s="89"/>
      <c r="H919" s="89"/>
    </row>
    <row r="920" spans="1:8" x14ac:dyDescent="0.2">
      <c r="C920" s="9" t="s">
        <v>1688</v>
      </c>
      <c r="D920" s="34"/>
      <c r="E920" s="34"/>
      <c r="F920" s="34">
        <f>Source!BZ257</f>
        <v>95</v>
      </c>
      <c r="G920" s="58">
        <f>(Source!AF257+Source!AE257)*Source!FX257/100</f>
        <v>3.4105000000000003</v>
      </c>
      <c r="H920" s="58">
        <f>Source!X257</f>
        <v>134.24</v>
      </c>
    </row>
    <row r="921" spans="1:8" x14ac:dyDescent="0.2">
      <c r="C921" s="9" t="s">
        <v>1690</v>
      </c>
      <c r="D921" s="34"/>
      <c r="E921" s="34"/>
      <c r="F921" s="34">
        <f>Source!CA257</f>
        <v>65</v>
      </c>
      <c r="G921" s="58">
        <f>(Source!AF257+Source!AE257)*Source!FY257/100</f>
        <v>2.3334999999999999</v>
      </c>
      <c r="H921" s="58">
        <f>Source!Y257</f>
        <v>91.85</v>
      </c>
    </row>
    <row r="922" spans="1:8" x14ac:dyDescent="0.2">
      <c r="C922" s="9" t="s">
        <v>1692</v>
      </c>
      <c r="D922" s="34"/>
      <c r="E922" s="34"/>
      <c r="F922" s="34"/>
      <c r="G922" s="58">
        <f>((Source!AF257+Source!AE257)*Source!FX257/100)+((Source!AF257+Source!AE257)*Source!FY257/100)+Source!AB257</f>
        <v>13.914</v>
      </c>
      <c r="H922" s="58">
        <f>Source!O257+Source!X257+Source!Y257</f>
        <v>547.66</v>
      </c>
    </row>
    <row r="924" spans="1:8" ht="15" x14ac:dyDescent="0.25">
      <c r="A924" s="59"/>
      <c r="B924" s="59"/>
      <c r="C924" s="74" t="str">
        <f>CONCATENATE("Итого по подразделу: ",IF(Source!G259&lt;&gt;"Новый подраздел", Source!G259, ""))</f>
        <v>Итого по подразделу: 1Демонтаж</v>
      </c>
      <c r="D924" s="74"/>
      <c r="E924" s="74"/>
      <c r="F924" s="74"/>
      <c r="G924" s="59"/>
      <c r="H924" s="60">
        <f>IF(SUM(T866:T923)=0, "-", SUM(T866:T923))</f>
        <v>5309.8</v>
      </c>
    </row>
    <row r="925" spans="1:8" ht="15" x14ac:dyDescent="0.25">
      <c r="A925" s="59"/>
      <c r="B925" s="59"/>
      <c r="C925" s="59"/>
      <c r="D925" s="59"/>
      <c r="E925" s="59"/>
      <c r="F925" s="59"/>
      <c r="G925" s="59"/>
      <c r="H925" s="59"/>
    </row>
    <row r="928" spans="1:8" ht="16.5" x14ac:dyDescent="0.25">
      <c r="A928" s="75" t="str">
        <f>CONCATENATE("Подраздел: ",IF(Source!G288&lt;&gt;"Новый подраздел", Source!G288, ""))</f>
        <v>Подраздел: 2 Монтаж освещения</v>
      </c>
      <c r="B928" s="75"/>
      <c r="C928" s="75"/>
      <c r="D928" s="75"/>
      <c r="E928" s="75"/>
      <c r="F928" s="75"/>
      <c r="G928" s="75"/>
      <c r="H928" s="75"/>
    </row>
    <row r="929" spans="1:28" ht="28.5" x14ac:dyDescent="0.2">
      <c r="A929" s="46">
        <v>126</v>
      </c>
      <c r="B929" s="46" t="str">
        <f>Source!E292</f>
        <v>59</v>
      </c>
      <c r="C929" s="46" t="str">
        <f>Source!G292</f>
        <v>Светильник в подвесных потолках</v>
      </c>
      <c r="D929" s="46" t="str">
        <f>Source!F292</f>
        <v>м08-03-593-19</v>
      </c>
      <c r="E929" s="31" t="str">
        <f>Source!H292</f>
        <v>100 ШТ</v>
      </c>
      <c r="F929" s="12">
        <f>Source!I292</f>
        <v>0.43</v>
      </c>
      <c r="G929" s="22">
        <f>Source!AB292</f>
        <v>1092.72</v>
      </c>
      <c r="H929" s="22">
        <f>Source!O292</f>
        <v>3082.35</v>
      </c>
      <c r="T929">
        <f>Source!O292+Source!X292+Source!Y292</f>
        <v>7331.4800000000005</v>
      </c>
      <c r="U929">
        <f>Source!P292</f>
        <v>340.56</v>
      </c>
      <c r="V929">
        <f>Source!S292</f>
        <v>2641.54</v>
      </c>
      <c r="W929">
        <f>Source!Q292</f>
        <v>100.25</v>
      </c>
      <c r="X929">
        <f>Source!R292</f>
        <v>14.16</v>
      </c>
      <c r="Y929">
        <f>Source!U292</f>
        <v>40.591999999999999</v>
      </c>
      <c r="Z929">
        <f>Source!V292</f>
        <v>0.17200000000000001</v>
      </c>
      <c r="AA929">
        <f>Source!X292</f>
        <v>2522.92</v>
      </c>
      <c r="AB929">
        <f>Source!Y292</f>
        <v>1726.21</v>
      </c>
    </row>
    <row r="930" spans="1:28" ht="14.25" x14ac:dyDescent="0.2">
      <c r="C930" s="23" t="str">
        <f>"Объем: "&amp;Source!I292&amp;"=43/"&amp;"100"</f>
        <v>Объем: 0,43=43/100</v>
      </c>
      <c r="F930" s="12"/>
      <c r="G930" s="12"/>
      <c r="H930" s="12"/>
    </row>
    <row r="931" spans="1:28" x14ac:dyDescent="0.2">
      <c r="C931" s="23" t="s">
        <v>1684</v>
      </c>
      <c r="D931" s="23">
        <f>Source!BA292</f>
        <v>6.56</v>
      </c>
    </row>
    <row r="932" spans="1:28" x14ac:dyDescent="0.2">
      <c r="C932" s="23" t="s">
        <v>1685</v>
      </c>
      <c r="D932" s="23">
        <f>Source!BB292</f>
        <v>6.56</v>
      </c>
    </row>
    <row r="933" spans="1:28" x14ac:dyDescent="0.2">
      <c r="C933" s="23" t="s">
        <v>1686</v>
      </c>
      <c r="D933" s="23">
        <f>Source!BC292</f>
        <v>6.56</v>
      </c>
    </row>
    <row r="934" spans="1:28" x14ac:dyDescent="0.2">
      <c r="C934" s="23" t="s">
        <v>1687</v>
      </c>
      <c r="D934" s="23">
        <f>Source!BS292</f>
        <v>6.56</v>
      </c>
    </row>
    <row r="935" spans="1:28" x14ac:dyDescent="0.2">
      <c r="C935" s="9" t="s">
        <v>1688</v>
      </c>
      <c r="D935" s="34"/>
      <c r="E935" s="34"/>
      <c r="F935" s="34">
        <f>Source!BZ292</f>
        <v>95</v>
      </c>
      <c r="G935" s="58">
        <f>(Source!AF292+Source!AE292)*Source!FX292/100</f>
        <v>894.39650000000006</v>
      </c>
      <c r="H935" s="58">
        <f>Source!X292</f>
        <v>2522.92</v>
      </c>
    </row>
    <row r="936" spans="1:28" x14ac:dyDescent="0.2">
      <c r="C936" s="9" t="s">
        <v>1690</v>
      </c>
      <c r="D936" s="34"/>
      <c r="E936" s="34"/>
      <c r="F936" s="34">
        <f>Source!CA292</f>
        <v>65</v>
      </c>
      <c r="G936" s="58">
        <f>(Source!AF292+Source!AE292)*Source!FY292/100</f>
        <v>611.95550000000003</v>
      </c>
      <c r="H936" s="58">
        <f>Source!Y292</f>
        <v>1726.21</v>
      </c>
    </row>
    <row r="937" spans="1:28" x14ac:dyDescent="0.2">
      <c r="C937" s="9" t="s">
        <v>1692</v>
      </c>
      <c r="D937" s="34"/>
      <c r="E937" s="34"/>
      <c r="F937" s="34"/>
      <c r="G937" s="58">
        <f>((Source!AF292+Source!AE292)*Source!FX292/100)+((Source!AF292+Source!AE292)*Source!FY292/100)+Source!AB292</f>
        <v>2599.0720000000001</v>
      </c>
      <c r="H937" s="58">
        <f>Source!O292+Source!X292+Source!Y292</f>
        <v>7331.4800000000005</v>
      </c>
    </row>
    <row r="938" spans="1:28" ht="57" x14ac:dyDescent="0.2">
      <c r="A938" s="46">
        <v>127</v>
      </c>
      <c r="B938" s="46" t="str">
        <f>Source!E293</f>
        <v>59,1</v>
      </c>
      <c r="C938" s="46" t="str">
        <f>Source!G293</f>
        <v>Светильник светодиодный,накладной мощностью 40W,цветовой температурой К4000,размером 595х595х40мм,IP40 прим.</v>
      </c>
      <c r="D938" s="46" t="str">
        <f>Source!F293</f>
        <v>20.3.03.04-0044</v>
      </c>
      <c r="E938" s="31" t="str">
        <f>Source!H293</f>
        <v>шт.</v>
      </c>
      <c r="F938" s="12">
        <f>Source!I293</f>
        <v>43</v>
      </c>
      <c r="G938" s="22">
        <f>Source!AB293</f>
        <v>340.37</v>
      </c>
      <c r="H938" s="22">
        <f>Source!O293</f>
        <v>96011.57</v>
      </c>
      <c r="T938">
        <f>Source!O293+Source!X293+Source!Y293</f>
        <v>96011.57</v>
      </c>
      <c r="U938">
        <f>Source!P293</f>
        <v>96011.57</v>
      </c>
      <c r="V938">
        <f>Source!S293</f>
        <v>0</v>
      </c>
      <c r="W938">
        <f>Source!Q293</f>
        <v>0</v>
      </c>
      <c r="X938">
        <f>Source!R293</f>
        <v>0</v>
      </c>
      <c r="Y938">
        <f>Source!U293</f>
        <v>0</v>
      </c>
      <c r="Z938">
        <f>Source!V293</f>
        <v>0</v>
      </c>
      <c r="AA938">
        <f>Source!X293</f>
        <v>0</v>
      </c>
      <c r="AB938">
        <f>Source!Y293</f>
        <v>0</v>
      </c>
    </row>
    <row r="939" spans="1:28" ht="14.25" x14ac:dyDescent="0.2">
      <c r="C939" s="23" t="s">
        <v>1686</v>
      </c>
      <c r="D939" s="23">
        <f>Source!BC293</f>
        <v>6.56</v>
      </c>
      <c r="F939" s="12"/>
      <c r="G939" s="12"/>
      <c r="H939" s="12"/>
    </row>
    <row r="940" spans="1:28" ht="42.75" x14ac:dyDescent="0.2">
      <c r="A940" s="46">
        <v>128</v>
      </c>
      <c r="B940" s="46" t="str">
        <f>Source!E294</f>
        <v>60</v>
      </c>
      <c r="C940" s="46" t="str">
        <f>Source!G294</f>
        <v>Выключатель двухклавишный неутопленного типа при открытой проводке</v>
      </c>
      <c r="D940" s="46" t="str">
        <f>Source!F294</f>
        <v>м08-03-591-04</v>
      </c>
      <c r="E940" s="31" t="str">
        <f>Source!H294</f>
        <v>100 ШТ</v>
      </c>
      <c r="F940" s="12">
        <f>Source!I294</f>
        <v>0.02</v>
      </c>
      <c r="G940" s="22">
        <f>Source!AB294</f>
        <v>456.35</v>
      </c>
      <c r="H940" s="22">
        <f>Source!O294</f>
        <v>59.87</v>
      </c>
      <c r="T940">
        <f>Source!O294+Source!X294+Source!Y294</f>
        <v>133.15</v>
      </c>
      <c r="U940">
        <f>Source!P294</f>
        <v>13.54</v>
      </c>
      <c r="V940">
        <f>Source!S294</f>
        <v>45.72</v>
      </c>
      <c r="W940">
        <f>Source!Q294</f>
        <v>0.61</v>
      </c>
      <c r="X940">
        <f>Source!R294</f>
        <v>0.08</v>
      </c>
      <c r="Y940">
        <f>Source!U294</f>
        <v>0.70260000000000011</v>
      </c>
      <c r="Z940">
        <f>Source!V294</f>
        <v>1E-3</v>
      </c>
      <c r="AA940">
        <f>Source!X294</f>
        <v>43.51</v>
      </c>
      <c r="AB940">
        <f>Source!Y294</f>
        <v>29.77</v>
      </c>
    </row>
    <row r="941" spans="1:28" ht="14.25" x14ac:dyDescent="0.2">
      <c r="C941" s="23" t="str">
        <f>"Объем: "&amp;Source!I294&amp;"=2/"&amp;"100"</f>
        <v>Объем: 0,02=2/100</v>
      </c>
      <c r="F941" s="12"/>
      <c r="G941" s="12"/>
      <c r="H941" s="12"/>
    </row>
    <row r="942" spans="1:28" x14ac:dyDescent="0.2">
      <c r="C942" s="23" t="s">
        <v>1684</v>
      </c>
      <c r="D942" s="23">
        <f>Source!BA294</f>
        <v>6.56</v>
      </c>
    </row>
    <row r="943" spans="1:28" x14ac:dyDescent="0.2">
      <c r="C943" s="23" t="s">
        <v>1685</v>
      </c>
      <c r="D943" s="23">
        <f>Source!BB294</f>
        <v>6.56</v>
      </c>
    </row>
    <row r="944" spans="1:28" x14ac:dyDescent="0.2">
      <c r="C944" s="23" t="s">
        <v>1686</v>
      </c>
      <c r="D944" s="23">
        <f>Source!BC294</f>
        <v>6.56</v>
      </c>
    </row>
    <row r="945" spans="1:28" x14ac:dyDescent="0.2">
      <c r="C945" s="23" t="s">
        <v>1687</v>
      </c>
      <c r="D945" s="23">
        <f>Source!BS294</f>
        <v>6.56</v>
      </c>
    </row>
    <row r="946" spans="1:28" x14ac:dyDescent="0.2">
      <c r="C946" s="9" t="s">
        <v>1688</v>
      </c>
      <c r="D946" s="34"/>
      <c r="E946" s="34"/>
      <c r="F946" s="34">
        <f>Source!BZ294</f>
        <v>95</v>
      </c>
      <c r="G946" s="58">
        <f>(Source!AF294+Source!AE294)*Source!FX294/100</f>
        <v>331.67349999999999</v>
      </c>
      <c r="H946" s="58">
        <f>Source!X294</f>
        <v>43.51</v>
      </c>
    </row>
    <row r="947" spans="1:28" x14ac:dyDescent="0.2">
      <c r="C947" s="9" t="s">
        <v>1690</v>
      </c>
      <c r="D947" s="34"/>
      <c r="E947" s="34"/>
      <c r="F947" s="34">
        <f>Source!CA294</f>
        <v>65</v>
      </c>
      <c r="G947" s="58">
        <f>(Source!AF294+Source!AE294)*Source!FY294/100</f>
        <v>226.93450000000001</v>
      </c>
      <c r="H947" s="58">
        <f>Source!Y294</f>
        <v>29.77</v>
      </c>
    </row>
    <row r="948" spans="1:28" x14ac:dyDescent="0.2">
      <c r="C948" s="9" t="s">
        <v>1692</v>
      </c>
      <c r="D948" s="34"/>
      <c r="E948" s="34"/>
      <c r="F948" s="34"/>
      <c r="G948" s="58">
        <f>((Source!AF294+Source!AE294)*Source!FX294/100)+((Source!AF294+Source!AE294)*Source!FY294/100)+Source!AB294</f>
        <v>1014.958</v>
      </c>
      <c r="H948" s="58">
        <f>Source!O294+Source!X294+Source!Y294</f>
        <v>133.15</v>
      </c>
    </row>
    <row r="949" spans="1:28" ht="28.5" x14ac:dyDescent="0.2">
      <c r="A949" s="46">
        <v>129</v>
      </c>
      <c r="B949" s="46" t="str">
        <f>Source!E295</f>
        <v>60,1</v>
      </c>
      <c r="C949" s="46" t="str">
        <f>Source!G295</f>
        <v>Выключатель двухклавишный для открытой проводки</v>
      </c>
      <c r="D949" s="46" t="str">
        <f>Source!F295</f>
        <v>20.4.01.01-0001</v>
      </c>
      <c r="E949" s="31" t="str">
        <f>Source!H295</f>
        <v>10 шт.</v>
      </c>
      <c r="F949" s="12">
        <f>Source!I295</f>
        <v>0.2</v>
      </c>
      <c r="G949" s="22">
        <f>Source!AB295</f>
        <v>72.8</v>
      </c>
      <c r="H949" s="22">
        <f>Source!O295</f>
        <v>95.51</v>
      </c>
      <c r="T949">
        <f>Source!O295+Source!X295+Source!Y295</f>
        <v>95.51</v>
      </c>
      <c r="U949">
        <f>Source!P295</f>
        <v>95.51</v>
      </c>
      <c r="V949">
        <f>Source!S295</f>
        <v>0</v>
      </c>
      <c r="W949">
        <f>Source!Q295</f>
        <v>0</v>
      </c>
      <c r="X949">
        <f>Source!R295</f>
        <v>0</v>
      </c>
      <c r="Y949">
        <f>Source!U295</f>
        <v>0</v>
      </c>
      <c r="Z949">
        <f>Source!V295</f>
        <v>0</v>
      </c>
      <c r="AA949">
        <f>Source!X295</f>
        <v>0</v>
      </c>
      <c r="AB949">
        <f>Source!Y295</f>
        <v>0</v>
      </c>
    </row>
    <row r="950" spans="1:28" ht="14.25" x14ac:dyDescent="0.2">
      <c r="C950" s="23" t="s">
        <v>1686</v>
      </c>
      <c r="D950" s="23">
        <f>Source!BC295</f>
        <v>6.56</v>
      </c>
      <c r="F950" s="12"/>
      <c r="G950" s="12"/>
      <c r="H950" s="12"/>
    </row>
    <row r="951" spans="1:28" ht="42.75" x14ac:dyDescent="0.2">
      <c r="A951" s="46">
        <v>130</v>
      </c>
      <c r="B951" s="46" t="str">
        <f>Source!E296</f>
        <v>61</v>
      </c>
      <c r="C951" s="46" t="str">
        <f>Source!G296</f>
        <v>Выключатель одноклавишный неутопленного типа при открытой проводке</v>
      </c>
      <c r="D951" s="46" t="str">
        <f>Source!F296</f>
        <v>м08-03-591-01</v>
      </c>
      <c r="E951" s="31" t="str">
        <f>Source!H296</f>
        <v>100 ШТ</v>
      </c>
      <c r="F951" s="12">
        <f>Source!I296</f>
        <v>0.05</v>
      </c>
      <c r="G951" s="22">
        <f>Source!AB296</f>
        <v>423.97</v>
      </c>
      <c r="H951" s="22">
        <f>Source!O296</f>
        <v>139.06</v>
      </c>
      <c r="T951">
        <f>Source!O296+Source!X296+Source!Y296</f>
        <v>303.90999999999997</v>
      </c>
      <c r="U951">
        <f>Source!P296</f>
        <v>34.71</v>
      </c>
      <c r="V951">
        <f>Source!S296</f>
        <v>102.82</v>
      </c>
      <c r="W951">
        <f>Source!Q296</f>
        <v>1.53</v>
      </c>
      <c r="X951">
        <f>Source!R296</f>
        <v>0.21</v>
      </c>
      <c r="Y951">
        <f>Source!U296</f>
        <v>1.58</v>
      </c>
      <c r="Z951">
        <f>Source!V296</f>
        <v>2.5000000000000005E-3</v>
      </c>
      <c r="AA951">
        <f>Source!X296</f>
        <v>97.88</v>
      </c>
      <c r="AB951">
        <f>Source!Y296</f>
        <v>66.97</v>
      </c>
    </row>
    <row r="952" spans="1:28" ht="14.25" x14ac:dyDescent="0.2">
      <c r="C952" s="23" t="str">
        <f>"Объем: "&amp;Source!I296&amp;"=5/"&amp;"100"</f>
        <v>Объем: 0,05=5/100</v>
      </c>
      <c r="F952" s="12"/>
      <c r="G952" s="12"/>
      <c r="H952" s="12"/>
    </row>
    <row r="953" spans="1:28" x14ac:dyDescent="0.2">
      <c r="C953" s="23" t="s">
        <v>1684</v>
      </c>
      <c r="D953" s="23">
        <f>Source!BA296</f>
        <v>6.56</v>
      </c>
    </row>
    <row r="954" spans="1:28" x14ac:dyDescent="0.2">
      <c r="C954" s="23" t="s">
        <v>1685</v>
      </c>
      <c r="D954" s="23">
        <f>Source!BB296</f>
        <v>6.56</v>
      </c>
    </row>
    <row r="955" spans="1:28" x14ac:dyDescent="0.2">
      <c r="C955" s="23" t="s">
        <v>1686</v>
      </c>
      <c r="D955" s="23">
        <f>Source!BC296</f>
        <v>6.56</v>
      </c>
    </row>
    <row r="956" spans="1:28" x14ac:dyDescent="0.2">
      <c r="C956" s="23" t="s">
        <v>1687</v>
      </c>
      <c r="D956" s="23">
        <f>Source!BS296</f>
        <v>6.56</v>
      </c>
    </row>
    <row r="957" spans="1:28" x14ac:dyDescent="0.2">
      <c r="C957" s="9" t="s">
        <v>1688</v>
      </c>
      <c r="D957" s="34"/>
      <c r="E957" s="34"/>
      <c r="F957" s="34">
        <f>Source!BZ296</f>
        <v>95</v>
      </c>
      <c r="G957" s="58">
        <f>(Source!AF296+Source!AE296)*Source!FX296/100</f>
        <v>298.40449999999998</v>
      </c>
      <c r="H957" s="58">
        <f>Source!X296</f>
        <v>97.88</v>
      </c>
    </row>
    <row r="958" spans="1:28" x14ac:dyDescent="0.2">
      <c r="C958" s="9" t="s">
        <v>1690</v>
      </c>
      <c r="D958" s="34"/>
      <c r="E958" s="34"/>
      <c r="F958" s="34">
        <f>Source!CA296</f>
        <v>65</v>
      </c>
      <c r="G958" s="58">
        <f>(Source!AF296+Source!AE296)*Source!FY296/100</f>
        <v>204.17150000000001</v>
      </c>
      <c r="H958" s="58">
        <f>Source!Y296</f>
        <v>66.97</v>
      </c>
    </row>
    <row r="959" spans="1:28" x14ac:dyDescent="0.2">
      <c r="C959" s="9" t="s">
        <v>1692</v>
      </c>
      <c r="D959" s="34"/>
      <c r="E959" s="34"/>
      <c r="F959" s="34"/>
      <c r="G959" s="58">
        <f>((Source!AF296+Source!AE296)*Source!FX296/100)+((Source!AF296+Source!AE296)*Source!FY296/100)+Source!AB296</f>
        <v>926.54600000000005</v>
      </c>
      <c r="H959" s="58">
        <f>Source!O296+Source!X296+Source!Y296</f>
        <v>303.90999999999997</v>
      </c>
    </row>
    <row r="960" spans="1:28" ht="42.75" x14ac:dyDescent="0.2">
      <c r="A960" s="46">
        <v>131</v>
      </c>
      <c r="B960" s="46" t="str">
        <f>Source!E297</f>
        <v>61,1</v>
      </c>
      <c r="C960" s="46" t="str">
        <f>Source!G297</f>
        <v>Выключатель одноклавишный для открытой проводки серии "Прима", марка А16-051, цвет белый</v>
      </c>
      <c r="D960" s="46" t="str">
        <f>Source!F297</f>
        <v>20.4.01.01-0044</v>
      </c>
      <c r="E960" s="31" t="str">
        <f>Source!H297</f>
        <v>10 шт.</v>
      </c>
      <c r="F960" s="12">
        <f>Source!I297</f>
        <v>0.5</v>
      </c>
      <c r="G960" s="22">
        <f>Source!AB297</f>
        <v>64.400000000000006</v>
      </c>
      <c r="H960" s="22">
        <f>Source!O297</f>
        <v>211.23</v>
      </c>
      <c r="T960">
        <f>Source!O297+Source!X297+Source!Y297</f>
        <v>211.23</v>
      </c>
      <c r="U960">
        <f>Source!P297</f>
        <v>211.23</v>
      </c>
      <c r="V960">
        <f>Source!S297</f>
        <v>0</v>
      </c>
      <c r="W960">
        <f>Source!Q297</f>
        <v>0</v>
      </c>
      <c r="X960">
        <f>Source!R297</f>
        <v>0</v>
      </c>
      <c r="Y960">
        <f>Source!U297</f>
        <v>0</v>
      </c>
      <c r="Z960">
        <f>Source!V297</f>
        <v>0</v>
      </c>
      <c r="AA960">
        <f>Source!X297</f>
        <v>0</v>
      </c>
      <c r="AB960">
        <f>Source!Y297</f>
        <v>0</v>
      </c>
    </row>
    <row r="961" spans="1:28" ht="14.25" x14ac:dyDescent="0.2">
      <c r="C961" s="23" t="s">
        <v>1686</v>
      </c>
      <c r="D961" s="23">
        <f>Source!BC297</f>
        <v>6.56</v>
      </c>
      <c r="F961" s="12"/>
      <c r="G961" s="12"/>
      <c r="H961" s="12"/>
    </row>
    <row r="962" spans="1:28" ht="28.5" x14ac:dyDescent="0.2">
      <c r="A962" s="46">
        <v>132</v>
      </c>
      <c r="B962" s="46" t="str">
        <f>Source!E298</f>
        <v>62</v>
      </c>
      <c r="C962" s="46" t="str">
        <f>Source!G298</f>
        <v>Прокладка труб гофрированных ПВХ для защиты проводов и кабелей</v>
      </c>
      <c r="D962" s="46" t="str">
        <f>Source!F298</f>
        <v>м08-10-010-01</v>
      </c>
      <c r="E962" s="31" t="str">
        <f>Source!H298</f>
        <v>100 м</v>
      </c>
      <c r="F962" s="12">
        <f>Source!I298</f>
        <v>0.98</v>
      </c>
      <c r="G962" s="22">
        <f>Source!AB298</f>
        <v>156.33000000000001</v>
      </c>
      <c r="H962" s="22">
        <f>Source!O298</f>
        <v>1005.01</v>
      </c>
      <c r="T962">
        <f>Source!O298+Source!X298+Source!Y298</f>
        <v>2440.33</v>
      </c>
      <c r="U962">
        <f>Source!P298</f>
        <v>107.94</v>
      </c>
      <c r="V962">
        <f>Source!S298</f>
        <v>897.07</v>
      </c>
      <c r="W962">
        <f>Source!Q298</f>
        <v>0</v>
      </c>
      <c r="X962">
        <f>Source!R298</f>
        <v>0</v>
      </c>
      <c r="Y962">
        <f>Source!U298</f>
        <v>14.895999999999999</v>
      </c>
      <c r="Z962">
        <f>Source!V298</f>
        <v>0</v>
      </c>
      <c r="AA962">
        <f>Source!X298</f>
        <v>852.22</v>
      </c>
      <c r="AB962">
        <f>Source!Y298</f>
        <v>583.1</v>
      </c>
    </row>
    <row r="963" spans="1:28" ht="14.25" x14ac:dyDescent="0.2">
      <c r="C963" s="23" t="str">
        <f>"Объем: "&amp;Source!I298&amp;"=98/"&amp;"100"</f>
        <v>Объем: 0,98=98/100</v>
      </c>
      <c r="F963" s="12"/>
      <c r="G963" s="12"/>
      <c r="H963" s="12"/>
    </row>
    <row r="964" spans="1:28" x14ac:dyDescent="0.2">
      <c r="C964" s="23" t="s">
        <v>1684</v>
      </c>
      <c r="D964" s="23">
        <f>Source!BA298</f>
        <v>6.56</v>
      </c>
    </row>
    <row r="965" spans="1:28" x14ac:dyDescent="0.2">
      <c r="C965" s="23" t="s">
        <v>1685</v>
      </c>
      <c r="D965" s="23">
        <f>Source!BB298</f>
        <v>6.56</v>
      </c>
    </row>
    <row r="966" spans="1:28" x14ac:dyDescent="0.2">
      <c r="C966" s="23" t="s">
        <v>1686</v>
      </c>
      <c r="D966" s="23">
        <f>Source!BC298</f>
        <v>6.56</v>
      </c>
    </row>
    <row r="967" spans="1:28" x14ac:dyDescent="0.2">
      <c r="C967" s="23" t="s">
        <v>1687</v>
      </c>
      <c r="D967" s="23">
        <f>Source!BS298</f>
        <v>6.56</v>
      </c>
    </row>
    <row r="968" spans="1:28" x14ac:dyDescent="0.2">
      <c r="C968" s="9" t="s">
        <v>1688</v>
      </c>
      <c r="D968" s="34"/>
      <c r="E968" s="34"/>
      <c r="F968" s="34">
        <f>Source!BZ298</f>
        <v>95</v>
      </c>
      <c r="G968" s="58">
        <f>(Source!AF298+Source!AE298)*Source!FX298/100</f>
        <v>132.56299999999999</v>
      </c>
      <c r="H968" s="58">
        <f>Source!X298</f>
        <v>852.22</v>
      </c>
    </row>
    <row r="969" spans="1:28" x14ac:dyDescent="0.2">
      <c r="C969" s="9" t="s">
        <v>1690</v>
      </c>
      <c r="D969" s="34"/>
      <c r="E969" s="34"/>
      <c r="F969" s="34">
        <f>Source!CA298</f>
        <v>65</v>
      </c>
      <c r="G969" s="58">
        <f>(Source!AF298+Source!AE298)*Source!FY298/100</f>
        <v>90.701000000000008</v>
      </c>
      <c r="H969" s="58">
        <f>Source!Y298</f>
        <v>583.1</v>
      </c>
    </row>
    <row r="970" spans="1:28" x14ac:dyDescent="0.2">
      <c r="C970" s="9" t="s">
        <v>1692</v>
      </c>
      <c r="D970" s="34"/>
      <c r="E970" s="34"/>
      <c r="F970" s="34"/>
      <c r="G970" s="58">
        <f>((Source!AF298+Source!AE298)*Source!FX298/100)+((Source!AF298+Source!AE298)*Source!FY298/100)+Source!AB298</f>
        <v>379.59400000000005</v>
      </c>
      <c r="H970" s="58">
        <f>Source!O298+Source!X298+Source!Y298</f>
        <v>2440.33</v>
      </c>
    </row>
    <row r="971" spans="1:28" ht="42.75" x14ac:dyDescent="0.2">
      <c r="A971" s="46">
        <v>133</v>
      </c>
      <c r="B971" s="46" t="str">
        <f>Source!E299</f>
        <v>62,1</v>
      </c>
      <c r="C971" s="46" t="str">
        <f>Source!G299</f>
        <v>Трубы гибкие гофрированные легкие из самозатухающего ПВХ (IP55) серии FL, с зондом, диаметром 16 мм</v>
      </c>
      <c r="D971" s="46" t="str">
        <f>Source!F299</f>
        <v>24.3.01.02-0021</v>
      </c>
      <c r="E971" s="31" t="str">
        <f>Source!H299</f>
        <v>10 м</v>
      </c>
      <c r="F971" s="12">
        <f>Source!I299</f>
        <v>9.8000000000000007</v>
      </c>
      <c r="G971" s="22">
        <f>Source!AB299</f>
        <v>16.11</v>
      </c>
      <c r="H971" s="22">
        <f>Source!O299</f>
        <v>1035.68</v>
      </c>
      <c r="T971">
        <f>Source!O299+Source!X299+Source!Y299</f>
        <v>1035.68</v>
      </c>
      <c r="U971">
        <f>Source!P299</f>
        <v>1035.68</v>
      </c>
      <c r="V971">
        <f>Source!S299</f>
        <v>0</v>
      </c>
      <c r="W971">
        <f>Source!Q299</f>
        <v>0</v>
      </c>
      <c r="X971">
        <f>Source!R299</f>
        <v>0</v>
      </c>
      <c r="Y971">
        <f>Source!U299</f>
        <v>0</v>
      </c>
      <c r="Z971">
        <f>Source!V299</f>
        <v>0</v>
      </c>
      <c r="AA971">
        <f>Source!X299</f>
        <v>0</v>
      </c>
      <c r="AB971">
        <f>Source!Y299</f>
        <v>0</v>
      </c>
    </row>
    <row r="972" spans="1:28" ht="14.25" x14ac:dyDescent="0.2">
      <c r="C972" s="23" t="s">
        <v>1686</v>
      </c>
      <c r="D972" s="23">
        <f>Source!BC299</f>
        <v>6.56</v>
      </c>
      <c r="F972" s="12"/>
      <c r="G972" s="12"/>
      <c r="H972" s="12"/>
    </row>
    <row r="973" spans="1:28" ht="71.25" x14ac:dyDescent="0.2">
      <c r="A973" s="46">
        <v>134</v>
      </c>
      <c r="B973" s="46" t="str">
        <f>Source!E300</f>
        <v>63</v>
      </c>
      <c r="C973" s="46" t="str">
        <f>Source!G300</f>
        <v>Затягивание провода в проложенные трубы и металлические рукава первого одножильного или многожильного в общей оплетке, суммарное сечение до 6 мм2</v>
      </c>
      <c r="D973" s="46" t="str">
        <f>Source!F300</f>
        <v>м08-02-412-02</v>
      </c>
      <c r="E973" s="31" t="str">
        <f>Source!H300</f>
        <v>100 м</v>
      </c>
      <c r="F973" s="12">
        <f>Source!I300</f>
        <v>2.0499999999999998</v>
      </c>
      <c r="G973" s="22">
        <f>Source!AB300</f>
        <v>68.7</v>
      </c>
      <c r="H973" s="22">
        <f>Source!O300</f>
        <v>923.88</v>
      </c>
      <c r="T973">
        <f>Source!O300+Source!X300+Source!Y300</f>
        <v>2024.8799999999999</v>
      </c>
      <c r="U973">
        <f>Source!P300</f>
        <v>194.73</v>
      </c>
      <c r="V973">
        <f>Source!S300</f>
        <v>681.41</v>
      </c>
      <c r="W973">
        <f>Source!Q300</f>
        <v>47.74</v>
      </c>
      <c r="X973">
        <f>Source!R300</f>
        <v>6.72</v>
      </c>
      <c r="Y973">
        <f>Source!U300</f>
        <v>11.049499999999998</v>
      </c>
      <c r="Z973">
        <f>Source!V300</f>
        <v>8.199999999999999E-2</v>
      </c>
      <c r="AA973">
        <f>Source!X300</f>
        <v>653.72</v>
      </c>
      <c r="AB973">
        <f>Source!Y300</f>
        <v>447.28</v>
      </c>
    </row>
    <row r="974" spans="1:28" ht="14.25" x14ac:dyDescent="0.2">
      <c r="C974" s="23" t="str">
        <f>"Объем: "&amp;Source!I300&amp;"=205/"&amp;"100"</f>
        <v>Объем: 2,05=205/100</v>
      </c>
      <c r="F974" s="12"/>
      <c r="G974" s="12"/>
      <c r="H974" s="12"/>
    </row>
    <row r="975" spans="1:28" x14ac:dyDescent="0.2">
      <c r="C975" s="23" t="s">
        <v>1684</v>
      </c>
      <c r="D975" s="23">
        <f>Source!BA300</f>
        <v>6.56</v>
      </c>
    </row>
    <row r="976" spans="1:28" x14ac:dyDescent="0.2">
      <c r="C976" s="23" t="s">
        <v>1685</v>
      </c>
      <c r="D976" s="23">
        <f>Source!BB300</f>
        <v>6.56</v>
      </c>
    </row>
    <row r="977" spans="1:28" x14ac:dyDescent="0.2">
      <c r="C977" s="23" t="s">
        <v>1686</v>
      </c>
      <c r="D977" s="23">
        <f>Source!BC300</f>
        <v>6.56</v>
      </c>
    </row>
    <row r="978" spans="1:28" x14ac:dyDescent="0.2">
      <c r="C978" s="23" t="s">
        <v>1687</v>
      </c>
      <c r="D978" s="23">
        <f>Source!BS300</f>
        <v>6.56</v>
      </c>
    </row>
    <row r="979" spans="1:28" x14ac:dyDescent="0.2">
      <c r="C979" s="9" t="s">
        <v>1688</v>
      </c>
      <c r="D979" s="34"/>
      <c r="E979" s="34"/>
      <c r="F979" s="34">
        <f>Source!BZ300</f>
        <v>95</v>
      </c>
      <c r="G979" s="58">
        <f>(Source!AF300+Source!AE300)*Source!FX300/100</f>
        <v>48.611500000000007</v>
      </c>
      <c r="H979" s="58">
        <f>Source!X300</f>
        <v>653.72</v>
      </c>
    </row>
    <row r="980" spans="1:28" x14ac:dyDescent="0.2">
      <c r="C980" s="9" t="s">
        <v>1690</v>
      </c>
      <c r="D980" s="34"/>
      <c r="E980" s="34"/>
      <c r="F980" s="34">
        <f>Source!CA300</f>
        <v>65</v>
      </c>
      <c r="G980" s="58">
        <f>(Source!AF300+Source!AE300)*Source!FY300/100</f>
        <v>33.2605</v>
      </c>
      <c r="H980" s="58">
        <f>Source!Y300</f>
        <v>447.28</v>
      </c>
    </row>
    <row r="981" spans="1:28" x14ac:dyDescent="0.2">
      <c r="C981" s="9" t="s">
        <v>1692</v>
      </c>
      <c r="D981" s="34"/>
      <c r="E981" s="34"/>
      <c r="F981" s="34"/>
      <c r="G981" s="58">
        <f>((Source!AF300+Source!AE300)*Source!FX300/100)+((Source!AF300+Source!AE300)*Source!FY300/100)+Source!AB300</f>
        <v>150.572</v>
      </c>
      <c r="H981" s="58">
        <f>Source!O300+Source!X300+Source!Y300</f>
        <v>2024.8799999999999</v>
      </c>
    </row>
    <row r="982" spans="1:28" ht="85.5" x14ac:dyDescent="0.2">
      <c r="A982" s="46">
        <v>135</v>
      </c>
      <c r="B982" s="46" t="str">
        <f>Source!E301</f>
        <v>63,1</v>
      </c>
      <c r="C982" s="46" t="str">
        <f>Source!G301</f>
        <v>Кабель силовой с медными жилами с изоляцией и оболочкой из ПВХ, не распространяющий горение, с низким дымо- и газовыделением, напряжением 1,0 кВ (ГОСТ Р 53769-2010), марки ВВГнг(A)-LS 3х1,5ок(N,РЕ)</v>
      </c>
      <c r="D982" s="46" t="str">
        <f>Source!F301</f>
        <v>21.1.06.10-0375</v>
      </c>
      <c r="E982" s="31" t="str">
        <f>Source!H301</f>
        <v>1000 м</v>
      </c>
      <c r="F982" s="12">
        <f>Source!I301</f>
        <v>0.20499999999999999</v>
      </c>
      <c r="G982" s="22">
        <f>Source!AB301</f>
        <v>10960.87</v>
      </c>
      <c r="H982" s="22">
        <f>Source!O301</f>
        <v>14740.18</v>
      </c>
      <c r="T982">
        <f>Source!O301+Source!X301+Source!Y301</f>
        <v>14740.18</v>
      </c>
      <c r="U982">
        <f>Source!P301</f>
        <v>14740.18</v>
      </c>
      <c r="V982">
        <f>Source!S301</f>
        <v>0</v>
      </c>
      <c r="W982">
        <f>Source!Q301</f>
        <v>0</v>
      </c>
      <c r="X982">
        <f>Source!R301</f>
        <v>0</v>
      </c>
      <c r="Y982">
        <f>Source!U301</f>
        <v>0</v>
      </c>
      <c r="Z982">
        <f>Source!V301</f>
        <v>0</v>
      </c>
      <c r="AA982">
        <f>Source!X301</f>
        <v>0</v>
      </c>
      <c r="AB982">
        <f>Source!Y301</f>
        <v>0</v>
      </c>
    </row>
    <row r="983" spans="1:28" ht="14.25" x14ac:dyDescent="0.2">
      <c r="C983" s="23" t="s">
        <v>1686</v>
      </c>
      <c r="D983" s="23">
        <f>Source!BC301</f>
        <v>6.56</v>
      </c>
      <c r="F983" s="12"/>
      <c r="G983" s="12"/>
      <c r="H983" s="12"/>
    </row>
    <row r="984" spans="1:28" ht="28.5" x14ac:dyDescent="0.2">
      <c r="A984" s="46">
        <v>136</v>
      </c>
      <c r="B984" s="46" t="str">
        <f>Source!E302</f>
        <v>64</v>
      </c>
      <c r="C984" s="46" t="str">
        <f>Source!G302</f>
        <v>Коробка ответвительная на стене</v>
      </c>
      <c r="D984" s="46" t="str">
        <f>Source!F302</f>
        <v>м10-08-019-01</v>
      </c>
      <c r="E984" s="31" t="str">
        <f>Source!H302</f>
        <v>ШТ</v>
      </c>
      <c r="F984" s="12">
        <f>Source!I302</f>
        <v>51</v>
      </c>
      <c r="G984" s="22">
        <f>Source!AB302</f>
        <v>5.29</v>
      </c>
      <c r="H984" s="22">
        <f>Source!O302</f>
        <v>1769.82</v>
      </c>
      <c r="T984">
        <f>Source!O302+Source!X302+Source!Y302</f>
        <v>4055.5299999999997</v>
      </c>
      <c r="U984">
        <f>Source!P302</f>
        <v>137.16999999999999</v>
      </c>
      <c r="V984">
        <f>Source!S302</f>
        <v>1632.65</v>
      </c>
      <c r="W984">
        <f>Source!Q302</f>
        <v>0</v>
      </c>
      <c r="X984">
        <f>Source!R302</f>
        <v>0</v>
      </c>
      <c r="Y984">
        <f>Source!U302</f>
        <v>25.5</v>
      </c>
      <c r="Z984">
        <f>Source!V302</f>
        <v>0</v>
      </c>
      <c r="AA984">
        <f>Source!X302</f>
        <v>1306.1199999999999</v>
      </c>
      <c r="AB984">
        <f>Source!Y302</f>
        <v>979.59</v>
      </c>
    </row>
    <row r="985" spans="1:28" ht="14.25" x14ac:dyDescent="0.2">
      <c r="C985" s="23" t="s">
        <v>1684</v>
      </c>
      <c r="D985" s="23">
        <f>Source!BA302</f>
        <v>6.56</v>
      </c>
      <c r="F985" s="12"/>
      <c r="G985" s="12"/>
      <c r="H985" s="12"/>
    </row>
    <row r="986" spans="1:28" x14ac:dyDescent="0.2">
      <c r="C986" s="23" t="s">
        <v>1685</v>
      </c>
      <c r="D986" s="23">
        <f>Source!BB302</f>
        <v>6.56</v>
      </c>
    </row>
    <row r="987" spans="1:28" x14ac:dyDescent="0.2">
      <c r="C987" s="23" t="s">
        <v>1686</v>
      </c>
      <c r="D987" s="23">
        <f>Source!BC302</f>
        <v>6.56</v>
      </c>
    </row>
    <row r="988" spans="1:28" x14ac:dyDescent="0.2">
      <c r="C988" s="23" t="s">
        <v>1687</v>
      </c>
      <c r="D988" s="23">
        <f>Source!BS302</f>
        <v>6.56</v>
      </c>
    </row>
    <row r="989" spans="1:28" x14ac:dyDescent="0.2">
      <c r="C989" s="9" t="s">
        <v>1688</v>
      </c>
      <c r="D989" s="34"/>
      <c r="E989" s="34"/>
      <c r="F989" s="34">
        <f>Source!BZ302</f>
        <v>80</v>
      </c>
      <c r="G989" s="58">
        <f>(Source!AF302+Source!AE302)*Source!FX302/100</f>
        <v>3.9039999999999999</v>
      </c>
      <c r="H989" s="58">
        <f>Source!X302</f>
        <v>1306.1199999999999</v>
      </c>
    </row>
    <row r="990" spans="1:28" x14ac:dyDescent="0.2">
      <c r="C990" s="9" t="s">
        <v>1690</v>
      </c>
      <c r="D990" s="34"/>
      <c r="E990" s="34"/>
      <c r="F990" s="34">
        <f>Source!CA302</f>
        <v>60</v>
      </c>
      <c r="G990" s="58">
        <f>(Source!AF302+Source!AE302)*Source!FY302/100</f>
        <v>2.9279999999999999</v>
      </c>
      <c r="H990" s="58">
        <f>Source!Y302</f>
        <v>979.59</v>
      </c>
    </row>
    <row r="991" spans="1:28" x14ac:dyDescent="0.2">
      <c r="C991" s="9" t="s">
        <v>1692</v>
      </c>
      <c r="D991" s="34"/>
      <c r="E991" s="34"/>
      <c r="F991" s="34"/>
      <c r="G991" s="58">
        <f>((Source!AF302+Source!AE302)*Source!FX302/100)+((Source!AF302+Source!AE302)*Source!FY302/100)+Source!AB302</f>
        <v>12.122</v>
      </c>
      <c r="H991" s="58">
        <f>Source!O302+Source!X302+Source!Y302</f>
        <v>4055.5299999999997</v>
      </c>
    </row>
    <row r="992" spans="1:28" ht="28.5" x14ac:dyDescent="0.2">
      <c r="A992" s="46">
        <v>137</v>
      </c>
      <c r="B992" s="46" t="str">
        <f>Source!E303</f>
        <v>64,1</v>
      </c>
      <c r="C992" s="46" t="str">
        <f>Source!G303</f>
        <v>Коробка распаечная ,наружная 75х75мм прим.</v>
      </c>
      <c r="D992" s="46" t="str">
        <f>Source!F303</f>
        <v>20.5.02.07-0003</v>
      </c>
      <c r="E992" s="31" t="str">
        <f>Source!H303</f>
        <v>шт.</v>
      </c>
      <c r="F992" s="12">
        <f>Source!I303</f>
        <v>51</v>
      </c>
      <c r="G992" s="22">
        <f>Source!AB303</f>
        <v>8.6199999999999992</v>
      </c>
      <c r="H992" s="22">
        <f>Source!O303</f>
        <v>2883.91</v>
      </c>
      <c r="T992">
        <f>Source!O303+Source!X303+Source!Y303</f>
        <v>2883.91</v>
      </c>
      <c r="U992">
        <f>Source!P303</f>
        <v>2883.91</v>
      </c>
      <c r="V992">
        <f>Source!S303</f>
        <v>0</v>
      </c>
      <c r="W992">
        <f>Source!Q303</f>
        <v>0</v>
      </c>
      <c r="X992">
        <f>Source!R303</f>
        <v>0</v>
      </c>
      <c r="Y992">
        <f>Source!U303</f>
        <v>0</v>
      </c>
      <c r="Z992">
        <f>Source!V303</f>
        <v>0</v>
      </c>
      <c r="AA992">
        <f>Source!X303</f>
        <v>0</v>
      </c>
      <c r="AB992">
        <f>Source!Y303</f>
        <v>0</v>
      </c>
    </row>
    <row r="993" spans="1:28" ht="14.25" x14ac:dyDescent="0.2">
      <c r="C993" s="23" t="s">
        <v>1686</v>
      </c>
      <c r="D993" s="23">
        <f>Source!BC303</f>
        <v>6.56</v>
      </c>
      <c r="F993" s="12"/>
      <c r="G993" s="12"/>
      <c r="H993" s="12"/>
    </row>
    <row r="994" spans="1:28" ht="57" x14ac:dyDescent="0.2">
      <c r="A994" s="46">
        <v>138</v>
      </c>
      <c r="B994" s="46" t="str">
        <f>Source!E304</f>
        <v>65</v>
      </c>
      <c r="C994" s="46" t="str">
        <f>Source!G304</f>
        <v>Сверление отверстий в кирпичных стенах электроперфоратором диаметром до 20 мм, толщина стен 0,5 кирпича</v>
      </c>
      <c r="D994" s="46" t="str">
        <f>Source!F304</f>
        <v>69-2-1 прим.</v>
      </c>
      <c r="E994" s="31" t="str">
        <f>Source!H304</f>
        <v>100 ШТ</v>
      </c>
      <c r="F994" s="12">
        <f>Source!I304</f>
        <v>0.11</v>
      </c>
      <c r="G994" s="22">
        <f>Source!AB304</f>
        <v>46.83</v>
      </c>
      <c r="H994" s="22">
        <f>Source!O304</f>
        <v>33.79</v>
      </c>
      <c r="T994">
        <f>Source!O304+Source!X304+Source!Y304</f>
        <v>77.05</v>
      </c>
      <c r="U994">
        <f>Source!P304</f>
        <v>0</v>
      </c>
      <c r="V994">
        <f>Source!S304</f>
        <v>33.79</v>
      </c>
      <c r="W994">
        <f>Source!Q304</f>
        <v>0</v>
      </c>
      <c r="X994">
        <f>Source!R304</f>
        <v>0</v>
      </c>
      <c r="Y994">
        <f>Source!U304</f>
        <v>0.60389999999999999</v>
      </c>
      <c r="Z994">
        <f>Source!V304</f>
        <v>0</v>
      </c>
      <c r="AA994">
        <f>Source!X304</f>
        <v>26.36</v>
      </c>
      <c r="AB994">
        <f>Source!Y304</f>
        <v>16.899999999999999</v>
      </c>
    </row>
    <row r="995" spans="1:28" ht="14.25" x14ac:dyDescent="0.2">
      <c r="C995" s="23" t="str">
        <f>"Объем: "&amp;Source!I304&amp;"=11/"&amp;"100"</f>
        <v>Объем: 0,11=11/100</v>
      </c>
      <c r="F995" s="12"/>
      <c r="G995" s="12"/>
      <c r="H995" s="12"/>
    </row>
    <row r="996" spans="1:28" x14ac:dyDescent="0.2">
      <c r="C996" s="23" t="s">
        <v>1684</v>
      </c>
      <c r="D996" s="23">
        <f>Source!BA304</f>
        <v>6.56</v>
      </c>
    </row>
    <row r="997" spans="1:28" x14ac:dyDescent="0.2">
      <c r="C997" s="23" t="s">
        <v>1685</v>
      </c>
      <c r="D997" s="23">
        <f>Source!BB304</f>
        <v>6.56</v>
      </c>
    </row>
    <row r="998" spans="1:28" x14ac:dyDescent="0.2">
      <c r="C998" s="23" t="s">
        <v>1686</v>
      </c>
      <c r="D998" s="23">
        <f>Source!BC304</f>
        <v>6.56</v>
      </c>
    </row>
    <row r="999" spans="1:28" x14ac:dyDescent="0.2">
      <c r="C999" s="23" t="s">
        <v>1687</v>
      </c>
      <c r="D999" s="23">
        <f>Source!BS304</f>
        <v>6.56</v>
      </c>
    </row>
    <row r="1000" spans="1:28" x14ac:dyDescent="0.2">
      <c r="C1000" s="9" t="s">
        <v>1688</v>
      </c>
      <c r="D1000" s="34"/>
      <c r="E1000" s="34"/>
      <c r="F1000" s="34">
        <f>Source!BZ304</f>
        <v>78</v>
      </c>
      <c r="G1000" s="58">
        <f>(Source!AF304+Source!AE304)*Source!FX304/100</f>
        <v>36.5274</v>
      </c>
      <c r="H1000" s="58">
        <f>Source!X304</f>
        <v>26.36</v>
      </c>
    </row>
    <row r="1001" spans="1:28" x14ac:dyDescent="0.2">
      <c r="C1001" s="9" t="s">
        <v>1690</v>
      </c>
      <c r="D1001" s="34"/>
      <c r="E1001" s="34"/>
      <c r="F1001" s="34">
        <f>Source!CA304</f>
        <v>50</v>
      </c>
      <c r="G1001" s="58">
        <f>(Source!AF304+Source!AE304)*Source!FY304/100</f>
        <v>23.414999999999999</v>
      </c>
      <c r="H1001" s="58">
        <f>Source!Y304</f>
        <v>16.899999999999999</v>
      </c>
    </row>
    <row r="1002" spans="1:28" x14ac:dyDescent="0.2">
      <c r="C1002" s="9" t="s">
        <v>1692</v>
      </c>
      <c r="D1002" s="34"/>
      <c r="E1002" s="34"/>
      <c r="F1002" s="34"/>
      <c r="G1002" s="58">
        <f>((Source!AF304+Source!AE304)*Source!FX304/100)+((Source!AF304+Source!AE304)*Source!FY304/100)+Source!AB304</f>
        <v>106.7724</v>
      </c>
      <c r="H1002" s="58">
        <f>Source!O304+Source!X304+Source!Y304</f>
        <v>77.05</v>
      </c>
    </row>
    <row r="1003" spans="1:28" ht="28.5" x14ac:dyDescent="0.2">
      <c r="A1003" s="46">
        <v>139</v>
      </c>
      <c r="B1003" s="46" t="str">
        <f>Source!E305</f>
        <v>66</v>
      </c>
      <c r="C1003" s="46" t="str">
        <f>Source!G305</f>
        <v>Труба полиэтиленовая по основанию пола, диаметр до 50 мм (гильзы) прим.</v>
      </c>
      <c r="D1003" s="46" t="str">
        <f>Source!F305</f>
        <v>м08-02-410-02</v>
      </c>
      <c r="E1003" s="31" t="str">
        <f>Source!H305</f>
        <v>100 м</v>
      </c>
      <c r="F1003" s="12">
        <f>Source!I305</f>
        <v>6.6000000000000003E-2</v>
      </c>
      <c r="G1003" s="22">
        <f>Source!AB305</f>
        <v>250.92</v>
      </c>
      <c r="H1003" s="22">
        <f>Source!O305</f>
        <v>108.64</v>
      </c>
      <c r="T1003">
        <f>Source!O305+Source!X305+Source!Y305</f>
        <v>210.06</v>
      </c>
      <c r="U1003">
        <f>Source!P305</f>
        <v>37.99</v>
      </c>
      <c r="V1003">
        <f>Source!S305</f>
        <v>62.19</v>
      </c>
      <c r="W1003">
        <f>Source!Q305</f>
        <v>8.4600000000000009</v>
      </c>
      <c r="X1003">
        <f>Source!R305</f>
        <v>1.2</v>
      </c>
      <c r="Y1003">
        <f>Source!U305</f>
        <v>1.00848</v>
      </c>
      <c r="Z1003">
        <f>Source!V305</f>
        <v>1.452E-2</v>
      </c>
      <c r="AA1003">
        <f>Source!X305</f>
        <v>60.22</v>
      </c>
      <c r="AB1003">
        <f>Source!Y305</f>
        <v>41.2</v>
      </c>
    </row>
    <row r="1004" spans="1:28" ht="14.25" x14ac:dyDescent="0.2">
      <c r="C1004" s="23" t="str">
        <f>"Объем: "&amp;Source!I305&amp;"=6,6/"&amp;"100"</f>
        <v>Объем: 0,066=6,6/100</v>
      </c>
      <c r="F1004" s="12"/>
      <c r="G1004" s="12"/>
      <c r="H1004" s="12"/>
    </row>
    <row r="1005" spans="1:28" x14ac:dyDescent="0.2">
      <c r="C1005" s="23" t="s">
        <v>1684</v>
      </c>
      <c r="D1005" s="23">
        <f>Source!BA305</f>
        <v>6.56</v>
      </c>
    </row>
    <row r="1006" spans="1:28" x14ac:dyDescent="0.2">
      <c r="C1006" s="23" t="s">
        <v>1685</v>
      </c>
      <c r="D1006" s="23">
        <f>Source!BB305</f>
        <v>6.56</v>
      </c>
    </row>
    <row r="1007" spans="1:28" x14ac:dyDescent="0.2">
      <c r="C1007" s="23" t="s">
        <v>1686</v>
      </c>
      <c r="D1007" s="23">
        <f>Source!BC305</f>
        <v>6.56</v>
      </c>
    </row>
    <row r="1008" spans="1:28" x14ac:dyDescent="0.2">
      <c r="C1008" s="23" t="s">
        <v>1687</v>
      </c>
      <c r="D1008" s="23">
        <f>Source!BS305</f>
        <v>6.56</v>
      </c>
    </row>
    <row r="1009" spans="1:28" x14ac:dyDescent="0.2">
      <c r="C1009" s="9" t="s">
        <v>1688</v>
      </c>
      <c r="D1009" s="34"/>
      <c r="E1009" s="34"/>
      <c r="F1009" s="34">
        <f>Source!BZ305</f>
        <v>95</v>
      </c>
      <c r="G1009" s="58">
        <f>(Source!AF305+Source!AE305)*Source!FX305/100</f>
        <v>139.08000000000001</v>
      </c>
      <c r="H1009" s="58">
        <f>Source!X305</f>
        <v>60.22</v>
      </c>
    </row>
    <row r="1010" spans="1:28" x14ac:dyDescent="0.2">
      <c r="C1010" s="9" t="s">
        <v>1690</v>
      </c>
      <c r="D1010" s="34"/>
      <c r="E1010" s="34"/>
      <c r="F1010" s="34">
        <f>Source!CA305</f>
        <v>65</v>
      </c>
      <c r="G1010" s="58">
        <f>(Source!AF305+Source!AE305)*Source!FY305/100</f>
        <v>95.16</v>
      </c>
      <c r="H1010" s="58">
        <f>Source!Y305</f>
        <v>41.2</v>
      </c>
    </row>
    <row r="1011" spans="1:28" x14ac:dyDescent="0.2">
      <c r="C1011" s="9" t="s">
        <v>1692</v>
      </c>
      <c r="D1011" s="34"/>
      <c r="E1011" s="34"/>
      <c r="F1011" s="34"/>
      <c r="G1011" s="58">
        <f>((Source!AF305+Source!AE305)*Source!FX305/100)+((Source!AF305+Source!AE305)*Source!FY305/100)+Source!AB305</f>
        <v>485.15999999999997</v>
      </c>
      <c r="H1011" s="58">
        <f>Source!O305+Source!X305+Source!Y305</f>
        <v>210.06</v>
      </c>
    </row>
    <row r="1012" spans="1:28" ht="42.75" x14ac:dyDescent="0.2">
      <c r="A1012" s="46">
        <v>140</v>
      </c>
      <c r="B1012" s="46" t="str">
        <f>Source!E306</f>
        <v>66,1</v>
      </c>
      <c r="C1012" s="46" t="str">
        <f>Source!G306</f>
        <v>Трубы жесткие гладкие легкие из самозатухающего ПВХ (IP55) серии RIG, диаметром 32 мм</v>
      </c>
      <c r="D1012" s="46" t="str">
        <f>Source!F306</f>
        <v>24.3.01.03-0014</v>
      </c>
      <c r="E1012" s="31" t="str">
        <f>Source!H306</f>
        <v>10 м</v>
      </c>
      <c r="F1012" s="12">
        <f>Source!I306</f>
        <v>0.66</v>
      </c>
      <c r="G1012" s="22">
        <f>Source!AB306</f>
        <v>79.47</v>
      </c>
      <c r="H1012" s="22">
        <f>Source!O306</f>
        <v>344.07</v>
      </c>
      <c r="T1012">
        <f>Source!O306+Source!X306+Source!Y306</f>
        <v>344.07</v>
      </c>
      <c r="U1012">
        <f>Source!P306</f>
        <v>344.07</v>
      </c>
      <c r="V1012">
        <f>Source!S306</f>
        <v>0</v>
      </c>
      <c r="W1012">
        <f>Source!Q306</f>
        <v>0</v>
      </c>
      <c r="X1012">
        <f>Source!R306</f>
        <v>0</v>
      </c>
      <c r="Y1012">
        <f>Source!U306</f>
        <v>0</v>
      </c>
      <c r="Z1012">
        <f>Source!V306</f>
        <v>0</v>
      </c>
      <c r="AA1012">
        <f>Source!X306</f>
        <v>0</v>
      </c>
      <c r="AB1012">
        <f>Source!Y306</f>
        <v>0</v>
      </c>
    </row>
    <row r="1013" spans="1:28" ht="14.25" x14ac:dyDescent="0.2">
      <c r="C1013" s="23" t="s">
        <v>1686</v>
      </c>
      <c r="D1013" s="23">
        <f>Source!BC306</f>
        <v>6.56</v>
      </c>
      <c r="F1013" s="12"/>
      <c r="G1013" s="12"/>
      <c r="H1013" s="12"/>
    </row>
    <row r="1014" spans="1:28" ht="28.5" x14ac:dyDescent="0.2">
      <c r="A1014" s="46">
        <v>141</v>
      </c>
      <c r="B1014" s="46" t="str">
        <f>Source!E307</f>
        <v>67</v>
      </c>
      <c r="C1014" s="46" t="str">
        <f>Source!G307</f>
        <v>Щиток до трех групп, устанавливаемый в нише цоколя</v>
      </c>
      <c r="D1014" s="46" t="str">
        <f>Source!F307</f>
        <v>м08-02-370-02</v>
      </c>
      <c r="E1014" s="31" t="str">
        <f>Source!H307</f>
        <v>ШТ</v>
      </c>
      <c r="F1014" s="12">
        <f>Source!I307</f>
        <v>1</v>
      </c>
      <c r="G1014" s="22">
        <f>Source!AB307</f>
        <v>33.42</v>
      </c>
      <c r="H1014" s="22">
        <f>Source!O307</f>
        <v>219.23</v>
      </c>
      <c r="T1014">
        <f>Source!O307+Source!X307+Source!Y307</f>
        <v>344.77</v>
      </c>
      <c r="U1014">
        <f>Source!P307</f>
        <v>40.67</v>
      </c>
      <c r="V1014">
        <f>Source!S307</f>
        <v>61.99</v>
      </c>
      <c r="W1014">
        <f>Source!Q307</f>
        <v>116.57</v>
      </c>
      <c r="X1014">
        <f>Source!R307</f>
        <v>16.47</v>
      </c>
      <c r="Y1014">
        <f>Source!U307</f>
        <v>0.9</v>
      </c>
      <c r="Z1014">
        <f>Source!V307</f>
        <v>0.2</v>
      </c>
      <c r="AA1014">
        <f>Source!X307</f>
        <v>74.540000000000006</v>
      </c>
      <c r="AB1014">
        <f>Source!Y307</f>
        <v>51</v>
      </c>
    </row>
    <row r="1015" spans="1:28" ht="14.25" x14ac:dyDescent="0.2">
      <c r="C1015" s="23" t="s">
        <v>1684</v>
      </c>
      <c r="D1015" s="23">
        <f>Source!BA307</f>
        <v>6.56</v>
      </c>
      <c r="F1015" s="12"/>
      <c r="G1015" s="12"/>
      <c r="H1015" s="12"/>
    </row>
    <row r="1016" spans="1:28" x14ac:dyDescent="0.2">
      <c r="C1016" s="23" t="s">
        <v>1685</v>
      </c>
      <c r="D1016" s="23">
        <f>Source!BB307</f>
        <v>6.56</v>
      </c>
    </row>
    <row r="1017" spans="1:28" x14ac:dyDescent="0.2">
      <c r="C1017" s="23" t="s">
        <v>1686</v>
      </c>
      <c r="D1017" s="23">
        <f>Source!BC307</f>
        <v>6.56</v>
      </c>
    </row>
    <row r="1018" spans="1:28" x14ac:dyDescent="0.2">
      <c r="C1018" s="23" t="s">
        <v>1687</v>
      </c>
      <c r="D1018" s="23">
        <f>Source!BS307</f>
        <v>6.56</v>
      </c>
    </row>
    <row r="1019" spans="1:28" x14ac:dyDescent="0.2">
      <c r="C1019" s="9" t="s">
        <v>1688</v>
      </c>
      <c r="D1019" s="34"/>
      <c r="E1019" s="34"/>
      <c r="F1019" s="34">
        <f>Source!BZ307</f>
        <v>95</v>
      </c>
      <c r="G1019" s="58">
        <f>(Source!AF307+Source!AE307)*Source!FX307/100</f>
        <v>11.361999999999998</v>
      </c>
      <c r="H1019" s="58">
        <f>Source!X307</f>
        <v>74.540000000000006</v>
      </c>
    </row>
    <row r="1020" spans="1:28" x14ac:dyDescent="0.2">
      <c r="C1020" s="9" t="s">
        <v>1690</v>
      </c>
      <c r="D1020" s="34"/>
      <c r="E1020" s="34"/>
      <c r="F1020" s="34">
        <f>Source!CA307</f>
        <v>65</v>
      </c>
      <c r="G1020" s="58">
        <f>(Source!AF307+Source!AE307)*Source!FY307/100</f>
        <v>7.774</v>
      </c>
      <c r="H1020" s="58">
        <f>Source!Y307</f>
        <v>51</v>
      </c>
    </row>
    <row r="1021" spans="1:28" x14ac:dyDescent="0.2">
      <c r="C1021" s="9" t="s">
        <v>1692</v>
      </c>
      <c r="D1021" s="34"/>
      <c r="E1021" s="34"/>
      <c r="F1021" s="34"/>
      <c r="G1021" s="58">
        <f>((Source!AF307+Source!AE307)*Source!FX307/100)+((Source!AF307+Source!AE307)*Source!FY307/100)+Source!AB307</f>
        <v>52.555999999999997</v>
      </c>
      <c r="H1021" s="58">
        <f>Source!O307+Source!X307+Source!Y307</f>
        <v>344.77</v>
      </c>
    </row>
    <row r="1022" spans="1:28" ht="28.5" x14ac:dyDescent="0.2">
      <c r="A1022" s="46">
        <v>142</v>
      </c>
      <c r="B1022" s="46" t="str">
        <f>Source!E308</f>
        <v>67,1</v>
      </c>
      <c r="C1022" s="46" t="str">
        <f>Source!G308</f>
        <v>Щитки распределительные этажные  EKF ЩРВ-36(з) прим.</v>
      </c>
      <c r="D1022" s="46" t="str">
        <f>Source!F308</f>
        <v>62.1.02.17-0012</v>
      </c>
      <c r="E1022" s="31" t="str">
        <f>Source!H308</f>
        <v>шт.</v>
      </c>
      <c r="F1022" s="12">
        <f>Source!I308</f>
        <v>1</v>
      </c>
      <c r="G1022" s="22">
        <f>Source!AB308</f>
        <v>1494.77</v>
      </c>
      <c r="H1022" s="22">
        <f>Source!O308</f>
        <v>9805.69</v>
      </c>
      <c r="T1022">
        <f>Source!O308+Source!X308+Source!Y308</f>
        <v>9805.69</v>
      </c>
      <c r="U1022">
        <f>Source!P308</f>
        <v>9805.69</v>
      </c>
      <c r="V1022">
        <f>Source!S308</f>
        <v>0</v>
      </c>
      <c r="W1022">
        <f>Source!Q308</f>
        <v>0</v>
      </c>
      <c r="X1022">
        <f>Source!R308</f>
        <v>0</v>
      </c>
      <c r="Y1022">
        <f>Source!U308</f>
        <v>0</v>
      </c>
      <c r="Z1022">
        <f>Source!V308</f>
        <v>0</v>
      </c>
      <c r="AA1022">
        <f>Source!X308</f>
        <v>0</v>
      </c>
      <c r="AB1022">
        <f>Source!Y308</f>
        <v>0</v>
      </c>
    </row>
    <row r="1023" spans="1:28" ht="14.25" x14ac:dyDescent="0.2">
      <c r="C1023" s="23" t="s">
        <v>1686</v>
      </c>
      <c r="D1023" s="23">
        <f>Source!BC308</f>
        <v>6.56</v>
      </c>
      <c r="F1023" s="12"/>
      <c r="G1023" s="12"/>
      <c r="H1023" s="12"/>
    </row>
    <row r="1024" spans="1:28" ht="42.75" x14ac:dyDescent="0.2">
      <c r="A1024" s="46">
        <v>143</v>
      </c>
      <c r="B1024" s="46" t="str">
        <f>Source!E309</f>
        <v>68</v>
      </c>
      <c r="C1024" s="46" t="str">
        <f>Source!G309</f>
        <v>Автомат одно-, двух-, трехполюсный, устанавливаемый на конструкции на полу, на ток до 25 А</v>
      </c>
      <c r="D1024" s="46" t="str">
        <f>Source!F309</f>
        <v>м08-03-526-06</v>
      </c>
      <c r="E1024" s="31" t="str">
        <f>Source!H309</f>
        <v>ШТ</v>
      </c>
      <c r="F1024" s="12">
        <f>Source!I309</f>
        <v>7</v>
      </c>
      <c r="G1024" s="22">
        <f>Source!AB309</f>
        <v>71.97</v>
      </c>
      <c r="H1024" s="22">
        <f>Source!O309</f>
        <v>3304.87</v>
      </c>
      <c r="T1024">
        <f>Source!O309+Source!X309+Source!Y309</f>
        <v>4437.08</v>
      </c>
      <c r="U1024">
        <f>Source!P309</f>
        <v>2545.35</v>
      </c>
      <c r="V1024">
        <f>Source!S309</f>
        <v>707.63</v>
      </c>
      <c r="W1024">
        <f>Source!Q309</f>
        <v>51.89</v>
      </c>
      <c r="X1024">
        <f>Source!R309</f>
        <v>0</v>
      </c>
      <c r="Y1024">
        <f>Source!U309</f>
        <v>11.34</v>
      </c>
      <c r="Z1024">
        <f>Source!V309</f>
        <v>0</v>
      </c>
      <c r="AA1024">
        <f>Source!X309</f>
        <v>672.25</v>
      </c>
      <c r="AB1024">
        <f>Source!Y309</f>
        <v>459.96</v>
      </c>
    </row>
    <row r="1025" spans="1:28" ht="14.25" x14ac:dyDescent="0.2">
      <c r="C1025" s="23" t="s">
        <v>1684</v>
      </c>
      <c r="D1025" s="23">
        <f>Source!BA309</f>
        <v>6.56</v>
      </c>
      <c r="F1025" s="12"/>
      <c r="G1025" s="12"/>
      <c r="H1025" s="12"/>
    </row>
    <row r="1026" spans="1:28" x14ac:dyDescent="0.2">
      <c r="C1026" s="23" t="s">
        <v>1685</v>
      </c>
      <c r="D1026" s="23">
        <f>Source!BB309</f>
        <v>6.56</v>
      </c>
    </row>
    <row r="1027" spans="1:28" x14ac:dyDescent="0.2">
      <c r="C1027" s="23" t="s">
        <v>1686</v>
      </c>
      <c r="D1027" s="23">
        <f>Source!BC309</f>
        <v>6.56</v>
      </c>
    </row>
    <row r="1028" spans="1:28" x14ac:dyDescent="0.2">
      <c r="C1028" s="23" t="s">
        <v>1687</v>
      </c>
      <c r="D1028" s="23">
        <f>Source!BS309</f>
        <v>6.56</v>
      </c>
    </row>
    <row r="1029" spans="1:28" x14ac:dyDescent="0.2">
      <c r="C1029" s="9" t="s">
        <v>1688</v>
      </c>
      <c r="D1029" s="34"/>
      <c r="E1029" s="34"/>
      <c r="F1029" s="34">
        <f>Source!BZ309</f>
        <v>95</v>
      </c>
      <c r="G1029" s="58">
        <f>(Source!AF309+Source!AE309)*Source!FX309/100</f>
        <v>14.6395</v>
      </c>
      <c r="H1029" s="58">
        <f>Source!X309</f>
        <v>672.25</v>
      </c>
    </row>
    <row r="1030" spans="1:28" x14ac:dyDescent="0.2">
      <c r="C1030" s="9" t="s">
        <v>1690</v>
      </c>
      <c r="D1030" s="34"/>
      <c r="E1030" s="34"/>
      <c r="F1030" s="34">
        <f>Source!CA309</f>
        <v>65</v>
      </c>
      <c r="G1030" s="58">
        <f>(Source!AF309+Source!AE309)*Source!FY309/100</f>
        <v>10.016500000000001</v>
      </c>
      <c r="H1030" s="58">
        <f>Source!Y309</f>
        <v>459.96</v>
      </c>
    </row>
    <row r="1031" spans="1:28" x14ac:dyDescent="0.2">
      <c r="C1031" s="9" t="s">
        <v>1692</v>
      </c>
      <c r="D1031" s="34"/>
      <c r="E1031" s="34"/>
      <c r="F1031" s="34"/>
      <c r="G1031" s="58">
        <f>((Source!AF309+Source!AE309)*Source!FX309/100)+((Source!AF309+Source!AE309)*Source!FY309/100)+Source!AB309</f>
        <v>96.626000000000005</v>
      </c>
      <c r="H1031" s="58">
        <f>Source!O309+Source!X309+Source!Y309</f>
        <v>4437.08</v>
      </c>
    </row>
    <row r="1032" spans="1:28" ht="28.5" x14ac:dyDescent="0.2">
      <c r="A1032" s="46">
        <v>144</v>
      </c>
      <c r="B1032" s="46" t="str">
        <f>Source!E310</f>
        <v>68,1</v>
      </c>
      <c r="C1032" s="46" t="str">
        <f>Source!G310</f>
        <v>Выключатели автоматические АВВ 1Р 6А прим.</v>
      </c>
      <c r="D1032" s="46" t="str">
        <f>Source!F310</f>
        <v>62.1.01.09-0048</v>
      </c>
      <c r="E1032" s="31" t="str">
        <f>Source!H310</f>
        <v>шт.</v>
      </c>
      <c r="F1032" s="12">
        <f>Source!I310</f>
        <v>7</v>
      </c>
      <c r="G1032" s="22">
        <f>Source!AB310</f>
        <v>81.61</v>
      </c>
      <c r="H1032" s="22">
        <f>Source!O310</f>
        <v>3747.53</v>
      </c>
      <c r="T1032">
        <f>Source!O310+Source!X310+Source!Y310</f>
        <v>3747.53</v>
      </c>
      <c r="U1032">
        <f>Source!P310</f>
        <v>3747.53</v>
      </c>
      <c r="V1032">
        <f>Source!S310</f>
        <v>0</v>
      </c>
      <c r="W1032">
        <f>Source!Q310</f>
        <v>0</v>
      </c>
      <c r="X1032">
        <f>Source!R310</f>
        <v>0</v>
      </c>
      <c r="Y1032">
        <f>Source!U310</f>
        <v>0</v>
      </c>
      <c r="Z1032">
        <f>Source!V310</f>
        <v>0</v>
      </c>
      <c r="AA1032">
        <f>Source!X310</f>
        <v>0</v>
      </c>
      <c r="AB1032">
        <f>Source!Y310</f>
        <v>0</v>
      </c>
    </row>
    <row r="1033" spans="1:28" ht="14.25" x14ac:dyDescent="0.2">
      <c r="C1033" s="23" t="s">
        <v>1686</v>
      </c>
      <c r="D1033" s="23">
        <f>Source!BC310</f>
        <v>6.56</v>
      </c>
      <c r="F1033" s="12"/>
      <c r="G1033" s="12"/>
      <c r="H1033" s="12"/>
    </row>
    <row r="1034" spans="1:28" ht="28.5" x14ac:dyDescent="0.2">
      <c r="A1034" s="46">
        <v>145</v>
      </c>
      <c r="B1034" s="46" t="str">
        <f>Source!E311</f>
        <v>69</v>
      </c>
      <c r="C1034" s="46" t="str">
        <f>Source!G311</f>
        <v>Прибор или аппарат</v>
      </c>
      <c r="D1034" s="46" t="str">
        <f>Source!F311</f>
        <v>м08-03-575-01</v>
      </c>
      <c r="E1034" s="31" t="str">
        <f>Source!H311</f>
        <v>ШТ</v>
      </c>
      <c r="F1034" s="12">
        <f>Source!I311</f>
        <v>2</v>
      </c>
      <c r="G1034" s="22">
        <f>Source!AB311</f>
        <v>11.51</v>
      </c>
      <c r="H1034" s="22">
        <f>Source!O311</f>
        <v>151.01</v>
      </c>
      <c r="T1034">
        <f>Source!O311+Source!X311+Source!Y311</f>
        <v>384.22</v>
      </c>
      <c r="U1034">
        <f>Source!P311</f>
        <v>5.25</v>
      </c>
      <c r="V1034">
        <f>Source!S311</f>
        <v>145.76</v>
      </c>
      <c r="W1034">
        <f>Source!Q311</f>
        <v>0</v>
      </c>
      <c r="X1034">
        <f>Source!R311</f>
        <v>0</v>
      </c>
      <c r="Y1034">
        <f>Source!U311</f>
        <v>2.2400000000000002</v>
      </c>
      <c r="Z1034">
        <f>Source!V311</f>
        <v>0</v>
      </c>
      <c r="AA1034">
        <f>Source!X311</f>
        <v>138.47</v>
      </c>
      <c r="AB1034">
        <f>Source!Y311</f>
        <v>94.74</v>
      </c>
    </row>
    <row r="1035" spans="1:28" ht="14.25" x14ac:dyDescent="0.2">
      <c r="C1035" s="23" t="s">
        <v>1684</v>
      </c>
      <c r="D1035" s="23">
        <f>Source!BA311</f>
        <v>6.56</v>
      </c>
      <c r="F1035" s="12"/>
      <c r="G1035" s="12"/>
      <c r="H1035" s="12"/>
    </row>
    <row r="1036" spans="1:28" x14ac:dyDescent="0.2">
      <c r="C1036" s="23" t="s">
        <v>1685</v>
      </c>
      <c r="D1036" s="23">
        <f>Source!BB311</f>
        <v>6.56</v>
      </c>
    </row>
    <row r="1037" spans="1:28" x14ac:dyDescent="0.2">
      <c r="C1037" s="23" t="s">
        <v>1686</v>
      </c>
      <c r="D1037" s="23">
        <f>Source!BC311</f>
        <v>6.56</v>
      </c>
    </row>
    <row r="1038" spans="1:28" x14ac:dyDescent="0.2">
      <c r="C1038" s="23" t="s">
        <v>1687</v>
      </c>
      <c r="D1038" s="23">
        <f>Source!BS311</f>
        <v>6.56</v>
      </c>
    </row>
    <row r="1039" spans="1:28" x14ac:dyDescent="0.2">
      <c r="C1039" s="9" t="s">
        <v>1688</v>
      </c>
      <c r="D1039" s="34"/>
      <c r="E1039" s="34"/>
      <c r="F1039" s="34">
        <f>Source!BZ311</f>
        <v>95</v>
      </c>
      <c r="G1039" s="58">
        <f>(Source!AF311+Source!AE311)*Source!FX311/100</f>
        <v>10.554500000000001</v>
      </c>
      <c r="H1039" s="58">
        <f>Source!X311</f>
        <v>138.47</v>
      </c>
    </row>
    <row r="1040" spans="1:28" x14ac:dyDescent="0.2">
      <c r="C1040" s="9" t="s">
        <v>1690</v>
      </c>
      <c r="D1040" s="34"/>
      <c r="E1040" s="34"/>
      <c r="F1040" s="34">
        <f>Source!CA311</f>
        <v>65</v>
      </c>
      <c r="G1040" s="58">
        <f>(Source!AF311+Source!AE311)*Source!FY311/100</f>
        <v>7.2214999999999998</v>
      </c>
      <c r="H1040" s="58">
        <f>Source!Y311</f>
        <v>94.74</v>
      </c>
    </row>
    <row r="1041" spans="1:28" x14ac:dyDescent="0.2">
      <c r="C1041" s="9" t="s">
        <v>1692</v>
      </c>
      <c r="D1041" s="34"/>
      <c r="E1041" s="34"/>
      <c r="F1041" s="34"/>
      <c r="G1041" s="58">
        <f>((Source!AF311+Source!AE311)*Source!FX311/100)+((Source!AF311+Source!AE311)*Source!FY311/100)+Source!AB311</f>
        <v>29.286000000000001</v>
      </c>
      <c r="H1041" s="58">
        <f>Source!O311+Source!X311+Source!Y311</f>
        <v>384.22</v>
      </c>
    </row>
    <row r="1042" spans="1:28" ht="42.75" x14ac:dyDescent="0.2">
      <c r="A1042" s="46">
        <v>146</v>
      </c>
      <c r="B1042" s="46" t="str">
        <f>Source!E312</f>
        <v>69,1</v>
      </c>
      <c r="C1042" s="46" t="str">
        <f>Source!G312</f>
        <v>Автомат вводной в щит освещения OptimaMat E100L050-УХЛЗ -50А/3Р/380В 10кА прим.</v>
      </c>
      <c r="D1042" s="46" t="str">
        <f>Source!F312</f>
        <v>62.1.01.09-0070</v>
      </c>
      <c r="E1042" s="31" t="str">
        <f>Source!H312</f>
        <v>шт.</v>
      </c>
      <c r="F1042" s="12">
        <f>Source!I312</f>
        <v>1</v>
      </c>
      <c r="G1042" s="22">
        <f>Source!AB312</f>
        <v>428.4</v>
      </c>
      <c r="H1042" s="22">
        <f>Source!O312</f>
        <v>2810.3</v>
      </c>
      <c r="T1042">
        <f>Source!O312+Source!X312+Source!Y312</f>
        <v>2810.3</v>
      </c>
      <c r="U1042">
        <f>Source!P312</f>
        <v>2810.3</v>
      </c>
      <c r="V1042">
        <f>Source!S312</f>
        <v>0</v>
      </c>
      <c r="W1042">
        <f>Source!Q312</f>
        <v>0</v>
      </c>
      <c r="X1042">
        <f>Source!R312</f>
        <v>0</v>
      </c>
      <c r="Y1042">
        <f>Source!U312</f>
        <v>0</v>
      </c>
      <c r="Z1042">
        <f>Source!V312</f>
        <v>0</v>
      </c>
      <c r="AA1042">
        <f>Source!X312</f>
        <v>0</v>
      </c>
      <c r="AB1042">
        <f>Source!Y312</f>
        <v>0</v>
      </c>
    </row>
    <row r="1043" spans="1:28" ht="14.25" x14ac:dyDescent="0.2">
      <c r="C1043" s="23" t="s">
        <v>1686</v>
      </c>
      <c r="D1043" s="23">
        <f>Source!BC312</f>
        <v>6.56</v>
      </c>
      <c r="F1043" s="12"/>
      <c r="G1043" s="12"/>
      <c r="H1043" s="12"/>
    </row>
    <row r="1044" spans="1:28" ht="28.5" x14ac:dyDescent="0.2">
      <c r="A1044" s="46">
        <v>147</v>
      </c>
      <c r="B1044" s="46" t="str">
        <f>Source!E313</f>
        <v>69,2</v>
      </c>
      <c r="C1044" s="46" t="str">
        <f>Source!G313</f>
        <v>Автомат ВА57ф35-340019  63А-630/3Р/400В/10кА В ВРУ прим.</v>
      </c>
      <c r="D1044" s="46" t="str">
        <f>Source!F313</f>
        <v>62.1.01.09-0071</v>
      </c>
      <c r="E1044" s="31" t="str">
        <f>Source!H313</f>
        <v>шт.</v>
      </c>
      <c r="F1044" s="12">
        <f>Source!I313</f>
        <v>1</v>
      </c>
      <c r="G1044" s="22">
        <f>Source!AB313</f>
        <v>428.4</v>
      </c>
      <c r="H1044" s="22">
        <f>Source!O313</f>
        <v>2810.3</v>
      </c>
      <c r="T1044">
        <f>Source!O313+Source!X313+Source!Y313</f>
        <v>2810.3</v>
      </c>
      <c r="U1044">
        <f>Source!P313</f>
        <v>2810.3</v>
      </c>
      <c r="V1044">
        <f>Source!S313</f>
        <v>0</v>
      </c>
      <c r="W1044">
        <f>Source!Q313</f>
        <v>0</v>
      </c>
      <c r="X1044">
        <f>Source!R313</f>
        <v>0</v>
      </c>
      <c r="Y1044">
        <f>Source!U313</f>
        <v>0</v>
      </c>
      <c r="Z1044">
        <f>Source!V313</f>
        <v>0</v>
      </c>
      <c r="AA1044">
        <f>Source!X313</f>
        <v>0</v>
      </c>
      <c r="AB1044">
        <f>Source!Y313</f>
        <v>0</v>
      </c>
    </row>
    <row r="1045" spans="1:28" ht="14.25" x14ac:dyDescent="0.2">
      <c r="C1045" s="23" t="s">
        <v>1686</v>
      </c>
      <c r="D1045" s="23">
        <f>Source!BC313</f>
        <v>6.56</v>
      </c>
      <c r="F1045" s="12"/>
      <c r="G1045" s="12"/>
      <c r="H1045" s="12"/>
    </row>
    <row r="1046" spans="1:28" ht="42.75" x14ac:dyDescent="0.2">
      <c r="A1046" s="46">
        <v>148</v>
      </c>
      <c r="B1046" s="46" t="str">
        <f>Source!E314</f>
        <v>70</v>
      </c>
      <c r="C1046" s="46" t="str">
        <f>Source!G314</f>
        <v>Профиль перфорированный монтажный длиной 2 м (Лоток оцинкованный перфорированый)</v>
      </c>
      <c r="D1046" s="46" t="str">
        <f>Source!F314</f>
        <v>м08-02-397-01 прим.</v>
      </c>
      <c r="E1046" s="31" t="str">
        <f>Source!H314</f>
        <v>100 м</v>
      </c>
      <c r="F1046" s="12">
        <f>Source!I314</f>
        <v>5.6000000000000001E-2</v>
      </c>
      <c r="G1046" s="22">
        <f>Source!AB314</f>
        <v>582.66</v>
      </c>
      <c r="H1046" s="22">
        <f>Source!O314</f>
        <v>214.05</v>
      </c>
      <c r="T1046">
        <f>Source!O314+Source!X314+Source!Y314</f>
        <v>275.05</v>
      </c>
      <c r="U1046">
        <f>Source!P314</f>
        <v>149.71</v>
      </c>
      <c r="V1046">
        <f>Source!S314</f>
        <v>29.56</v>
      </c>
      <c r="W1046">
        <f>Source!Q314</f>
        <v>34.78</v>
      </c>
      <c r="X1046">
        <f>Source!R314</f>
        <v>8.57</v>
      </c>
      <c r="Y1046">
        <f>Source!U314</f>
        <v>0.47936000000000006</v>
      </c>
      <c r="Z1046">
        <f>Source!V314</f>
        <v>0.12712000000000001</v>
      </c>
      <c r="AA1046">
        <f>Source!X314</f>
        <v>36.22</v>
      </c>
      <c r="AB1046">
        <f>Source!Y314</f>
        <v>24.78</v>
      </c>
    </row>
    <row r="1047" spans="1:28" ht="14.25" x14ac:dyDescent="0.2">
      <c r="C1047" s="23" t="str">
        <f>"Объем: "&amp;Source!I314&amp;"=5,6/"&amp;"100"</f>
        <v>Объем: 0,056=5,6/100</v>
      </c>
      <c r="F1047" s="12"/>
      <c r="G1047" s="12"/>
      <c r="H1047" s="12"/>
    </row>
    <row r="1048" spans="1:28" x14ac:dyDescent="0.2">
      <c r="C1048" s="23" t="s">
        <v>1684</v>
      </c>
      <c r="D1048" s="23">
        <f>Source!BA314</f>
        <v>6.56</v>
      </c>
    </row>
    <row r="1049" spans="1:28" x14ac:dyDescent="0.2">
      <c r="C1049" s="23" t="s">
        <v>1685</v>
      </c>
      <c r="D1049" s="23">
        <f>Source!BB314</f>
        <v>6.56</v>
      </c>
    </row>
    <row r="1050" spans="1:28" x14ac:dyDescent="0.2">
      <c r="C1050" s="23" t="s">
        <v>1686</v>
      </c>
      <c r="D1050" s="23">
        <f>Source!BC314</f>
        <v>6.56</v>
      </c>
    </row>
    <row r="1051" spans="1:28" x14ac:dyDescent="0.2">
      <c r="C1051" s="23" t="s">
        <v>1687</v>
      </c>
      <c r="D1051" s="23">
        <f>Source!BS314</f>
        <v>6.56</v>
      </c>
    </row>
    <row r="1052" spans="1:28" x14ac:dyDescent="0.2">
      <c r="C1052" s="9" t="s">
        <v>1688</v>
      </c>
      <c r="D1052" s="34"/>
      <c r="E1052" s="34"/>
      <c r="F1052" s="34">
        <f>Source!BZ314</f>
        <v>95</v>
      </c>
      <c r="G1052" s="58">
        <f>(Source!AF314+Source!AE314)*Source!FX314/100</f>
        <v>98.600499999999997</v>
      </c>
      <c r="H1052" s="58">
        <f>Source!X314</f>
        <v>36.22</v>
      </c>
    </row>
    <row r="1053" spans="1:28" x14ac:dyDescent="0.2">
      <c r="C1053" s="9" t="s">
        <v>1690</v>
      </c>
      <c r="D1053" s="34"/>
      <c r="E1053" s="34"/>
      <c r="F1053" s="34">
        <f>Source!CA314</f>
        <v>65</v>
      </c>
      <c r="G1053" s="58">
        <f>(Source!AF314+Source!AE314)*Source!FY314/100</f>
        <v>67.463499999999996</v>
      </c>
      <c r="H1053" s="58">
        <f>Source!Y314</f>
        <v>24.78</v>
      </c>
    </row>
    <row r="1054" spans="1:28" x14ac:dyDescent="0.2">
      <c r="C1054" s="9" t="s">
        <v>1692</v>
      </c>
      <c r="D1054" s="34"/>
      <c r="E1054" s="34"/>
      <c r="F1054" s="34"/>
      <c r="G1054" s="58">
        <f>((Source!AF314+Source!AE314)*Source!FX314/100)+((Source!AF314+Source!AE314)*Source!FY314/100)+Source!AB314</f>
        <v>748.72399999999993</v>
      </c>
      <c r="H1054" s="58">
        <f>Source!O314+Source!X314+Source!Y314</f>
        <v>275.05</v>
      </c>
    </row>
    <row r="1055" spans="1:28" ht="42.75" x14ac:dyDescent="0.2">
      <c r="A1055" s="46">
        <v>149</v>
      </c>
      <c r="B1055" s="46" t="str">
        <f>Source!E315</f>
        <v>70,1</v>
      </c>
      <c r="C1055" s="46" t="str">
        <f>Source!G315</f>
        <v>Лоток кабельный оцинкованный замковый перфорированный PNK 300-300х50 мм, длина 2,5 м</v>
      </c>
      <c r="D1055" s="46" t="str">
        <f>Source!F315</f>
        <v>20.2.07.02-0009</v>
      </c>
      <c r="E1055" s="31" t="str">
        <f>Source!H315</f>
        <v>шт.</v>
      </c>
      <c r="F1055" s="12">
        <f>Source!I315</f>
        <v>2.2400000000000002</v>
      </c>
      <c r="G1055" s="22">
        <f>Source!AB315</f>
        <v>62.4</v>
      </c>
      <c r="H1055" s="22">
        <f>Source!O315</f>
        <v>916.93</v>
      </c>
      <c r="T1055">
        <f>Source!O315+Source!X315+Source!Y315</f>
        <v>916.93</v>
      </c>
      <c r="U1055">
        <f>Source!P315</f>
        <v>916.93</v>
      </c>
      <c r="V1055">
        <f>Source!S315</f>
        <v>0</v>
      </c>
      <c r="W1055">
        <f>Source!Q315</f>
        <v>0</v>
      </c>
      <c r="X1055">
        <f>Source!R315</f>
        <v>0</v>
      </c>
      <c r="Y1055">
        <f>Source!U315</f>
        <v>0</v>
      </c>
      <c r="Z1055">
        <f>Source!V315</f>
        <v>0</v>
      </c>
      <c r="AA1055">
        <f>Source!X315</f>
        <v>0</v>
      </c>
      <c r="AB1055">
        <f>Source!Y315</f>
        <v>0</v>
      </c>
    </row>
    <row r="1056" spans="1:28" ht="14.25" x14ac:dyDescent="0.2">
      <c r="C1056" s="23" t="s">
        <v>1686</v>
      </c>
      <c r="D1056" s="23">
        <f>Source!BC315</f>
        <v>6.56</v>
      </c>
      <c r="F1056" s="12"/>
      <c r="G1056" s="12"/>
      <c r="H1056" s="12"/>
    </row>
    <row r="1057" spans="1:28" ht="42.75" x14ac:dyDescent="0.2">
      <c r="A1057" s="46">
        <v>150</v>
      </c>
      <c r="B1057" s="46" t="str">
        <f>Source!E316</f>
        <v>71</v>
      </c>
      <c r="C1057" s="46" t="str">
        <f>Source!G316</f>
        <v>Кабель до 35 кВ с креплением накладными скобами, масса 1 м кабеля до 1 кг</v>
      </c>
      <c r="D1057" s="46" t="str">
        <f>Source!F316</f>
        <v>м08-02-146-02</v>
      </c>
      <c r="E1057" s="31" t="str">
        <f>Source!H316</f>
        <v>100 м</v>
      </c>
      <c r="F1057" s="12">
        <f>Source!I316</f>
        <v>0.7</v>
      </c>
      <c r="G1057" s="22">
        <f>Source!AB316</f>
        <v>836.21</v>
      </c>
      <c r="H1057" s="22">
        <f>Source!O316</f>
        <v>3839.88</v>
      </c>
      <c r="T1057">
        <f>Source!O316+Source!X316+Source!Y316</f>
        <v>5239.16</v>
      </c>
      <c r="U1057">
        <f>Source!P316</f>
        <v>285.12</v>
      </c>
      <c r="V1057">
        <f>Source!S316</f>
        <v>592.37</v>
      </c>
      <c r="W1057">
        <f>Source!Q316</f>
        <v>2962.39</v>
      </c>
      <c r="X1057">
        <f>Source!R316</f>
        <v>282.18</v>
      </c>
      <c r="Y1057">
        <f>Source!U316</f>
        <v>9.3869999999999987</v>
      </c>
      <c r="Z1057">
        <f>Source!V316</f>
        <v>3.206</v>
      </c>
      <c r="AA1057">
        <f>Source!X316</f>
        <v>830.82</v>
      </c>
      <c r="AB1057">
        <f>Source!Y316</f>
        <v>568.46</v>
      </c>
    </row>
    <row r="1058" spans="1:28" ht="14.25" x14ac:dyDescent="0.2">
      <c r="C1058" s="23" t="str">
        <f>"Объем: "&amp;Source!I316&amp;"=70/"&amp;"100"</f>
        <v>Объем: 0,7=70/100</v>
      </c>
      <c r="F1058" s="12"/>
      <c r="G1058" s="12"/>
      <c r="H1058" s="12"/>
    </row>
    <row r="1059" spans="1:28" x14ac:dyDescent="0.2">
      <c r="C1059" s="23" t="s">
        <v>1684</v>
      </c>
      <c r="D1059" s="23">
        <f>Source!BA316</f>
        <v>6.56</v>
      </c>
    </row>
    <row r="1060" spans="1:28" x14ac:dyDescent="0.2">
      <c r="C1060" s="23" t="s">
        <v>1685</v>
      </c>
      <c r="D1060" s="23">
        <f>Source!BB316</f>
        <v>6.56</v>
      </c>
    </row>
    <row r="1061" spans="1:28" x14ac:dyDescent="0.2">
      <c r="C1061" s="23" t="s">
        <v>1686</v>
      </c>
      <c r="D1061" s="23">
        <f>Source!BC316</f>
        <v>6.56</v>
      </c>
    </row>
    <row r="1062" spans="1:28" x14ac:dyDescent="0.2">
      <c r="C1062" s="23" t="s">
        <v>1687</v>
      </c>
      <c r="D1062" s="23">
        <f>Source!BS316</f>
        <v>6.56</v>
      </c>
    </row>
    <row r="1063" spans="1:28" x14ac:dyDescent="0.2">
      <c r="C1063" s="9" t="s">
        <v>1688</v>
      </c>
      <c r="D1063" s="34"/>
      <c r="E1063" s="34"/>
      <c r="F1063" s="34">
        <f>Source!BZ316</f>
        <v>95</v>
      </c>
      <c r="G1063" s="58">
        <f>(Source!AF316+Source!AE316)*Source!FX316/100</f>
        <v>180.92750000000001</v>
      </c>
      <c r="H1063" s="58">
        <f>Source!X316</f>
        <v>830.82</v>
      </c>
    </row>
    <row r="1064" spans="1:28" x14ac:dyDescent="0.2">
      <c r="C1064" s="9" t="s">
        <v>1690</v>
      </c>
      <c r="D1064" s="34"/>
      <c r="E1064" s="34"/>
      <c r="F1064" s="34">
        <f>Source!CA316</f>
        <v>65</v>
      </c>
      <c r="G1064" s="58">
        <f>(Source!AF316+Source!AE316)*Source!FY316/100</f>
        <v>123.7925</v>
      </c>
      <c r="H1064" s="58">
        <f>Source!Y316</f>
        <v>568.46</v>
      </c>
    </row>
    <row r="1065" spans="1:28" x14ac:dyDescent="0.2">
      <c r="C1065" s="9" t="s">
        <v>1692</v>
      </c>
      <c r="D1065" s="34"/>
      <c r="E1065" s="34"/>
      <c r="F1065" s="34"/>
      <c r="G1065" s="58">
        <f>((Source!AF316+Source!AE316)*Source!FX316/100)+((Source!AF316+Source!AE316)*Source!FY316/100)+Source!AB316</f>
        <v>1140.93</v>
      </c>
      <c r="H1065" s="58">
        <f>Source!O316+Source!X316+Source!Y316</f>
        <v>5239.16</v>
      </c>
    </row>
    <row r="1066" spans="1:28" ht="85.5" x14ac:dyDescent="0.2">
      <c r="A1066" s="46">
        <v>151</v>
      </c>
      <c r="B1066" s="46" t="str">
        <f>Source!E317</f>
        <v>71,1</v>
      </c>
      <c r="C1066" s="46" t="str">
        <f>Source!G317</f>
        <v>Кабель силовой с медными жилами с изоляцией и оболочкой из ПВХ, не распространяющий горение, с низким дымо- и газовыделением, напряжением 1,0 кВ (ГОСТ Р 53769-2010), марки ВВГнг(A)-LS 5х4ок(N,РЕ)</v>
      </c>
      <c r="D1066" s="46" t="str">
        <f>Source!F317</f>
        <v>21.1.06.10-0408</v>
      </c>
      <c r="E1066" s="31" t="str">
        <f>Source!H317</f>
        <v>1000 м</v>
      </c>
      <c r="F1066" s="12">
        <f>Source!I317</f>
        <v>7.0000000000000007E-2</v>
      </c>
      <c r="G1066" s="22">
        <f>Source!AB317</f>
        <v>31015.17</v>
      </c>
      <c r="H1066" s="22">
        <f>Source!O317</f>
        <v>14242.17</v>
      </c>
      <c r="T1066">
        <f>Source!O317+Source!X317+Source!Y317</f>
        <v>14242.17</v>
      </c>
      <c r="U1066">
        <f>Source!P317</f>
        <v>14242.17</v>
      </c>
      <c r="V1066">
        <f>Source!S317</f>
        <v>0</v>
      </c>
      <c r="W1066">
        <f>Source!Q317</f>
        <v>0</v>
      </c>
      <c r="X1066">
        <f>Source!R317</f>
        <v>0</v>
      </c>
      <c r="Y1066">
        <f>Source!U317</f>
        <v>0</v>
      </c>
      <c r="Z1066">
        <f>Source!V317</f>
        <v>0</v>
      </c>
      <c r="AA1066">
        <f>Source!X317</f>
        <v>0</v>
      </c>
      <c r="AB1066">
        <f>Source!Y317</f>
        <v>0</v>
      </c>
    </row>
    <row r="1067" spans="1:28" ht="14.25" x14ac:dyDescent="0.2">
      <c r="C1067" s="23" t="s">
        <v>1686</v>
      </c>
      <c r="D1067" s="23">
        <f>Source!BC317</f>
        <v>6.56</v>
      </c>
      <c r="F1067" s="12"/>
      <c r="G1067" s="12"/>
      <c r="H1067" s="12"/>
    </row>
    <row r="1069" spans="1:28" ht="15" x14ac:dyDescent="0.25">
      <c r="A1069" s="59"/>
      <c r="B1069" s="59"/>
      <c r="C1069" s="74" t="str">
        <f>CONCATENATE("Итого по подразделу: ",IF(Source!G319&lt;&gt;"Новый подраздел", Source!G319, ""))</f>
        <v>Итого по подразделу: 2 Монтаж освещения</v>
      </c>
      <c r="D1069" s="74"/>
      <c r="E1069" s="74"/>
      <c r="F1069" s="74"/>
      <c r="G1069" s="59"/>
      <c r="H1069" s="60">
        <f>IF(SUM(T928:T1068)=0, "-", SUM(T928:T1068))</f>
        <v>176911.73999999993</v>
      </c>
    </row>
    <row r="1070" spans="1:28" ht="15" x14ac:dyDescent="0.25">
      <c r="A1070" s="59"/>
      <c r="B1070" s="59"/>
      <c r="C1070" s="59"/>
      <c r="D1070" s="59"/>
      <c r="E1070" s="59"/>
      <c r="F1070" s="59"/>
      <c r="G1070" s="59"/>
      <c r="H1070" s="59"/>
    </row>
    <row r="1073" spans="1:28" ht="16.5" x14ac:dyDescent="0.25">
      <c r="A1073" s="75" t="str">
        <f>CONCATENATE("Подраздел: ",IF(Source!G348&lt;&gt;"Новый подраздел", Source!G348, ""))</f>
        <v>Подраздел: 3 Монтаж силовой части</v>
      </c>
      <c r="B1073" s="75"/>
      <c r="C1073" s="75"/>
      <c r="D1073" s="75"/>
      <c r="E1073" s="75"/>
      <c r="F1073" s="75"/>
      <c r="G1073" s="75"/>
      <c r="H1073" s="75"/>
    </row>
    <row r="1074" spans="1:28" ht="28.5" x14ac:dyDescent="0.2">
      <c r="A1074" s="46">
        <v>152</v>
      </c>
      <c r="B1074" s="46" t="str">
        <f>Source!E352</f>
        <v>72</v>
      </c>
      <c r="C1074" s="46" t="str">
        <f>Source!G352</f>
        <v>Короба пластмассовые шириной до 120 мм</v>
      </c>
      <c r="D1074" s="46" t="str">
        <f>Source!F352</f>
        <v>м08-02-390-03</v>
      </c>
      <c r="E1074" s="31" t="str">
        <f>Source!H352</f>
        <v>100 м</v>
      </c>
      <c r="F1074" s="12">
        <f>Source!I352</f>
        <v>0.95</v>
      </c>
      <c r="G1074" s="22">
        <f>Source!AB352</f>
        <v>286.92</v>
      </c>
      <c r="H1074" s="22">
        <f>Source!O352</f>
        <v>1788.08</v>
      </c>
      <c r="T1074">
        <f>Source!O352+Source!X352+Source!Y352</f>
        <v>3717.29</v>
      </c>
      <c r="U1074">
        <f>Source!P352</f>
        <v>581.26</v>
      </c>
      <c r="V1074">
        <f>Source!S352</f>
        <v>1204.8900000000001</v>
      </c>
      <c r="W1074">
        <f>Source!Q352</f>
        <v>1.93</v>
      </c>
      <c r="X1074">
        <f>Source!R352</f>
        <v>0.87</v>
      </c>
      <c r="Y1074">
        <f>Source!U352</f>
        <v>19.313499999999998</v>
      </c>
      <c r="Z1074">
        <f>Source!V352</f>
        <v>9.4999999999999998E-3</v>
      </c>
      <c r="AA1074">
        <f>Source!X352</f>
        <v>1145.47</v>
      </c>
      <c r="AB1074">
        <f>Source!Y352</f>
        <v>783.74</v>
      </c>
    </row>
    <row r="1075" spans="1:28" ht="14.25" x14ac:dyDescent="0.2">
      <c r="C1075" s="23" t="str">
        <f>"Объем: "&amp;Source!I352&amp;"=95/"&amp;"100"</f>
        <v>Объем: 0,95=95/100</v>
      </c>
      <c r="F1075" s="12"/>
      <c r="G1075" s="12"/>
      <c r="H1075" s="12"/>
    </row>
    <row r="1076" spans="1:28" x14ac:dyDescent="0.2">
      <c r="C1076" s="23" t="s">
        <v>1684</v>
      </c>
      <c r="D1076" s="23">
        <f>Source!BA352</f>
        <v>6.56</v>
      </c>
    </row>
    <row r="1077" spans="1:28" x14ac:dyDescent="0.2">
      <c r="C1077" s="23" t="s">
        <v>1685</v>
      </c>
      <c r="D1077" s="23">
        <f>Source!BB352</f>
        <v>6.56</v>
      </c>
    </row>
    <row r="1078" spans="1:28" x14ac:dyDescent="0.2">
      <c r="C1078" s="23" t="s">
        <v>1686</v>
      </c>
      <c r="D1078" s="23">
        <f>Source!BC352</f>
        <v>6.56</v>
      </c>
    </row>
    <row r="1079" spans="1:28" x14ac:dyDescent="0.2">
      <c r="C1079" s="23" t="s">
        <v>1687</v>
      </c>
      <c r="D1079" s="23">
        <f>Source!BS352</f>
        <v>6.56</v>
      </c>
    </row>
    <row r="1080" spans="1:28" x14ac:dyDescent="0.2">
      <c r="C1080" s="9" t="s">
        <v>1688</v>
      </c>
      <c r="D1080" s="34"/>
      <c r="E1080" s="34"/>
      <c r="F1080" s="34">
        <f>Source!BZ352</f>
        <v>95</v>
      </c>
      <c r="G1080" s="58">
        <f>(Source!AF352+Source!AE352)*Source!FX352/100</f>
        <v>183.80599999999998</v>
      </c>
      <c r="H1080" s="58">
        <f>Source!X352</f>
        <v>1145.47</v>
      </c>
    </row>
    <row r="1081" spans="1:28" x14ac:dyDescent="0.2">
      <c r="C1081" s="9" t="s">
        <v>1690</v>
      </c>
      <c r="D1081" s="34"/>
      <c r="E1081" s="34"/>
      <c r="F1081" s="34">
        <f>Source!CA352</f>
        <v>65</v>
      </c>
      <c r="G1081" s="58">
        <f>(Source!AF352+Source!AE352)*Source!FY352/100</f>
        <v>125.76199999999999</v>
      </c>
      <c r="H1081" s="58">
        <f>Source!Y352</f>
        <v>783.74</v>
      </c>
    </row>
    <row r="1082" spans="1:28" x14ac:dyDescent="0.2">
      <c r="C1082" s="9" t="s">
        <v>1692</v>
      </c>
      <c r="D1082" s="34"/>
      <c r="E1082" s="34"/>
      <c r="F1082" s="34"/>
      <c r="G1082" s="58">
        <f>((Source!AF352+Source!AE352)*Source!FX352/100)+((Source!AF352+Source!AE352)*Source!FY352/100)+Source!AB352</f>
        <v>596.48800000000006</v>
      </c>
      <c r="H1082" s="58">
        <f>Source!O352+Source!X352+Source!Y352</f>
        <v>3717.29</v>
      </c>
    </row>
    <row r="1083" spans="1:28" ht="28.5" x14ac:dyDescent="0.2">
      <c r="A1083" s="46">
        <v>153</v>
      </c>
      <c r="B1083" s="46" t="str">
        <f>Source!E353</f>
        <v>72,1</v>
      </c>
      <c r="C1083" s="46" t="str">
        <f>Source!G353</f>
        <v>Кабель-канал (короб) "Efapel " 110x50 мм прим.</v>
      </c>
      <c r="D1083" s="46" t="str">
        <f>Source!F353</f>
        <v>20.2.05.04-0034</v>
      </c>
      <c r="E1083" s="31" t="str">
        <f>Source!H353</f>
        <v>100 м</v>
      </c>
      <c r="F1083" s="12">
        <f>Source!I353</f>
        <v>0.95</v>
      </c>
      <c r="G1083" s="22">
        <f>Source!AB353</f>
        <v>1360</v>
      </c>
      <c r="H1083" s="22">
        <f>Source!O353</f>
        <v>8475.52</v>
      </c>
      <c r="T1083">
        <f>Source!O353+Source!X353+Source!Y353</f>
        <v>8475.52</v>
      </c>
      <c r="U1083">
        <f>Source!P353</f>
        <v>8475.52</v>
      </c>
      <c r="V1083">
        <f>Source!S353</f>
        <v>0</v>
      </c>
      <c r="W1083">
        <f>Source!Q353</f>
        <v>0</v>
      </c>
      <c r="X1083">
        <f>Source!R353</f>
        <v>0</v>
      </c>
      <c r="Y1083">
        <f>Source!U353</f>
        <v>0</v>
      </c>
      <c r="Z1083">
        <f>Source!V353</f>
        <v>0</v>
      </c>
      <c r="AA1083">
        <f>Source!X353</f>
        <v>0</v>
      </c>
      <c r="AB1083">
        <f>Source!Y353</f>
        <v>0</v>
      </c>
    </row>
    <row r="1084" spans="1:28" ht="14.25" x14ac:dyDescent="0.2">
      <c r="C1084" s="23" t="s">
        <v>1686</v>
      </c>
      <c r="D1084" s="23">
        <f>Source!BC353</f>
        <v>6.56</v>
      </c>
      <c r="F1084" s="12"/>
      <c r="G1084" s="12"/>
      <c r="H1084" s="12"/>
    </row>
    <row r="1085" spans="1:28" ht="28.5" x14ac:dyDescent="0.2">
      <c r="A1085" s="46">
        <v>154</v>
      </c>
      <c r="B1085" s="46" t="str">
        <f>Source!E354</f>
        <v>73</v>
      </c>
      <c r="C1085" s="46" t="str">
        <f>Source!G354</f>
        <v>Розетка штепсельная неутопленного типа при открытой проводке</v>
      </c>
      <c r="D1085" s="46" t="str">
        <f>Source!F354</f>
        <v>м08-03-591-08</v>
      </c>
      <c r="E1085" s="31" t="str">
        <f>Source!H354</f>
        <v>100 ШТ</v>
      </c>
      <c r="F1085" s="12">
        <f>Source!I354</f>
        <v>1.1200000000000001</v>
      </c>
      <c r="G1085" s="22">
        <f>Source!AB354</f>
        <v>453.93</v>
      </c>
      <c r="H1085" s="22">
        <f>Source!O354</f>
        <v>3335.11</v>
      </c>
      <c r="T1085">
        <f>Source!O354+Source!X354+Source!Y354</f>
        <v>7372.8899999999994</v>
      </c>
      <c r="U1085">
        <f>Source!P354</f>
        <v>781.89</v>
      </c>
      <c r="V1085">
        <f>Source!S354</f>
        <v>2518.91</v>
      </c>
      <c r="W1085">
        <f>Source!Q354</f>
        <v>34.31</v>
      </c>
      <c r="X1085">
        <f>Source!R354</f>
        <v>4.7</v>
      </c>
      <c r="Y1085">
        <f>Source!U354</f>
        <v>38.707200000000007</v>
      </c>
      <c r="Z1085">
        <f>Source!V354</f>
        <v>5.6000000000000008E-2</v>
      </c>
      <c r="AA1085">
        <f>Source!X354</f>
        <v>2397.4299999999998</v>
      </c>
      <c r="AB1085">
        <f>Source!Y354</f>
        <v>1640.35</v>
      </c>
    </row>
    <row r="1086" spans="1:28" ht="14.25" x14ac:dyDescent="0.2">
      <c r="C1086" s="23" t="str">
        <f>"Объем: "&amp;Source!I354&amp;"=112/"&amp;"100"</f>
        <v>Объем: 1,12=112/100</v>
      </c>
      <c r="F1086" s="12"/>
      <c r="G1086" s="12"/>
      <c r="H1086" s="12"/>
    </row>
    <row r="1087" spans="1:28" x14ac:dyDescent="0.2">
      <c r="C1087" s="23" t="s">
        <v>1684</v>
      </c>
      <c r="D1087" s="23">
        <f>Source!BA354</f>
        <v>6.56</v>
      </c>
    </row>
    <row r="1088" spans="1:28" x14ac:dyDescent="0.2">
      <c r="C1088" s="23" t="s">
        <v>1685</v>
      </c>
      <c r="D1088" s="23">
        <f>Source!BB354</f>
        <v>6.56</v>
      </c>
    </row>
    <row r="1089" spans="1:28" x14ac:dyDescent="0.2">
      <c r="C1089" s="23" t="s">
        <v>1686</v>
      </c>
      <c r="D1089" s="23">
        <f>Source!BC354</f>
        <v>6.56</v>
      </c>
    </row>
    <row r="1090" spans="1:28" x14ac:dyDescent="0.2">
      <c r="C1090" s="23" t="s">
        <v>1687</v>
      </c>
      <c r="D1090" s="23">
        <f>Source!BS354</f>
        <v>6.56</v>
      </c>
    </row>
    <row r="1091" spans="1:28" x14ac:dyDescent="0.2">
      <c r="C1091" s="9" t="s">
        <v>1688</v>
      </c>
      <c r="D1091" s="34"/>
      <c r="E1091" s="34"/>
      <c r="F1091" s="34">
        <f>Source!BZ354</f>
        <v>95</v>
      </c>
      <c r="G1091" s="58">
        <f>(Source!AF354+Source!AE354)*Source!FX354/100</f>
        <v>326.30599999999993</v>
      </c>
      <c r="H1091" s="58">
        <f>Source!X354</f>
        <v>2397.4299999999998</v>
      </c>
    </row>
    <row r="1092" spans="1:28" x14ac:dyDescent="0.2">
      <c r="C1092" s="9" t="s">
        <v>1690</v>
      </c>
      <c r="D1092" s="34"/>
      <c r="E1092" s="34"/>
      <c r="F1092" s="34">
        <f>Source!CA354</f>
        <v>65</v>
      </c>
      <c r="G1092" s="58">
        <f>(Source!AF354+Source!AE354)*Source!FY354/100</f>
        <v>223.26199999999997</v>
      </c>
      <c r="H1092" s="58">
        <f>Source!Y354</f>
        <v>1640.35</v>
      </c>
    </row>
    <row r="1093" spans="1:28" x14ac:dyDescent="0.2">
      <c r="C1093" s="9" t="s">
        <v>1692</v>
      </c>
      <c r="D1093" s="34"/>
      <c r="E1093" s="34"/>
      <c r="F1093" s="34"/>
      <c r="G1093" s="58">
        <f>((Source!AF354+Source!AE354)*Source!FX354/100)+((Source!AF354+Source!AE354)*Source!FY354/100)+Source!AB354</f>
        <v>1003.4979999999998</v>
      </c>
      <c r="H1093" s="58">
        <f>Source!O354+Source!X354+Source!Y354</f>
        <v>7372.8899999999994</v>
      </c>
    </row>
    <row r="1094" spans="1:28" ht="42.75" x14ac:dyDescent="0.2">
      <c r="A1094" s="46">
        <v>155</v>
      </c>
      <c r="B1094" s="46" t="str">
        <f>Source!E355</f>
        <v>73,1</v>
      </c>
      <c r="C1094" s="46" t="str">
        <f>Source!G355</f>
        <v>Розетка открытой проводки в кабель-канал "Efapel" с супортом 220В 45х45мм прим.</v>
      </c>
      <c r="D1094" s="46" t="str">
        <f>Source!F355</f>
        <v>20.4.03.05-0001</v>
      </c>
      <c r="E1094" s="31" t="str">
        <f>Source!H355</f>
        <v>100 шт.</v>
      </c>
      <c r="F1094" s="12">
        <f>Source!I355</f>
        <v>1.1200000000000001</v>
      </c>
      <c r="G1094" s="22">
        <f>Source!AB355</f>
        <v>577</v>
      </c>
      <c r="H1094" s="22">
        <f>Source!O355</f>
        <v>4239.33</v>
      </c>
      <c r="T1094">
        <f>Source!O355+Source!X355+Source!Y355</f>
        <v>4239.33</v>
      </c>
      <c r="U1094">
        <f>Source!P355</f>
        <v>4239.33</v>
      </c>
      <c r="V1094">
        <f>Source!S355</f>
        <v>0</v>
      </c>
      <c r="W1094">
        <f>Source!Q355</f>
        <v>0</v>
      </c>
      <c r="X1094">
        <f>Source!R355</f>
        <v>0</v>
      </c>
      <c r="Y1094">
        <f>Source!U355</f>
        <v>0</v>
      </c>
      <c r="Z1094">
        <f>Source!V355</f>
        <v>0</v>
      </c>
      <c r="AA1094">
        <f>Source!X355</f>
        <v>0</v>
      </c>
      <c r="AB1094">
        <f>Source!Y355</f>
        <v>0</v>
      </c>
    </row>
    <row r="1095" spans="1:28" ht="14.25" x14ac:dyDescent="0.2">
      <c r="C1095" s="23" t="s">
        <v>1686</v>
      </c>
      <c r="D1095" s="23">
        <f>Source!BC355</f>
        <v>6.56</v>
      </c>
      <c r="F1095" s="12"/>
      <c r="G1095" s="12"/>
      <c r="H1095" s="12"/>
    </row>
    <row r="1096" spans="1:28" ht="28.5" x14ac:dyDescent="0.2">
      <c r="A1096" s="46">
        <v>156</v>
      </c>
      <c r="B1096" s="46" t="str">
        <f>Source!E356</f>
        <v>74</v>
      </c>
      <c r="C1096" s="46" t="str">
        <f>Source!G356</f>
        <v>Розетка штепсельная полугерметическая и герметическая</v>
      </c>
      <c r="D1096" s="46" t="str">
        <f>Source!F356</f>
        <v>м08-03-591-10</v>
      </c>
      <c r="E1096" s="31" t="str">
        <f>Source!H356</f>
        <v>100 ШТ</v>
      </c>
      <c r="F1096" s="12">
        <f>Source!I356</f>
        <v>0.01</v>
      </c>
      <c r="G1096" s="22">
        <f>Source!AB356</f>
        <v>770.35</v>
      </c>
      <c r="H1096" s="22">
        <f>Source!O356</f>
        <v>50.54</v>
      </c>
      <c r="T1096">
        <f>Source!O356+Source!X356+Source!Y356</f>
        <v>114.14</v>
      </c>
      <c r="U1096">
        <f>Source!P356</f>
        <v>8.41</v>
      </c>
      <c r="V1096">
        <f>Source!S356</f>
        <v>39.619999999999997</v>
      </c>
      <c r="W1096">
        <f>Source!Q356</f>
        <v>2.5099999999999998</v>
      </c>
      <c r="X1096">
        <f>Source!R356</f>
        <v>0.13</v>
      </c>
      <c r="Y1096">
        <f>Source!U356</f>
        <v>0.60880000000000001</v>
      </c>
      <c r="Z1096">
        <f>Source!V356</f>
        <v>1.6000000000000001E-3</v>
      </c>
      <c r="AA1096">
        <f>Source!X356</f>
        <v>37.76</v>
      </c>
      <c r="AB1096">
        <f>Source!Y356</f>
        <v>25.84</v>
      </c>
    </row>
    <row r="1097" spans="1:28" ht="14.25" x14ac:dyDescent="0.2">
      <c r="C1097" s="23" t="str">
        <f>"Объем: "&amp;Source!I356&amp;"=1/"&amp;"100"</f>
        <v>Объем: 0,01=1/100</v>
      </c>
      <c r="F1097" s="12"/>
      <c r="G1097" s="12"/>
      <c r="H1097" s="12"/>
    </row>
    <row r="1098" spans="1:28" x14ac:dyDescent="0.2">
      <c r="C1098" s="23" t="s">
        <v>1684</v>
      </c>
      <c r="D1098" s="23">
        <f>Source!BA356</f>
        <v>6.56</v>
      </c>
    </row>
    <row r="1099" spans="1:28" x14ac:dyDescent="0.2">
      <c r="C1099" s="23" t="s">
        <v>1685</v>
      </c>
      <c r="D1099" s="23">
        <f>Source!BB356</f>
        <v>6.56</v>
      </c>
    </row>
    <row r="1100" spans="1:28" x14ac:dyDescent="0.2">
      <c r="C1100" s="23" t="s">
        <v>1686</v>
      </c>
      <c r="D1100" s="23">
        <f>Source!BC356</f>
        <v>6.56</v>
      </c>
    </row>
    <row r="1101" spans="1:28" x14ac:dyDescent="0.2">
      <c r="C1101" s="23" t="s">
        <v>1687</v>
      </c>
      <c r="D1101" s="23">
        <f>Source!BS356</f>
        <v>6.56</v>
      </c>
    </row>
    <row r="1102" spans="1:28" x14ac:dyDescent="0.2">
      <c r="C1102" s="9" t="s">
        <v>1688</v>
      </c>
      <c r="D1102" s="34"/>
      <c r="E1102" s="34"/>
      <c r="F1102" s="34">
        <f>Source!BZ356</f>
        <v>95</v>
      </c>
      <c r="G1102" s="58">
        <f>(Source!AF356+Source!AE356)*Source!FX356/100</f>
        <v>575.64299999999992</v>
      </c>
      <c r="H1102" s="58">
        <f>Source!X356</f>
        <v>37.76</v>
      </c>
    </row>
    <row r="1103" spans="1:28" x14ac:dyDescent="0.2">
      <c r="C1103" s="9" t="s">
        <v>1690</v>
      </c>
      <c r="D1103" s="34"/>
      <c r="E1103" s="34"/>
      <c r="F1103" s="34">
        <f>Source!CA356</f>
        <v>65</v>
      </c>
      <c r="G1103" s="58">
        <f>(Source!AF356+Source!AE356)*Source!FY356/100</f>
        <v>393.86099999999999</v>
      </c>
      <c r="H1103" s="58">
        <f>Source!Y356</f>
        <v>25.84</v>
      </c>
    </row>
    <row r="1104" spans="1:28" x14ac:dyDescent="0.2">
      <c r="C1104" s="9" t="s">
        <v>1692</v>
      </c>
      <c r="D1104" s="34"/>
      <c r="E1104" s="34"/>
      <c r="F1104" s="34"/>
      <c r="G1104" s="58">
        <f>((Source!AF356+Source!AE356)*Source!FX356/100)+((Source!AF356+Source!AE356)*Source!FY356/100)+Source!AB356</f>
        <v>1739.8539999999998</v>
      </c>
      <c r="H1104" s="58">
        <f>Source!O356+Source!X356+Source!Y356</f>
        <v>114.14</v>
      </c>
    </row>
    <row r="1105" spans="1:28" ht="42.75" x14ac:dyDescent="0.2">
      <c r="A1105" s="46">
        <v>157</v>
      </c>
      <c r="B1105" s="46" t="str">
        <f>Source!E357</f>
        <v>74,1</v>
      </c>
      <c r="C1105" s="46" t="str">
        <f>Source!G357</f>
        <v>Розетка влагозащищённая скрытой проводки SCHNEIDER ELEKTRIK  PC16-0446 Этюд 220В,IP44 прим.</v>
      </c>
      <c r="D1105" s="46" t="str">
        <f>Source!F357</f>
        <v>20.4.03.07-0020</v>
      </c>
      <c r="E1105" s="31" t="str">
        <f>Source!H357</f>
        <v>100 шт.</v>
      </c>
      <c r="F1105" s="12">
        <f>Source!I357</f>
        <v>0.01</v>
      </c>
      <c r="G1105" s="22">
        <f>Source!AB357</f>
        <v>303.13</v>
      </c>
      <c r="H1105" s="22">
        <f>Source!O357</f>
        <v>19.89</v>
      </c>
      <c r="T1105">
        <f>Source!O357+Source!X357+Source!Y357</f>
        <v>19.89</v>
      </c>
      <c r="U1105">
        <f>Source!P357</f>
        <v>19.89</v>
      </c>
      <c r="V1105">
        <f>Source!S357</f>
        <v>0</v>
      </c>
      <c r="W1105">
        <f>Source!Q357</f>
        <v>0</v>
      </c>
      <c r="X1105">
        <f>Source!R357</f>
        <v>0</v>
      </c>
      <c r="Y1105">
        <f>Source!U357</f>
        <v>0</v>
      </c>
      <c r="Z1105">
        <f>Source!V357</f>
        <v>0</v>
      </c>
      <c r="AA1105">
        <f>Source!X357</f>
        <v>0</v>
      </c>
      <c r="AB1105">
        <f>Source!Y357</f>
        <v>0</v>
      </c>
    </row>
    <row r="1106" spans="1:28" ht="14.25" x14ac:dyDescent="0.2">
      <c r="C1106" s="23" t="s">
        <v>1686</v>
      </c>
      <c r="D1106" s="23">
        <f>Source!BC357</f>
        <v>6.56</v>
      </c>
      <c r="F1106" s="12"/>
      <c r="G1106" s="12"/>
      <c r="H1106" s="12"/>
    </row>
    <row r="1107" spans="1:28" ht="28.5" x14ac:dyDescent="0.2">
      <c r="A1107" s="46">
        <v>158</v>
      </c>
      <c r="B1107" s="46" t="str">
        <f>Source!E358</f>
        <v>75</v>
      </c>
      <c r="C1107" s="46" t="str">
        <f>Source!G358</f>
        <v>Провод в коробах, сечением до 35 мм2</v>
      </c>
      <c r="D1107" s="46" t="str">
        <f>Source!F358</f>
        <v>м08-02-399-02</v>
      </c>
      <c r="E1107" s="31" t="str">
        <f>Source!H358</f>
        <v>100 м</v>
      </c>
      <c r="F1107" s="12">
        <f>Source!I358</f>
        <v>4.8099999999999996</v>
      </c>
      <c r="G1107" s="22">
        <f>Source!AB358</f>
        <v>50.72</v>
      </c>
      <c r="H1107" s="22">
        <f>Source!O358</f>
        <v>1600.4</v>
      </c>
      <c r="T1107">
        <f>Source!O358+Source!X358+Source!Y358</f>
        <v>3397.69</v>
      </c>
      <c r="U1107">
        <f>Source!P358</f>
        <v>429.13</v>
      </c>
      <c r="V1107">
        <f>Source!S358</f>
        <v>1115.0999999999999</v>
      </c>
      <c r="W1107">
        <f>Source!Q358</f>
        <v>56.17</v>
      </c>
      <c r="X1107">
        <f>Source!R358</f>
        <v>8.1999999999999993</v>
      </c>
      <c r="Y1107">
        <f>Source!U358</f>
        <v>18.085599999999996</v>
      </c>
      <c r="Z1107">
        <f>Source!V358</f>
        <v>9.6199999999999994E-2</v>
      </c>
      <c r="AA1107">
        <f>Source!X358</f>
        <v>1067.1400000000001</v>
      </c>
      <c r="AB1107">
        <f>Source!Y358</f>
        <v>730.15</v>
      </c>
    </row>
    <row r="1108" spans="1:28" ht="14.25" x14ac:dyDescent="0.2">
      <c r="C1108" s="23" t="str">
        <f>"Объем: "&amp;Source!I358&amp;"=481/"&amp;"100"</f>
        <v>Объем: 4,81=481/100</v>
      </c>
      <c r="F1108" s="12"/>
      <c r="G1108" s="12"/>
      <c r="H1108" s="12"/>
    </row>
    <row r="1109" spans="1:28" x14ac:dyDescent="0.2">
      <c r="C1109" s="23" t="s">
        <v>1684</v>
      </c>
      <c r="D1109" s="23">
        <f>Source!BA358</f>
        <v>6.56</v>
      </c>
    </row>
    <row r="1110" spans="1:28" x14ac:dyDescent="0.2">
      <c r="C1110" s="23" t="s">
        <v>1685</v>
      </c>
      <c r="D1110" s="23">
        <f>Source!BB358</f>
        <v>6.56</v>
      </c>
    </row>
    <row r="1111" spans="1:28" x14ac:dyDescent="0.2">
      <c r="C1111" s="23" t="s">
        <v>1686</v>
      </c>
      <c r="D1111" s="23">
        <f>Source!BC358</f>
        <v>6.56</v>
      </c>
    </row>
    <row r="1112" spans="1:28" x14ac:dyDescent="0.2">
      <c r="C1112" s="23" t="s">
        <v>1687</v>
      </c>
      <c r="D1112" s="23">
        <f>Source!BS358</f>
        <v>6.56</v>
      </c>
    </row>
    <row r="1113" spans="1:28" x14ac:dyDescent="0.2">
      <c r="C1113" s="9" t="s">
        <v>1688</v>
      </c>
      <c r="D1113" s="34"/>
      <c r="E1113" s="34"/>
      <c r="F1113" s="34">
        <f>Source!BZ358</f>
        <v>95</v>
      </c>
      <c r="G1113" s="58">
        <f>(Source!AF358+Source!AE358)*Source!FX358/100</f>
        <v>33.82</v>
      </c>
      <c r="H1113" s="58">
        <f>Source!X358</f>
        <v>1067.1400000000001</v>
      </c>
    </row>
    <row r="1114" spans="1:28" x14ac:dyDescent="0.2">
      <c r="C1114" s="9" t="s">
        <v>1690</v>
      </c>
      <c r="D1114" s="34"/>
      <c r="E1114" s="34"/>
      <c r="F1114" s="34">
        <f>Source!CA358</f>
        <v>65</v>
      </c>
      <c r="G1114" s="58">
        <f>(Source!AF358+Source!AE358)*Source!FY358/100</f>
        <v>23.14</v>
      </c>
      <c r="H1114" s="58">
        <f>Source!Y358</f>
        <v>730.15</v>
      </c>
    </row>
    <row r="1115" spans="1:28" x14ac:dyDescent="0.2">
      <c r="C1115" s="9" t="s">
        <v>1692</v>
      </c>
      <c r="D1115" s="34"/>
      <c r="E1115" s="34"/>
      <c r="F1115" s="34"/>
      <c r="G1115" s="58">
        <f>((Source!AF358+Source!AE358)*Source!FX358/100)+((Source!AF358+Source!AE358)*Source!FY358/100)+Source!AB358</f>
        <v>107.68</v>
      </c>
      <c r="H1115" s="58">
        <f>Source!O358+Source!X358+Source!Y358</f>
        <v>3397.69</v>
      </c>
    </row>
    <row r="1116" spans="1:28" ht="85.5" x14ac:dyDescent="0.2">
      <c r="A1116" s="46">
        <v>159</v>
      </c>
      <c r="B1116" s="46" t="str">
        <f>Source!E359</f>
        <v>75,1</v>
      </c>
      <c r="C1116" s="46" t="str">
        <f>Source!G359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2,5 мм2</v>
      </c>
      <c r="D1116" s="46" t="str">
        <f>Source!F359</f>
        <v>21.1.06.09-0152</v>
      </c>
      <c r="E1116" s="31" t="str">
        <f>Source!H359</f>
        <v>1000 м</v>
      </c>
      <c r="F1116" s="12">
        <f>Source!I359</f>
        <v>0.48099999999999998</v>
      </c>
      <c r="G1116" s="22">
        <f>Source!AB359</f>
        <v>6920.41</v>
      </c>
      <c r="H1116" s="22">
        <f>Source!O359</f>
        <v>21836.38</v>
      </c>
      <c r="T1116">
        <f>Source!O359+Source!X359+Source!Y359</f>
        <v>21836.38</v>
      </c>
      <c r="U1116">
        <f>Source!P359</f>
        <v>21836.38</v>
      </c>
      <c r="V1116">
        <f>Source!S359</f>
        <v>0</v>
      </c>
      <c r="W1116">
        <f>Source!Q359</f>
        <v>0</v>
      </c>
      <c r="X1116">
        <f>Source!R359</f>
        <v>0</v>
      </c>
      <c r="Y1116">
        <f>Source!U359</f>
        <v>0</v>
      </c>
      <c r="Z1116">
        <f>Source!V359</f>
        <v>0</v>
      </c>
      <c r="AA1116">
        <f>Source!X359</f>
        <v>0</v>
      </c>
      <c r="AB1116">
        <f>Source!Y359</f>
        <v>0</v>
      </c>
    </row>
    <row r="1117" spans="1:28" ht="14.25" x14ac:dyDescent="0.2">
      <c r="C1117" s="23" t="s">
        <v>1686</v>
      </c>
      <c r="D1117" s="23">
        <f>Source!BC359</f>
        <v>6.56</v>
      </c>
      <c r="F1117" s="12"/>
      <c r="G1117" s="12"/>
      <c r="H1117" s="12"/>
    </row>
    <row r="1118" spans="1:28" ht="28.5" x14ac:dyDescent="0.2">
      <c r="A1118" s="46">
        <v>160</v>
      </c>
      <c r="B1118" s="46" t="str">
        <f>Source!E360</f>
        <v>76</v>
      </c>
      <c r="C1118" s="46" t="str">
        <f>Source!G360</f>
        <v>Прокладка труб гофрированных ПВХ для защиты проводов и кабелей</v>
      </c>
      <c r="D1118" s="46" t="str">
        <f>Source!F360</f>
        <v>м08-10-010-01</v>
      </c>
      <c r="E1118" s="31" t="str">
        <f>Source!H360</f>
        <v>100 м</v>
      </c>
      <c r="F1118" s="12">
        <f>Source!I360</f>
        <v>0.56999999999999995</v>
      </c>
      <c r="G1118" s="22">
        <f>Source!AB360</f>
        <v>156.33000000000001</v>
      </c>
      <c r="H1118" s="22">
        <f>Source!O360</f>
        <v>584.54999999999995</v>
      </c>
      <c r="T1118">
        <f>Source!O360+Source!X360+Source!Y360</f>
        <v>1419.38</v>
      </c>
      <c r="U1118">
        <f>Source!P360</f>
        <v>62.78</v>
      </c>
      <c r="V1118">
        <f>Source!S360</f>
        <v>521.77</v>
      </c>
      <c r="W1118">
        <f>Source!Q360</f>
        <v>0</v>
      </c>
      <c r="X1118">
        <f>Source!R360</f>
        <v>0</v>
      </c>
      <c r="Y1118">
        <f>Source!U360</f>
        <v>8.6639999999999997</v>
      </c>
      <c r="Z1118">
        <f>Source!V360</f>
        <v>0</v>
      </c>
      <c r="AA1118">
        <f>Source!X360</f>
        <v>495.68</v>
      </c>
      <c r="AB1118">
        <f>Source!Y360</f>
        <v>339.15</v>
      </c>
    </row>
    <row r="1119" spans="1:28" ht="14.25" x14ac:dyDescent="0.2">
      <c r="C1119" s="23" t="str">
        <f>"Объем: "&amp;Source!I360&amp;"=57/"&amp;"100"</f>
        <v>Объем: 0,57=57/100</v>
      </c>
      <c r="F1119" s="12"/>
      <c r="G1119" s="12"/>
      <c r="H1119" s="12"/>
    </row>
    <row r="1120" spans="1:28" x14ac:dyDescent="0.2">
      <c r="C1120" s="23" t="s">
        <v>1684</v>
      </c>
      <c r="D1120" s="23">
        <f>Source!BA360</f>
        <v>6.56</v>
      </c>
    </row>
    <row r="1121" spans="1:28" x14ac:dyDescent="0.2">
      <c r="C1121" s="23" t="s">
        <v>1685</v>
      </c>
      <c r="D1121" s="23">
        <f>Source!BB360</f>
        <v>6.56</v>
      </c>
    </row>
    <row r="1122" spans="1:28" x14ac:dyDescent="0.2">
      <c r="C1122" s="23" t="s">
        <v>1686</v>
      </c>
      <c r="D1122" s="23">
        <f>Source!BC360</f>
        <v>6.56</v>
      </c>
    </row>
    <row r="1123" spans="1:28" x14ac:dyDescent="0.2">
      <c r="C1123" s="23" t="s">
        <v>1687</v>
      </c>
      <c r="D1123" s="23">
        <f>Source!BS360</f>
        <v>6.56</v>
      </c>
    </row>
    <row r="1124" spans="1:28" x14ac:dyDescent="0.2">
      <c r="C1124" s="9" t="s">
        <v>1688</v>
      </c>
      <c r="D1124" s="34"/>
      <c r="E1124" s="34"/>
      <c r="F1124" s="34">
        <f>Source!BZ360</f>
        <v>95</v>
      </c>
      <c r="G1124" s="58">
        <f>(Source!AF360+Source!AE360)*Source!FX360/100</f>
        <v>132.56299999999999</v>
      </c>
      <c r="H1124" s="58">
        <f>Source!X360</f>
        <v>495.68</v>
      </c>
    </row>
    <row r="1125" spans="1:28" x14ac:dyDescent="0.2">
      <c r="C1125" s="9" t="s">
        <v>1690</v>
      </c>
      <c r="D1125" s="34"/>
      <c r="E1125" s="34"/>
      <c r="F1125" s="34">
        <f>Source!CA360</f>
        <v>65</v>
      </c>
      <c r="G1125" s="58">
        <f>(Source!AF360+Source!AE360)*Source!FY360/100</f>
        <v>90.701000000000008</v>
      </c>
      <c r="H1125" s="58">
        <f>Source!Y360</f>
        <v>339.15</v>
      </c>
    </row>
    <row r="1126" spans="1:28" x14ac:dyDescent="0.2">
      <c r="C1126" s="9" t="s">
        <v>1692</v>
      </c>
      <c r="D1126" s="34"/>
      <c r="E1126" s="34"/>
      <c r="F1126" s="34"/>
      <c r="G1126" s="58">
        <f>((Source!AF360+Source!AE360)*Source!FX360/100)+((Source!AF360+Source!AE360)*Source!FY360/100)+Source!AB360</f>
        <v>379.59400000000005</v>
      </c>
      <c r="H1126" s="58">
        <f>Source!O360+Source!X360+Source!Y360</f>
        <v>1419.38</v>
      </c>
    </row>
    <row r="1127" spans="1:28" ht="42.75" x14ac:dyDescent="0.2">
      <c r="A1127" s="46">
        <v>161</v>
      </c>
      <c r="B1127" s="46" t="str">
        <f>Source!E361</f>
        <v>76,1</v>
      </c>
      <c r="C1127" s="46" t="str">
        <f>Source!G361</f>
        <v>Трубы гибкие гофрированные легкие из самозатухающего ПВХ (IP55) серии FL, с зондом, диаметром 16 мм</v>
      </c>
      <c r="D1127" s="46" t="str">
        <f>Source!F361</f>
        <v>24.3.01.02-0021</v>
      </c>
      <c r="E1127" s="31" t="str">
        <f>Source!H361</f>
        <v>10 м</v>
      </c>
      <c r="F1127" s="12">
        <f>Source!I361</f>
        <v>5.7</v>
      </c>
      <c r="G1127" s="22">
        <f>Source!AB361</f>
        <v>16.11</v>
      </c>
      <c r="H1127" s="22">
        <f>Source!O361</f>
        <v>602.39</v>
      </c>
      <c r="T1127">
        <f>Source!O361+Source!X361+Source!Y361</f>
        <v>602.39</v>
      </c>
      <c r="U1127">
        <f>Source!P361</f>
        <v>602.39</v>
      </c>
      <c r="V1127">
        <f>Source!S361</f>
        <v>0</v>
      </c>
      <c r="W1127">
        <f>Source!Q361</f>
        <v>0</v>
      </c>
      <c r="X1127">
        <f>Source!R361</f>
        <v>0</v>
      </c>
      <c r="Y1127">
        <f>Source!U361</f>
        <v>0</v>
      </c>
      <c r="Z1127">
        <f>Source!V361</f>
        <v>0</v>
      </c>
      <c r="AA1127">
        <f>Source!X361</f>
        <v>0</v>
      </c>
      <c r="AB1127">
        <f>Source!Y361</f>
        <v>0</v>
      </c>
    </row>
    <row r="1128" spans="1:28" ht="14.25" x14ac:dyDescent="0.2">
      <c r="C1128" s="23" t="s">
        <v>1686</v>
      </c>
      <c r="D1128" s="23">
        <f>Source!BC361</f>
        <v>6.56</v>
      </c>
      <c r="F1128" s="12"/>
      <c r="G1128" s="12"/>
      <c r="H1128" s="12"/>
    </row>
    <row r="1129" spans="1:28" ht="71.25" x14ac:dyDescent="0.2">
      <c r="A1129" s="46">
        <v>162</v>
      </c>
      <c r="B1129" s="46" t="str">
        <f>Source!E362</f>
        <v>77</v>
      </c>
      <c r="C1129" s="46" t="str">
        <f>Source!G362</f>
        <v>Затягивание провода в проложенные трубы и металлические рукава первого одножильного или многожильного в общей оплетке, суммарное сечение до 16 мм2</v>
      </c>
      <c r="D1129" s="46" t="str">
        <f>Source!F362</f>
        <v>м08-02-412-03</v>
      </c>
      <c r="E1129" s="31" t="str">
        <f>Source!H362</f>
        <v>100 м</v>
      </c>
      <c r="F1129" s="12">
        <f>Source!I362</f>
        <v>0.56999999999999995</v>
      </c>
      <c r="G1129" s="22">
        <f>Source!AB362</f>
        <v>87.15</v>
      </c>
      <c r="H1129" s="22">
        <f>Source!O362</f>
        <v>325.87</v>
      </c>
      <c r="T1129">
        <f>Source!O362+Source!X362+Source!Y362</f>
        <v>684.17000000000007</v>
      </c>
      <c r="U1129">
        <f>Source!P362</f>
        <v>84.84</v>
      </c>
      <c r="V1129">
        <f>Source!S362</f>
        <v>221.1</v>
      </c>
      <c r="W1129">
        <f>Source!Q362</f>
        <v>19.93</v>
      </c>
      <c r="X1129">
        <f>Source!R362</f>
        <v>2.84</v>
      </c>
      <c r="Y1129">
        <f>Source!U362</f>
        <v>3.5852999999999997</v>
      </c>
      <c r="Z1129">
        <f>Source!V362</f>
        <v>3.4199999999999994E-2</v>
      </c>
      <c r="AA1129">
        <f>Source!X362</f>
        <v>212.74</v>
      </c>
      <c r="AB1129">
        <f>Source!Y362</f>
        <v>145.56</v>
      </c>
    </row>
    <row r="1130" spans="1:28" ht="14.25" x14ac:dyDescent="0.2">
      <c r="C1130" s="23" t="str">
        <f>"Объем: "&amp;Source!I362&amp;"=57/"&amp;"100"</f>
        <v>Объем: 0,57=57/100</v>
      </c>
      <c r="F1130" s="12"/>
      <c r="G1130" s="12"/>
      <c r="H1130" s="12"/>
    </row>
    <row r="1131" spans="1:28" x14ac:dyDescent="0.2">
      <c r="C1131" s="23" t="s">
        <v>1684</v>
      </c>
      <c r="D1131" s="23">
        <f>Source!BA362</f>
        <v>6.56</v>
      </c>
    </row>
    <row r="1132" spans="1:28" x14ac:dyDescent="0.2">
      <c r="C1132" s="23" t="s">
        <v>1685</v>
      </c>
      <c r="D1132" s="23">
        <f>Source!BB362</f>
        <v>6.56</v>
      </c>
    </row>
    <row r="1133" spans="1:28" x14ac:dyDescent="0.2">
      <c r="C1133" s="23" t="s">
        <v>1686</v>
      </c>
      <c r="D1133" s="23">
        <f>Source!BC362</f>
        <v>6.56</v>
      </c>
    </row>
    <row r="1134" spans="1:28" x14ac:dyDescent="0.2">
      <c r="C1134" s="23" t="s">
        <v>1687</v>
      </c>
      <c r="D1134" s="23">
        <f>Source!BS362</f>
        <v>6.56</v>
      </c>
    </row>
    <row r="1135" spans="1:28" x14ac:dyDescent="0.2">
      <c r="C1135" s="9" t="s">
        <v>1688</v>
      </c>
      <c r="D1135" s="34"/>
      <c r="E1135" s="34"/>
      <c r="F1135" s="34">
        <f>Source!BZ362</f>
        <v>95</v>
      </c>
      <c r="G1135" s="58">
        <f>(Source!AF362+Source!AE362)*Source!FX362/100</f>
        <v>56.895499999999998</v>
      </c>
      <c r="H1135" s="58">
        <f>Source!X362</f>
        <v>212.74</v>
      </c>
    </row>
    <row r="1136" spans="1:28" x14ac:dyDescent="0.2">
      <c r="C1136" s="9" t="s">
        <v>1690</v>
      </c>
      <c r="D1136" s="34"/>
      <c r="E1136" s="34"/>
      <c r="F1136" s="34">
        <f>Source!CA362</f>
        <v>65</v>
      </c>
      <c r="G1136" s="58">
        <f>(Source!AF362+Source!AE362)*Source!FY362/100</f>
        <v>38.9285</v>
      </c>
      <c r="H1136" s="58">
        <f>Source!Y362</f>
        <v>145.56</v>
      </c>
    </row>
    <row r="1137" spans="1:28" x14ac:dyDescent="0.2">
      <c r="C1137" s="9" t="s">
        <v>1692</v>
      </c>
      <c r="D1137" s="34"/>
      <c r="E1137" s="34"/>
      <c r="F1137" s="34"/>
      <c r="G1137" s="58">
        <f>((Source!AF362+Source!AE362)*Source!FX362/100)+((Source!AF362+Source!AE362)*Source!FY362/100)+Source!AB362</f>
        <v>182.97399999999999</v>
      </c>
      <c r="H1137" s="58">
        <f>Source!O362+Source!X362+Source!Y362</f>
        <v>684.17000000000007</v>
      </c>
    </row>
    <row r="1138" spans="1:28" ht="85.5" x14ac:dyDescent="0.2">
      <c r="A1138" s="46">
        <v>163</v>
      </c>
      <c r="B1138" s="46" t="str">
        <f>Source!E363</f>
        <v>77,1</v>
      </c>
      <c r="C1138" s="46" t="str">
        <f>Source!G363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2,5 мм2</v>
      </c>
      <c r="D1138" s="46" t="str">
        <f>Source!F363</f>
        <v>21.1.06.09-0152</v>
      </c>
      <c r="E1138" s="31" t="str">
        <f>Source!H363</f>
        <v>1000 м</v>
      </c>
      <c r="F1138" s="12">
        <f>Source!I363</f>
        <v>5.6999999999999995E-2</v>
      </c>
      <c r="G1138" s="22">
        <f>Source!AB363</f>
        <v>6920.41</v>
      </c>
      <c r="H1138" s="22">
        <f>Source!O363</f>
        <v>2587.6799999999998</v>
      </c>
      <c r="T1138">
        <f>Source!O363+Source!X363+Source!Y363</f>
        <v>2587.6799999999998</v>
      </c>
      <c r="U1138">
        <f>Source!P363</f>
        <v>2587.6799999999998</v>
      </c>
      <c r="V1138">
        <f>Source!S363</f>
        <v>0</v>
      </c>
      <c r="W1138">
        <f>Source!Q363</f>
        <v>0</v>
      </c>
      <c r="X1138">
        <f>Source!R363</f>
        <v>0</v>
      </c>
      <c r="Y1138">
        <f>Source!U363</f>
        <v>0</v>
      </c>
      <c r="Z1138">
        <f>Source!V363</f>
        <v>0</v>
      </c>
      <c r="AA1138">
        <f>Source!X363</f>
        <v>0</v>
      </c>
      <c r="AB1138">
        <f>Source!Y363</f>
        <v>0</v>
      </c>
    </row>
    <row r="1139" spans="1:28" ht="14.25" x14ac:dyDescent="0.2">
      <c r="C1139" s="23" t="s">
        <v>1686</v>
      </c>
      <c r="D1139" s="23">
        <f>Source!BC363</f>
        <v>6.56</v>
      </c>
      <c r="F1139" s="12"/>
      <c r="G1139" s="12"/>
      <c r="H1139" s="12"/>
    </row>
    <row r="1140" spans="1:28" ht="42.75" x14ac:dyDescent="0.2">
      <c r="A1140" s="46">
        <v>164</v>
      </c>
      <c r="B1140" s="46" t="str">
        <f>Source!E364</f>
        <v>78</v>
      </c>
      <c r="C1140" s="46" t="str">
        <f>Source!G364</f>
        <v>Профиль перфорированный монтажный длиной 2 м (Лоток оцинкованный перфорированый)</v>
      </c>
      <c r="D1140" s="46" t="str">
        <f>Source!F364</f>
        <v>м08-02-397-01 прим.</v>
      </c>
      <c r="E1140" s="31" t="str">
        <f>Source!H364</f>
        <v>100 м</v>
      </c>
      <c r="F1140" s="12">
        <f>Source!I364</f>
        <v>5.6000000000000001E-2</v>
      </c>
      <c r="G1140" s="22">
        <f>Source!AB364</f>
        <v>582.66</v>
      </c>
      <c r="H1140" s="22">
        <f>Source!O364</f>
        <v>214.05</v>
      </c>
      <c r="T1140">
        <f>Source!O364+Source!X364+Source!Y364</f>
        <v>275.05</v>
      </c>
      <c r="U1140">
        <f>Source!P364</f>
        <v>149.71</v>
      </c>
      <c r="V1140">
        <f>Source!S364</f>
        <v>29.56</v>
      </c>
      <c r="W1140">
        <f>Source!Q364</f>
        <v>34.78</v>
      </c>
      <c r="X1140">
        <f>Source!R364</f>
        <v>8.57</v>
      </c>
      <c r="Y1140">
        <f>Source!U364</f>
        <v>0.47936000000000006</v>
      </c>
      <c r="Z1140">
        <f>Source!V364</f>
        <v>0.12712000000000001</v>
      </c>
      <c r="AA1140">
        <f>Source!X364</f>
        <v>36.22</v>
      </c>
      <c r="AB1140">
        <f>Source!Y364</f>
        <v>24.78</v>
      </c>
    </row>
    <row r="1141" spans="1:28" ht="14.25" x14ac:dyDescent="0.2">
      <c r="C1141" s="23" t="str">
        <f>"Объем: "&amp;Source!I364&amp;"=5,6/"&amp;"100"</f>
        <v>Объем: 0,056=5,6/100</v>
      </c>
      <c r="F1141" s="12"/>
      <c r="G1141" s="12"/>
      <c r="H1141" s="12"/>
    </row>
    <row r="1142" spans="1:28" x14ac:dyDescent="0.2">
      <c r="C1142" s="23" t="s">
        <v>1684</v>
      </c>
      <c r="D1142" s="23">
        <f>Source!BA364</f>
        <v>6.56</v>
      </c>
    </row>
    <row r="1143" spans="1:28" x14ac:dyDescent="0.2">
      <c r="C1143" s="23" t="s">
        <v>1685</v>
      </c>
      <c r="D1143" s="23">
        <f>Source!BB364</f>
        <v>6.56</v>
      </c>
    </row>
    <row r="1144" spans="1:28" x14ac:dyDescent="0.2">
      <c r="C1144" s="23" t="s">
        <v>1686</v>
      </c>
      <c r="D1144" s="23">
        <f>Source!BC364</f>
        <v>6.56</v>
      </c>
    </row>
    <row r="1145" spans="1:28" x14ac:dyDescent="0.2">
      <c r="C1145" s="23" t="s">
        <v>1687</v>
      </c>
      <c r="D1145" s="23">
        <f>Source!BS364</f>
        <v>6.56</v>
      </c>
    </row>
    <row r="1146" spans="1:28" x14ac:dyDescent="0.2">
      <c r="C1146" s="9" t="s">
        <v>1688</v>
      </c>
      <c r="D1146" s="34"/>
      <c r="E1146" s="34"/>
      <c r="F1146" s="34">
        <f>Source!BZ364</f>
        <v>95</v>
      </c>
      <c r="G1146" s="58">
        <f>(Source!AF364+Source!AE364)*Source!FX364/100</f>
        <v>98.600499999999997</v>
      </c>
      <c r="H1146" s="58">
        <f>Source!X364</f>
        <v>36.22</v>
      </c>
    </row>
    <row r="1147" spans="1:28" x14ac:dyDescent="0.2">
      <c r="C1147" s="9" t="s">
        <v>1690</v>
      </c>
      <c r="D1147" s="34"/>
      <c r="E1147" s="34"/>
      <c r="F1147" s="34">
        <f>Source!CA364</f>
        <v>65</v>
      </c>
      <c r="G1147" s="58">
        <f>(Source!AF364+Source!AE364)*Source!FY364/100</f>
        <v>67.463499999999996</v>
      </c>
      <c r="H1147" s="58">
        <f>Source!Y364</f>
        <v>24.78</v>
      </c>
    </row>
    <row r="1148" spans="1:28" x14ac:dyDescent="0.2">
      <c r="C1148" s="9" t="s">
        <v>1692</v>
      </c>
      <c r="D1148" s="34"/>
      <c r="E1148" s="34"/>
      <c r="F1148" s="34"/>
      <c r="G1148" s="58">
        <f>((Source!AF364+Source!AE364)*Source!FX364/100)+((Source!AF364+Source!AE364)*Source!FY364/100)+Source!AB364</f>
        <v>748.72399999999993</v>
      </c>
      <c r="H1148" s="58">
        <f>Source!O364+Source!X364+Source!Y364</f>
        <v>275.05</v>
      </c>
    </row>
    <row r="1149" spans="1:28" ht="42.75" x14ac:dyDescent="0.2">
      <c r="A1149" s="46">
        <v>165</v>
      </c>
      <c r="B1149" s="46" t="str">
        <f>Source!E365</f>
        <v>78,1</v>
      </c>
      <c r="C1149" s="46" t="str">
        <f>Source!G365</f>
        <v>Лоток кабельный оцинкованный замковый перфорированный PNK 300-300х50 мм, длина 2,5 м</v>
      </c>
      <c r="D1149" s="46" t="str">
        <f>Source!F365</f>
        <v>20.2.07.02-0009</v>
      </c>
      <c r="E1149" s="31" t="str">
        <f>Source!H365</f>
        <v>шт.</v>
      </c>
      <c r="F1149" s="12">
        <f>Source!I365</f>
        <v>2</v>
      </c>
      <c r="G1149" s="22">
        <f>Source!AB365</f>
        <v>62.4</v>
      </c>
      <c r="H1149" s="22">
        <f>Source!O365</f>
        <v>818.69</v>
      </c>
      <c r="T1149">
        <f>Source!O365+Source!X365+Source!Y365</f>
        <v>818.69</v>
      </c>
      <c r="U1149">
        <f>Source!P365</f>
        <v>818.69</v>
      </c>
      <c r="V1149">
        <f>Source!S365</f>
        <v>0</v>
      </c>
      <c r="W1149">
        <f>Source!Q365</f>
        <v>0</v>
      </c>
      <c r="X1149">
        <f>Source!R365</f>
        <v>0</v>
      </c>
      <c r="Y1149">
        <f>Source!U365</f>
        <v>0</v>
      </c>
      <c r="Z1149">
        <f>Source!V365</f>
        <v>0</v>
      </c>
      <c r="AA1149">
        <f>Source!X365</f>
        <v>0</v>
      </c>
      <c r="AB1149">
        <f>Source!Y365</f>
        <v>0</v>
      </c>
    </row>
    <row r="1150" spans="1:28" ht="14.25" x14ac:dyDescent="0.2">
      <c r="C1150" s="23" t="s">
        <v>1686</v>
      </c>
      <c r="D1150" s="23">
        <f>Source!BC365</f>
        <v>6.56</v>
      </c>
      <c r="F1150" s="12"/>
      <c r="G1150" s="12"/>
      <c r="H1150" s="12"/>
    </row>
    <row r="1151" spans="1:28" ht="28.5" x14ac:dyDescent="0.2">
      <c r="A1151" s="46">
        <v>166</v>
      </c>
      <c r="B1151" s="46" t="str">
        <f>Source!E366</f>
        <v>79</v>
      </c>
      <c r="C1151" s="46" t="str">
        <f>Source!G366</f>
        <v>Провод в лотках, сечением до 35 мм2</v>
      </c>
      <c r="D1151" s="46" t="str">
        <f>Source!F366</f>
        <v>м08-02-398-02</v>
      </c>
      <c r="E1151" s="31" t="str">
        <f>Source!H366</f>
        <v>100 м</v>
      </c>
      <c r="F1151" s="12">
        <f>Source!I366</f>
        <v>0.1</v>
      </c>
      <c r="G1151" s="22">
        <f>Source!AB366</f>
        <v>36.19</v>
      </c>
      <c r="H1151" s="22">
        <f>Source!O366</f>
        <v>23.74</v>
      </c>
      <c r="T1151">
        <f>Source!O366+Source!X366+Source!Y366</f>
        <v>44.589999999999996</v>
      </c>
      <c r="U1151">
        <f>Source!P366</f>
        <v>8.7100000000000009</v>
      </c>
      <c r="V1151">
        <f>Source!S366</f>
        <v>12.7</v>
      </c>
      <c r="W1151">
        <f>Source!Q366</f>
        <v>2.33</v>
      </c>
      <c r="X1151">
        <f>Source!R366</f>
        <v>0.33</v>
      </c>
      <c r="Y1151">
        <f>Source!U366</f>
        <v>0.20600000000000002</v>
      </c>
      <c r="Z1151">
        <f>Source!V366</f>
        <v>4.0000000000000001E-3</v>
      </c>
      <c r="AA1151">
        <f>Source!X366</f>
        <v>12.38</v>
      </c>
      <c r="AB1151">
        <f>Source!Y366</f>
        <v>8.4700000000000006</v>
      </c>
    </row>
    <row r="1152" spans="1:28" ht="14.25" x14ac:dyDescent="0.2">
      <c r="C1152" s="23" t="str">
        <f>"Объем: "&amp;Source!I366&amp;"=10/"&amp;"100"</f>
        <v>Объем: 0,1=10/100</v>
      </c>
      <c r="F1152" s="12"/>
      <c r="G1152" s="12"/>
      <c r="H1152" s="12"/>
    </row>
    <row r="1153" spans="1:28" x14ac:dyDescent="0.2">
      <c r="C1153" s="23" t="s">
        <v>1684</v>
      </c>
      <c r="D1153" s="23">
        <f>Source!BA366</f>
        <v>6.56</v>
      </c>
    </row>
    <row r="1154" spans="1:28" x14ac:dyDescent="0.2">
      <c r="C1154" s="23" t="s">
        <v>1685</v>
      </c>
      <c r="D1154" s="23">
        <f>Source!BB366</f>
        <v>6.56</v>
      </c>
    </row>
    <row r="1155" spans="1:28" x14ac:dyDescent="0.2">
      <c r="C1155" s="23" t="s">
        <v>1686</v>
      </c>
      <c r="D1155" s="23">
        <f>Source!BC366</f>
        <v>6.56</v>
      </c>
    </row>
    <row r="1156" spans="1:28" x14ac:dyDescent="0.2">
      <c r="C1156" s="23" t="s">
        <v>1687</v>
      </c>
      <c r="D1156" s="23">
        <f>Source!BS366</f>
        <v>6.56</v>
      </c>
    </row>
    <row r="1157" spans="1:28" x14ac:dyDescent="0.2">
      <c r="C1157" s="9" t="s">
        <v>1688</v>
      </c>
      <c r="D1157" s="34"/>
      <c r="E1157" s="34"/>
      <c r="F1157" s="34">
        <f>Source!BZ366</f>
        <v>95</v>
      </c>
      <c r="G1157" s="58">
        <f>(Source!AF366+Source!AE366)*Source!FX366/100</f>
        <v>18.867000000000001</v>
      </c>
      <c r="H1157" s="58">
        <f>Source!X366</f>
        <v>12.38</v>
      </c>
    </row>
    <row r="1158" spans="1:28" x14ac:dyDescent="0.2">
      <c r="C1158" s="9" t="s">
        <v>1690</v>
      </c>
      <c r="D1158" s="34"/>
      <c r="E1158" s="34"/>
      <c r="F1158" s="34">
        <f>Source!CA366</f>
        <v>65</v>
      </c>
      <c r="G1158" s="58">
        <f>(Source!AF366+Source!AE366)*Source!FY366/100</f>
        <v>12.908999999999999</v>
      </c>
      <c r="H1158" s="58">
        <f>Source!Y366</f>
        <v>8.4700000000000006</v>
      </c>
    </row>
    <row r="1159" spans="1:28" x14ac:dyDescent="0.2">
      <c r="C1159" s="9" t="s">
        <v>1692</v>
      </c>
      <c r="D1159" s="34"/>
      <c r="E1159" s="34"/>
      <c r="F1159" s="34"/>
      <c r="G1159" s="58">
        <f>((Source!AF366+Source!AE366)*Source!FX366/100)+((Source!AF366+Source!AE366)*Source!FY366/100)+Source!AB366</f>
        <v>67.965999999999994</v>
      </c>
      <c r="H1159" s="58">
        <f>Source!O366+Source!X366+Source!Y366</f>
        <v>44.589999999999996</v>
      </c>
    </row>
    <row r="1160" spans="1:28" ht="85.5" x14ac:dyDescent="0.2">
      <c r="A1160" s="46">
        <v>167</v>
      </c>
      <c r="B1160" s="46" t="str">
        <f>Source!E367</f>
        <v>79,1</v>
      </c>
      <c r="C1160" s="46" t="str">
        <f>Source!G367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- 5 и сечением 4 мм2</v>
      </c>
      <c r="D1160" s="46" t="str">
        <f>Source!F367</f>
        <v>21.1.06.09-0177</v>
      </c>
      <c r="E1160" s="31" t="str">
        <f>Source!H367</f>
        <v>1000 м</v>
      </c>
      <c r="F1160" s="12">
        <f>Source!I367</f>
        <v>0.01</v>
      </c>
      <c r="G1160" s="22">
        <f>Source!AB367</f>
        <v>18047.849999999999</v>
      </c>
      <c r="H1160" s="22">
        <f>Source!O367</f>
        <v>1183.94</v>
      </c>
      <c r="T1160">
        <f>Source!O367+Source!X367+Source!Y367</f>
        <v>1183.94</v>
      </c>
      <c r="U1160">
        <f>Source!P367</f>
        <v>1183.94</v>
      </c>
      <c r="V1160">
        <f>Source!S367</f>
        <v>0</v>
      </c>
      <c r="W1160">
        <f>Source!Q367</f>
        <v>0</v>
      </c>
      <c r="X1160">
        <f>Source!R367</f>
        <v>0</v>
      </c>
      <c r="Y1160">
        <f>Source!U367</f>
        <v>0</v>
      </c>
      <c r="Z1160">
        <f>Source!V367</f>
        <v>0</v>
      </c>
      <c r="AA1160">
        <f>Source!X367</f>
        <v>0</v>
      </c>
      <c r="AB1160">
        <f>Source!Y367</f>
        <v>0</v>
      </c>
    </row>
    <row r="1161" spans="1:28" ht="14.25" x14ac:dyDescent="0.2">
      <c r="C1161" s="23" t="s">
        <v>1686</v>
      </c>
      <c r="D1161" s="23">
        <f>Source!BC367</f>
        <v>6.56</v>
      </c>
      <c r="F1161" s="12"/>
      <c r="G1161" s="12"/>
      <c r="H1161" s="12"/>
    </row>
    <row r="1162" spans="1:28" ht="28.5" x14ac:dyDescent="0.2">
      <c r="A1162" s="46">
        <v>168</v>
      </c>
      <c r="B1162" s="46" t="str">
        <f>Source!E368</f>
        <v>80</v>
      </c>
      <c r="C1162" s="46" t="str">
        <f>Source!G368</f>
        <v>Провод в лотках, сечением до 185 мм2</v>
      </c>
      <c r="D1162" s="46" t="str">
        <f>Source!F368</f>
        <v>м08-02-398-05</v>
      </c>
      <c r="E1162" s="31" t="str">
        <f>Source!H368</f>
        <v>100 м</v>
      </c>
      <c r="F1162" s="12">
        <f>Source!I368</f>
        <v>1.18</v>
      </c>
      <c r="G1162" s="22">
        <f>Source!AB368</f>
        <v>122.17</v>
      </c>
      <c r="H1162" s="22">
        <f>Source!O368</f>
        <v>945.69</v>
      </c>
      <c r="T1162">
        <f>Source!O368+Source!X368+Source!Y368</f>
        <v>1683.2400000000002</v>
      </c>
      <c r="U1162">
        <f>Source!P368</f>
        <v>177.65</v>
      </c>
      <c r="V1162">
        <f>Source!S368</f>
        <v>410.42</v>
      </c>
      <c r="W1162">
        <f>Source!Q368</f>
        <v>357.62</v>
      </c>
      <c r="X1162">
        <f>Source!R368</f>
        <v>50.55</v>
      </c>
      <c r="Y1162">
        <f>Source!U368</f>
        <v>6.6551999999999989</v>
      </c>
      <c r="Z1162">
        <f>Source!V368</f>
        <v>0.61360000000000003</v>
      </c>
      <c r="AA1162">
        <f>Source!X368</f>
        <v>437.92</v>
      </c>
      <c r="AB1162">
        <f>Source!Y368</f>
        <v>299.63</v>
      </c>
    </row>
    <row r="1163" spans="1:28" ht="14.25" x14ac:dyDescent="0.2">
      <c r="C1163" s="23" t="str">
        <f>"Объем: "&amp;Source!I368&amp;"=118/"&amp;"100"</f>
        <v>Объем: 1,18=118/100</v>
      </c>
      <c r="F1163" s="12"/>
      <c r="G1163" s="12"/>
      <c r="H1163" s="12"/>
    </row>
    <row r="1164" spans="1:28" x14ac:dyDescent="0.2">
      <c r="C1164" s="23" t="s">
        <v>1684</v>
      </c>
      <c r="D1164" s="23">
        <f>Source!BA368</f>
        <v>6.56</v>
      </c>
    </row>
    <row r="1165" spans="1:28" x14ac:dyDescent="0.2">
      <c r="C1165" s="23" t="s">
        <v>1685</v>
      </c>
      <c r="D1165" s="23">
        <f>Source!BB368</f>
        <v>6.56</v>
      </c>
    </row>
    <row r="1166" spans="1:28" x14ac:dyDescent="0.2">
      <c r="C1166" s="23" t="s">
        <v>1686</v>
      </c>
      <c r="D1166" s="23">
        <f>Source!BC368</f>
        <v>6.56</v>
      </c>
    </row>
    <row r="1167" spans="1:28" x14ac:dyDescent="0.2">
      <c r="C1167" s="23" t="s">
        <v>1687</v>
      </c>
      <c r="D1167" s="23">
        <f>Source!BS368</f>
        <v>6.56</v>
      </c>
    </row>
    <row r="1168" spans="1:28" x14ac:dyDescent="0.2">
      <c r="C1168" s="9" t="s">
        <v>1688</v>
      </c>
      <c r="D1168" s="34"/>
      <c r="E1168" s="34"/>
      <c r="F1168" s="34">
        <f>Source!BZ368</f>
        <v>95</v>
      </c>
      <c r="G1168" s="58">
        <f>(Source!AF368+Source!AE368)*Source!FX368/100</f>
        <v>56.572499999999998</v>
      </c>
      <c r="H1168" s="58">
        <f>Source!X368</f>
        <v>437.92</v>
      </c>
    </row>
    <row r="1169" spans="1:28" x14ac:dyDescent="0.2">
      <c r="C1169" s="9" t="s">
        <v>1690</v>
      </c>
      <c r="D1169" s="34"/>
      <c r="E1169" s="34"/>
      <c r="F1169" s="34">
        <f>Source!CA368</f>
        <v>65</v>
      </c>
      <c r="G1169" s="58">
        <f>(Source!AF368+Source!AE368)*Source!FY368/100</f>
        <v>38.707500000000003</v>
      </c>
      <c r="H1169" s="58">
        <f>Source!Y368</f>
        <v>299.63</v>
      </c>
    </row>
    <row r="1170" spans="1:28" x14ac:dyDescent="0.2">
      <c r="C1170" s="9" t="s">
        <v>1692</v>
      </c>
      <c r="D1170" s="34"/>
      <c r="E1170" s="34"/>
      <c r="F1170" s="34"/>
      <c r="G1170" s="58">
        <f>((Source!AF368+Source!AE368)*Source!FX368/100)+((Source!AF368+Source!AE368)*Source!FY368/100)+Source!AB368</f>
        <v>217.45</v>
      </c>
      <c r="H1170" s="58">
        <f>Source!O368+Source!X368+Source!Y368</f>
        <v>1683.2400000000002</v>
      </c>
    </row>
    <row r="1171" spans="1:28" ht="85.5" x14ac:dyDescent="0.2">
      <c r="A1171" s="46">
        <v>169</v>
      </c>
      <c r="B1171" s="46" t="str">
        <f>Source!E369</f>
        <v>80,1</v>
      </c>
      <c r="C1171" s="46" t="str">
        <f>Source!G369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- 5 и сечением 70 мм2</v>
      </c>
      <c r="D1171" s="46" t="str">
        <f>Source!F369</f>
        <v>21.1.06.09-0184</v>
      </c>
      <c r="E1171" s="31" t="str">
        <f>Source!H369</f>
        <v>1000 м</v>
      </c>
      <c r="F1171" s="12">
        <f>Source!I369</f>
        <v>0.09</v>
      </c>
      <c r="G1171" s="22">
        <f>Source!AB369</f>
        <v>271190.69</v>
      </c>
      <c r="H1171" s="22">
        <f>Source!O369</f>
        <v>160110.98000000001</v>
      </c>
      <c r="T1171">
        <f>Source!O369+Source!X369+Source!Y369</f>
        <v>160110.98000000001</v>
      </c>
      <c r="U1171">
        <f>Source!P369</f>
        <v>160110.98000000001</v>
      </c>
      <c r="V1171">
        <f>Source!S369</f>
        <v>0</v>
      </c>
      <c r="W1171">
        <f>Source!Q369</f>
        <v>0</v>
      </c>
      <c r="X1171">
        <f>Source!R369</f>
        <v>0</v>
      </c>
      <c r="Y1171">
        <f>Source!U369</f>
        <v>0</v>
      </c>
      <c r="Z1171">
        <f>Source!V369</f>
        <v>0</v>
      </c>
      <c r="AA1171">
        <f>Source!X369</f>
        <v>0</v>
      </c>
      <c r="AB1171">
        <f>Source!Y369</f>
        <v>0</v>
      </c>
    </row>
    <row r="1172" spans="1:28" ht="14.25" x14ac:dyDescent="0.2">
      <c r="C1172" s="23" t="s">
        <v>1686</v>
      </c>
      <c r="D1172" s="23">
        <f>Source!BC369</f>
        <v>6.56</v>
      </c>
      <c r="F1172" s="12"/>
      <c r="G1172" s="12"/>
      <c r="H1172" s="12"/>
    </row>
    <row r="1173" spans="1:28" ht="85.5" x14ac:dyDescent="0.2">
      <c r="A1173" s="46">
        <v>170</v>
      </c>
      <c r="B1173" s="46" t="str">
        <f>Source!E370</f>
        <v>80,2</v>
      </c>
      <c r="C1173" s="46" t="str">
        <f>Source!G370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- 5 и сечением 25 мм2</v>
      </c>
      <c r="D1173" s="46" t="str">
        <f>Source!F370</f>
        <v>21.1.06.09-0181</v>
      </c>
      <c r="E1173" s="31" t="str">
        <f>Source!H370</f>
        <v>1000 м</v>
      </c>
      <c r="F1173" s="12">
        <f>Source!I370</f>
        <v>2.8000000000000001E-2</v>
      </c>
      <c r="G1173" s="22">
        <f>Source!AB370</f>
        <v>109675.42</v>
      </c>
      <c r="H1173" s="22">
        <f>Source!O370</f>
        <v>20145.18</v>
      </c>
      <c r="T1173">
        <f>Source!O370+Source!X370+Source!Y370</f>
        <v>20145.18</v>
      </c>
      <c r="U1173">
        <f>Source!P370</f>
        <v>20145.18</v>
      </c>
      <c r="V1173">
        <f>Source!S370</f>
        <v>0</v>
      </c>
      <c r="W1173">
        <f>Source!Q370</f>
        <v>0</v>
      </c>
      <c r="X1173">
        <f>Source!R370</f>
        <v>0</v>
      </c>
      <c r="Y1173">
        <f>Source!U370</f>
        <v>0</v>
      </c>
      <c r="Z1173">
        <f>Source!V370</f>
        <v>0</v>
      </c>
      <c r="AA1173">
        <f>Source!X370</f>
        <v>0</v>
      </c>
      <c r="AB1173">
        <f>Source!Y370</f>
        <v>0</v>
      </c>
    </row>
    <row r="1174" spans="1:28" ht="14.25" x14ac:dyDescent="0.2">
      <c r="C1174" s="23" t="s">
        <v>1686</v>
      </c>
      <c r="D1174" s="23">
        <f>Source!BC370</f>
        <v>6.56</v>
      </c>
      <c r="F1174" s="12"/>
      <c r="G1174" s="12"/>
      <c r="H1174" s="12"/>
    </row>
    <row r="1175" spans="1:28" ht="57" x14ac:dyDescent="0.2">
      <c r="A1175" s="46">
        <v>171</v>
      </c>
      <c r="B1175" s="46" t="str">
        <f>Source!E371</f>
        <v>81</v>
      </c>
      <c r="C1175" s="46" t="str">
        <f>Source!G371</f>
        <v>Щитки осветительные, устанавливаемые на стене распорными дюбелями, масса щитка до 6 кг (Боксы АВВ)</v>
      </c>
      <c r="D1175" s="46" t="str">
        <f>Source!F371</f>
        <v>м08-03-599-09 прим.</v>
      </c>
      <c r="E1175" s="31" t="str">
        <f>Source!H371</f>
        <v>ШТ</v>
      </c>
      <c r="F1175" s="12">
        <f>Source!I371</f>
        <v>3</v>
      </c>
      <c r="G1175" s="22">
        <f>Source!AB371</f>
        <v>70.22</v>
      </c>
      <c r="H1175" s="22">
        <f>Source!O371</f>
        <v>1381.93</v>
      </c>
      <c r="T1175">
        <f>Source!O371+Source!X371+Source!Y371</f>
        <v>2189.91</v>
      </c>
      <c r="U1175">
        <f>Source!P371</f>
        <v>847.03</v>
      </c>
      <c r="V1175">
        <f>Source!S371</f>
        <v>499.87</v>
      </c>
      <c r="W1175">
        <f>Source!Q371</f>
        <v>35.03</v>
      </c>
      <c r="X1175">
        <f>Source!R371</f>
        <v>5.12</v>
      </c>
      <c r="Y1175">
        <f>Source!U371</f>
        <v>7.68</v>
      </c>
      <c r="Z1175">
        <f>Source!V371</f>
        <v>0.06</v>
      </c>
      <c r="AA1175">
        <f>Source!X371</f>
        <v>479.74</v>
      </c>
      <c r="AB1175">
        <f>Source!Y371</f>
        <v>328.24</v>
      </c>
    </row>
    <row r="1176" spans="1:28" ht="14.25" x14ac:dyDescent="0.2">
      <c r="C1176" s="23" t="s">
        <v>1684</v>
      </c>
      <c r="D1176" s="23">
        <f>Source!BA371</f>
        <v>6.56</v>
      </c>
      <c r="F1176" s="12"/>
      <c r="G1176" s="12"/>
      <c r="H1176" s="12"/>
    </row>
    <row r="1177" spans="1:28" x14ac:dyDescent="0.2">
      <c r="C1177" s="23" t="s">
        <v>1685</v>
      </c>
      <c r="D1177" s="23">
        <f>Source!BB371</f>
        <v>6.56</v>
      </c>
    </row>
    <row r="1178" spans="1:28" x14ac:dyDescent="0.2">
      <c r="C1178" s="23" t="s">
        <v>1686</v>
      </c>
      <c r="D1178" s="23">
        <f>Source!BC371</f>
        <v>6.56</v>
      </c>
    </row>
    <row r="1179" spans="1:28" x14ac:dyDescent="0.2">
      <c r="C1179" s="23" t="s">
        <v>1687</v>
      </c>
      <c r="D1179" s="23">
        <f>Source!BS371</f>
        <v>6.56</v>
      </c>
    </row>
    <row r="1180" spans="1:28" x14ac:dyDescent="0.2">
      <c r="C1180" s="9" t="s">
        <v>1688</v>
      </c>
      <c r="D1180" s="34"/>
      <c r="E1180" s="34"/>
      <c r="F1180" s="34">
        <f>Source!BZ371</f>
        <v>95</v>
      </c>
      <c r="G1180" s="58">
        <f>(Source!AF371+Source!AE371)*Source!FX371/100</f>
        <v>24.376999999999999</v>
      </c>
      <c r="H1180" s="58">
        <f>Source!X371</f>
        <v>479.74</v>
      </c>
    </row>
    <row r="1181" spans="1:28" x14ac:dyDescent="0.2">
      <c r="C1181" s="9" t="s">
        <v>1690</v>
      </c>
      <c r="D1181" s="34"/>
      <c r="E1181" s="34"/>
      <c r="F1181" s="34">
        <f>Source!CA371</f>
        <v>65</v>
      </c>
      <c r="G1181" s="58">
        <f>(Source!AF371+Source!AE371)*Source!FY371/100</f>
        <v>16.679000000000002</v>
      </c>
      <c r="H1181" s="58">
        <f>Source!Y371</f>
        <v>328.24</v>
      </c>
    </row>
    <row r="1182" spans="1:28" x14ac:dyDescent="0.2">
      <c r="C1182" s="9" t="s">
        <v>1692</v>
      </c>
      <c r="D1182" s="34"/>
      <c r="E1182" s="34"/>
      <c r="F1182" s="34"/>
      <c r="G1182" s="58">
        <f>((Source!AF371+Source!AE371)*Source!FX371/100)+((Source!AF371+Source!AE371)*Source!FY371/100)+Source!AB371</f>
        <v>111.276</v>
      </c>
      <c r="H1182" s="58">
        <f>Source!O371+Source!X371+Source!Y371</f>
        <v>2189.91</v>
      </c>
    </row>
    <row r="1183" spans="1:28" ht="42.75" x14ac:dyDescent="0.2">
      <c r="A1183" s="46">
        <v>172</v>
      </c>
      <c r="B1183" s="46" t="str">
        <f>Source!E372</f>
        <v>81,1</v>
      </c>
      <c r="C1183" s="46" t="str">
        <f>Source!G372</f>
        <v>Бокс настенный  пластиковый АВВ " Mistral 41"с прозрачной дверцей на 36 модулей,с клеммами в 2 ряда прим.</v>
      </c>
      <c r="D1183" s="46" t="str">
        <f>Source!F372</f>
        <v>22.1.01.01-0014</v>
      </c>
      <c r="E1183" s="31" t="str">
        <f>Source!H372</f>
        <v>шт.</v>
      </c>
      <c r="F1183" s="12">
        <f>Source!I372</f>
        <v>3</v>
      </c>
      <c r="G1183" s="22">
        <f>Source!AB372</f>
        <v>213.05</v>
      </c>
      <c r="H1183" s="22">
        <f>Source!O372</f>
        <v>4192.82</v>
      </c>
      <c r="T1183">
        <f>Source!O372+Source!X372+Source!Y372</f>
        <v>4192.82</v>
      </c>
      <c r="U1183">
        <f>Source!P372</f>
        <v>4192.82</v>
      </c>
      <c r="V1183">
        <f>Source!S372</f>
        <v>0</v>
      </c>
      <c r="W1183">
        <f>Source!Q372</f>
        <v>0</v>
      </c>
      <c r="X1183">
        <f>Source!R372</f>
        <v>0</v>
      </c>
      <c r="Y1183">
        <f>Source!U372</f>
        <v>0</v>
      </c>
      <c r="Z1183">
        <f>Source!V372</f>
        <v>0</v>
      </c>
      <c r="AA1183">
        <f>Source!X372</f>
        <v>0</v>
      </c>
      <c r="AB1183">
        <f>Source!Y372</f>
        <v>0</v>
      </c>
    </row>
    <row r="1184" spans="1:28" ht="14.25" x14ac:dyDescent="0.2">
      <c r="C1184" s="23" t="s">
        <v>1686</v>
      </c>
      <c r="D1184" s="23">
        <f>Source!BC372</f>
        <v>6.56</v>
      </c>
      <c r="F1184" s="12"/>
      <c r="G1184" s="12"/>
      <c r="H1184" s="12"/>
    </row>
    <row r="1185" spans="1:28" ht="28.5" x14ac:dyDescent="0.2">
      <c r="A1185" s="46">
        <v>173</v>
      </c>
      <c r="B1185" s="46" t="str">
        <f>Source!E373</f>
        <v>82</v>
      </c>
      <c r="C1185" s="46" t="str">
        <f>Source!G373</f>
        <v>Щиток до трех групп, устанавливаемый в нише цоколя</v>
      </c>
      <c r="D1185" s="46" t="str">
        <f>Source!F373</f>
        <v>м08-02-370-02</v>
      </c>
      <c r="E1185" s="31" t="str">
        <f>Source!H373</f>
        <v>ШТ</v>
      </c>
      <c r="F1185" s="12">
        <f>Source!I373</f>
        <v>1</v>
      </c>
      <c r="G1185" s="22">
        <f>Source!AB373</f>
        <v>33.42</v>
      </c>
      <c r="H1185" s="22">
        <f>Source!O373</f>
        <v>219.23</v>
      </c>
      <c r="T1185">
        <f>Source!O373+Source!X373+Source!Y373</f>
        <v>344.77</v>
      </c>
      <c r="U1185">
        <f>Source!P373</f>
        <v>40.67</v>
      </c>
      <c r="V1185">
        <f>Source!S373</f>
        <v>61.99</v>
      </c>
      <c r="W1185">
        <f>Source!Q373</f>
        <v>116.57</v>
      </c>
      <c r="X1185">
        <f>Source!R373</f>
        <v>16.47</v>
      </c>
      <c r="Y1185">
        <f>Source!U373</f>
        <v>0.9</v>
      </c>
      <c r="Z1185">
        <f>Source!V373</f>
        <v>0.2</v>
      </c>
      <c r="AA1185">
        <f>Source!X373</f>
        <v>74.540000000000006</v>
      </c>
      <c r="AB1185">
        <f>Source!Y373</f>
        <v>51</v>
      </c>
    </row>
    <row r="1186" spans="1:28" ht="14.25" x14ac:dyDescent="0.2">
      <c r="C1186" s="23" t="s">
        <v>1684</v>
      </c>
      <c r="D1186" s="23">
        <f>Source!BA373</f>
        <v>6.56</v>
      </c>
      <c r="F1186" s="12"/>
      <c r="G1186" s="12"/>
      <c r="H1186" s="12"/>
    </row>
    <row r="1187" spans="1:28" x14ac:dyDescent="0.2">
      <c r="C1187" s="23" t="s">
        <v>1685</v>
      </c>
      <c r="D1187" s="23">
        <f>Source!BB373</f>
        <v>6.56</v>
      </c>
    </row>
    <row r="1188" spans="1:28" x14ac:dyDescent="0.2">
      <c r="C1188" s="23" t="s">
        <v>1686</v>
      </c>
      <c r="D1188" s="23">
        <f>Source!BC373</f>
        <v>6.56</v>
      </c>
    </row>
    <row r="1189" spans="1:28" x14ac:dyDescent="0.2">
      <c r="C1189" s="23" t="s">
        <v>1687</v>
      </c>
      <c r="D1189" s="23">
        <f>Source!BS373</f>
        <v>6.56</v>
      </c>
    </row>
    <row r="1190" spans="1:28" x14ac:dyDescent="0.2">
      <c r="C1190" s="9" t="s">
        <v>1688</v>
      </c>
      <c r="D1190" s="34"/>
      <c r="E1190" s="34"/>
      <c r="F1190" s="34">
        <f>Source!BZ373</f>
        <v>95</v>
      </c>
      <c r="G1190" s="58">
        <f>(Source!AF373+Source!AE373)*Source!FX373/100</f>
        <v>11.361999999999998</v>
      </c>
      <c r="H1190" s="58">
        <f>Source!X373</f>
        <v>74.540000000000006</v>
      </c>
    </row>
    <row r="1191" spans="1:28" x14ac:dyDescent="0.2">
      <c r="C1191" s="9" t="s">
        <v>1690</v>
      </c>
      <c r="D1191" s="34"/>
      <c r="E1191" s="34"/>
      <c r="F1191" s="34">
        <f>Source!CA373</f>
        <v>65</v>
      </c>
      <c r="G1191" s="58">
        <f>(Source!AF373+Source!AE373)*Source!FY373/100</f>
        <v>7.774</v>
      </c>
      <c r="H1191" s="58">
        <f>Source!Y373</f>
        <v>51</v>
      </c>
    </row>
    <row r="1192" spans="1:28" x14ac:dyDescent="0.2">
      <c r="C1192" s="9" t="s">
        <v>1692</v>
      </c>
      <c r="D1192" s="34"/>
      <c r="E1192" s="34"/>
      <c r="F1192" s="34"/>
      <c r="G1192" s="58">
        <f>((Source!AF373+Source!AE373)*Source!FX373/100)+((Source!AF373+Source!AE373)*Source!FY373/100)+Source!AB373</f>
        <v>52.555999999999997</v>
      </c>
      <c r="H1192" s="58">
        <f>Source!O373+Source!X373+Source!Y373</f>
        <v>344.77</v>
      </c>
    </row>
    <row r="1193" spans="1:28" ht="28.5" x14ac:dyDescent="0.2">
      <c r="A1193" s="46">
        <v>174</v>
      </c>
      <c r="B1193" s="46" t="str">
        <f>Source!E374</f>
        <v>82,1</v>
      </c>
      <c r="C1193" s="46" t="str">
        <f>Source!G374</f>
        <v>Щитки распределительные этажные  EKF ЩРВ-36(з) прим.</v>
      </c>
      <c r="D1193" s="46" t="str">
        <f>Source!F374</f>
        <v>62.1.02.17-0012</v>
      </c>
      <c r="E1193" s="31" t="str">
        <f>Source!H374</f>
        <v>шт.</v>
      </c>
      <c r="F1193" s="12">
        <f>Source!I374</f>
        <v>1</v>
      </c>
      <c r="G1193" s="22">
        <f>Source!AB374</f>
        <v>1494.77</v>
      </c>
      <c r="H1193" s="22">
        <f>Source!O374</f>
        <v>9805.69</v>
      </c>
      <c r="T1193">
        <f>Source!O374+Source!X374+Source!Y374</f>
        <v>9805.69</v>
      </c>
      <c r="U1193">
        <f>Source!P374</f>
        <v>9805.69</v>
      </c>
      <c r="V1193">
        <f>Source!S374</f>
        <v>0</v>
      </c>
      <c r="W1193">
        <f>Source!Q374</f>
        <v>0</v>
      </c>
      <c r="X1193">
        <f>Source!R374</f>
        <v>0</v>
      </c>
      <c r="Y1193">
        <f>Source!U374</f>
        <v>0</v>
      </c>
      <c r="Z1193">
        <f>Source!V374</f>
        <v>0</v>
      </c>
      <c r="AA1193">
        <f>Source!X374</f>
        <v>0</v>
      </c>
      <c r="AB1193">
        <f>Source!Y374</f>
        <v>0</v>
      </c>
    </row>
    <row r="1194" spans="1:28" ht="14.25" x14ac:dyDescent="0.2">
      <c r="C1194" s="23" t="s">
        <v>1686</v>
      </c>
      <c r="D1194" s="23">
        <f>Source!BC374</f>
        <v>6.56</v>
      </c>
      <c r="F1194" s="12"/>
      <c r="G1194" s="12"/>
      <c r="H1194" s="12"/>
    </row>
    <row r="1195" spans="1:28" ht="42.75" x14ac:dyDescent="0.2">
      <c r="A1195" s="46">
        <v>175</v>
      </c>
      <c r="B1195" s="46" t="str">
        <f>Source!E375</f>
        <v>83</v>
      </c>
      <c r="C1195" s="46" t="str">
        <f>Source!G375</f>
        <v>Автомат одно-, двух-, трехполюсный, устанавливаемый на конструкции на стене или колонне, на ток до 25 А</v>
      </c>
      <c r="D1195" s="46" t="str">
        <f>Source!F375</f>
        <v>м08-03-526-01</v>
      </c>
      <c r="E1195" s="31" t="str">
        <f>Source!H375</f>
        <v>ШТ</v>
      </c>
      <c r="F1195" s="12">
        <f>Source!I375</f>
        <v>32</v>
      </c>
      <c r="G1195" s="22">
        <f>Source!AB375</f>
        <v>35.979999999999997</v>
      </c>
      <c r="H1195" s="22">
        <f>Source!O375</f>
        <v>7552.92</v>
      </c>
      <c r="T1195">
        <f>Source!O375+Source!X375+Source!Y375</f>
        <v>12537.259999999998</v>
      </c>
      <c r="U1195">
        <f>Source!P375</f>
        <v>4217.29</v>
      </c>
      <c r="V1195">
        <f>Source!S375</f>
        <v>3115.21</v>
      </c>
      <c r="W1195">
        <f>Source!Q375</f>
        <v>220.42</v>
      </c>
      <c r="X1195">
        <f>Source!R375</f>
        <v>0</v>
      </c>
      <c r="Y1195">
        <f>Source!U375</f>
        <v>49.92</v>
      </c>
      <c r="Z1195">
        <f>Source!V375</f>
        <v>0</v>
      </c>
      <c r="AA1195">
        <f>Source!X375</f>
        <v>2959.45</v>
      </c>
      <c r="AB1195">
        <f>Source!Y375</f>
        <v>2024.89</v>
      </c>
    </row>
    <row r="1196" spans="1:28" ht="14.25" x14ac:dyDescent="0.2">
      <c r="C1196" s="23" t="s">
        <v>1684</v>
      </c>
      <c r="D1196" s="23">
        <f>Source!BA375</f>
        <v>6.56</v>
      </c>
      <c r="F1196" s="12"/>
      <c r="G1196" s="12"/>
      <c r="H1196" s="12"/>
    </row>
    <row r="1197" spans="1:28" x14ac:dyDescent="0.2">
      <c r="C1197" s="23" t="s">
        <v>1685</v>
      </c>
      <c r="D1197" s="23">
        <f>Source!BB375</f>
        <v>6.56</v>
      </c>
    </row>
    <row r="1198" spans="1:28" x14ac:dyDescent="0.2">
      <c r="C1198" s="23" t="s">
        <v>1686</v>
      </c>
      <c r="D1198" s="23">
        <f>Source!BC375</f>
        <v>6.56</v>
      </c>
    </row>
    <row r="1199" spans="1:28" x14ac:dyDescent="0.2">
      <c r="C1199" s="23" t="s">
        <v>1687</v>
      </c>
      <c r="D1199" s="23">
        <f>Source!BS375</f>
        <v>6.56</v>
      </c>
    </row>
    <row r="1200" spans="1:28" x14ac:dyDescent="0.2">
      <c r="C1200" s="9" t="s">
        <v>1688</v>
      </c>
      <c r="D1200" s="34"/>
      <c r="E1200" s="34"/>
      <c r="F1200" s="34">
        <f>Source!BZ375</f>
        <v>95</v>
      </c>
      <c r="G1200" s="58">
        <f>(Source!AF375+Source!AE375)*Source!FX375/100</f>
        <v>14.097999999999999</v>
      </c>
      <c r="H1200" s="58">
        <f>Source!X375</f>
        <v>2959.45</v>
      </c>
    </row>
    <row r="1201" spans="1:28" x14ac:dyDescent="0.2">
      <c r="C1201" s="9" t="s">
        <v>1690</v>
      </c>
      <c r="D1201" s="34"/>
      <c r="E1201" s="34"/>
      <c r="F1201" s="34">
        <f>Source!CA375</f>
        <v>65</v>
      </c>
      <c r="G1201" s="58">
        <f>(Source!AF375+Source!AE375)*Source!FY375/100</f>
        <v>9.6460000000000008</v>
      </c>
      <c r="H1201" s="58">
        <f>Source!Y375</f>
        <v>2024.89</v>
      </c>
    </row>
    <row r="1202" spans="1:28" x14ac:dyDescent="0.2">
      <c r="C1202" s="9" t="s">
        <v>1692</v>
      </c>
      <c r="D1202" s="34"/>
      <c r="E1202" s="34"/>
      <c r="F1202" s="34"/>
      <c r="G1202" s="58">
        <f>((Source!AF375+Source!AE375)*Source!FX375/100)+((Source!AF375+Source!AE375)*Source!FY375/100)+Source!AB375</f>
        <v>59.723999999999997</v>
      </c>
      <c r="H1202" s="58">
        <f>Source!O375+Source!X375+Source!Y375</f>
        <v>12537.259999999998</v>
      </c>
    </row>
    <row r="1203" spans="1:28" ht="42.75" x14ac:dyDescent="0.2">
      <c r="A1203" s="46">
        <v>176</v>
      </c>
      <c r="B1203" s="46" t="str">
        <f>Source!E376</f>
        <v>83,1</v>
      </c>
      <c r="C1203" s="46" t="str">
        <f>Source!G376</f>
        <v>Автоматы дифференциальные двухполюсные 10A, 30MA тип АВВ DS901L в щите прим.</v>
      </c>
      <c r="D1203" s="46" t="str">
        <f>Source!F376</f>
        <v>62.1.01.02-0002</v>
      </c>
      <c r="E1203" s="31" t="str">
        <f>Source!H376</f>
        <v>шт.</v>
      </c>
      <c r="F1203" s="12">
        <f>Source!I376</f>
        <v>1</v>
      </c>
      <c r="G1203" s="22">
        <f>Source!AB376</f>
        <v>246.69</v>
      </c>
      <c r="H1203" s="22">
        <f>Source!O376</f>
        <v>1618.29</v>
      </c>
      <c r="T1203">
        <f>Source!O376+Source!X376+Source!Y376</f>
        <v>1618.29</v>
      </c>
      <c r="U1203">
        <f>Source!P376</f>
        <v>1618.29</v>
      </c>
      <c r="V1203">
        <f>Source!S376</f>
        <v>0</v>
      </c>
      <c r="W1203">
        <f>Source!Q376</f>
        <v>0</v>
      </c>
      <c r="X1203">
        <f>Source!R376</f>
        <v>0</v>
      </c>
      <c r="Y1203">
        <f>Source!U376</f>
        <v>0</v>
      </c>
      <c r="Z1203">
        <f>Source!V376</f>
        <v>0</v>
      </c>
      <c r="AA1203">
        <f>Source!X376</f>
        <v>0</v>
      </c>
      <c r="AB1203">
        <f>Source!Y376</f>
        <v>0</v>
      </c>
    </row>
    <row r="1204" spans="1:28" ht="14.25" x14ac:dyDescent="0.2">
      <c r="C1204" s="23" t="s">
        <v>1686</v>
      </c>
      <c r="D1204" s="23">
        <f>Source!BC376</f>
        <v>6.56</v>
      </c>
      <c r="F1204" s="12"/>
      <c r="G1204" s="12"/>
      <c r="H1204" s="12"/>
    </row>
    <row r="1205" spans="1:28" ht="28.5" x14ac:dyDescent="0.2">
      <c r="A1205" s="46">
        <v>177</v>
      </c>
      <c r="B1205" s="46" t="str">
        <f>Source!E377</f>
        <v>83,2</v>
      </c>
      <c r="C1205" s="46" t="str">
        <f>Source!G377</f>
        <v>Выключатели автоматические АВВ 1Р 16А прим.</v>
      </c>
      <c r="D1205" s="46" t="str">
        <f>Source!F377</f>
        <v>62.1.01.09-0050</v>
      </c>
      <c r="E1205" s="31" t="str">
        <f>Source!H377</f>
        <v>шт.</v>
      </c>
      <c r="F1205" s="12">
        <f>Source!I377</f>
        <v>28</v>
      </c>
      <c r="G1205" s="22">
        <f>Source!AB377</f>
        <v>66.48</v>
      </c>
      <c r="H1205" s="22">
        <f>Source!O377</f>
        <v>12211.05</v>
      </c>
      <c r="T1205">
        <f>Source!O377+Source!X377+Source!Y377</f>
        <v>12211.05</v>
      </c>
      <c r="U1205">
        <f>Source!P377</f>
        <v>12211.05</v>
      </c>
      <c r="V1205">
        <f>Source!S377</f>
        <v>0</v>
      </c>
      <c r="W1205">
        <f>Source!Q377</f>
        <v>0</v>
      </c>
      <c r="X1205">
        <f>Source!R377</f>
        <v>0</v>
      </c>
      <c r="Y1205">
        <f>Source!U377</f>
        <v>0</v>
      </c>
      <c r="Z1205">
        <f>Source!V377</f>
        <v>0</v>
      </c>
      <c r="AA1205">
        <f>Source!X377</f>
        <v>0</v>
      </c>
      <c r="AB1205">
        <f>Source!Y377</f>
        <v>0</v>
      </c>
    </row>
    <row r="1206" spans="1:28" ht="14.25" x14ac:dyDescent="0.2">
      <c r="C1206" s="23" t="s">
        <v>1686</v>
      </c>
      <c r="D1206" s="23">
        <f>Source!BC377</f>
        <v>6.56</v>
      </c>
      <c r="F1206" s="12"/>
      <c r="G1206" s="12"/>
      <c r="H1206" s="12"/>
    </row>
    <row r="1207" spans="1:28" ht="28.5" x14ac:dyDescent="0.2">
      <c r="A1207" s="46">
        <v>178</v>
      </c>
      <c r="B1207" s="46" t="str">
        <f>Source!E378</f>
        <v>83,3</v>
      </c>
      <c r="C1207" s="46" t="str">
        <f>Source!G378</f>
        <v>Выключатели автоматические АВВ  3Р 16А прим.</v>
      </c>
      <c r="D1207" s="46" t="str">
        <f>Source!F378</f>
        <v>62.1.01.09-0066</v>
      </c>
      <c r="E1207" s="31" t="str">
        <f>Source!H378</f>
        <v>шт.</v>
      </c>
      <c r="F1207" s="12">
        <f>Source!I378</f>
        <v>2</v>
      </c>
      <c r="G1207" s="22">
        <f>Source!AB378</f>
        <v>231.3</v>
      </c>
      <c r="H1207" s="22">
        <f>Source!O378</f>
        <v>3034.66</v>
      </c>
      <c r="T1207">
        <f>Source!O378+Source!X378+Source!Y378</f>
        <v>3034.66</v>
      </c>
      <c r="U1207">
        <f>Source!P378</f>
        <v>3034.66</v>
      </c>
      <c r="V1207">
        <f>Source!S378</f>
        <v>0</v>
      </c>
      <c r="W1207">
        <f>Source!Q378</f>
        <v>0</v>
      </c>
      <c r="X1207">
        <f>Source!R378</f>
        <v>0</v>
      </c>
      <c r="Y1207">
        <f>Source!U378</f>
        <v>0</v>
      </c>
      <c r="Z1207">
        <f>Source!V378</f>
        <v>0</v>
      </c>
      <c r="AA1207">
        <f>Source!X378</f>
        <v>0</v>
      </c>
      <c r="AB1207">
        <f>Source!Y378</f>
        <v>0</v>
      </c>
    </row>
    <row r="1208" spans="1:28" ht="14.25" x14ac:dyDescent="0.2">
      <c r="C1208" s="23" t="s">
        <v>1686</v>
      </c>
      <c r="D1208" s="23">
        <f>Source!BC378</f>
        <v>6.56</v>
      </c>
      <c r="F1208" s="12"/>
      <c r="G1208" s="12"/>
      <c r="H1208" s="12"/>
    </row>
    <row r="1209" spans="1:28" ht="28.5" x14ac:dyDescent="0.2">
      <c r="A1209" s="46">
        <v>179</v>
      </c>
      <c r="B1209" s="46" t="str">
        <f>Source!E379</f>
        <v>83,4</v>
      </c>
      <c r="C1209" s="46" t="str">
        <f>Source!G379</f>
        <v>Выключатели автоматические АВВ  3Р 10А</v>
      </c>
      <c r="D1209" s="46" t="str">
        <f>Source!F379</f>
        <v>62.1.01.09-0065</v>
      </c>
      <c r="E1209" s="31" t="str">
        <f>Source!H379</f>
        <v>шт.</v>
      </c>
      <c r="F1209" s="12">
        <f>Source!I379</f>
        <v>1</v>
      </c>
      <c r="G1209" s="22">
        <f>Source!AB379</f>
        <v>231.3</v>
      </c>
      <c r="H1209" s="22">
        <f>Source!O379</f>
        <v>1517.33</v>
      </c>
      <c r="T1209">
        <f>Source!O379+Source!X379+Source!Y379</f>
        <v>1517.33</v>
      </c>
      <c r="U1209">
        <f>Source!P379</f>
        <v>1517.33</v>
      </c>
      <c r="V1209">
        <f>Source!S379</f>
        <v>0</v>
      </c>
      <c r="W1209">
        <f>Source!Q379</f>
        <v>0</v>
      </c>
      <c r="X1209">
        <f>Source!R379</f>
        <v>0</v>
      </c>
      <c r="Y1209">
        <f>Source!U379</f>
        <v>0</v>
      </c>
      <c r="Z1209">
        <f>Source!V379</f>
        <v>0</v>
      </c>
      <c r="AA1209">
        <f>Source!X379</f>
        <v>0</v>
      </c>
      <c r="AB1209">
        <f>Source!Y379</f>
        <v>0</v>
      </c>
    </row>
    <row r="1210" spans="1:28" ht="14.25" x14ac:dyDescent="0.2">
      <c r="C1210" s="23" t="s">
        <v>1686</v>
      </c>
      <c r="D1210" s="23">
        <f>Source!BC379</f>
        <v>6.56</v>
      </c>
      <c r="F1210" s="12"/>
      <c r="G1210" s="12"/>
      <c r="H1210" s="12"/>
    </row>
    <row r="1211" spans="1:28" ht="28.5" x14ac:dyDescent="0.2">
      <c r="A1211" s="46">
        <v>180</v>
      </c>
      <c r="B1211" s="46" t="str">
        <f>Source!E380</f>
        <v>84</v>
      </c>
      <c r="C1211" s="46" t="str">
        <f>Source!G380</f>
        <v>Прибор или аппарат</v>
      </c>
      <c r="D1211" s="46" t="str">
        <f>Source!F380</f>
        <v>м08-03-575-01</v>
      </c>
      <c r="E1211" s="31" t="str">
        <f>Source!H380</f>
        <v>ШТ</v>
      </c>
      <c r="F1211" s="12">
        <f>Source!I380</f>
        <v>5</v>
      </c>
      <c r="G1211" s="22">
        <f>Source!AB380</f>
        <v>11.51</v>
      </c>
      <c r="H1211" s="22">
        <f>Source!O380</f>
        <v>377.53</v>
      </c>
      <c r="T1211">
        <f>Source!O380+Source!X380+Source!Y380</f>
        <v>960.59</v>
      </c>
      <c r="U1211">
        <f>Source!P380</f>
        <v>13.12</v>
      </c>
      <c r="V1211">
        <f>Source!S380</f>
        <v>364.41</v>
      </c>
      <c r="W1211">
        <f>Source!Q380</f>
        <v>0</v>
      </c>
      <c r="X1211">
        <f>Source!R380</f>
        <v>0</v>
      </c>
      <c r="Y1211">
        <f>Source!U380</f>
        <v>5.6000000000000005</v>
      </c>
      <c r="Z1211">
        <f>Source!V380</f>
        <v>0</v>
      </c>
      <c r="AA1211">
        <f>Source!X380</f>
        <v>346.19</v>
      </c>
      <c r="AB1211">
        <f>Source!Y380</f>
        <v>236.87</v>
      </c>
    </row>
    <row r="1212" spans="1:28" ht="14.25" x14ac:dyDescent="0.2">
      <c r="C1212" s="23" t="s">
        <v>1684</v>
      </c>
      <c r="D1212" s="23">
        <f>Source!BA380</f>
        <v>6.56</v>
      </c>
      <c r="F1212" s="12"/>
      <c r="G1212" s="12"/>
      <c r="H1212" s="12"/>
    </row>
    <row r="1213" spans="1:28" x14ac:dyDescent="0.2">
      <c r="C1213" s="23" t="s">
        <v>1685</v>
      </c>
      <c r="D1213" s="23">
        <f>Source!BB380</f>
        <v>6.56</v>
      </c>
    </row>
    <row r="1214" spans="1:28" x14ac:dyDescent="0.2">
      <c r="C1214" s="23" t="s">
        <v>1686</v>
      </c>
      <c r="D1214" s="23">
        <f>Source!BC380</f>
        <v>6.56</v>
      </c>
    </row>
    <row r="1215" spans="1:28" x14ac:dyDescent="0.2">
      <c r="C1215" s="23" t="s">
        <v>1687</v>
      </c>
      <c r="D1215" s="23">
        <f>Source!BS380</f>
        <v>6.56</v>
      </c>
    </row>
    <row r="1216" spans="1:28" x14ac:dyDescent="0.2">
      <c r="C1216" s="9" t="s">
        <v>1688</v>
      </c>
      <c r="D1216" s="34"/>
      <c r="E1216" s="34"/>
      <c r="F1216" s="34">
        <f>Source!BZ380</f>
        <v>95</v>
      </c>
      <c r="G1216" s="58">
        <f>(Source!AF380+Source!AE380)*Source!FX380/100</f>
        <v>10.554500000000001</v>
      </c>
      <c r="H1216" s="58">
        <f>Source!X380</f>
        <v>346.19</v>
      </c>
    </row>
    <row r="1217" spans="1:28" x14ac:dyDescent="0.2">
      <c r="C1217" s="9" t="s">
        <v>1690</v>
      </c>
      <c r="D1217" s="34"/>
      <c r="E1217" s="34"/>
      <c r="F1217" s="34">
        <f>Source!CA380</f>
        <v>65</v>
      </c>
      <c r="G1217" s="58">
        <f>(Source!AF380+Source!AE380)*Source!FY380/100</f>
        <v>7.2214999999999998</v>
      </c>
      <c r="H1217" s="58">
        <f>Source!Y380</f>
        <v>236.87</v>
      </c>
    </row>
    <row r="1218" spans="1:28" x14ac:dyDescent="0.2">
      <c r="C1218" s="9" t="s">
        <v>1692</v>
      </c>
      <c r="D1218" s="34"/>
      <c r="E1218" s="34"/>
      <c r="F1218" s="34"/>
      <c r="G1218" s="58">
        <f>((Source!AF380+Source!AE380)*Source!FX380/100)+((Source!AF380+Source!AE380)*Source!FY380/100)+Source!AB380</f>
        <v>29.286000000000001</v>
      </c>
      <c r="H1218" s="58">
        <f>Source!O380+Source!X380+Source!Y380</f>
        <v>960.59</v>
      </c>
    </row>
    <row r="1219" spans="1:28" ht="28.5" x14ac:dyDescent="0.2">
      <c r="A1219" s="46">
        <v>181</v>
      </c>
      <c r="B1219" s="46" t="str">
        <f>Source!E381</f>
        <v>84,1</v>
      </c>
      <c r="C1219" s="46" t="str">
        <f>Source!G381</f>
        <v>Выключатели автоматические АВВ 3Р 40А</v>
      </c>
      <c r="D1219" s="46" t="str">
        <f>Source!F381</f>
        <v>62.1.01.09-0068</v>
      </c>
      <c r="E1219" s="31" t="str">
        <f>Source!H381</f>
        <v>шт.</v>
      </c>
      <c r="F1219" s="12">
        <f>Source!I381</f>
        <v>2</v>
      </c>
      <c r="G1219" s="22">
        <f>Source!AB381</f>
        <v>347.49</v>
      </c>
      <c r="H1219" s="22">
        <f>Source!O381</f>
        <v>4559.07</v>
      </c>
      <c r="T1219">
        <f>Source!O381+Source!X381+Source!Y381</f>
        <v>4559.07</v>
      </c>
      <c r="U1219">
        <f>Source!P381</f>
        <v>4559.07</v>
      </c>
      <c r="V1219">
        <f>Source!S381</f>
        <v>0</v>
      </c>
      <c r="W1219">
        <f>Source!Q381</f>
        <v>0</v>
      </c>
      <c r="X1219">
        <f>Source!R381</f>
        <v>0</v>
      </c>
      <c r="Y1219">
        <f>Source!U381</f>
        <v>0</v>
      </c>
      <c r="Z1219">
        <f>Source!V381</f>
        <v>0</v>
      </c>
      <c r="AA1219">
        <f>Source!X381</f>
        <v>0</v>
      </c>
      <c r="AB1219">
        <f>Source!Y381</f>
        <v>0</v>
      </c>
    </row>
    <row r="1220" spans="1:28" ht="14.25" x14ac:dyDescent="0.2">
      <c r="C1220" s="23" t="s">
        <v>1686</v>
      </c>
      <c r="D1220" s="23">
        <f>Source!BC381</f>
        <v>6.56</v>
      </c>
      <c r="F1220" s="12"/>
      <c r="G1220" s="12"/>
      <c r="H1220" s="12"/>
    </row>
    <row r="1221" spans="1:28" ht="28.5" x14ac:dyDescent="0.2">
      <c r="A1221" s="46">
        <v>182</v>
      </c>
      <c r="B1221" s="46" t="str">
        <f>Source!E382</f>
        <v>84,2</v>
      </c>
      <c r="C1221" s="46" t="str">
        <f>Source!G382</f>
        <v>Выключатели автоматические АВВ 3Р 50А</v>
      </c>
      <c r="D1221" s="46" t="str">
        <f>Source!F382</f>
        <v>62.1.01.09-0070</v>
      </c>
      <c r="E1221" s="31" t="str">
        <f>Source!H382</f>
        <v>шт.</v>
      </c>
      <c r="F1221" s="12">
        <f>Source!I382</f>
        <v>2</v>
      </c>
      <c r="G1221" s="22">
        <f>Source!AB382</f>
        <v>428.4</v>
      </c>
      <c r="H1221" s="22">
        <f>Source!O382</f>
        <v>5620.61</v>
      </c>
      <c r="T1221">
        <f>Source!O382+Source!X382+Source!Y382</f>
        <v>5620.61</v>
      </c>
      <c r="U1221">
        <f>Source!P382</f>
        <v>5620.61</v>
      </c>
      <c r="V1221">
        <f>Source!S382</f>
        <v>0</v>
      </c>
      <c r="W1221">
        <f>Source!Q382</f>
        <v>0</v>
      </c>
      <c r="X1221">
        <f>Source!R382</f>
        <v>0</v>
      </c>
      <c r="Y1221">
        <f>Source!U382</f>
        <v>0</v>
      </c>
      <c r="Z1221">
        <f>Source!V382</f>
        <v>0</v>
      </c>
      <c r="AA1221">
        <f>Source!X382</f>
        <v>0</v>
      </c>
      <c r="AB1221">
        <f>Source!Y382</f>
        <v>0</v>
      </c>
    </row>
    <row r="1222" spans="1:28" ht="14.25" x14ac:dyDescent="0.2">
      <c r="C1222" s="23" t="s">
        <v>1686</v>
      </c>
      <c r="D1222" s="23">
        <f>Source!BC382</f>
        <v>6.56</v>
      </c>
      <c r="F1222" s="12"/>
      <c r="G1222" s="12"/>
      <c r="H1222" s="12"/>
    </row>
    <row r="1223" spans="1:28" ht="42.75" x14ac:dyDescent="0.2">
      <c r="A1223" s="46">
        <v>183</v>
      </c>
      <c r="B1223" s="46" t="str">
        <f>Source!E383</f>
        <v>84,3</v>
      </c>
      <c r="C1223" s="46" t="str">
        <f>Source!G383</f>
        <v>Автоматический выключатель  серии ПРО ВА 04-35 160А с регулировкой ЩР прим. в щитовой</v>
      </c>
      <c r="D1223" s="46" t="str">
        <f>Source!F383</f>
        <v>62.1.01.09-0102</v>
      </c>
      <c r="E1223" s="31" t="str">
        <f>Source!H383</f>
        <v>шт.</v>
      </c>
      <c r="F1223" s="12">
        <f>Source!I383</f>
        <v>1</v>
      </c>
      <c r="G1223" s="22">
        <f>Source!AB383</f>
        <v>1049.99</v>
      </c>
      <c r="H1223" s="22">
        <f>Source!O383</f>
        <v>6887.93</v>
      </c>
      <c r="T1223">
        <f>Source!O383+Source!X383+Source!Y383</f>
        <v>6887.93</v>
      </c>
      <c r="U1223">
        <f>Source!P383</f>
        <v>6887.93</v>
      </c>
      <c r="V1223">
        <f>Source!S383</f>
        <v>0</v>
      </c>
      <c r="W1223">
        <f>Source!Q383</f>
        <v>0</v>
      </c>
      <c r="X1223">
        <f>Source!R383</f>
        <v>0</v>
      </c>
      <c r="Y1223">
        <f>Source!U383</f>
        <v>0</v>
      </c>
      <c r="Z1223">
        <f>Source!V383</f>
        <v>0</v>
      </c>
      <c r="AA1223">
        <f>Source!X383</f>
        <v>0</v>
      </c>
      <c r="AB1223">
        <f>Source!Y383</f>
        <v>0</v>
      </c>
    </row>
    <row r="1224" spans="1:28" ht="14.25" x14ac:dyDescent="0.2">
      <c r="C1224" s="23" t="s">
        <v>1686</v>
      </c>
      <c r="D1224" s="23">
        <f>Source!BC383</f>
        <v>6.56</v>
      </c>
      <c r="F1224" s="12"/>
      <c r="G1224" s="12"/>
      <c r="H1224" s="12"/>
    </row>
    <row r="1225" spans="1:28" ht="57" x14ac:dyDescent="0.2">
      <c r="A1225" s="46">
        <v>184</v>
      </c>
      <c r="B1225" s="46" t="str">
        <f>Source!E384</f>
        <v>85</v>
      </c>
      <c r="C1225" s="46" t="str">
        <f>Source!G384</f>
        <v>Сверление отверстий в кирпичных стенах электроперфоратором диаметром до 20 мм, толщина стен 0,5 кирпича</v>
      </c>
      <c r="D1225" s="46" t="str">
        <f>Source!F384</f>
        <v>69-2-1 прим.</v>
      </c>
      <c r="E1225" s="31" t="str">
        <f>Source!H384</f>
        <v>100 ШТ</v>
      </c>
      <c r="F1225" s="12">
        <f>Source!I384</f>
        <v>7.0000000000000007E-2</v>
      </c>
      <c r="G1225" s="22">
        <f>Source!AB384</f>
        <v>46.83</v>
      </c>
      <c r="H1225" s="22">
        <f>Source!O384</f>
        <v>21.5</v>
      </c>
      <c r="T1225">
        <f>Source!O384+Source!X384+Source!Y384</f>
        <v>49.019999999999996</v>
      </c>
      <c r="U1225">
        <f>Source!P384</f>
        <v>0</v>
      </c>
      <c r="V1225">
        <f>Source!S384</f>
        <v>21.5</v>
      </c>
      <c r="W1225">
        <f>Source!Q384</f>
        <v>0</v>
      </c>
      <c r="X1225">
        <f>Source!R384</f>
        <v>0</v>
      </c>
      <c r="Y1225">
        <f>Source!U384</f>
        <v>0.38430000000000003</v>
      </c>
      <c r="Z1225">
        <f>Source!V384</f>
        <v>0</v>
      </c>
      <c r="AA1225">
        <f>Source!X384</f>
        <v>16.77</v>
      </c>
      <c r="AB1225">
        <f>Source!Y384</f>
        <v>10.75</v>
      </c>
    </row>
    <row r="1226" spans="1:28" ht="14.25" x14ac:dyDescent="0.2">
      <c r="C1226" s="23" t="str">
        <f>"Объем: "&amp;Source!I384&amp;"=7/"&amp;"100"</f>
        <v>Объем: 0,07=7/100</v>
      </c>
      <c r="F1226" s="12"/>
      <c r="G1226" s="12"/>
      <c r="H1226" s="12"/>
    </row>
    <row r="1227" spans="1:28" x14ac:dyDescent="0.2">
      <c r="C1227" s="23" t="s">
        <v>1684</v>
      </c>
      <c r="D1227" s="23">
        <f>Source!BA384</f>
        <v>6.56</v>
      </c>
    </row>
    <row r="1228" spans="1:28" x14ac:dyDescent="0.2">
      <c r="C1228" s="23" t="s">
        <v>1685</v>
      </c>
      <c r="D1228" s="23">
        <f>Source!BB384</f>
        <v>6.56</v>
      </c>
    </row>
    <row r="1229" spans="1:28" x14ac:dyDescent="0.2">
      <c r="C1229" s="23" t="s">
        <v>1686</v>
      </c>
      <c r="D1229" s="23">
        <f>Source!BC384</f>
        <v>6.56</v>
      </c>
    </row>
    <row r="1230" spans="1:28" x14ac:dyDescent="0.2">
      <c r="C1230" s="23" t="s">
        <v>1687</v>
      </c>
      <c r="D1230" s="23">
        <f>Source!BS384</f>
        <v>6.56</v>
      </c>
    </row>
    <row r="1231" spans="1:28" x14ac:dyDescent="0.2">
      <c r="C1231" s="9" t="s">
        <v>1688</v>
      </c>
      <c r="D1231" s="34"/>
      <c r="E1231" s="34"/>
      <c r="F1231" s="34">
        <f>Source!BZ384</f>
        <v>78</v>
      </c>
      <c r="G1231" s="58">
        <f>(Source!AF384+Source!AE384)*Source!FX384/100</f>
        <v>36.5274</v>
      </c>
      <c r="H1231" s="58">
        <f>Source!X384</f>
        <v>16.77</v>
      </c>
    </row>
    <row r="1232" spans="1:28" x14ac:dyDescent="0.2">
      <c r="C1232" s="9" t="s">
        <v>1690</v>
      </c>
      <c r="D1232" s="34"/>
      <c r="E1232" s="34"/>
      <c r="F1232" s="34">
        <f>Source!CA384</f>
        <v>50</v>
      </c>
      <c r="G1232" s="58">
        <f>(Source!AF384+Source!AE384)*Source!FY384/100</f>
        <v>23.414999999999999</v>
      </c>
      <c r="H1232" s="58">
        <f>Source!Y384</f>
        <v>10.75</v>
      </c>
    </row>
    <row r="1233" spans="1:28" x14ac:dyDescent="0.2">
      <c r="C1233" s="9" t="s">
        <v>1692</v>
      </c>
      <c r="D1233" s="34"/>
      <c r="E1233" s="34"/>
      <c r="F1233" s="34"/>
      <c r="G1233" s="58">
        <f>((Source!AF384+Source!AE384)*Source!FX384/100)+((Source!AF384+Source!AE384)*Source!FY384/100)+Source!AB384</f>
        <v>106.7724</v>
      </c>
      <c r="H1233" s="58">
        <f>Source!O384+Source!X384+Source!Y384</f>
        <v>49.019999999999996</v>
      </c>
    </row>
    <row r="1234" spans="1:28" ht="28.5" x14ac:dyDescent="0.2">
      <c r="A1234" s="46">
        <v>185</v>
      </c>
      <c r="B1234" s="46" t="str">
        <f>Source!E385</f>
        <v>86</v>
      </c>
      <c r="C1234" s="46" t="str">
        <f>Source!G385</f>
        <v>Труба полиэтиленовая по основанию пола, диаметр до 50 мм (гильзы) прим.</v>
      </c>
      <c r="D1234" s="46" t="str">
        <f>Source!F385</f>
        <v>м08-02-410-02</v>
      </c>
      <c r="E1234" s="31" t="str">
        <f>Source!H385</f>
        <v>100 м</v>
      </c>
      <c r="F1234" s="12">
        <f>Source!I385</f>
        <v>4.2000000000000003E-2</v>
      </c>
      <c r="G1234" s="22">
        <f>Source!AB385</f>
        <v>250.92</v>
      </c>
      <c r="H1234" s="22">
        <f>Source!O385</f>
        <v>69.13</v>
      </c>
      <c r="T1234">
        <f>Source!O385+Source!X385+Source!Y385</f>
        <v>133.65</v>
      </c>
      <c r="U1234">
        <f>Source!P385</f>
        <v>24.17</v>
      </c>
      <c r="V1234">
        <f>Source!S385</f>
        <v>39.57</v>
      </c>
      <c r="W1234">
        <f>Source!Q385</f>
        <v>5.39</v>
      </c>
      <c r="X1234">
        <f>Source!R385</f>
        <v>0.76</v>
      </c>
      <c r="Y1234">
        <f>Source!U385</f>
        <v>0.64176</v>
      </c>
      <c r="Z1234">
        <f>Source!V385</f>
        <v>9.2399999999999999E-3</v>
      </c>
      <c r="AA1234">
        <f>Source!X385</f>
        <v>38.31</v>
      </c>
      <c r="AB1234">
        <f>Source!Y385</f>
        <v>26.21</v>
      </c>
    </row>
    <row r="1235" spans="1:28" ht="14.25" x14ac:dyDescent="0.2">
      <c r="C1235" s="23" t="str">
        <f>"Объем: "&amp;Source!I385&amp;"=4,2/"&amp;"100"</f>
        <v>Объем: 0,042=4,2/100</v>
      </c>
      <c r="F1235" s="12"/>
      <c r="G1235" s="12"/>
      <c r="H1235" s="12"/>
    </row>
    <row r="1236" spans="1:28" x14ac:dyDescent="0.2">
      <c r="C1236" s="23" t="s">
        <v>1684</v>
      </c>
      <c r="D1236" s="23">
        <f>Source!BA385</f>
        <v>6.56</v>
      </c>
    </row>
    <row r="1237" spans="1:28" x14ac:dyDescent="0.2">
      <c r="C1237" s="23" t="s">
        <v>1685</v>
      </c>
      <c r="D1237" s="23">
        <f>Source!BB385</f>
        <v>6.56</v>
      </c>
    </row>
    <row r="1238" spans="1:28" x14ac:dyDescent="0.2">
      <c r="C1238" s="23" t="s">
        <v>1686</v>
      </c>
      <c r="D1238" s="23">
        <f>Source!BC385</f>
        <v>6.56</v>
      </c>
    </row>
    <row r="1239" spans="1:28" x14ac:dyDescent="0.2">
      <c r="C1239" s="23" t="s">
        <v>1687</v>
      </c>
      <c r="D1239" s="23">
        <f>Source!BS385</f>
        <v>6.56</v>
      </c>
    </row>
    <row r="1240" spans="1:28" x14ac:dyDescent="0.2">
      <c r="C1240" s="9" t="s">
        <v>1688</v>
      </c>
      <c r="D1240" s="34"/>
      <c r="E1240" s="34"/>
      <c r="F1240" s="34">
        <f>Source!BZ385</f>
        <v>95</v>
      </c>
      <c r="G1240" s="58">
        <f>(Source!AF385+Source!AE385)*Source!FX385/100</f>
        <v>139.08000000000001</v>
      </c>
      <c r="H1240" s="58">
        <f>Source!X385</f>
        <v>38.31</v>
      </c>
    </row>
    <row r="1241" spans="1:28" x14ac:dyDescent="0.2">
      <c r="C1241" s="9" t="s">
        <v>1690</v>
      </c>
      <c r="D1241" s="34"/>
      <c r="E1241" s="34"/>
      <c r="F1241" s="34">
        <f>Source!CA385</f>
        <v>65</v>
      </c>
      <c r="G1241" s="58">
        <f>(Source!AF385+Source!AE385)*Source!FY385/100</f>
        <v>95.16</v>
      </c>
      <c r="H1241" s="58">
        <f>Source!Y385</f>
        <v>26.21</v>
      </c>
    </row>
    <row r="1242" spans="1:28" x14ac:dyDescent="0.2">
      <c r="C1242" s="9" t="s">
        <v>1692</v>
      </c>
      <c r="D1242" s="34"/>
      <c r="E1242" s="34"/>
      <c r="F1242" s="34"/>
      <c r="G1242" s="58">
        <f>((Source!AF385+Source!AE385)*Source!FX385/100)+((Source!AF385+Source!AE385)*Source!FY385/100)+Source!AB385</f>
        <v>485.15999999999997</v>
      </c>
      <c r="H1242" s="58">
        <f>Source!O385+Source!X385+Source!Y385</f>
        <v>133.65</v>
      </c>
    </row>
    <row r="1243" spans="1:28" ht="42.75" x14ac:dyDescent="0.2">
      <c r="A1243" s="46">
        <v>186</v>
      </c>
      <c r="B1243" s="46" t="str">
        <f>Source!E386</f>
        <v>86,1</v>
      </c>
      <c r="C1243" s="46" t="str">
        <f>Source!G386</f>
        <v>Трубы жесткие гладкие легкие из самозатухающего ПВХ (IP55) серии RIG, диаметром 32 мм</v>
      </c>
      <c r="D1243" s="46" t="str">
        <f>Source!F386</f>
        <v>24.3.01.03-0014</v>
      </c>
      <c r="E1243" s="31" t="str">
        <f>Source!H386</f>
        <v>10 м</v>
      </c>
      <c r="F1243" s="12">
        <f>Source!I386</f>
        <v>0.41999999999999993</v>
      </c>
      <c r="G1243" s="22">
        <f>Source!AB386</f>
        <v>79.47</v>
      </c>
      <c r="H1243" s="22">
        <f>Source!O386</f>
        <v>218.96</v>
      </c>
      <c r="T1243">
        <f>Source!O386+Source!X386+Source!Y386</f>
        <v>218.96</v>
      </c>
      <c r="U1243">
        <f>Source!P386</f>
        <v>218.96</v>
      </c>
      <c r="V1243">
        <f>Source!S386</f>
        <v>0</v>
      </c>
      <c r="W1243">
        <f>Source!Q386</f>
        <v>0</v>
      </c>
      <c r="X1243">
        <f>Source!R386</f>
        <v>0</v>
      </c>
      <c r="Y1243">
        <f>Source!U386</f>
        <v>0</v>
      </c>
      <c r="Z1243">
        <f>Source!V386</f>
        <v>0</v>
      </c>
      <c r="AA1243">
        <f>Source!X386</f>
        <v>0</v>
      </c>
      <c r="AB1243">
        <f>Source!Y386</f>
        <v>0</v>
      </c>
    </row>
    <row r="1244" spans="1:28" ht="14.25" x14ac:dyDescent="0.2">
      <c r="C1244" s="23" t="s">
        <v>1686</v>
      </c>
      <c r="D1244" s="23">
        <f>Source!BC386</f>
        <v>6.56</v>
      </c>
      <c r="F1244" s="12"/>
      <c r="G1244" s="12"/>
      <c r="H1244" s="12"/>
    </row>
    <row r="1245" spans="1:28" ht="57" x14ac:dyDescent="0.2">
      <c r="A1245" s="46">
        <v>187</v>
      </c>
      <c r="B1245" s="46" t="str">
        <f>Source!E387</f>
        <v>87</v>
      </c>
      <c r="C1245" s="46" t="str">
        <f>Source!G387</f>
        <v>Заделка концевая в резиновой перчатке для 3-5-жильного кабеля напряжением до 1 кВ, сечение одной жилы до 35 мм2</v>
      </c>
      <c r="D1245" s="46" t="str">
        <f>Source!F387</f>
        <v>м08-02-159-01</v>
      </c>
      <c r="E1245" s="31" t="str">
        <f>Source!H387</f>
        <v>ШТ</v>
      </c>
      <c r="F1245" s="12">
        <f>Source!I387</f>
        <v>4</v>
      </c>
      <c r="G1245" s="22">
        <f>Source!AB387</f>
        <v>21.35</v>
      </c>
      <c r="H1245" s="22">
        <f>Source!O387</f>
        <v>560.23</v>
      </c>
      <c r="T1245">
        <f>Source!O387+Source!X387+Source!Y387</f>
        <v>1238.6999999999998</v>
      </c>
      <c r="U1245">
        <f>Source!P387</f>
        <v>136.19</v>
      </c>
      <c r="V1245">
        <f>Source!S387</f>
        <v>424.04</v>
      </c>
      <c r="W1245">
        <f>Source!Q387</f>
        <v>0</v>
      </c>
      <c r="X1245">
        <f>Source!R387</f>
        <v>0</v>
      </c>
      <c r="Y1245">
        <f>Source!U387</f>
        <v>6.72</v>
      </c>
      <c r="Z1245">
        <f>Source!V387</f>
        <v>0</v>
      </c>
      <c r="AA1245">
        <f>Source!X387</f>
        <v>402.84</v>
      </c>
      <c r="AB1245">
        <f>Source!Y387</f>
        <v>275.63</v>
      </c>
    </row>
    <row r="1246" spans="1:28" ht="14.25" x14ac:dyDescent="0.2">
      <c r="C1246" s="23" t="s">
        <v>1684</v>
      </c>
      <c r="D1246" s="23">
        <f>Source!BA387</f>
        <v>6.56</v>
      </c>
      <c r="F1246" s="12"/>
      <c r="G1246" s="12"/>
      <c r="H1246" s="12"/>
    </row>
    <row r="1247" spans="1:28" x14ac:dyDescent="0.2">
      <c r="C1247" s="23" t="s">
        <v>1685</v>
      </c>
      <c r="D1247" s="23">
        <f>Source!BB387</f>
        <v>6.56</v>
      </c>
    </row>
    <row r="1248" spans="1:28" x14ac:dyDescent="0.2">
      <c r="C1248" s="23" t="s">
        <v>1686</v>
      </c>
      <c r="D1248" s="23">
        <f>Source!BC387</f>
        <v>6.56</v>
      </c>
    </row>
    <row r="1249" spans="1:28" x14ac:dyDescent="0.2">
      <c r="C1249" s="23" t="s">
        <v>1687</v>
      </c>
      <c r="D1249" s="23">
        <f>Source!BS387</f>
        <v>6.56</v>
      </c>
    </row>
    <row r="1250" spans="1:28" x14ac:dyDescent="0.2">
      <c r="C1250" s="9" t="s">
        <v>1688</v>
      </c>
      <c r="D1250" s="34"/>
      <c r="E1250" s="34"/>
      <c r="F1250" s="34">
        <f>Source!BZ387</f>
        <v>95</v>
      </c>
      <c r="G1250" s="58">
        <f>(Source!AF387+Source!AE387)*Source!FX387/100</f>
        <v>15.352</v>
      </c>
      <c r="H1250" s="58">
        <f>Source!X387</f>
        <v>402.84</v>
      </c>
    </row>
    <row r="1251" spans="1:28" x14ac:dyDescent="0.2">
      <c r="C1251" s="9" t="s">
        <v>1690</v>
      </c>
      <c r="D1251" s="34"/>
      <c r="E1251" s="34"/>
      <c r="F1251" s="34">
        <f>Source!CA387</f>
        <v>65</v>
      </c>
      <c r="G1251" s="58">
        <f>(Source!AF387+Source!AE387)*Source!FY387/100</f>
        <v>10.504000000000001</v>
      </c>
      <c r="H1251" s="58">
        <f>Source!Y387</f>
        <v>275.63</v>
      </c>
    </row>
    <row r="1252" spans="1:28" x14ac:dyDescent="0.2">
      <c r="C1252" s="9" t="s">
        <v>1692</v>
      </c>
      <c r="D1252" s="34"/>
      <c r="E1252" s="34"/>
      <c r="F1252" s="34"/>
      <c r="G1252" s="58">
        <f>((Source!AF387+Source!AE387)*Source!FX387/100)+((Source!AF387+Source!AE387)*Source!FY387/100)+Source!AB387</f>
        <v>47.206000000000003</v>
      </c>
      <c r="H1252" s="58">
        <f>Source!O387+Source!X387+Source!Y387</f>
        <v>1238.6999999999998</v>
      </c>
    </row>
    <row r="1253" spans="1:28" ht="28.5" x14ac:dyDescent="0.2">
      <c r="A1253" s="46">
        <v>188</v>
      </c>
      <c r="B1253" s="46" t="str">
        <f>Source!E388</f>
        <v>87,1</v>
      </c>
      <c r="C1253" s="46" t="str">
        <f>Source!G388</f>
        <v>Перчатка термоусаживаемая</v>
      </c>
      <c r="D1253" s="46" t="str">
        <f>Source!F388</f>
        <v>20.2.02.07-0021</v>
      </c>
      <c r="E1253" s="31" t="str">
        <f>Source!H388</f>
        <v>шт.</v>
      </c>
      <c r="F1253" s="12">
        <f>Source!I388</f>
        <v>4</v>
      </c>
      <c r="G1253" s="22">
        <f>Source!AB388</f>
        <v>38</v>
      </c>
      <c r="H1253" s="22">
        <f>Source!O388</f>
        <v>997.12</v>
      </c>
      <c r="T1253">
        <f>Source!O388+Source!X388+Source!Y388</f>
        <v>997.12</v>
      </c>
      <c r="U1253">
        <f>Source!P388</f>
        <v>997.12</v>
      </c>
      <c r="V1253">
        <f>Source!S388</f>
        <v>0</v>
      </c>
      <c r="W1253">
        <f>Source!Q388</f>
        <v>0</v>
      </c>
      <c r="X1253">
        <f>Source!R388</f>
        <v>0</v>
      </c>
      <c r="Y1253">
        <f>Source!U388</f>
        <v>0</v>
      </c>
      <c r="Z1253">
        <f>Source!V388</f>
        <v>0</v>
      </c>
      <c r="AA1253">
        <f>Source!X388</f>
        <v>0</v>
      </c>
      <c r="AB1253">
        <f>Source!Y388</f>
        <v>0</v>
      </c>
    </row>
    <row r="1254" spans="1:28" ht="14.25" x14ac:dyDescent="0.2">
      <c r="C1254" s="23" t="s">
        <v>1686</v>
      </c>
      <c r="D1254" s="23">
        <f>Source!BC388</f>
        <v>6.56</v>
      </c>
      <c r="F1254" s="12"/>
      <c r="G1254" s="12"/>
      <c r="H1254" s="12"/>
    </row>
    <row r="1256" spans="1:28" ht="15" x14ac:dyDescent="0.25">
      <c r="A1256" s="59"/>
      <c r="B1256" s="59"/>
      <c r="C1256" s="74" t="str">
        <f>CONCATENATE("Итого по подразделу: ",IF(Source!G390&lt;&gt;"Новый подраздел", Source!G390, ""))</f>
        <v>Итого по подразделу: 3 Монтаж силовой части</v>
      </c>
      <c r="D1256" s="74"/>
      <c r="E1256" s="74"/>
      <c r="F1256" s="74"/>
      <c r="G1256" s="59"/>
      <c r="H1256" s="60">
        <f>IF(SUM(T1073:T1255)=0, "-", SUM(T1073:T1255))</f>
        <v>306845.85000000003</v>
      </c>
    </row>
    <row r="1257" spans="1:28" ht="15" x14ac:dyDescent="0.25">
      <c r="A1257" s="59"/>
      <c r="B1257" s="59"/>
      <c r="C1257" s="59"/>
      <c r="D1257" s="59"/>
      <c r="E1257" s="59"/>
      <c r="F1257" s="59"/>
      <c r="G1257" s="59"/>
      <c r="H1257" s="59"/>
    </row>
    <row r="1260" spans="1:28" ht="15" x14ac:dyDescent="0.25">
      <c r="A1260" s="59"/>
      <c r="B1260" s="59"/>
      <c r="C1260" s="74" t="str">
        <f>CONCATENATE("Итого по разделу: ",IF(Source!G419&lt;&gt;"Новый раздел", Source!G419, ""))</f>
        <v>Итого по разделу: 2 Электромонтажные работы</v>
      </c>
      <c r="D1260" s="74"/>
      <c r="E1260" s="74"/>
      <c r="F1260" s="74"/>
      <c r="G1260" s="59"/>
      <c r="H1260" s="60">
        <f>IF(SUM(T864:T1259)=0, "-", SUM(T864:T1259))</f>
        <v>489067.39</v>
      </c>
    </row>
    <row r="1261" spans="1:28" ht="15" x14ac:dyDescent="0.25">
      <c r="A1261" s="59"/>
      <c r="B1261" s="59"/>
      <c r="C1261" s="59"/>
      <c r="D1261" s="59"/>
      <c r="E1261" s="59"/>
      <c r="F1261" s="59"/>
      <c r="G1261" s="59"/>
      <c r="H1261" s="59"/>
    </row>
    <row r="1264" spans="1:28" ht="16.5" x14ac:dyDescent="0.25">
      <c r="A1264" s="75" t="str">
        <f>CONCATENATE("Раздел: ",IF(Source!G448&lt;&gt;"Новый раздел", Source!G448, ""))</f>
        <v>Раздел: 3 Пусконаладочные работы</v>
      </c>
      <c r="B1264" s="75"/>
      <c r="C1264" s="75"/>
      <c r="D1264" s="75"/>
      <c r="E1264" s="75"/>
      <c r="F1264" s="75"/>
      <c r="G1264" s="75"/>
      <c r="H1264" s="75"/>
    </row>
    <row r="1265" spans="1:28" ht="114" x14ac:dyDescent="0.2">
      <c r="A1265" s="46">
        <v>189</v>
      </c>
      <c r="B1265" s="46" t="str">
        <f>Source!E452</f>
        <v>88</v>
      </c>
      <c r="C1265" s="46" t="str">
        <f>Source!G452</f>
        <v>Измерение сопротивления изоляции (на линию) мегаомметром кабельных и других линий напряжением до 1 кВ, предназначенных для передачи электроэнергии к распределительным устройствам, щитам, шкафам, коммутационным аппаратам и электропотребителям</v>
      </c>
      <c r="D1265" s="46" t="str">
        <f>Source!F452</f>
        <v>п01-11-028-01</v>
      </c>
      <c r="E1265" s="31" t="str">
        <f>Source!H452</f>
        <v>ШТ</v>
      </c>
      <c r="F1265" s="12">
        <f>Source!I452</f>
        <v>49</v>
      </c>
      <c r="G1265" s="22">
        <f>Source!AB452</f>
        <v>3.28</v>
      </c>
      <c r="H1265" s="22">
        <f>Source!O452</f>
        <v>3044.04</v>
      </c>
      <c r="T1265">
        <f>Source!O452+Source!X452+Source!Y452</f>
        <v>6240.29</v>
      </c>
      <c r="U1265">
        <f>Source!P452</f>
        <v>0</v>
      </c>
      <c r="V1265">
        <f>Source!S452</f>
        <v>3044.04</v>
      </c>
      <c r="W1265">
        <f>Source!Q452</f>
        <v>0</v>
      </c>
      <c r="X1265">
        <f>Source!R452</f>
        <v>0</v>
      </c>
      <c r="Y1265">
        <f>Source!U452</f>
        <v>12.544</v>
      </c>
      <c r="Z1265">
        <f>Source!V452</f>
        <v>0</v>
      </c>
      <c r="AA1265">
        <f>Source!X452</f>
        <v>1978.63</v>
      </c>
      <c r="AB1265">
        <f>Source!Y452</f>
        <v>1217.6199999999999</v>
      </c>
    </row>
    <row r="1266" spans="1:28" ht="14.25" x14ac:dyDescent="0.2">
      <c r="C1266" s="23" t="s">
        <v>1684</v>
      </c>
      <c r="D1266" s="23">
        <f>Source!BA452</f>
        <v>18.940000000000001</v>
      </c>
      <c r="F1266" s="12"/>
      <c r="G1266" s="12"/>
      <c r="H1266" s="12"/>
    </row>
    <row r="1267" spans="1:28" x14ac:dyDescent="0.2">
      <c r="C1267" s="23" t="s">
        <v>1696</v>
      </c>
      <c r="D1267" s="89" t="s">
        <v>829</v>
      </c>
      <c r="E1267" s="89"/>
      <c r="F1267" s="89"/>
      <c r="G1267" s="89"/>
      <c r="H1267" s="89"/>
    </row>
    <row r="1268" spans="1:28" x14ac:dyDescent="0.2">
      <c r="C1268" s="23" t="s">
        <v>1697</v>
      </c>
      <c r="D1268" s="89" t="s">
        <v>829</v>
      </c>
      <c r="E1268" s="89"/>
      <c r="F1268" s="89"/>
      <c r="G1268" s="89"/>
      <c r="H1268" s="89"/>
    </row>
    <row r="1269" spans="1:28" x14ac:dyDescent="0.2">
      <c r="C1269" s="9" t="s">
        <v>1688</v>
      </c>
      <c r="D1269" s="34"/>
      <c r="E1269" s="34"/>
      <c r="F1269" s="34">
        <f>Source!BZ452</f>
        <v>65</v>
      </c>
      <c r="G1269" s="58">
        <f>(Source!AF452+Source!AE452)*Source!FX452/100</f>
        <v>2.1319999999999997</v>
      </c>
      <c r="H1269" s="58">
        <f>Source!X452</f>
        <v>1978.63</v>
      </c>
    </row>
    <row r="1270" spans="1:28" x14ac:dyDescent="0.2">
      <c r="C1270" s="9" t="s">
        <v>1690</v>
      </c>
      <c r="D1270" s="34"/>
      <c r="E1270" s="34"/>
      <c r="F1270" s="34">
        <f>Source!CA452</f>
        <v>40</v>
      </c>
      <c r="G1270" s="58">
        <f>(Source!AF452+Source!AE452)*Source!FY452/100</f>
        <v>1.3119999999999998</v>
      </c>
      <c r="H1270" s="58">
        <f>Source!Y452</f>
        <v>1217.6199999999999</v>
      </c>
    </row>
    <row r="1271" spans="1:28" x14ac:dyDescent="0.2">
      <c r="C1271" s="9" t="s">
        <v>1692</v>
      </c>
      <c r="D1271" s="34"/>
      <c r="E1271" s="34"/>
      <c r="F1271" s="34"/>
      <c r="G1271" s="58">
        <f>((Source!AF452+Source!AE452)*Source!FX452/100)+((Source!AF452+Source!AE452)*Source!FY452/100)+Source!AB452</f>
        <v>6.7239999999999993</v>
      </c>
      <c r="H1271" s="58">
        <f>Source!O452+Source!X452+Source!Y452</f>
        <v>6240.29</v>
      </c>
    </row>
    <row r="1272" spans="1:28" ht="28.5" x14ac:dyDescent="0.2">
      <c r="A1272" s="46">
        <v>190</v>
      </c>
      <c r="B1272" s="46" t="str">
        <f>Source!E453</f>
        <v>89</v>
      </c>
      <c r="C1272" s="46" t="str">
        <f>Source!G453</f>
        <v>Замер полного сопротивления цепи "фаза-нуль"</v>
      </c>
      <c r="D1272" s="46" t="str">
        <f>Source!F453</f>
        <v>п01-11-013-01</v>
      </c>
      <c r="E1272" s="31" t="str">
        <f>Source!H453</f>
        <v>ШТ</v>
      </c>
      <c r="F1272" s="12">
        <f>Source!I453</f>
        <v>113</v>
      </c>
      <c r="G1272" s="22">
        <f>Source!AB453</f>
        <v>12.5</v>
      </c>
      <c r="H1272" s="22">
        <f>Source!O453</f>
        <v>26752.75</v>
      </c>
      <c r="T1272">
        <f>Source!O453+Source!X453+Source!Y453</f>
        <v>54843.14</v>
      </c>
      <c r="U1272">
        <f>Source!P453</f>
        <v>0</v>
      </c>
      <c r="V1272">
        <f>Source!S453</f>
        <v>26752.75</v>
      </c>
      <c r="W1272">
        <f>Source!Q453</f>
        <v>0</v>
      </c>
      <c r="X1272">
        <f>Source!R453</f>
        <v>0</v>
      </c>
      <c r="Y1272">
        <f>Source!U453</f>
        <v>110.288</v>
      </c>
      <c r="Z1272">
        <f>Source!V453</f>
        <v>0</v>
      </c>
      <c r="AA1272">
        <f>Source!X453</f>
        <v>17389.29</v>
      </c>
      <c r="AB1272">
        <f>Source!Y453</f>
        <v>10701.1</v>
      </c>
    </row>
    <row r="1273" spans="1:28" ht="14.25" x14ac:dyDescent="0.2">
      <c r="C1273" s="23" t="s">
        <v>1684</v>
      </c>
      <c r="D1273" s="23">
        <f>Source!BA453</f>
        <v>18.940000000000001</v>
      </c>
      <c r="F1273" s="12"/>
      <c r="G1273" s="12"/>
      <c r="H1273" s="12"/>
    </row>
    <row r="1274" spans="1:28" x14ac:dyDescent="0.2">
      <c r="C1274" s="23" t="s">
        <v>1696</v>
      </c>
      <c r="D1274" s="89" t="s">
        <v>829</v>
      </c>
      <c r="E1274" s="89"/>
      <c r="F1274" s="89"/>
      <c r="G1274" s="89"/>
      <c r="H1274" s="89"/>
    </row>
    <row r="1275" spans="1:28" x14ac:dyDescent="0.2">
      <c r="C1275" s="23" t="s">
        <v>1697</v>
      </c>
      <c r="D1275" s="89" t="s">
        <v>829</v>
      </c>
      <c r="E1275" s="89"/>
      <c r="F1275" s="89"/>
      <c r="G1275" s="89"/>
      <c r="H1275" s="89"/>
    </row>
    <row r="1276" spans="1:28" x14ac:dyDescent="0.2">
      <c r="C1276" s="9" t="s">
        <v>1688</v>
      </c>
      <c r="D1276" s="34"/>
      <c r="E1276" s="34"/>
      <c r="F1276" s="34">
        <f>Source!BZ453</f>
        <v>65</v>
      </c>
      <c r="G1276" s="58">
        <f>(Source!AF453+Source!AE453)*Source!FX453/100</f>
        <v>8.125</v>
      </c>
      <c r="H1276" s="58">
        <f>Source!X453</f>
        <v>17389.29</v>
      </c>
    </row>
    <row r="1277" spans="1:28" x14ac:dyDescent="0.2">
      <c r="C1277" s="9" t="s">
        <v>1690</v>
      </c>
      <c r="D1277" s="34"/>
      <c r="E1277" s="34"/>
      <c r="F1277" s="34">
        <f>Source!CA453</f>
        <v>40</v>
      </c>
      <c r="G1277" s="58">
        <f>(Source!AF453+Source!AE453)*Source!FY453/100</f>
        <v>5</v>
      </c>
      <c r="H1277" s="58">
        <f>Source!Y453</f>
        <v>10701.1</v>
      </c>
    </row>
    <row r="1278" spans="1:28" x14ac:dyDescent="0.2">
      <c r="C1278" s="9" t="s">
        <v>1692</v>
      </c>
      <c r="D1278" s="34"/>
      <c r="E1278" s="34"/>
      <c r="F1278" s="34"/>
      <c r="G1278" s="58">
        <f>((Source!AF453+Source!AE453)*Source!FX453/100)+((Source!AF453+Source!AE453)*Source!FY453/100)+Source!AB453</f>
        <v>25.625</v>
      </c>
      <c r="H1278" s="58">
        <f>Source!O453+Source!X453+Source!Y453</f>
        <v>54843.14</v>
      </c>
    </row>
    <row r="1279" spans="1:28" ht="42.75" x14ac:dyDescent="0.2">
      <c r="A1279" s="46">
        <v>191</v>
      </c>
      <c r="B1279" s="46" t="str">
        <f>Source!E454</f>
        <v>90</v>
      </c>
      <c r="C1279" s="46" t="str">
        <f>Source!G454</f>
        <v>Проверка наличия цепи между заземлителями и заземленными элементами</v>
      </c>
      <c r="D1279" s="46" t="str">
        <f>Source!F454</f>
        <v>п01-11-011-01</v>
      </c>
      <c r="E1279" s="31" t="str">
        <f>Source!H454</f>
        <v>100 измерений</v>
      </c>
      <c r="F1279" s="12">
        <f>Source!I454</f>
        <v>0.05</v>
      </c>
      <c r="G1279" s="22">
        <f>Source!AB454</f>
        <v>132.76</v>
      </c>
      <c r="H1279" s="22">
        <f>Source!O454</f>
        <v>125.72</v>
      </c>
      <c r="T1279">
        <f>Source!O454+Source!X454+Source!Y454</f>
        <v>257.73</v>
      </c>
      <c r="U1279">
        <f>Source!P454</f>
        <v>0</v>
      </c>
      <c r="V1279">
        <f>Source!S454</f>
        <v>125.72</v>
      </c>
      <c r="W1279">
        <f>Source!Q454</f>
        <v>0</v>
      </c>
      <c r="X1279">
        <f>Source!R454</f>
        <v>0</v>
      </c>
      <c r="Y1279">
        <f>Source!U454</f>
        <v>0.51840000000000008</v>
      </c>
      <c r="Z1279">
        <f>Source!V454</f>
        <v>0</v>
      </c>
      <c r="AA1279">
        <f>Source!X454</f>
        <v>81.72</v>
      </c>
      <c r="AB1279">
        <f>Source!Y454</f>
        <v>50.29</v>
      </c>
    </row>
    <row r="1280" spans="1:28" ht="14.25" x14ac:dyDescent="0.2">
      <c r="C1280" s="23" t="str">
        <f>"Объем: "&amp;Source!I454&amp;"=5/"&amp;"100"</f>
        <v>Объем: 0,05=5/100</v>
      </c>
      <c r="F1280" s="12"/>
      <c r="G1280" s="12"/>
      <c r="H1280" s="12"/>
    </row>
    <row r="1281" spans="1:28" x14ac:dyDescent="0.2">
      <c r="C1281" s="23" t="s">
        <v>1684</v>
      </c>
      <c r="D1281" s="23">
        <f>Source!BA454</f>
        <v>18.940000000000001</v>
      </c>
    </row>
    <row r="1282" spans="1:28" x14ac:dyDescent="0.2">
      <c r="C1282" s="23" t="s">
        <v>1696</v>
      </c>
      <c r="D1282" s="89" t="s">
        <v>829</v>
      </c>
      <c r="E1282" s="89"/>
      <c r="F1282" s="89"/>
      <c r="G1282" s="89"/>
      <c r="H1282" s="89"/>
    </row>
    <row r="1283" spans="1:28" x14ac:dyDescent="0.2">
      <c r="C1283" s="23" t="s">
        <v>1697</v>
      </c>
      <c r="D1283" s="89" t="s">
        <v>829</v>
      </c>
      <c r="E1283" s="89"/>
      <c r="F1283" s="89"/>
      <c r="G1283" s="89"/>
      <c r="H1283" s="89"/>
    </row>
    <row r="1284" spans="1:28" x14ac:dyDescent="0.2">
      <c r="C1284" s="9" t="s">
        <v>1688</v>
      </c>
      <c r="D1284" s="34"/>
      <c r="E1284" s="34"/>
      <c r="F1284" s="34">
        <f>Source!BZ454</f>
        <v>65</v>
      </c>
      <c r="G1284" s="58">
        <f>(Source!AF454+Source!AE454)*Source!FX454/100</f>
        <v>86.293999999999997</v>
      </c>
      <c r="H1284" s="58">
        <f>Source!X454</f>
        <v>81.72</v>
      </c>
    </row>
    <row r="1285" spans="1:28" x14ac:dyDescent="0.2">
      <c r="C1285" s="9" t="s">
        <v>1690</v>
      </c>
      <c r="D1285" s="34"/>
      <c r="E1285" s="34"/>
      <c r="F1285" s="34">
        <f>Source!CA454</f>
        <v>40</v>
      </c>
      <c r="G1285" s="58">
        <f>(Source!AF454+Source!AE454)*Source!FY454/100</f>
        <v>53.103999999999999</v>
      </c>
      <c r="H1285" s="58">
        <f>Source!Y454</f>
        <v>50.29</v>
      </c>
    </row>
    <row r="1286" spans="1:28" x14ac:dyDescent="0.2">
      <c r="C1286" s="9" t="s">
        <v>1692</v>
      </c>
      <c r="D1286" s="34"/>
      <c r="E1286" s="34"/>
      <c r="F1286" s="34"/>
      <c r="G1286" s="58">
        <f>((Source!AF454+Source!AE454)*Source!FX454/100)+((Source!AF454+Source!AE454)*Source!FY454/100)+Source!AB454</f>
        <v>272.15800000000002</v>
      </c>
      <c r="H1286" s="58">
        <f>Source!O454+Source!X454+Source!Y454</f>
        <v>257.73</v>
      </c>
    </row>
    <row r="1287" spans="1:28" ht="42.75" x14ac:dyDescent="0.2">
      <c r="A1287" s="46">
        <v>192</v>
      </c>
      <c r="B1287" s="46" t="str">
        <f>Source!E455</f>
        <v>91</v>
      </c>
      <c r="C1287" s="46" t="str">
        <f>Source!G455</f>
        <v>Испытание аппарата коммутационного напряжением до 1 кВ (силовых цепей) (автоматы)</v>
      </c>
      <c r="D1287" s="46" t="str">
        <f>Source!F455</f>
        <v>п01-12-021-01</v>
      </c>
      <c r="E1287" s="31" t="str">
        <f>Source!H455</f>
        <v>испытание</v>
      </c>
      <c r="F1287" s="12">
        <f>Source!I455</f>
        <v>46</v>
      </c>
      <c r="G1287" s="22">
        <f>Source!AB455</f>
        <v>15.7</v>
      </c>
      <c r="H1287" s="22">
        <f>Source!O455</f>
        <v>13678.47</v>
      </c>
      <c r="T1287">
        <f>Source!O455+Source!X455+Source!Y455</f>
        <v>28040.87</v>
      </c>
      <c r="U1287">
        <f>Source!P455</f>
        <v>0</v>
      </c>
      <c r="V1287">
        <f>Source!S455</f>
        <v>13678.47</v>
      </c>
      <c r="W1287">
        <f>Source!Q455</f>
        <v>0</v>
      </c>
      <c r="X1287">
        <f>Source!R455</f>
        <v>0</v>
      </c>
      <c r="Y1287">
        <f>Source!U455</f>
        <v>59.616000000000014</v>
      </c>
      <c r="Z1287">
        <f>Source!V455</f>
        <v>0</v>
      </c>
      <c r="AA1287">
        <f>Source!X455</f>
        <v>8891.01</v>
      </c>
      <c r="AB1287">
        <f>Source!Y455</f>
        <v>5471.39</v>
      </c>
    </row>
    <row r="1288" spans="1:28" ht="14.25" x14ac:dyDescent="0.2">
      <c r="C1288" s="23" t="s">
        <v>1684</v>
      </c>
      <c r="D1288" s="23">
        <f>Source!BA455</f>
        <v>18.940000000000001</v>
      </c>
      <c r="F1288" s="12"/>
      <c r="G1288" s="12"/>
      <c r="H1288" s="12"/>
    </row>
    <row r="1289" spans="1:28" x14ac:dyDescent="0.2">
      <c r="C1289" s="23" t="s">
        <v>1696</v>
      </c>
      <c r="D1289" s="89" t="s">
        <v>829</v>
      </c>
      <c r="E1289" s="89"/>
      <c r="F1289" s="89"/>
      <c r="G1289" s="89"/>
      <c r="H1289" s="89"/>
    </row>
    <row r="1290" spans="1:28" x14ac:dyDescent="0.2">
      <c r="C1290" s="23" t="s">
        <v>1697</v>
      </c>
      <c r="D1290" s="89" t="s">
        <v>829</v>
      </c>
      <c r="E1290" s="89"/>
      <c r="F1290" s="89"/>
      <c r="G1290" s="89"/>
      <c r="H1290" s="89"/>
    </row>
    <row r="1291" spans="1:28" x14ac:dyDescent="0.2">
      <c r="C1291" s="9" t="s">
        <v>1688</v>
      </c>
      <c r="D1291" s="34"/>
      <c r="E1291" s="34"/>
      <c r="F1291" s="34">
        <f>Source!BZ455</f>
        <v>65</v>
      </c>
      <c r="G1291" s="58">
        <f>(Source!AF455+Source!AE455)*Source!FX455/100</f>
        <v>10.205</v>
      </c>
      <c r="H1291" s="58">
        <f>Source!X455</f>
        <v>8891.01</v>
      </c>
    </row>
    <row r="1292" spans="1:28" x14ac:dyDescent="0.2">
      <c r="C1292" s="9" t="s">
        <v>1690</v>
      </c>
      <c r="D1292" s="34"/>
      <c r="E1292" s="34"/>
      <c r="F1292" s="34">
        <f>Source!CA455</f>
        <v>40</v>
      </c>
      <c r="G1292" s="58">
        <f>(Source!AF455+Source!AE455)*Source!FY455/100</f>
        <v>6.28</v>
      </c>
      <c r="H1292" s="58">
        <f>Source!Y455</f>
        <v>5471.39</v>
      </c>
    </row>
    <row r="1293" spans="1:28" x14ac:dyDescent="0.2">
      <c r="C1293" s="9" t="s">
        <v>1692</v>
      </c>
      <c r="D1293" s="34"/>
      <c r="E1293" s="34"/>
      <c r="F1293" s="34"/>
      <c r="G1293" s="58">
        <f>((Source!AF455+Source!AE455)*Source!FX455/100)+((Source!AF455+Source!AE455)*Source!FY455/100)+Source!AB455</f>
        <v>32.185000000000002</v>
      </c>
      <c r="H1293" s="58">
        <f>Source!O455+Source!X455+Source!Y455</f>
        <v>28040.87</v>
      </c>
    </row>
    <row r="1295" spans="1:28" ht="15" x14ac:dyDescent="0.25">
      <c r="A1295" s="59"/>
      <c r="B1295" s="59"/>
      <c r="C1295" s="74" t="str">
        <f>CONCATENATE("Итого по разделу: ",IF(Source!G457&lt;&gt;"Новый раздел", Source!G457, ""))</f>
        <v>Итого по разделу: 3 Пусконаладочные работы</v>
      </c>
      <c r="D1295" s="74"/>
      <c r="E1295" s="74"/>
      <c r="F1295" s="74"/>
      <c r="G1295" s="59"/>
      <c r="H1295" s="60">
        <f>IF(SUM(T1264:T1294)=0, "-", SUM(T1264:T1294))</f>
        <v>89382.03</v>
      </c>
    </row>
    <row r="1296" spans="1:28" ht="15" x14ac:dyDescent="0.25">
      <c r="A1296" s="59"/>
      <c r="B1296" s="59"/>
      <c r="C1296" s="59"/>
      <c r="D1296" s="59"/>
      <c r="E1296" s="59"/>
      <c r="F1296" s="59"/>
      <c r="G1296" s="59"/>
      <c r="H1296" s="59"/>
    </row>
    <row r="1299" spans="1:28" ht="16.5" x14ac:dyDescent="0.25">
      <c r="A1299" s="75" t="str">
        <f>CONCATENATE("Раздел: ",IF(Source!G486&lt;&gt;"Новый раздел", Source!G486, ""))</f>
        <v>Раздел: 4 Пожарная сигнализация</v>
      </c>
      <c r="B1299" s="75"/>
      <c r="C1299" s="75"/>
      <c r="D1299" s="75"/>
      <c r="E1299" s="75"/>
      <c r="F1299" s="75"/>
      <c r="G1299" s="75"/>
      <c r="H1299" s="75"/>
    </row>
    <row r="1300" spans="1:28" ht="57" x14ac:dyDescent="0.2">
      <c r="A1300" s="46">
        <v>193</v>
      </c>
      <c r="B1300" s="46" t="str">
        <f>Source!E490</f>
        <v>92</v>
      </c>
      <c r="C1300" s="46" t="str">
        <f>Source!G490</f>
        <v>Извещатель ПС автоматический дымовой, фотоэлектрический, радиоизотопный, световой в нормальном исполнении</v>
      </c>
      <c r="D1300" s="46" t="str">
        <f>Source!F490</f>
        <v>м10-08-002-02</v>
      </c>
      <c r="E1300" s="31" t="str">
        <f>Source!H490</f>
        <v>ШТ</v>
      </c>
      <c r="F1300" s="12">
        <f>Source!I490</f>
        <v>7</v>
      </c>
      <c r="G1300" s="22">
        <f>Source!AB490</f>
        <v>18.91</v>
      </c>
      <c r="H1300" s="22">
        <f>Source!O490</f>
        <v>868.35</v>
      </c>
      <c r="T1300">
        <f>Source!O490+Source!X490+Source!Y490</f>
        <v>1907.25</v>
      </c>
      <c r="U1300">
        <f>Source!P490</f>
        <v>126.28</v>
      </c>
      <c r="V1300">
        <f>Source!S490</f>
        <v>742.07</v>
      </c>
      <c r="W1300">
        <f>Source!Q490</f>
        <v>0</v>
      </c>
      <c r="X1300">
        <f>Source!R490</f>
        <v>0</v>
      </c>
      <c r="Y1300">
        <f>Source!U490</f>
        <v>11.76</v>
      </c>
      <c r="Z1300">
        <f>Source!V490</f>
        <v>0</v>
      </c>
      <c r="AA1300">
        <f>Source!X490</f>
        <v>593.66</v>
      </c>
      <c r="AB1300">
        <f>Source!Y490</f>
        <v>445.24</v>
      </c>
    </row>
    <row r="1301" spans="1:28" ht="14.25" x14ac:dyDescent="0.2">
      <c r="C1301" s="23" t="s">
        <v>1684</v>
      </c>
      <c r="D1301" s="23">
        <f>Source!BA490</f>
        <v>6.56</v>
      </c>
      <c r="F1301" s="12"/>
      <c r="G1301" s="12"/>
      <c r="H1301" s="12"/>
    </row>
    <row r="1302" spans="1:28" x14ac:dyDescent="0.2">
      <c r="C1302" s="23" t="s">
        <v>1685</v>
      </c>
      <c r="D1302" s="23">
        <f>Source!BB490</f>
        <v>6.56</v>
      </c>
    </row>
    <row r="1303" spans="1:28" x14ac:dyDescent="0.2">
      <c r="C1303" s="23" t="s">
        <v>1686</v>
      </c>
      <c r="D1303" s="23">
        <f>Source!BC490</f>
        <v>6.56</v>
      </c>
    </row>
    <row r="1304" spans="1:28" x14ac:dyDescent="0.2">
      <c r="C1304" s="23" t="s">
        <v>1687</v>
      </c>
      <c r="D1304" s="23">
        <f>Source!BS490</f>
        <v>6.56</v>
      </c>
    </row>
    <row r="1305" spans="1:28" x14ac:dyDescent="0.2">
      <c r="C1305" s="9" t="s">
        <v>1688</v>
      </c>
      <c r="D1305" s="34"/>
      <c r="E1305" s="34"/>
      <c r="F1305" s="34">
        <f>Source!BZ490</f>
        <v>80</v>
      </c>
      <c r="G1305" s="58">
        <f>(Source!AF490+Source!AE490)*Source!FX490/100</f>
        <v>12.927999999999999</v>
      </c>
      <c r="H1305" s="58">
        <f>Source!X490</f>
        <v>593.66</v>
      </c>
    </row>
    <row r="1306" spans="1:28" x14ac:dyDescent="0.2">
      <c r="C1306" s="9" t="s">
        <v>1690</v>
      </c>
      <c r="D1306" s="34"/>
      <c r="E1306" s="34"/>
      <c r="F1306" s="34">
        <f>Source!CA490</f>
        <v>60</v>
      </c>
      <c r="G1306" s="58">
        <f>(Source!AF490+Source!AE490)*Source!FY490/100</f>
        <v>9.6959999999999997</v>
      </c>
      <c r="H1306" s="58">
        <f>Source!Y490</f>
        <v>445.24</v>
      </c>
    </row>
    <row r="1307" spans="1:28" x14ac:dyDescent="0.2">
      <c r="C1307" s="9" t="s">
        <v>1692</v>
      </c>
      <c r="D1307" s="34"/>
      <c r="E1307" s="34"/>
      <c r="F1307" s="34"/>
      <c r="G1307" s="58">
        <f>((Source!AF490+Source!AE490)*Source!FX490/100)+((Source!AF490+Source!AE490)*Source!FY490/100)+Source!AB490</f>
        <v>41.533999999999999</v>
      </c>
      <c r="H1307" s="58">
        <f>Source!O490+Source!X490+Source!Y490</f>
        <v>1907.25</v>
      </c>
    </row>
    <row r="1308" spans="1:28" ht="28.5" x14ac:dyDescent="0.2">
      <c r="A1308" s="46">
        <v>194</v>
      </c>
      <c r="B1308" s="46" t="str">
        <f>Source!E491</f>
        <v>92,1</v>
      </c>
      <c r="C1308" s="46" t="str">
        <f>Source!G491</f>
        <v>Извещатель пожарный дымовой ДИП-34А</v>
      </c>
      <c r="D1308" s="46" t="str">
        <f>Source!F491</f>
        <v>61.2.02.01-0019</v>
      </c>
      <c r="E1308" s="31" t="str">
        <f>Source!H491</f>
        <v>10 шт.</v>
      </c>
      <c r="F1308" s="12">
        <f>Source!I491</f>
        <v>0.7</v>
      </c>
      <c r="G1308" s="22">
        <f>Source!AB491</f>
        <v>1165.22</v>
      </c>
      <c r="H1308" s="22">
        <f>Source!O491</f>
        <v>5350.69</v>
      </c>
      <c r="T1308">
        <f>Source!O491+Source!X491+Source!Y491</f>
        <v>5350.69</v>
      </c>
      <c r="U1308">
        <f>Source!P491</f>
        <v>5350.69</v>
      </c>
      <c r="V1308">
        <f>Source!S491</f>
        <v>0</v>
      </c>
      <c r="W1308">
        <f>Source!Q491</f>
        <v>0</v>
      </c>
      <c r="X1308">
        <f>Source!R491</f>
        <v>0</v>
      </c>
      <c r="Y1308">
        <f>Source!U491</f>
        <v>0</v>
      </c>
      <c r="Z1308">
        <f>Source!V491</f>
        <v>0</v>
      </c>
      <c r="AA1308">
        <f>Source!X491</f>
        <v>0</v>
      </c>
      <c r="AB1308">
        <f>Source!Y491</f>
        <v>0</v>
      </c>
    </row>
    <row r="1309" spans="1:28" ht="14.25" x14ac:dyDescent="0.2">
      <c r="C1309" s="23" t="s">
        <v>1686</v>
      </c>
      <c r="D1309" s="23">
        <f>Source!BC491</f>
        <v>6.56</v>
      </c>
      <c r="F1309" s="12"/>
      <c r="G1309" s="12"/>
      <c r="H1309" s="12"/>
    </row>
    <row r="1310" spans="1:28" ht="28.5" x14ac:dyDescent="0.2">
      <c r="A1310" s="46">
        <v>195</v>
      </c>
      <c r="B1310" s="46" t="str">
        <f>Source!E492</f>
        <v>93</v>
      </c>
      <c r="C1310" s="46" t="str">
        <f>Source!G492</f>
        <v>Прокладка труб гофрированных ПВХ для защиты проводов и кабелей</v>
      </c>
      <c r="D1310" s="46" t="str">
        <f>Source!F492</f>
        <v>м08-10-010-01</v>
      </c>
      <c r="E1310" s="31" t="str">
        <f>Source!H492</f>
        <v>100 м</v>
      </c>
      <c r="F1310" s="12">
        <f>Source!I492</f>
        <v>0.16</v>
      </c>
      <c r="G1310" s="22">
        <f>Source!AB492</f>
        <v>156.33000000000001</v>
      </c>
      <c r="H1310" s="22">
        <f>Source!O492</f>
        <v>164.08</v>
      </c>
      <c r="T1310">
        <f>Source!O492+Source!X492+Source!Y492</f>
        <v>398.42</v>
      </c>
      <c r="U1310">
        <f>Source!P492</f>
        <v>17.62</v>
      </c>
      <c r="V1310">
        <f>Source!S492</f>
        <v>146.46</v>
      </c>
      <c r="W1310">
        <f>Source!Q492</f>
        <v>0</v>
      </c>
      <c r="X1310">
        <f>Source!R492</f>
        <v>0</v>
      </c>
      <c r="Y1310">
        <f>Source!U492</f>
        <v>2.4319999999999999</v>
      </c>
      <c r="Z1310">
        <f>Source!V492</f>
        <v>0</v>
      </c>
      <c r="AA1310">
        <f>Source!X492</f>
        <v>139.13999999999999</v>
      </c>
      <c r="AB1310">
        <f>Source!Y492</f>
        <v>95.2</v>
      </c>
    </row>
    <row r="1311" spans="1:28" ht="14.25" x14ac:dyDescent="0.2">
      <c r="C1311" s="23" t="str">
        <f>"Объем: "&amp;Source!I492&amp;"=16/"&amp;"100"</f>
        <v>Объем: 0,16=16/100</v>
      </c>
      <c r="F1311" s="12"/>
      <c r="G1311" s="12"/>
      <c r="H1311" s="12"/>
    </row>
    <row r="1312" spans="1:28" x14ac:dyDescent="0.2">
      <c r="C1312" s="23" t="s">
        <v>1684</v>
      </c>
      <c r="D1312" s="23">
        <f>Source!BA492</f>
        <v>6.56</v>
      </c>
    </row>
    <row r="1313" spans="1:28" x14ac:dyDescent="0.2">
      <c r="C1313" s="23" t="s">
        <v>1685</v>
      </c>
      <c r="D1313" s="23">
        <f>Source!BB492</f>
        <v>6.56</v>
      </c>
    </row>
    <row r="1314" spans="1:28" x14ac:dyDescent="0.2">
      <c r="C1314" s="23" t="s">
        <v>1686</v>
      </c>
      <c r="D1314" s="23">
        <f>Source!BC492</f>
        <v>6.56</v>
      </c>
    </row>
    <row r="1315" spans="1:28" x14ac:dyDescent="0.2">
      <c r="C1315" s="23" t="s">
        <v>1687</v>
      </c>
      <c r="D1315" s="23">
        <f>Source!BS492</f>
        <v>6.56</v>
      </c>
    </row>
    <row r="1316" spans="1:28" x14ac:dyDescent="0.2">
      <c r="C1316" s="9" t="s">
        <v>1688</v>
      </c>
      <c r="D1316" s="34"/>
      <c r="E1316" s="34"/>
      <c r="F1316" s="34">
        <f>Source!BZ492</f>
        <v>95</v>
      </c>
      <c r="G1316" s="58">
        <f>(Source!AF492+Source!AE492)*Source!FX492/100</f>
        <v>132.56299999999999</v>
      </c>
      <c r="H1316" s="58">
        <f>Source!X492</f>
        <v>139.13999999999999</v>
      </c>
    </row>
    <row r="1317" spans="1:28" x14ac:dyDescent="0.2">
      <c r="C1317" s="9" t="s">
        <v>1690</v>
      </c>
      <c r="D1317" s="34"/>
      <c r="E1317" s="34"/>
      <c r="F1317" s="34">
        <f>Source!CA492</f>
        <v>65</v>
      </c>
      <c r="G1317" s="58">
        <f>(Source!AF492+Source!AE492)*Source!FY492/100</f>
        <v>90.701000000000008</v>
      </c>
      <c r="H1317" s="58">
        <f>Source!Y492</f>
        <v>95.2</v>
      </c>
    </row>
    <row r="1318" spans="1:28" x14ac:dyDescent="0.2">
      <c r="C1318" s="9" t="s">
        <v>1692</v>
      </c>
      <c r="D1318" s="34"/>
      <c r="E1318" s="34"/>
      <c r="F1318" s="34"/>
      <c r="G1318" s="58">
        <f>((Source!AF492+Source!AE492)*Source!FX492/100)+((Source!AF492+Source!AE492)*Source!FY492/100)+Source!AB492</f>
        <v>379.59400000000005</v>
      </c>
      <c r="H1318" s="58">
        <f>Source!O492+Source!X492+Source!Y492</f>
        <v>398.42</v>
      </c>
    </row>
    <row r="1319" spans="1:28" ht="42.75" x14ac:dyDescent="0.2">
      <c r="A1319" s="46">
        <v>196</v>
      </c>
      <c r="B1319" s="46" t="str">
        <f>Source!E493</f>
        <v>93,1</v>
      </c>
      <c r="C1319" s="46" t="str">
        <f>Source!G493</f>
        <v>Трубы гибкие гофрированные легкие из самозатухающего ПВХ (IP55) серии FL, с зондом, диаметром 16 мм</v>
      </c>
      <c r="D1319" s="46" t="str">
        <f>Source!F493</f>
        <v>24.3.01.02-0021</v>
      </c>
      <c r="E1319" s="31" t="str">
        <f>Source!H493</f>
        <v>10 м</v>
      </c>
      <c r="F1319" s="12">
        <f>Source!I493</f>
        <v>1.6</v>
      </c>
      <c r="G1319" s="22">
        <f>Source!AB493</f>
        <v>16.11</v>
      </c>
      <c r="H1319" s="22">
        <f>Source!O493</f>
        <v>169.09</v>
      </c>
      <c r="T1319">
        <f>Source!O493+Source!X493+Source!Y493</f>
        <v>169.09</v>
      </c>
      <c r="U1319">
        <f>Source!P493</f>
        <v>169.09</v>
      </c>
      <c r="V1319">
        <f>Source!S493</f>
        <v>0</v>
      </c>
      <c r="W1319">
        <f>Source!Q493</f>
        <v>0</v>
      </c>
      <c r="X1319">
        <f>Source!R493</f>
        <v>0</v>
      </c>
      <c r="Y1319">
        <f>Source!U493</f>
        <v>0</v>
      </c>
      <c r="Z1319">
        <f>Source!V493</f>
        <v>0</v>
      </c>
      <c r="AA1319">
        <f>Source!X493</f>
        <v>0</v>
      </c>
      <c r="AB1319">
        <f>Source!Y493</f>
        <v>0</v>
      </c>
    </row>
    <row r="1320" spans="1:28" ht="14.25" x14ac:dyDescent="0.2">
      <c r="C1320" s="23" t="s">
        <v>1686</v>
      </c>
      <c r="D1320" s="23">
        <f>Source!BC493</f>
        <v>6.56</v>
      </c>
      <c r="F1320" s="12"/>
      <c r="G1320" s="12"/>
      <c r="H1320" s="12"/>
    </row>
    <row r="1321" spans="1:28" ht="71.25" x14ac:dyDescent="0.2">
      <c r="A1321" s="46">
        <v>197</v>
      </c>
      <c r="B1321" s="46" t="str">
        <f>Source!E494</f>
        <v>94</v>
      </c>
      <c r="C1321" s="46" t="str">
        <f>Source!G494</f>
        <v>Затягивание провода в проложенные трубы и металлические рукава первого одножильного или многожильного в общей оплетке, суммарное сечение до 6 мм2</v>
      </c>
      <c r="D1321" s="46" t="str">
        <f>Source!F494</f>
        <v>м08-02-412-02</v>
      </c>
      <c r="E1321" s="31" t="str">
        <f>Source!H494</f>
        <v>100 м</v>
      </c>
      <c r="F1321" s="12">
        <f>Source!I494</f>
        <v>0.24</v>
      </c>
      <c r="G1321" s="22">
        <f>Source!AB494</f>
        <v>68.7</v>
      </c>
      <c r="H1321" s="22">
        <f>Source!O494</f>
        <v>108.16</v>
      </c>
      <c r="T1321">
        <f>Source!O494+Source!X494+Source!Y494</f>
        <v>237.05</v>
      </c>
      <c r="U1321">
        <f>Source!P494</f>
        <v>22.8</v>
      </c>
      <c r="V1321">
        <f>Source!S494</f>
        <v>79.77</v>
      </c>
      <c r="W1321">
        <f>Source!Q494</f>
        <v>5.59</v>
      </c>
      <c r="X1321">
        <f>Source!R494</f>
        <v>0.79</v>
      </c>
      <c r="Y1321">
        <f>Source!U494</f>
        <v>1.2935999999999999</v>
      </c>
      <c r="Z1321">
        <f>Source!V494</f>
        <v>9.5999999999999992E-3</v>
      </c>
      <c r="AA1321">
        <f>Source!X494</f>
        <v>76.53</v>
      </c>
      <c r="AB1321">
        <f>Source!Y494</f>
        <v>52.36</v>
      </c>
    </row>
    <row r="1322" spans="1:28" ht="14.25" x14ac:dyDescent="0.2">
      <c r="C1322" s="23" t="str">
        <f>"Объем: "&amp;Source!I494&amp;"=24/"&amp;"100"</f>
        <v>Объем: 0,24=24/100</v>
      </c>
      <c r="F1322" s="12"/>
      <c r="G1322" s="12"/>
      <c r="H1322" s="12"/>
    </row>
    <row r="1323" spans="1:28" x14ac:dyDescent="0.2">
      <c r="C1323" s="23" t="s">
        <v>1684</v>
      </c>
      <c r="D1323" s="23">
        <f>Source!BA494</f>
        <v>6.56</v>
      </c>
    </row>
    <row r="1324" spans="1:28" x14ac:dyDescent="0.2">
      <c r="C1324" s="23" t="s">
        <v>1685</v>
      </c>
      <c r="D1324" s="23">
        <f>Source!BB494</f>
        <v>6.56</v>
      </c>
    </row>
    <row r="1325" spans="1:28" x14ac:dyDescent="0.2">
      <c r="C1325" s="23" t="s">
        <v>1686</v>
      </c>
      <c r="D1325" s="23">
        <f>Source!BC494</f>
        <v>6.56</v>
      </c>
    </row>
    <row r="1326" spans="1:28" x14ac:dyDescent="0.2">
      <c r="C1326" s="23" t="s">
        <v>1687</v>
      </c>
      <c r="D1326" s="23">
        <f>Source!BS494</f>
        <v>6.56</v>
      </c>
    </row>
    <row r="1327" spans="1:28" x14ac:dyDescent="0.2">
      <c r="C1327" s="9" t="s">
        <v>1688</v>
      </c>
      <c r="D1327" s="34"/>
      <c r="E1327" s="34"/>
      <c r="F1327" s="34">
        <f>Source!BZ494</f>
        <v>95</v>
      </c>
      <c r="G1327" s="58">
        <f>(Source!AF494+Source!AE494)*Source!FX494/100</f>
        <v>48.611500000000007</v>
      </c>
      <c r="H1327" s="58">
        <f>Source!X494</f>
        <v>76.53</v>
      </c>
    </row>
    <row r="1328" spans="1:28" x14ac:dyDescent="0.2">
      <c r="C1328" s="9" t="s">
        <v>1690</v>
      </c>
      <c r="D1328" s="34"/>
      <c r="E1328" s="34"/>
      <c r="F1328" s="34">
        <f>Source!CA494</f>
        <v>65</v>
      </c>
      <c r="G1328" s="58">
        <f>(Source!AF494+Source!AE494)*Source!FY494/100</f>
        <v>33.2605</v>
      </c>
      <c r="H1328" s="58">
        <f>Source!Y494</f>
        <v>52.36</v>
      </c>
    </row>
    <row r="1329" spans="1:28" x14ac:dyDescent="0.2">
      <c r="C1329" s="9" t="s">
        <v>1692</v>
      </c>
      <c r="D1329" s="34"/>
      <c r="E1329" s="34"/>
      <c r="F1329" s="34"/>
      <c r="G1329" s="58">
        <f>((Source!AF494+Source!AE494)*Source!FX494/100)+((Source!AF494+Source!AE494)*Source!FY494/100)+Source!AB494</f>
        <v>150.572</v>
      </c>
      <c r="H1329" s="58">
        <f>Source!O494+Source!X494+Source!Y494</f>
        <v>237.05</v>
      </c>
    </row>
    <row r="1330" spans="1:28" ht="128.25" x14ac:dyDescent="0.2">
      <c r="A1330" s="46">
        <v>198</v>
      </c>
      <c r="B1330" s="46" t="str">
        <f>Source!E495</f>
        <v>94,1</v>
      </c>
      <c r="C1330" s="46" t="str">
        <f>Source!G495</f>
        <v>Кабели парной скрутки огнестойкие для систем пожарной сигнализации с однопроволочными медными жилами, изоляцией из кремнийорганической резины, оболочкой из безгалогенной полимерной композиции, не распространяющий горение, с низким дымо- и газовыделением, марки КПСнг(А)-FRHF 1х2х0,5</v>
      </c>
      <c r="D1330" s="46" t="str">
        <f>Source!F495</f>
        <v>21.1.08.01-0131</v>
      </c>
      <c r="E1330" s="31" t="str">
        <f>Source!H495</f>
        <v>1000 м</v>
      </c>
      <c r="F1330" s="12">
        <f>Source!I495</f>
        <v>2.4E-2</v>
      </c>
      <c r="G1330" s="22">
        <f>Source!AB495</f>
        <v>7307.7</v>
      </c>
      <c r="H1330" s="22">
        <f>Source!O495</f>
        <v>1150.52</v>
      </c>
      <c r="T1330">
        <f>Source!O495+Source!X495+Source!Y495</f>
        <v>1150.52</v>
      </c>
      <c r="U1330">
        <f>Source!P495</f>
        <v>1150.52</v>
      </c>
      <c r="V1330">
        <f>Source!S495</f>
        <v>0</v>
      </c>
      <c r="W1330">
        <f>Source!Q495</f>
        <v>0</v>
      </c>
      <c r="X1330">
        <f>Source!R495</f>
        <v>0</v>
      </c>
      <c r="Y1330">
        <f>Source!U495</f>
        <v>0</v>
      </c>
      <c r="Z1330">
        <f>Source!V495</f>
        <v>0</v>
      </c>
      <c r="AA1330">
        <f>Source!X495</f>
        <v>0</v>
      </c>
      <c r="AB1330">
        <f>Source!Y495</f>
        <v>0</v>
      </c>
    </row>
    <row r="1331" spans="1:28" ht="14.25" x14ac:dyDescent="0.2">
      <c r="C1331" s="23" t="s">
        <v>1686</v>
      </c>
      <c r="D1331" s="23">
        <f>Source!BC495</f>
        <v>6.56</v>
      </c>
      <c r="F1331" s="12"/>
      <c r="G1331" s="12"/>
      <c r="H1331" s="12"/>
    </row>
    <row r="1332" spans="1:28" ht="42.75" x14ac:dyDescent="0.2">
      <c r="A1332" s="46">
        <v>199</v>
      </c>
      <c r="B1332" s="46" t="str">
        <f>Source!E496</f>
        <v>95</v>
      </c>
      <c r="C1332" s="46" t="str">
        <f>Source!G496</f>
        <v>Электрическая проверка и настройка устройства центрального управляющего</v>
      </c>
      <c r="D1332" s="46" t="str">
        <f>Source!F496</f>
        <v>м10-02-041-01</v>
      </c>
      <c r="E1332" s="31" t="str">
        <f>Source!H496</f>
        <v>КОМПЛ</v>
      </c>
      <c r="F1332" s="12">
        <f>Source!I496</f>
        <v>1</v>
      </c>
      <c r="G1332" s="22">
        <f>Source!AB496</f>
        <v>3202.35</v>
      </c>
      <c r="H1332" s="22">
        <f>Source!O496</f>
        <v>21007.41</v>
      </c>
      <c r="T1332">
        <f>Source!O496+Source!X496+Source!Y496</f>
        <v>49841.13</v>
      </c>
      <c r="U1332">
        <f>Source!P496</f>
        <v>411.9</v>
      </c>
      <c r="V1332">
        <f>Source!S496</f>
        <v>20595.509999999998</v>
      </c>
      <c r="W1332">
        <f>Source!Q496</f>
        <v>0</v>
      </c>
      <c r="X1332">
        <f>Source!R496</f>
        <v>0</v>
      </c>
      <c r="Y1332">
        <f>Source!U496</f>
        <v>243</v>
      </c>
      <c r="Z1332">
        <f>Source!V496</f>
        <v>0</v>
      </c>
      <c r="AA1332">
        <f>Source!X496</f>
        <v>16476.41</v>
      </c>
      <c r="AB1332">
        <f>Source!Y496</f>
        <v>12357.31</v>
      </c>
    </row>
    <row r="1333" spans="1:28" ht="14.25" x14ac:dyDescent="0.2">
      <c r="C1333" s="23" t="s">
        <v>1684</v>
      </c>
      <c r="D1333" s="23">
        <f>Source!BA496</f>
        <v>6.56</v>
      </c>
      <c r="F1333" s="12"/>
      <c r="G1333" s="12"/>
      <c r="H1333" s="12"/>
    </row>
    <row r="1334" spans="1:28" x14ac:dyDescent="0.2">
      <c r="C1334" s="23" t="s">
        <v>1685</v>
      </c>
      <c r="D1334" s="23">
        <f>Source!BB496</f>
        <v>6.56</v>
      </c>
    </row>
    <row r="1335" spans="1:28" x14ac:dyDescent="0.2">
      <c r="C1335" s="23" t="s">
        <v>1686</v>
      </c>
      <c r="D1335" s="23">
        <f>Source!BC496</f>
        <v>6.56</v>
      </c>
    </row>
    <row r="1336" spans="1:28" x14ac:dyDescent="0.2">
      <c r="C1336" s="23" t="s">
        <v>1687</v>
      </c>
      <c r="D1336" s="23">
        <f>Source!BS496</f>
        <v>6.56</v>
      </c>
    </row>
    <row r="1337" spans="1:28" x14ac:dyDescent="0.2">
      <c r="C1337" s="9" t="s">
        <v>1688</v>
      </c>
      <c r="D1337" s="34"/>
      <c r="E1337" s="34"/>
      <c r="F1337" s="34">
        <f>Source!BZ496</f>
        <v>80</v>
      </c>
      <c r="G1337" s="58">
        <f>(Source!AF496+Source!AE496)*Source!FX496/100</f>
        <v>2511.6479999999997</v>
      </c>
      <c r="H1337" s="58">
        <f>Source!X496</f>
        <v>16476.41</v>
      </c>
    </row>
    <row r="1338" spans="1:28" x14ac:dyDescent="0.2">
      <c r="C1338" s="9" t="s">
        <v>1690</v>
      </c>
      <c r="D1338" s="34"/>
      <c r="E1338" s="34"/>
      <c r="F1338" s="34">
        <f>Source!CA496</f>
        <v>60</v>
      </c>
      <c r="G1338" s="58">
        <f>(Source!AF496+Source!AE496)*Source!FY496/100</f>
        <v>1883.7360000000001</v>
      </c>
      <c r="H1338" s="58">
        <f>Source!Y496</f>
        <v>12357.31</v>
      </c>
    </row>
    <row r="1339" spans="1:28" x14ac:dyDescent="0.2">
      <c r="C1339" s="9" t="s">
        <v>1692</v>
      </c>
      <c r="D1339" s="34"/>
      <c r="E1339" s="34"/>
      <c r="F1339" s="34"/>
      <c r="G1339" s="58">
        <f>((Source!AF496+Source!AE496)*Source!FX496/100)+((Source!AF496+Source!AE496)*Source!FY496/100)+Source!AB496</f>
        <v>7597.7340000000004</v>
      </c>
      <c r="H1339" s="58">
        <f>Source!O496+Source!X496+Source!Y496</f>
        <v>49841.13</v>
      </c>
    </row>
    <row r="1341" spans="1:28" ht="15" x14ac:dyDescent="0.25">
      <c r="A1341" s="59"/>
      <c r="B1341" s="59"/>
      <c r="C1341" s="74" t="str">
        <f>CONCATENATE("Итого по разделу: ",IF(Source!G498&lt;&gt;"Новый раздел", Source!G498, ""))</f>
        <v>Итого по разделу: 4 Пожарная сигнализация</v>
      </c>
      <c r="D1341" s="74"/>
      <c r="E1341" s="74"/>
      <c r="F1341" s="74"/>
      <c r="G1341" s="59"/>
      <c r="H1341" s="60">
        <f>IF(SUM(T1299:T1340)=0, "-", SUM(T1299:T1340))</f>
        <v>59054.149999999994</v>
      </c>
    </row>
    <row r="1342" spans="1:28" ht="15" x14ac:dyDescent="0.25">
      <c r="A1342" s="59"/>
      <c r="B1342" s="59"/>
      <c r="C1342" s="59"/>
      <c r="D1342" s="59"/>
      <c r="E1342" s="59"/>
      <c r="F1342" s="59"/>
      <c r="G1342" s="59"/>
      <c r="H1342" s="59"/>
    </row>
    <row r="1345" spans="1:28" ht="16.5" x14ac:dyDescent="0.25">
      <c r="A1345" s="75" t="str">
        <f>CONCATENATE("Раздел: ",IF(Source!G527&lt;&gt;"Новый раздел", Source!G527, ""))</f>
        <v>Раздел: 5 Сети СКС</v>
      </c>
      <c r="B1345" s="75"/>
      <c r="C1345" s="75"/>
      <c r="D1345" s="75"/>
      <c r="E1345" s="75"/>
      <c r="F1345" s="75"/>
      <c r="G1345" s="75"/>
      <c r="H1345" s="75"/>
    </row>
    <row r="1346" spans="1:28" ht="28.5" x14ac:dyDescent="0.2">
      <c r="A1346" s="46">
        <v>200</v>
      </c>
      <c r="B1346" s="46" t="str">
        <f>Source!E531</f>
        <v>96</v>
      </c>
      <c r="C1346" s="46" t="str">
        <f>Source!G531</f>
        <v>Розетка штепсельная неутопленного типа при открытой проводке</v>
      </c>
      <c r="D1346" s="46" t="str">
        <f>Source!F531</f>
        <v>м08-03-591-08</v>
      </c>
      <c r="E1346" s="31" t="str">
        <f>Source!H531</f>
        <v>100 ШТ</v>
      </c>
      <c r="F1346" s="12">
        <f>Source!I531</f>
        <v>0.56000000000000005</v>
      </c>
      <c r="G1346" s="22">
        <f>Source!AB531</f>
        <v>453.93</v>
      </c>
      <c r="H1346" s="22">
        <f>Source!O531</f>
        <v>1667.56</v>
      </c>
      <c r="T1346">
        <f>Source!O531+Source!X531+Source!Y531</f>
        <v>3686.4599999999996</v>
      </c>
      <c r="U1346">
        <f>Source!P531</f>
        <v>390.94</v>
      </c>
      <c r="V1346">
        <f>Source!S531</f>
        <v>1259.46</v>
      </c>
      <c r="W1346">
        <f>Source!Q531</f>
        <v>17.16</v>
      </c>
      <c r="X1346">
        <f>Source!R531</f>
        <v>2.35</v>
      </c>
      <c r="Y1346">
        <f>Source!U531</f>
        <v>19.353600000000004</v>
      </c>
      <c r="Z1346">
        <f>Source!V531</f>
        <v>2.8000000000000004E-2</v>
      </c>
      <c r="AA1346">
        <f>Source!X531</f>
        <v>1198.72</v>
      </c>
      <c r="AB1346">
        <f>Source!Y531</f>
        <v>820.18</v>
      </c>
    </row>
    <row r="1347" spans="1:28" ht="14.25" x14ac:dyDescent="0.2">
      <c r="C1347" s="23" t="str">
        <f>"Объем: "&amp;Source!I531&amp;"=56/"&amp;"100"</f>
        <v>Объем: 0,56=56/100</v>
      </c>
      <c r="F1347" s="12"/>
      <c r="G1347" s="12"/>
      <c r="H1347" s="12"/>
    </row>
    <row r="1348" spans="1:28" x14ac:dyDescent="0.2">
      <c r="C1348" s="23" t="s">
        <v>1684</v>
      </c>
      <c r="D1348" s="23">
        <f>Source!BA531</f>
        <v>6.56</v>
      </c>
    </row>
    <row r="1349" spans="1:28" x14ac:dyDescent="0.2">
      <c r="C1349" s="23" t="s">
        <v>1685</v>
      </c>
      <c r="D1349" s="23">
        <f>Source!BB531</f>
        <v>6.56</v>
      </c>
    </row>
    <row r="1350" spans="1:28" x14ac:dyDescent="0.2">
      <c r="C1350" s="23" t="s">
        <v>1686</v>
      </c>
      <c r="D1350" s="23">
        <f>Source!BC531</f>
        <v>6.56</v>
      </c>
    </row>
    <row r="1351" spans="1:28" x14ac:dyDescent="0.2">
      <c r="C1351" s="23" t="s">
        <v>1687</v>
      </c>
      <c r="D1351" s="23">
        <f>Source!BS531</f>
        <v>6.56</v>
      </c>
    </row>
    <row r="1352" spans="1:28" x14ac:dyDescent="0.2">
      <c r="C1352" s="9" t="s">
        <v>1688</v>
      </c>
      <c r="D1352" s="34"/>
      <c r="E1352" s="34"/>
      <c r="F1352" s="34">
        <f>Source!BZ531</f>
        <v>95</v>
      </c>
      <c r="G1352" s="58">
        <f>(Source!AF531+Source!AE531)*Source!FX531/100</f>
        <v>326.30599999999993</v>
      </c>
      <c r="H1352" s="58">
        <f>Source!X531</f>
        <v>1198.72</v>
      </c>
    </row>
    <row r="1353" spans="1:28" x14ac:dyDescent="0.2">
      <c r="C1353" s="9" t="s">
        <v>1690</v>
      </c>
      <c r="D1353" s="34"/>
      <c r="E1353" s="34"/>
      <c r="F1353" s="34">
        <f>Source!CA531</f>
        <v>65</v>
      </c>
      <c r="G1353" s="58">
        <f>(Source!AF531+Source!AE531)*Source!FY531/100</f>
        <v>223.26199999999997</v>
      </c>
      <c r="H1353" s="58">
        <f>Source!Y531</f>
        <v>820.18</v>
      </c>
    </row>
    <row r="1354" spans="1:28" x14ac:dyDescent="0.2">
      <c r="C1354" s="9" t="s">
        <v>1692</v>
      </c>
      <c r="D1354" s="34"/>
      <c r="E1354" s="34"/>
      <c r="F1354" s="34"/>
      <c r="G1354" s="58">
        <f>((Source!AF531+Source!AE531)*Source!FX531/100)+((Source!AF531+Source!AE531)*Source!FY531/100)+Source!AB531</f>
        <v>1003.4979999999998</v>
      </c>
      <c r="H1354" s="58">
        <f>Source!O531+Source!X531+Source!Y531</f>
        <v>3686.4599999999996</v>
      </c>
    </row>
    <row r="1355" spans="1:28" ht="28.5" x14ac:dyDescent="0.2">
      <c r="A1355" s="46">
        <v>201</v>
      </c>
      <c r="B1355" s="46" t="str">
        <f>Source!E532</f>
        <v>96,1</v>
      </c>
      <c r="C1355" s="46" t="str">
        <f>Source!G532</f>
        <v>Розетка открытой проводки RJ-45(45х45мм)</v>
      </c>
      <c r="D1355" s="46" t="str">
        <f>Source!F532</f>
        <v>20.4.03.05-0001</v>
      </c>
      <c r="E1355" s="31" t="str">
        <f>Source!H532</f>
        <v>100 шт.</v>
      </c>
      <c r="F1355" s="12">
        <f>Source!I532</f>
        <v>0.56000000000000005</v>
      </c>
      <c r="G1355" s="22">
        <f>Source!AB532</f>
        <v>577</v>
      </c>
      <c r="H1355" s="22">
        <f>Source!O532</f>
        <v>2119.67</v>
      </c>
      <c r="T1355">
        <f>Source!O532+Source!X532+Source!Y532</f>
        <v>2119.67</v>
      </c>
      <c r="U1355">
        <f>Source!P532</f>
        <v>2119.67</v>
      </c>
      <c r="V1355">
        <f>Source!S532</f>
        <v>0</v>
      </c>
      <c r="W1355">
        <f>Source!Q532</f>
        <v>0</v>
      </c>
      <c r="X1355">
        <f>Source!R532</f>
        <v>0</v>
      </c>
      <c r="Y1355">
        <f>Source!U532</f>
        <v>0</v>
      </c>
      <c r="Z1355">
        <f>Source!V532</f>
        <v>0</v>
      </c>
      <c r="AA1355">
        <f>Source!X532</f>
        <v>0</v>
      </c>
      <c r="AB1355">
        <f>Source!Y532</f>
        <v>0</v>
      </c>
    </row>
    <row r="1356" spans="1:28" ht="14.25" x14ac:dyDescent="0.2">
      <c r="C1356" s="23" t="s">
        <v>1686</v>
      </c>
      <c r="D1356" s="23">
        <f>Source!BC532</f>
        <v>6.56</v>
      </c>
      <c r="F1356" s="12"/>
      <c r="G1356" s="12"/>
      <c r="H1356" s="12"/>
    </row>
    <row r="1357" spans="1:28" ht="42.75" x14ac:dyDescent="0.2">
      <c r="A1357" s="46">
        <v>202</v>
      </c>
      <c r="B1357" s="46" t="str">
        <f>Source!E533</f>
        <v>97</v>
      </c>
      <c r="C1357" s="46" t="str">
        <f>Source!G533</f>
        <v>Прокладка кабеля или провода питания на провододержателях сечением 6 мм2</v>
      </c>
      <c r="D1357" s="46" t="str">
        <f>Source!F533</f>
        <v>м10-01-053-01</v>
      </c>
      <c r="E1357" s="31" t="str">
        <f>Source!H533</f>
        <v>100 м</v>
      </c>
      <c r="F1357" s="12">
        <f>Source!I533</f>
        <v>12.8</v>
      </c>
      <c r="G1357" s="22">
        <f>Source!AB533</f>
        <v>165.97</v>
      </c>
      <c r="H1357" s="22">
        <f>Source!O533</f>
        <v>13936.17</v>
      </c>
      <c r="T1357">
        <f>Source!O533+Source!X533+Source!Y533</f>
        <v>28426.010000000002</v>
      </c>
      <c r="U1357">
        <f>Source!P533</f>
        <v>297.25</v>
      </c>
      <c r="V1357">
        <f>Source!S533</f>
        <v>9935.93</v>
      </c>
      <c r="W1357">
        <f>Source!Q533</f>
        <v>3702.99</v>
      </c>
      <c r="X1357">
        <f>Source!R533</f>
        <v>413.96</v>
      </c>
      <c r="Y1357">
        <f>Source!U533</f>
        <v>157.44000000000003</v>
      </c>
      <c r="Z1357">
        <f>Source!V533</f>
        <v>6.2720000000000002</v>
      </c>
      <c r="AA1357">
        <f>Source!X533</f>
        <v>8279.91</v>
      </c>
      <c r="AB1357">
        <f>Source!Y533</f>
        <v>6209.93</v>
      </c>
    </row>
    <row r="1358" spans="1:28" ht="14.25" x14ac:dyDescent="0.2">
      <c r="C1358" s="23" t="str">
        <f>"Объем: "&amp;Source!I533&amp;"=1280/"&amp;"100"</f>
        <v>Объем: 12,8=1280/100</v>
      </c>
      <c r="F1358" s="12"/>
      <c r="G1358" s="12"/>
      <c r="H1358" s="12"/>
    </row>
    <row r="1359" spans="1:28" x14ac:dyDescent="0.2">
      <c r="C1359" s="23" t="s">
        <v>1684</v>
      </c>
      <c r="D1359" s="23">
        <f>Source!BA533</f>
        <v>6.56</v>
      </c>
    </row>
    <row r="1360" spans="1:28" x14ac:dyDescent="0.2">
      <c r="C1360" s="23" t="s">
        <v>1685</v>
      </c>
      <c r="D1360" s="23">
        <f>Source!BB533</f>
        <v>6.56</v>
      </c>
    </row>
    <row r="1361" spans="1:28" x14ac:dyDescent="0.2">
      <c r="C1361" s="23" t="s">
        <v>1686</v>
      </c>
      <c r="D1361" s="23">
        <f>Source!BC533</f>
        <v>6.56</v>
      </c>
    </row>
    <row r="1362" spans="1:28" x14ac:dyDescent="0.2">
      <c r="C1362" s="23" t="s">
        <v>1687</v>
      </c>
      <c r="D1362" s="23">
        <f>Source!BS533</f>
        <v>6.56</v>
      </c>
    </row>
    <row r="1363" spans="1:28" x14ac:dyDescent="0.2">
      <c r="C1363" s="9" t="s">
        <v>1688</v>
      </c>
      <c r="D1363" s="34"/>
      <c r="E1363" s="34"/>
      <c r="F1363" s="34">
        <f>Source!BZ533</f>
        <v>80</v>
      </c>
      <c r="G1363" s="58">
        <f>(Source!AF533+Source!AE533)*Source!FX533/100</f>
        <v>98.60799999999999</v>
      </c>
      <c r="H1363" s="58">
        <f>Source!X533</f>
        <v>8279.91</v>
      </c>
    </row>
    <row r="1364" spans="1:28" x14ac:dyDescent="0.2">
      <c r="C1364" s="9" t="s">
        <v>1690</v>
      </c>
      <c r="D1364" s="34"/>
      <c r="E1364" s="34"/>
      <c r="F1364" s="34">
        <f>Source!CA533</f>
        <v>60</v>
      </c>
      <c r="G1364" s="58">
        <f>(Source!AF533+Source!AE533)*Source!FY533/100</f>
        <v>73.955999999999989</v>
      </c>
      <c r="H1364" s="58">
        <f>Source!Y533</f>
        <v>6209.93</v>
      </c>
    </row>
    <row r="1365" spans="1:28" x14ac:dyDescent="0.2">
      <c r="C1365" s="9" t="s">
        <v>1692</v>
      </c>
      <c r="D1365" s="34"/>
      <c r="E1365" s="34"/>
      <c r="F1365" s="34"/>
      <c r="G1365" s="58">
        <f>((Source!AF533+Source!AE533)*Source!FX533/100)+((Source!AF533+Source!AE533)*Source!FY533/100)+Source!AB533</f>
        <v>338.53399999999999</v>
      </c>
      <c r="H1365" s="58">
        <f>Source!O533+Source!X533+Source!Y533</f>
        <v>28426.010000000002</v>
      </c>
    </row>
    <row r="1366" spans="1:28" ht="28.5" x14ac:dyDescent="0.2">
      <c r="A1366" s="46">
        <v>203</v>
      </c>
      <c r="B1366" s="46" t="str">
        <f>Source!E534</f>
        <v>97,1</v>
      </c>
      <c r="C1366" s="46" t="str">
        <f>Source!G534</f>
        <v>Кабель (витая пара) UTP 4x2x0,52 категория 5е</v>
      </c>
      <c r="D1366" s="46" t="str">
        <f>Source!F534</f>
        <v>21.1.04.01-0004</v>
      </c>
      <c r="E1366" s="31" t="str">
        <f>Source!H534</f>
        <v>1000 м</v>
      </c>
      <c r="F1366" s="12">
        <f>Source!I534</f>
        <v>1.28</v>
      </c>
      <c r="G1366" s="22">
        <f>Source!AB534</f>
        <v>1150.19</v>
      </c>
      <c r="H1366" s="22">
        <f>Source!O534</f>
        <v>9657.92</v>
      </c>
      <c r="T1366">
        <f>Source!O534+Source!X534+Source!Y534</f>
        <v>9657.92</v>
      </c>
      <c r="U1366">
        <f>Source!P534</f>
        <v>9657.92</v>
      </c>
      <c r="V1366">
        <f>Source!S534</f>
        <v>0</v>
      </c>
      <c r="W1366">
        <f>Source!Q534</f>
        <v>0</v>
      </c>
      <c r="X1366">
        <f>Source!R534</f>
        <v>0</v>
      </c>
      <c r="Y1366">
        <f>Source!U534</f>
        <v>0</v>
      </c>
      <c r="Z1366">
        <f>Source!V534</f>
        <v>0</v>
      </c>
      <c r="AA1366">
        <f>Source!X534</f>
        <v>0</v>
      </c>
      <c r="AB1366">
        <f>Source!Y534</f>
        <v>0</v>
      </c>
    </row>
    <row r="1367" spans="1:28" ht="14.25" x14ac:dyDescent="0.2">
      <c r="C1367" s="23" t="s">
        <v>1686</v>
      </c>
      <c r="D1367" s="23">
        <f>Source!BC534</f>
        <v>6.56</v>
      </c>
      <c r="F1367" s="12"/>
      <c r="G1367" s="12"/>
      <c r="H1367" s="12"/>
    </row>
    <row r="1368" spans="1:28" ht="57" x14ac:dyDescent="0.2">
      <c r="A1368" s="46">
        <v>204</v>
      </c>
      <c r="B1368" s="46" t="str">
        <f>Source!E535</f>
        <v>98</v>
      </c>
      <c r="C1368" s="46" t="str">
        <f>Source!G535</f>
        <v>Сверление отверстий в кирпичных стенах электроперфоратором диаметром до 20 мм, толщина стен 0,5 кирпича</v>
      </c>
      <c r="D1368" s="46" t="str">
        <f>Source!F535</f>
        <v>69-2-1 прим.</v>
      </c>
      <c r="E1368" s="31" t="str">
        <f>Source!H535</f>
        <v>100 ШТ</v>
      </c>
      <c r="F1368" s="12">
        <f>Source!I535</f>
        <v>0.06</v>
      </c>
      <c r="G1368" s="22">
        <f>Source!AB535</f>
        <v>46.83</v>
      </c>
      <c r="H1368" s="22">
        <f>Source!O535</f>
        <v>18.43</v>
      </c>
      <c r="T1368">
        <f>Source!O535+Source!X535+Source!Y535</f>
        <v>42.03</v>
      </c>
      <c r="U1368">
        <f>Source!P535</f>
        <v>0</v>
      </c>
      <c r="V1368">
        <f>Source!S535</f>
        <v>18.43</v>
      </c>
      <c r="W1368">
        <f>Source!Q535</f>
        <v>0</v>
      </c>
      <c r="X1368">
        <f>Source!R535</f>
        <v>0</v>
      </c>
      <c r="Y1368">
        <f>Source!U535</f>
        <v>0.32940000000000003</v>
      </c>
      <c r="Z1368">
        <f>Source!V535</f>
        <v>0</v>
      </c>
      <c r="AA1368">
        <f>Source!X535</f>
        <v>14.38</v>
      </c>
      <c r="AB1368">
        <f>Source!Y535</f>
        <v>9.2200000000000006</v>
      </c>
    </row>
    <row r="1369" spans="1:28" ht="14.25" x14ac:dyDescent="0.2">
      <c r="C1369" s="23" t="str">
        <f>"Объем: "&amp;Source!I535&amp;"=6/"&amp;"100"</f>
        <v>Объем: 0,06=6/100</v>
      </c>
      <c r="F1369" s="12"/>
      <c r="G1369" s="12"/>
      <c r="H1369" s="12"/>
    </row>
    <row r="1370" spans="1:28" x14ac:dyDescent="0.2">
      <c r="C1370" s="23" t="s">
        <v>1684</v>
      </c>
      <c r="D1370" s="23">
        <f>Source!BA535</f>
        <v>6.56</v>
      </c>
    </row>
    <row r="1371" spans="1:28" x14ac:dyDescent="0.2">
      <c r="C1371" s="23" t="s">
        <v>1685</v>
      </c>
      <c r="D1371" s="23">
        <f>Source!BB535</f>
        <v>6.56</v>
      </c>
    </row>
    <row r="1372" spans="1:28" x14ac:dyDescent="0.2">
      <c r="C1372" s="23" t="s">
        <v>1686</v>
      </c>
      <c r="D1372" s="23">
        <f>Source!BC535</f>
        <v>6.56</v>
      </c>
    </row>
    <row r="1373" spans="1:28" x14ac:dyDescent="0.2">
      <c r="C1373" s="23" t="s">
        <v>1687</v>
      </c>
      <c r="D1373" s="23">
        <f>Source!BS535</f>
        <v>6.56</v>
      </c>
    </row>
    <row r="1374" spans="1:28" x14ac:dyDescent="0.2">
      <c r="C1374" s="9" t="s">
        <v>1688</v>
      </c>
      <c r="D1374" s="34"/>
      <c r="E1374" s="34"/>
      <c r="F1374" s="34">
        <f>Source!BZ535</f>
        <v>78</v>
      </c>
      <c r="G1374" s="58">
        <f>(Source!AF535+Source!AE535)*Source!FX535/100</f>
        <v>36.5274</v>
      </c>
      <c r="H1374" s="58">
        <f>Source!X535</f>
        <v>14.38</v>
      </c>
    </row>
    <row r="1375" spans="1:28" x14ac:dyDescent="0.2">
      <c r="C1375" s="9" t="s">
        <v>1690</v>
      </c>
      <c r="D1375" s="34"/>
      <c r="E1375" s="34"/>
      <c r="F1375" s="34">
        <f>Source!CA535</f>
        <v>50</v>
      </c>
      <c r="G1375" s="58">
        <f>(Source!AF535+Source!AE535)*Source!FY535/100</f>
        <v>23.414999999999999</v>
      </c>
      <c r="H1375" s="58">
        <f>Source!Y535</f>
        <v>9.2200000000000006</v>
      </c>
    </row>
    <row r="1376" spans="1:28" x14ac:dyDescent="0.2">
      <c r="C1376" s="9" t="s">
        <v>1692</v>
      </c>
      <c r="D1376" s="34"/>
      <c r="E1376" s="34"/>
      <c r="F1376" s="34"/>
      <c r="G1376" s="58">
        <f>((Source!AF535+Source!AE535)*Source!FX535/100)+((Source!AF535+Source!AE535)*Source!FY535/100)+Source!AB535</f>
        <v>106.7724</v>
      </c>
      <c r="H1376" s="58">
        <f>Source!O535+Source!X535+Source!Y535</f>
        <v>42.03</v>
      </c>
    </row>
    <row r="1377" spans="1:28" ht="28.5" x14ac:dyDescent="0.2">
      <c r="A1377" s="46">
        <v>205</v>
      </c>
      <c r="B1377" s="46" t="str">
        <f>Source!E536</f>
        <v>99</v>
      </c>
      <c r="C1377" s="46" t="str">
        <f>Source!G536</f>
        <v>Труба полиэтиленовая по основанию пола, диаметр до 50 мм (гильзы) прим.</v>
      </c>
      <c r="D1377" s="46" t="str">
        <f>Source!F536</f>
        <v>м08-02-410-02</v>
      </c>
      <c r="E1377" s="31" t="str">
        <f>Source!H536</f>
        <v>100 м</v>
      </c>
      <c r="F1377" s="12">
        <f>Source!I536</f>
        <v>3.5999999999999997E-2</v>
      </c>
      <c r="G1377" s="22">
        <f>Source!AB536</f>
        <v>250.92</v>
      </c>
      <c r="H1377" s="22">
        <f>Source!O536</f>
        <v>59.26</v>
      </c>
      <c r="T1377">
        <f>Source!O536+Source!X536+Source!Y536</f>
        <v>114.57</v>
      </c>
      <c r="U1377">
        <f>Source!P536</f>
        <v>20.72</v>
      </c>
      <c r="V1377">
        <f>Source!S536</f>
        <v>33.92</v>
      </c>
      <c r="W1377">
        <f>Source!Q536</f>
        <v>4.62</v>
      </c>
      <c r="X1377">
        <f>Source!R536</f>
        <v>0.65</v>
      </c>
      <c r="Y1377">
        <f>Source!U536</f>
        <v>0.5500799999999999</v>
      </c>
      <c r="Z1377">
        <f>Source!V536</f>
        <v>7.92E-3</v>
      </c>
      <c r="AA1377">
        <f>Source!X536</f>
        <v>32.840000000000003</v>
      </c>
      <c r="AB1377">
        <f>Source!Y536</f>
        <v>22.47</v>
      </c>
    </row>
    <row r="1378" spans="1:28" ht="14.25" x14ac:dyDescent="0.2">
      <c r="C1378" s="23" t="str">
        <f>"Объем: "&amp;Source!I536&amp;"=3,6/"&amp;"100"</f>
        <v>Объем: 0,036=3,6/100</v>
      </c>
      <c r="F1378" s="12"/>
      <c r="G1378" s="12"/>
      <c r="H1378" s="12"/>
    </row>
    <row r="1379" spans="1:28" x14ac:dyDescent="0.2">
      <c r="C1379" s="23" t="s">
        <v>1684</v>
      </c>
      <c r="D1379" s="23">
        <f>Source!BA536</f>
        <v>6.56</v>
      </c>
    </row>
    <row r="1380" spans="1:28" x14ac:dyDescent="0.2">
      <c r="C1380" s="23" t="s">
        <v>1685</v>
      </c>
      <c r="D1380" s="23">
        <f>Source!BB536</f>
        <v>6.56</v>
      </c>
    </row>
    <row r="1381" spans="1:28" x14ac:dyDescent="0.2">
      <c r="C1381" s="23" t="s">
        <v>1686</v>
      </c>
      <c r="D1381" s="23">
        <f>Source!BC536</f>
        <v>6.56</v>
      </c>
    </row>
    <row r="1382" spans="1:28" x14ac:dyDescent="0.2">
      <c r="C1382" s="23" t="s">
        <v>1687</v>
      </c>
      <c r="D1382" s="23">
        <f>Source!BS536</f>
        <v>6.56</v>
      </c>
    </row>
    <row r="1383" spans="1:28" x14ac:dyDescent="0.2">
      <c r="C1383" s="9" t="s">
        <v>1688</v>
      </c>
      <c r="D1383" s="34"/>
      <c r="E1383" s="34"/>
      <c r="F1383" s="34">
        <f>Source!BZ536</f>
        <v>95</v>
      </c>
      <c r="G1383" s="58">
        <f>(Source!AF536+Source!AE536)*Source!FX536/100</f>
        <v>139.08000000000001</v>
      </c>
      <c r="H1383" s="58">
        <f>Source!X536</f>
        <v>32.840000000000003</v>
      </c>
    </row>
    <row r="1384" spans="1:28" x14ac:dyDescent="0.2">
      <c r="C1384" s="9" t="s">
        <v>1690</v>
      </c>
      <c r="D1384" s="34"/>
      <c r="E1384" s="34"/>
      <c r="F1384" s="34">
        <f>Source!CA536</f>
        <v>65</v>
      </c>
      <c r="G1384" s="58">
        <f>(Source!AF536+Source!AE536)*Source!FY536/100</f>
        <v>95.16</v>
      </c>
      <c r="H1384" s="58">
        <f>Source!Y536</f>
        <v>22.47</v>
      </c>
    </row>
    <row r="1385" spans="1:28" x14ac:dyDescent="0.2">
      <c r="C1385" s="9" t="s">
        <v>1692</v>
      </c>
      <c r="D1385" s="34"/>
      <c r="E1385" s="34"/>
      <c r="F1385" s="34"/>
      <c r="G1385" s="58">
        <f>((Source!AF536+Source!AE536)*Source!FX536/100)+((Source!AF536+Source!AE536)*Source!FY536/100)+Source!AB536</f>
        <v>485.15999999999997</v>
      </c>
      <c r="H1385" s="58">
        <f>Source!O536+Source!X536+Source!Y536</f>
        <v>114.57</v>
      </c>
    </row>
    <row r="1386" spans="1:28" ht="42.75" x14ac:dyDescent="0.2">
      <c r="A1386" s="46">
        <v>206</v>
      </c>
      <c r="B1386" s="46" t="str">
        <f>Source!E537</f>
        <v>99,1</v>
      </c>
      <c r="C1386" s="46" t="str">
        <f>Source!G537</f>
        <v>Трубы жесткие гладкие легкие из самозатухающего ПВХ (IP55) серии RIG, диаметром 32 мм</v>
      </c>
      <c r="D1386" s="46" t="str">
        <f>Source!F537</f>
        <v>24.3.01.03-0014</v>
      </c>
      <c r="E1386" s="31" t="str">
        <f>Source!H537</f>
        <v>10 м</v>
      </c>
      <c r="F1386" s="12">
        <f>Source!I537</f>
        <v>0.36</v>
      </c>
      <c r="G1386" s="22">
        <f>Source!AB537</f>
        <v>79.47</v>
      </c>
      <c r="H1386" s="22">
        <f>Source!O537</f>
        <v>187.68</v>
      </c>
      <c r="T1386">
        <f>Source!O537+Source!X537+Source!Y537</f>
        <v>187.68</v>
      </c>
      <c r="U1386">
        <f>Source!P537</f>
        <v>187.68</v>
      </c>
      <c r="V1386">
        <f>Source!S537</f>
        <v>0</v>
      </c>
      <c r="W1386">
        <f>Source!Q537</f>
        <v>0</v>
      </c>
      <c r="X1386">
        <f>Source!R537</f>
        <v>0</v>
      </c>
      <c r="Y1386">
        <f>Source!U537</f>
        <v>0</v>
      </c>
      <c r="Z1386">
        <f>Source!V537</f>
        <v>0</v>
      </c>
      <c r="AA1386">
        <f>Source!X537</f>
        <v>0</v>
      </c>
      <c r="AB1386">
        <f>Source!Y537</f>
        <v>0</v>
      </c>
    </row>
    <row r="1387" spans="1:28" ht="14.25" x14ac:dyDescent="0.2">
      <c r="C1387" s="23" t="s">
        <v>1686</v>
      </c>
      <c r="D1387" s="23">
        <f>Source!BC537</f>
        <v>6.56</v>
      </c>
      <c r="F1387" s="12"/>
      <c r="G1387" s="12"/>
      <c r="H1387" s="12"/>
    </row>
    <row r="1388" spans="1:28" ht="42.75" x14ac:dyDescent="0.2">
      <c r="A1388" s="46">
        <v>207</v>
      </c>
      <c r="B1388" s="46" t="str">
        <f>Source!E538</f>
        <v>100</v>
      </c>
      <c r="C1388" s="46" t="str">
        <f>Source!G538</f>
        <v>Профиль перфорированный монтажный длиной 2 м (Лоток оцинкованный перфорированый)</v>
      </c>
      <c r="D1388" s="46" t="str">
        <f>Source!F538</f>
        <v>м08-02-397-01 прим.</v>
      </c>
      <c r="E1388" s="31" t="str">
        <f>Source!H538</f>
        <v>100 м</v>
      </c>
      <c r="F1388" s="12">
        <f>Source!I538</f>
        <v>0.06</v>
      </c>
      <c r="G1388" s="22">
        <f>Source!AB538</f>
        <v>582.66</v>
      </c>
      <c r="H1388" s="22">
        <f>Source!O538</f>
        <v>229.33</v>
      </c>
      <c r="T1388">
        <f>Source!O538+Source!X538+Source!Y538</f>
        <v>294.69</v>
      </c>
      <c r="U1388">
        <f>Source!P538</f>
        <v>160.4</v>
      </c>
      <c r="V1388">
        <f>Source!S538</f>
        <v>31.67</v>
      </c>
      <c r="W1388">
        <f>Source!Q538</f>
        <v>37.26</v>
      </c>
      <c r="X1388">
        <f>Source!R538</f>
        <v>9.18</v>
      </c>
      <c r="Y1388">
        <f>Source!U538</f>
        <v>0.51360000000000006</v>
      </c>
      <c r="Z1388">
        <f>Source!V538</f>
        <v>0.13619999999999999</v>
      </c>
      <c r="AA1388">
        <f>Source!X538</f>
        <v>38.81</v>
      </c>
      <c r="AB1388">
        <f>Source!Y538</f>
        <v>26.55</v>
      </c>
    </row>
    <row r="1389" spans="1:28" ht="14.25" x14ac:dyDescent="0.2">
      <c r="C1389" s="23" t="str">
        <f>"Объем: "&amp;Source!I538&amp;"=6/"&amp;"100"</f>
        <v>Объем: 0,06=6/100</v>
      </c>
      <c r="F1389" s="12"/>
      <c r="G1389" s="12"/>
      <c r="H1389" s="12"/>
    </row>
    <row r="1390" spans="1:28" x14ac:dyDescent="0.2">
      <c r="C1390" s="23" t="s">
        <v>1684</v>
      </c>
      <c r="D1390" s="23">
        <f>Source!BA538</f>
        <v>6.56</v>
      </c>
    </row>
    <row r="1391" spans="1:28" x14ac:dyDescent="0.2">
      <c r="C1391" s="23" t="s">
        <v>1685</v>
      </c>
      <c r="D1391" s="23">
        <f>Source!BB538</f>
        <v>6.56</v>
      </c>
    </row>
    <row r="1392" spans="1:28" x14ac:dyDescent="0.2">
      <c r="C1392" s="23" t="s">
        <v>1686</v>
      </c>
      <c r="D1392" s="23">
        <f>Source!BC538</f>
        <v>6.56</v>
      </c>
    </row>
    <row r="1393" spans="1:28" x14ac:dyDescent="0.2">
      <c r="C1393" s="23" t="s">
        <v>1687</v>
      </c>
      <c r="D1393" s="23">
        <f>Source!BS538</f>
        <v>6.56</v>
      </c>
    </row>
    <row r="1394" spans="1:28" x14ac:dyDescent="0.2">
      <c r="C1394" s="9" t="s">
        <v>1688</v>
      </c>
      <c r="D1394" s="34"/>
      <c r="E1394" s="34"/>
      <c r="F1394" s="34">
        <f>Source!BZ538</f>
        <v>95</v>
      </c>
      <c r="G1394" s="58">
        <f>(Source!AF538+Source!AE538)*Source!FX538/100</f>
        <v>98.600499999999997</v>
      </c>
      <c r="H1394" s="58">
        <f>Source!X538</f>
        <v>38.81</v>
      </c>
    </row>
    <row r="1395" spans="1:28" x14ac:dyDescent="0.2">
      <c r="C1395" s="9" t="s">
        <v>1690</v>
      </c>
      <c r="D1395" s="34"/>
      <c r="E1395" s="34"/>
      <c r="F1395" s="34">
        <f>Source!CA538</f>
        <v>65</v>
      </c>
      <c r="G1395" s="58">
        <f>(Source!AF538+Source!AE538)*Source!FY538/100</f>
        <v>67.463499999999996</v>
      </c>
      <c r="H1395" s="58">
        <f>Source!Y538</f>
        <v>26.55</v>
      </c>
    </row>
    <row r="1396" spans="1:28" x14ac:dyDescent="0.2">
      <c r="C1396" s="9" t="s">
        <v>1692</v>
      </c>
      <c r="D1396" s="34"/>
      <c r="E1396" s="34"/>
      <c r="F1396" s="34"/>
      <c r="G1396" s="58">
        <f>((Source!AF538+Source!AE538)*Source!FX538/100)+((Source!AF538+Source!AE538)*Source!FY538/100)+Source!AB538</f>
        <v>748.72399999999993</v>
      </c>
      <c r="H1396" s="58">
        <f>Source!O538+Source!X538+Source!Y538</f>
        <v>294.69</v>
      </c>
    </row>
    <row r="1397" spans="1:28" ht="42.75" x14ac:dyDescent="0.2">
      <c r="A1397" s="46">
        <v>208</v>
      </c>
      <c r="B1397" s="46" t="str">
        <f>Source!E539</f>
        <v>100,1</v>
      </c>
      <c r="C1397" s="46" t="str">
        <f>Source!G539</f>
        <v>Лоток кабельный проволочный оцинкованный размером 60х30 х3000мм прим.</v>
      </c>
      <c r="D1397" s="46" t="str">
        <f>Source!F539</f>
        <v>20.2.07.06-0001</v>
      </c>
      <c r="E1397" s="31" t="str">
        <f>Source!H539</f>
        <v>м</v>
      </c>
      <c r="F1397" s="12">
        <f>Source!I539</f>
        <v>6</v>
      </c>
      <c r="G1397" s="22">
        <f>Source!AB539</f>
        <v>22.51</v>
      </c>
      <c r="H1397" s="22">
        <f>Source!O539</f>
        <v>885.99</v>
      </c>
      <c r="T1397">
        <f>Source!O539+Source!X539+Source!Y539</f>
        <v>885.99</v>
      </c>
      <c r="U1397">
        <f>Source!P539</f>
        <v>885.99</v>
      </c>
      <c r="V1397">
        <f>Source!S539</f>
        <v>0</v>
      </c>
      <c r="W1397">
        <f>Source!Q539</f>
        <v>0</v>
      </c>
      <c r="X1397">
        <f>Source!R539</f>
        <v>0</v>
      </c>
      <c r="Y1397">
        <f>Source!U539</f>
        <v>0</v>
      </c>
      <c r="Z1397">
        <f>Source!V539</f>
        <v>0</v>
      </c>
      <c r="AA1397">
        <f>Source!X539</f>
        <v>0</v>
      </c>
      <c r="AB1397">
        <f>Source!Y539</f>
        <v>0</v>
      </c>
    </row>
    <row r="1398" spans="1:28" ht="14.25" x14ac:dyDescent="0.2">
      <c r="C1398" s="23" t="s">
        <v>1686</v>
      </c>
      <c r="D1398" s="23">
        <f>Source!BC539</f>
        <v>6.56</v>
      </c>
      <c r="F1398" s="12"/>
      <c r="G1398" s="12"/>
      <c r="H1398" s="12"/>
    </row>
    <row r="1400" spans="1:28" ht="15" x14ac:dyDescent="0.25">
      <c r="A1400" s="59"/>
      <c r="B1400" s="59"/>
      <c r="C1400" s="74" t="str">
        <f>CONCATENATE("Итого по разделу: ",IF(Source!G541&lt;&gt;"Новый раздел", Source!G541, ""))</f>
        <v>Итого по разделу: 5 Сети СКС</v>
      </c>
      <c r="D1400" s="74"/>
      <c r="E1400" s="74"/>
      <c r="F1400" s="74"/>
      <c r="G1400" s="59"/>
      <c r="H1400" s="60">
        <f>IF(SUM(T1345:T1399)=0, "-", SUM(T1345:T1399))</f>
        <v>45415.02</v>
      </c>
    </row>
    <row r="1401" spans="1:28" ht="15" x14ac:dyDescent="0.25">
      <c r="A1401" s="59"/>
      <c r="B1401" s="59"/>
      <c r="C1401" s="59"/>
      <c r="D1401" s="59"/>
      <c r="E1401" s="59"/>
      <c r="F1401" s="59"/>
      <c r="G1401" s="59"/>
      <c r="H1401" s="59"/>
    </row>
    <row r="1404" spans="1:28" ht="16.5" x14ac:dyDescent="0.25">
      <c r="A1404" s="75" t="str">
        <f>CONCATENATE("Раздел: ",IF(Source!G570&lt;&gt;"Новый раздел", Source!G570, ""))</f>
        <v>Раздел: 6 Отопление</v>
      </c>
      <c r="B1404" s="75"/>
      <c r="C1404" s="75"/>
      <c r="D1404" s="75"/>
      <c r="E1404" s="75"/>
      <c r="F1404" s="75"/>
      <c r="G1404" s="75"/>
      <c r="H1404" s="75"/>
    </row>
    <row r="1405" spans="1:28" ht="14.25" x14ac:dyDescent="0.2">
      <c r="A1405" s="46">
        <v>209</v>
      </c>
      <c r="B1405" s="46" t="str">
        <f>Source!E574</f>
        <v>101</v>
      </c>
      <c r="C1405" s="46" t="str">
        <f>Source!G574</f>
        <v>Демонтаж радиаторов весом до 80 кг</v>
      </c>
      <c r="D1405" s="46" t="str">
        <f>Source!F574</f>
        <v>65-19-1</v>
      </c>
      <c r="E1405" s="31" t="str">
        <f>Source!H574</f>
        <v>100 ШТ</v>
      </c>
      <c r="F1405" s="12">
        <f>Source!I574</f>
        <v>7.0000000000000007E-2</v>
      </c>
      <c r="G1405" s="22">
        <f>Source!AB574</f>
        <v>935.72</v>
      </c>
      <c r="H1405" s="22">
        <f>Source!O574</f>
        <v>429.68</v>
      </c>
      <c r="T1405">
        <f>Source!O574+Source!X574+Source!Y574</f>
        <v>939.84</v>
      </c>
      <c r="U1405">
        <f>Source!P574</f>
        <v>0</v>
      </c>
      <c r="V1405">
        <f>Source!S574</f>
        <v>397.53</v>
      </c>
      <c r="W1405">
        <f>Source!Q574</f>
        <v>32.15</v>
      </c>
      <c r="X1405">
        <f>Source!R574</f>
        <v>13.89</v>
      </c>
      <c r="Y1405">
        <f>Source!U574</f>
        <v>7.7000000000000011</v>
      </c>
      <c r="Z1405">
        <f>Source!V574</f>
        <v>0.15680000000000002</v>
      </c>
      <c r="AA1405">
        <f>Source!X574</f>
        <v>304.45</v>
      </c>
      <c r="AB1405">
        <f>Source!Y574</f>
        <v>205.71</v>
      </c>
    </row>
    <row r="1406" spans="1:28" ht="14.25" x14ac:dyDescent="0.2">
      <c r="C1406" s="23" t="str">
        <f>"Объем: "&amp;Source!I574&amp;"=7/"&amp;"100"</f>
        <v>Объем: 0,07=7/100</v>
      </c>
      <c r="F1406" s="12"/>
      <c r="G1406" s="12"/>
      <c r="H1406" s="12"/>
    </row>
    <row r="1407" spans="1:28" x14ac:dyDescent="0.2">
      <c r="C1407" s="23" t="s">
        <v>1684</v>
      </c>
      <c r="D1407" s="23">
        <f>Source!BA574</f>
        <v>6.56</v>
      </c>
    </row>
    <row r="1408" spans="1:28" x14ac:dyDescent="0.2">
      <c r="C1408" s="23" t="s">
        <v>1685</v>
      </c>
      <c r="D1408" s="23">
        <f>Source!BB574</f>
        <v>6.56</v>
      </c>
    </row>
    <row r="1409" spans="1:28" x14ac:dyDescent="0.2">
      <c r="C1409" s="23" t="s">
        <v>1686</v>
      </c>
      <c r="D1409" s="23">
        <f>Source!BC574</f>
        <v>6.56</v>
      </c>
    </row>
    <row r="1410" spans="1:28" x14ac:dyDescent="0.2">
      <c r="C1410" s="23" t="s">
        <v>1687</v>
      </c>
      <c r="D1410" s="23">
        <f>Source!BS574</f>
        <v>6.56</v>
      </c>
    </row>
    <row r="1411" spans="1:28" x14ac:dyDescent="0.2">
      <c r="C1411" s="9" t="s">
        <v>1688</v>
      </c>
      <c r="D1411" s="34"/>
      <c r="E1411" s="34"/>
      <c r="F1411" s="34">
        <f>Source!BZ574</f>
        <v>74</v>
      </c>
      <c r="G1411" s="58">
        <f>(Source!AF574+Source!AE574)*Source!FX574/100</f>
        <v>662.99559999999997</v>
      </c>
      <c r="H1411" s="58">
        <f>Source!X574</f>
        <v>304.45</v>
      </c>
    </row>
    <row r="1412" spans="1:28" x14ac:dyDescent="0.2">
      <c r="C1412" s="9" t="s">
        <v>1690</v>
      </c>
      <c r="D1412" s="34"/>
      <c r="E1412" s="34"/>
      <c r="F1412" s="34">
        <f>Source!CA574</f>
        <v>50</v>
      </c>
      <c r="G1412" s="58">
        <f>(Source!AF574+Source!AE574)*Source!FY574/100</f>
        <v>447.97</v>
      </c>
      <c r="H1412" s="58">
        <f>Source!Y574</f>
        <v>205.71</v>
      </c>
    </row>
    <row r="1413" spans="1:28" x14ac:dyDescent="0.2">
      <c r="C1413" s="9" t="s">
        <v>1692</v>
      </c>
      <c r="D1413" s="34"/>
      <c r="E1413" s="34"/>
      <c r="F1413" s="34"/>
      <c r="G1413" s="58">
        <f>((Source!AF574+Source!AE574)*Source!FX574/100)+((Source!AF574+Source!AE574)*Source!FY574/100)+Source!AB574</f>
        <v>2046.6856</v>
      </c>
      <c r="H1413" s="58">
        <f>Source!O574+Source!X574+Source!Y574</f>
        <v>939.84</v>
      </c>
    </row>
    <row r="1414" spans="1:28" ht="28.5" x14ac:dyDescent="0.2">
      <c r="A1414" s="46">
        <v>210</v>
      </c>
      <c r="B1414" s="46" t="str">
        <f>Source!E575</f>
        <v>102</v>
      </c>
      <c r="C1414" s="46" t="str">
        <f>Source!G575</f>
        <v>Установка радиаторов стальных</v>
      </c>
      <c r="D1414" s="46" t="str">
        <f>Source!F575</f>
        <v>18-03-001-02</v>
      </c>
      <c r="E1414" s="31" t="str">
        <f>Source!H575</f>
        <v>100 квт</v>
      </c>
      <c r="F1414" s="12">
        <f>Source!I575</f>
        <v>0.47849999999999998</v>
      </c>
      <c r="G1414" s="22">
        <f>Source!AB575</f>
        <v>2078.6799999999998</v>
      </c>
      <c r="H1414" s="22">
        <f>Source!O575</f>
        <v>6524.89</v>
      </c>
      <c r="T1414">
        <f>Source!O575+Source!X575+Source!Y575</f>
        <v>10758.53</v>
      </c>
      <c r="U1414">
        <f>Source!P575</f>
        <v>3645.15</v>
      </c>
      <c r="V1414">
        <f>Source!S575</f>
        <v>2124.1</v>
      </c>
      <c r="W1414">
        <f>Source!Q575</f>
        <v>755.64</v>
      </c>
      <c r="X1414">
        <f>Source!R575</f>
        <v>152.05000000000001</v>
      </c>
      <c r="Y1414">
        <f>Source!U575</f>
        <v>36.09803999999999</v>
      </c>
      <c r="Z1414">
        <f>Source!V575</f>
        <v>1.8721312499999998</v>
      </c>
      <c r="AA1414">
        <f>Source!X575</f>
        <v>2617.5700000000002</v>
      </c>
      <c r="AB1414">
        <f>Source!Y575</f>
        <v>1616.07</v>
      </c>
    </row>
    <row r="1415" spans="1:28" ht="14.25" x14ac:dyDescent="0.2">
      <c r="C1415" s="23" t="str">
        <f>"Объем: "&amp;Source!I575&amp;"=47,85/"&amp;"100"</f>
        <v>Объем: 0,4785=47,85/100</v>
      </c>
      <c r="F1415" s="12"/>
      <c r="G1415" s="12"/>
      <c r="H1415" s="12"/>
    </row>
    <row r="1416" spans="1:28" x14ac:dyDescent="0.2">
      <c r="C1416" s="23" t="s">
        <v>1684</v>
      </c>
      <c r="D1416" s="23">
        <f>Source!BA575</f>
        <v>6.56</v>
      </c>
    </row>
    <row r="1417" spans="1:28" x14ac:dyDescent="0.2">
      <c r="C1417" s="23" t="s">
        <v>1685</v>
      </c>
      <c r="D1417" s="23">
        <f>Source!BB575</f>
        <v>6.56</v>
      </c>
    </row>
    <row r="1418" spans="1:28" x14ac:dyDescent="0.2">
      <c r="C1418" s="23" t="s">
        <v>1686</v>
      </c>
      <c r="D1418" s="23">
        <f>Source!BC575</f>
        <v>6.56</v>
      </c>
    </row>
    <row r="1419" spans="1:28" x14ac:dyDescent="0.2">
      <c r="C1419" s="23" t="s">
        <v>1687</v>
      </c>
      <c r="D1419" s="23">
        <f>Source!BS575</f>
        <v>6.56</v>
      </c>
    </row>
    <row r="1420" spans="1:28" x14ac:dyDescent="0.2">
      <c r="C1420" s="23" t="s">
        <v>1694</v>
      </c>
      <c r="D1420" s="89" t="s">
        <v>172</v>
      </c>
      <c r="E1420" s="89"/>
      <c r="F1420" s="89"/>
      <c r="G1420" s="89"/>
      <c r="H1420" s="89"/>
    </row>
    <row r="1421" spans="1:28" x14ac:dyDescent="0.2">
      <c r="C1421" s="23" t="s">
        <v>1695</v>
      </c>
      <c r="D1421" s="89" t="s">
        <v>172</v>
      </c>
      <c r="E1421" s="89"/>
      <c r="F1421" s="89"/>
      <c r="G1421" s="89"/>
      <c r="H1421" s="89"/>
    </row>
    <row r="1422" spans="1:28" x14ac:dyDescent="0.2">
      <c r="C1422" s="23" t="s">
        <v>1696</v>
      </c>
      <c r="D1422" s="89" t="s">
        <v>173</v>
      </c>
      <c r="E1422" s="89"/>
      <c r="F1422" s="89"/>
      <c r="G1422" s="89"/>
      <c r="H1422" s="89"/>
    </row>
    <row r="1423" spans="1:28" x14ac:dyDescent="0.2">
      <c r="C1423" s="23" t="s">
        <v>1697</v>
      </c>
      <c r="D1423" s="89" t="s">
        <v>173</v>
      </c>
      <c r="E1423" s="89"/>
      <c r="F1423" s="89"/>
      <c r="G1423" s="89"/>
      <c r="H1423" s="89"/>
    </row>
    <row r="1424" spans="1:28" x14ac:dyDescent="0.2">
      <c r="C1424" s="23" t="s">
        <v>1698</v>
      </c>
      <c r="D1424" s="89" t="s">
        <v>172</v>
      </c>
      <c r="E1424" s="89"/>
      <c r="F1424" s="89"/>
      <c r="G1424" s="89"/>
      <c r="H1424" s="89"/>
    </row>
    <row r="1425" spans="1:28" x14ac:dyDescent="0.2">
      <c r="C1425" s="9" t="s">
        <v>1688</v>
      </c>
      <c r="D1425" s="34"/>
      <c r="E1425" s="34"/>
      <c r="F1425" s="34">
        <f>Source!BZ575</f>
        <v>128</v>
      </c>
      <c r="G1425" s="58">
        <f>(Source!AF575+Source!AE575)*Source!FX575/100</f>
        <v>835.34976000000006</v>
      </c>
      <c r="H1425" s="58">
        <f>Source!X575</f>
        <v>2617.5700000000002</v>
      </c>
    </row>
    <row r="1426" spans="1:28" x14ac:dyDescent="0.2">
      <c r="C1426" s="9" t="s">
        <v>1689</v>
      </c>
      <c r="D1426" s="34"/>
      <c r="E1426" s="34"/>
      <c r="F1426" s="34"/>
      <c r="G1426" s="34" t="str">
        <f>CONCATENATE(Source!DL575,Source!FT575, "=", Source!FX575, "%")</f>
        <v>*0,9=115,2%</v>
      </c>
      <c r="H1426" s="34" t="str">
        <f>CONCATENATE(Source!AT575)</f>
        <v>115</v>
      </c>
    </row>
    <row r="1427" spans="1:28" x14ac:dyDescent="0.2">
      <c r="C1427" s="9" t="s">
        <v>1690</v>
      </c>
      <c r="D1427" s="34"/>
      <c r="E1427" s="34"/>
      <c r="F1427" s="34">
        <f>Source!CA575</f>
        <v>83</v>
      </c>
      <c r="G1427" s="58">
        <f>(Source!AF575+Source!AE575)*Source!FY575/100</f>
        <v>511.57921500000003</v>
      </c>
      <c r="H1427" s="58">
        <f>Source!Y575</f>
        <v>1616.07</v>
      </c>
    </row>
    <row r="1428" spans="1:28" x14ac:dyDescent="0.2">
      <c r="C1428" s="9" t="s">
        <v>1691</v>
      </c>
      <c r="D1428" s="34"/>
      <c r="E1428" s="34"/>
      <c r="F1428" s="34"/>
      <c r="G1428" s="34" t="str">
        <f>CONCATENATE(Source!DM575,Source!FU575, "=", Source!FY575, "%")</f>
        <v>*0,85=70,55%</v>
      </c>
      <c r="H1428" s="34" t="str">
        <f>CONCATENATE(Source!AU575)</f>
        <v>71</v>
      </c>
    </row>
    <row r="1429" spans="1:28" x14ac:dyDescent="0.2">
      <c r="C1429" s="9" t="s">
        <v>1692</v>
      </c>
      <c r="D1429" s="34"/>
      <c r="E1429" s="34"/>
      <c r="F1429" s="34"/>
      <c r="G1429" s="58">
        <f>((Source!AF575+Source!AE575)*Source!FX575/100)+((Source!AF575+Source!AE575)*Source!FY575/100)+Source!AB575</f>
        <v>3425.6089750000001</v>
      </c>
      <c r="H1429" s="58">
        <f>Source!O575+Source!X575+Source!Y575</f>
        <v>10758.53</v>
      </c>
    </row>
    <row r="1430" spans="1:28" ht="42.75" x14ac:dyDescent="0.2">
      <c r="A1430" s="46">
        <v>211</v>
      </c>
      <c r="B1430" s="46" t="str">
        <f>Source!E576</f>
        <v>102,1</v>
      </c>
      <c r="C1430" s="46" t="str">
        <f>Source!G576</f>
        <v>Радиаторы биметаллические, марка «Rifar-Монолит A 500», количество секций 10, мощность 1650 Втприм.</v>
      </c>
      <c r="D1430" s="46" t="str">
        <f>Source!F576</f>
        <v>18.5.10.05-0008</v>
      </c>
      <c r="E1430" s="31" t="str">
        <f>Source!H576</f>
        <v>шт.</v>
      </c>
      <c r="F1430" s="12">
        <f>Source!I576</f>
        <v>7</v>
      </c>
      <c r="G1430" s="22">
        <f>Source!AB576</f>
        <v>1367</v>
      </c>
      <c r="H1430" s="22">
        <f>Source!O576</f>
        <v>62772.639999999999</v>
      </c>
      <c r="T1430">
        <f>Source!O576+Source!X576+Source!Y576</f>
        <v>62772.639999999999</v>
      </c>
      <c r="U1430">
        <f>Source!P576</f>
        <v>62772.639999999999</v>
      </c>
      <c r="V1430">
        <f>Source!S576</f>
        <v>0</v>
      </c>
      <c r="W1430">
        <f>Source!Q576</f>
        <v>0</v>
      </c>
      <c r="X1430">
        <f>Source!R576</f>
        <v>0</v>
      </c>
      <c r="Y1430">
        <f>Source!U576</f>
        <v>0</v>
      </c>
      <c r="Z1430">
        <f>Source!V576</f>
        <v>0</v>
      </c>
      <c r="AA1430">
        <f>Source!X576</f>
        <v>0</v>
      </c>
      <c r="AB1430">
        <f>Source!Y576</f>
        <v>0</v>
      </c>
    </row>
    <row r="1431" spans="1:28" ht="14.25" x14ac:dyDescent="0.2">
      <c r="C1431" s="23" t="s">
        <v>1686</v>
      </c>
      <c r="D1431" s="23">
        <f>Source!BC576</f>
        <v>6.56</v>
      </c>
      <c r="F1431" s="12"/>
      <c r="G1431" s="12"/>
      <c r="H1431" s="12"/>
    </row>
    <row r="1432" spans="1:28" ht="42.75" x14ac:dyDescent="0.2">
      <c r="A1432" s="46">
        <v>212</v>
      </c>
      <c r="B1432" s="46" t="str">
        <f>Source!E577</f>
        <v>102,2</v>
      </c>
      <c r="C1432" s="46" t="str">
        <f>Source!G577</f>
        <v>Краны шаровые BUGATTI для воды и пара стандартные ВВ с размером резьбы 3/4"</v>
      </c>
      <c r="D1432" s="46" t="str">
        <f>Source!F577</f>
        <v>18.1.09.08-0276</v>
      </c>
      <c r="E1432" s="31" t="str">
        <f>Source!H577</f>
        <v>шт.</v>
      </c>
      <c r="F1432" s="12">
        <f>Source!I577</f>
        <v>14</v>
      </c>
      <c r="G1432" s="22">
        <f>Source!AB577</f>
        <v>41.41</v>
      </c>
      <c r="H1432" s="22">
        <f>Source!O577</f>
        <v>3803.09</v>
      </c>
      <c r="T1432">
        <f>Source!O577+Source!X577+Source!Y577</f>
        <v>3803.09</v>
      </c>
      <c r="U1432">
        <f>Source!P577</f>
        <v>3803.09</v>
      </c>
      <c r="V1432">
        <f>Source!S577</f>
        <v>0</v>
      </c>
      <c r="W1432">
        <f>Source!Q577</f>
        <v>0</v>
      </c>
      <c r="X1432">
        <f>Source!R577</f>
        <v>0</v>
      </c>
      <c r="Y1432">
        <f>Source!U577</f>
        <v>0</v>
      </c>
      <c r="Z1432">
        <f>Source!V577</f>
        <v>0</v>
      </c>
      <c r="AA1432">
        <f>Source!X577</f>
        <v>0</v>
      </c>
      <c r="AB1432">
        <f>Source!Y577</f>
        <v>0</v>
      </c>
    </row>
    <row r="1433" spans="1:28" ht="14.25" x14ac:dyDescent="0.2">
      <c r="C1433" s="23" t="s">
        <v>1686</v>
      </c>
      <c r="D1433" s="23">
        <f>Source!BC577</f>
        <v>6.56</v>
      </c>
      <c r="F1433" s="12"/>
      <c r="G1433" s="12"/>
      <c r="H1433" s="12"/>
    </row>
    <row r="1434" spans="1:28" ht="28.5" x14ac:dyDescent="0.2">
      <c r="A1434" s="46">
        <v>213</v>
      </c>
      <c r="B1434" s="46" t="str">
        <f>Source!E578</f>
        <v>102,3</v>
      </c>
      <c r="C1434" s="46" t="str">
        <f>Source!G578</f>
        <v>Радиаторы</v>
      </c>
      <c r="D1434" s="46" t="str">
        <f>Source!F578</f>
        <v>18.5.10.06</v>
      </c>
      <c r="E1434" s="31" t="str">
        <f>Source!H578</f>
        <v>квт</v>
      </c>
      <c r="F1434" s="12">
        <f>Source!I578</f>
        <v>47.85</v>
      </c>
      <c r="G1434" s="22">
        <f>Source!AB578</f>
        <v>0</v>
      </c>
      <c r="H1434" s="22">
        <f>Source!O578</f>
        <v>0</v>
      </c>
      <c r="T1434">
        <f>Source!O578+Source!X578+Source!Y578</f>
        <v>0</v>
      </c>
      <c r="U1434">
        <f>Source!P578</f>
        <v>0</v>
      </c>
      <c r="V1434">
        <f>Source!S578</f>
        <v>0</v>
      </c>
      <c r="W1434">
        <f>Source!Q578</f>
        <v>0</v>
      </c>
      <c r="X1434">
        <f>Source!R578</f>
        <v>0</v>
      </c>
      <c r="Y1434">
        <f>Source!U578</f>
        <v>0</v>
      </c>
      <c r="Z1434">
        <f>Source!V578</f>
        <v>0</v>
      </c>
      <c r="AA1434">
        <f>Source!X578</f>
        <v>0</v>
      </c>
      <c r="AB1434">
        <f>Source!Y578</f>
        <v>0</v>
      </c>
    </row>
    <row r="1435" spans="1:28" ht="14.25" x14ac:dyDescent="0.2">
      <c r="C1435" s="23" t="s">
        <v>1686</v>
      </c>
      <c r="D1435" s="23">
        <f>Source!BC578</f>
        <v>6.56</v>
      </c>
      <c r="F1435" s="12"/>
      <c r="G1435" s="12"/>
      <c r="H1435" s="12"/>
    </row>
    <row r="1437" spans="1:28" ht="15" x14ac:dyDescent="0.25">
      <c r="A1437" s="59"/>
      <c r="B1437" s="59"/>
      <c r="C1437" s="74" t="str">
        <f>CONCATENATE("Итого по разделу: ",IF(Source!G580&lt;&gt;"Новый раздел", Source!G580, ""))</f>
        <v>Итого по разделу: 6 Отопление</v>
      </c>
      <c r="D1437" s="74"/>
      <c r="E1437" s="74"/>
      <c r="F1437" s="74"/>
      <c r="G1437" s="59"/>
      <c r="H1437" s="60">
        <f>IF(SUM(T1404:T1436)=0, "-", SUM(T1404:T1436))</f>
        <v>78274.099999999991</v>
      </c>
    </row>
    <row r="1438" spans="1:28" ht="15" x14ac:dyDescent="0.25">
      <c r="A1438" s="59"/>
      <c r="B1438" s="59"/>
      <c r="C1438" s="59"/>
      <c r="D1438" s="59"/>
      <c r="E1438" s="59"/>
      <c r="F1438" s="59"/>
      <c r="G1438" s="59"/>
      <c r="H1438" s="59"/>
    </row>
    <row r="1441" spans="1:28" ht="16.5" x14ac:dyDescent="0.25">
      <c r="A1441" s="75" t="str">
        <f>CONCATENATE("Раздел: ",IF(Source!G609&lt;&gt;"Новый раздел", Source!G609, ""))</f>
        <v>Раздел: 7 Система горячего и холодного водоснабжения</v>
      </c>
      <c r="B1441" s="75"/>
      <c r="C1441" s="75"/>
      <c r="D1441" s="75"/>
      <c r="E1441" s="75"/>
      <c r="F1441" s="75"/>
      <c r="G1441" s="75"/>
      <c r="H1441" s="75"/>
    </row>
    <row r="1442" spans="1:28" ht="14.25" x14ac:dyDescent="0.2">
      <c r="A1442" s="46">
        <v>214</v>
      </c>
      <c r="B1442" s="46" t="str">
        <f>Source!E613</f>
        <v>103</v>
      </c>
      <c r="C1442" s="46" t="str">
        <f>Source!G613</f>
        <v>Демонтаж умывальников и раковин</v>
      </c>
      <c r="D1442" s="46" t="str">
        <f>Source!F613</f>
        <v>65-4-1</v>
      </c>
      <c r="E1442" s="31" t="str">
        <f>Source!H613</f>
        <v>100 ШТ</v>
      </c>
      <c r="F1442" s="12">
        <f>Source!I613</f>
        <v>0.01</v>
      </c>
      <c r="G1442" s="22">
        <f>Source!AB613</f>
        <v>445.72</v>
      </c>
      <c r="H1442" s="22">
        <f>Source!O613</f>
        <v>29.24</v>
      </c>
      <c r="T1442">
        <f>Source!O613+Source!X613+Source!Y613</f>
        <v>65.13</v>
      </c>
      <c r="U1442">
        <f>Source!P613</f>
        <v>0</v>
      </c>
      <c r="V1442">
        <f>Source!S613</f>
        <v>28.71</v>
      </c>
      <c r="W1442">
        <f>Source!Q613</f>
        <v>0.53</v>
      </c>
      <c r="X1442">
        <f>Source!R613</f>
        <v>0.23</v>
      </c>
      <c r="Y1442">
        <f>Source!U613</f>
        <v>0.51300000000000001</v>
      </c>
      <c r="Z1442">
        <f>Source!V613</f>
        <v>2.6000000000000003E-3</v>
      </c>
      <c r="AA1442">
        <f>Source!X613</f>
        <v>21.42</v>
      </c>
      <c r="AB1442">
        <f>Source!Y613</f>
        <v>14.47</v>
      </c>
    </row>
    <row r="1443" spans="1:28" ht="14.25" x14ac:dyDescent="0.2">
      <c r="C1443" s="23" t="str">
        <f>"Объем: "&amp;Source!I613&amp;"=1/"&amp;"100"</f>
        <v>Объем: 0,01=1/100</v>
      </c>
      <c r="F1443" s="12"/>
      <c r="G1443" s="12"/>
      <c r="H1443" s="12"/>
    </row>
    <row r="1444" spans="1:28" x14ac:dyDescent="0.2">
      <c r="C1444" s="23" t="s">
        <v>1684</v>
      </c>
      <c r="D1444" s="23">
        <f>Source!BA613</f>
        <v>6.56</v>
      </c>
    </row>
    <row r="1445" spans="1:28" x14ac:dyDescent="0.2">
      <c r="C1445" s="23" t="s">
        <v>1685</v>
      </c>
      <c r="D1445" s="23">
        <f>Source!BB613</f>
        <v>6.56</v>
      </c>
    </row>
    <row r="1446" spans="1:28" x14ac:dyDescent="0.2">
      <c r="C1446" s="23" t="s">
        <v>1686</v>
      </c>
      <c r="D1446" s="23">
        <f>Source!BC613</f>
        <v>6.56</v>
      </c>
    </row>
    <row r="1447" spans="1:28" x14ac:dyDescent="0.2">
      <c r="C1447" s="23" t="s">
        <v>1687</v>
      </c>
      <c r="D1447" s="23">
        <f>Source!BS613</f>
        <v>6.56</v>
      </c>
    </row>
    <row r="1448" spans="1:28" x14ac:dyDescent="0.2">
      <c r="C1448" s="9" t="s">
        <v>1688</v>
      </c>
      <c r="D1448" s="34"/>
      <c r="E1448" s="34"/>
      <c r="F1448" s="34">
        <f>Source!BZ613</f>
        <v>74</v>
      </c>
      <c r="G1448" s="58">
        <f>(Source!AF613+Source!AE613)*Source!FX613/100</f>
        <v>326.41399999999999</v>
      </c>
      <c r="H1448" s="58">
        <f>Source!X613</f>
        <v>21.42</v>
      </c>
    </row>
    <row r="1449" spans="1:28" x14ac:dyDescent="0.2">
      <c r="C1449" s="9" t="s">
        <v>1690</v>
      </c>
      <c r="D1449" s="34"/>
      <c r="E1449" s="34"/>
      <c r="F1449" s="34">
        <f>Source!CA613</f>
        <v>50</v>
      </c>
      <c r="G1449" s="58">
        <f>(Source!AF613+Source!AE613)*Source!FY613/100</f>
        <v>220.55</v>
      </c>
      <c r="H1449" s="58">
        <f>Source!Y613</f>
        <v>14.47</v>
      </c>
    </row>
    <row r="1450" spans="1:28" x14ac:dyDescent="0.2">
      <c r="C1450" s="9" t="s">
        <v>1692</v>
      </c>
      <c r="D1450" s="34"/>
      <c r="E1450" s="34"/>
      <c r="F1450" s="34"/>
      <c r="G1450" s="58">
        <f>((Source!AF613+Source!AE613)*Source!FX613/100)+((Source!AF613+Source!AE613)*Source!FY613/100)+Source!AB613</f>
        <v>992.68399999999997</v>
      </c>
      <c r="H1450" s="58">
        <f>Source!O613+Source!X613+Source!Y613</f>
        <v>65.13</v>
      </c>
    </row>
    <row r="1451" spans="1:28" ht="57" x14ac:dyDescent="0.2">
      <c r="A1451" s="46">
        <v>215</v>
      </c>
      <c r="B1451" s="46" t="str">
        <f>Source!E614</f>
        <v>104</v>
      </c>
      <c r="C1451" s="46" t="str">
        <f>Source!G614</f>
        <v>Установка вентилей, задвижек, затворов, клапанов обратных, кранов проходных на трубопроводах из стальных труб диаметром до 25 мм</v>
      </c>
      <c r="D1451" s="46" t="str">
        <f>Source!F614</f>
        <v>16-05-001-01</v>
      </c>
      <c r="E1451" s="31" t="str">
        <f>Source!H614</f>
        <v>ШТ</v>
      </c>
      <c r="F1451" s="12">
        <f>Source!I614</f>
        <v>5</v>
      </c>
      <c r="G1451" s="22">
        <f>Source!AB614</f>
        <v>42.04</v>
      </c>
      <c r="H1451" s="22">
        <f>Source!O614</f>
        <v>1378.91</v>
      </c>
      <c r="T1451">
        <f>Source!O614+Source!X614+Source!Y614</f>
        <v>2199.46</v>
      </c>
      <c r="U1451">
        <f>Source!P614</f>
        <v>826.89</v>
      </c>
      <c r="V1451">
        <f>Source!S614</f>
        <v>437.22</v>
      </c>
      <c r="W1451">
        <f>Source!Q614</f>
        <v>114.8</v>
      </c>
      <c r="X1451">
        <f>Source!R614</f>
        <v>3.94</v>
      </c>
      <c r="Y1451">
        <f>Source!U614</f>
        <v>7.35</v>
      </c>
      <c r="Z1451">
        <f>Source!V614</f>
        <v>0.05</v>
      </c>
      <c r="AA1451">
        <f>Source!X614</f>
        <v>507.33</v>
      </c>
      <c r="AB1451">
        <f>Source!Y614</f>
        <v>313.22000000000003</v>
      </c>
    </row>
    <row r="1452" spans="1:28" ht="14.25" x14ac:dyDescent="0.2">
      <c r="C1452" s="23" t="s">
        <v>1684</v>
      </c>
      <c r="D1452" s="23">
        <f>Source!BA614</f>
        <v>6.56</v>
      </c>
      <c r="F1452" s="12"/>
      <c r="G1452" s="12"/>
      <c r="H1452" s="12"/>
    </row>
    <row r="1453" spans="1:28" x14ac:dyDescent="0.2">
      <c r="C1453" s="23" t="s">
        <v>1685</v>
      </c>
      <c r="D1453" s="23">
        <f>Source!BB614</f>
        <v>6.56</v>
      </c>
    </row>
    <row r="1454" spans="1:28" x14ac:dyDescent="0.2">
      <c r="C1454" s="23" t="s">
        <v>1686</v>
      </c>
      <c r="D1454" s="23">
        <f>Source!BC614</f>
        <v>6.56</v>
      </c>
    </row>
    <row r="1455" spans="1:28" x14ac:dyDescent="0.2">
      <c r="C1455" s="23" t="s">
        <v>1687</v>
      </c>
      <c r="D1455" s="23">
        <f>Source!BS614</f>
        <v>6.56</v>
      </c>
    </row>
    <row r="1456" spans="1:28" x14ac:dyDescent="0.2">
      <c r="C1456" s="9" t="s">
        <v>1688</v>
      </c>
      <c r="D1456" s="34"/>
      <c r="E1456" s="34"/>
      <c r="F1456" s="34">
        <f>Source!BZ614</f>
        <v>128</v>
      </c>
      <c r="G1456" s="58">
        <f>(Source!AF614+Source!AE614)*Source!FX614/100</f>
        <v>15.494400000000001</v>
      </c>
      <c r="H1456" s="58">
        <f>Source!X614</f>
        <v>507.33</v>
      </c>
    </row>
    <row r="1457" spans="1:28" x14ac:dyDescent="0.2">
      <c r="C1457" s="9" t="s">
        <v>1689</v>
      </c>
      <c r="D1457" s="34"/>
      <c r="E1457" s="34"/>
      <c r="F1457" s="34"/>
      <c r="G1457" s="34" t="str">
        <f>CONCATENATE(Source!DL614,Source!FT614, "=", Source!FX614, "%")</f>
        <v>*0,9=115,2%</v>
      </c>
      <c r="H1457" s="34" t="str">
        <f>CONCATENATE(Source!AT614)</f>
        <v>115</v>
      </c>
    </row>
    <row r="1458" spans="1:28" x14ac:dyDescent="0.2">
      <c r="C1458" s="9" t="s">
        <v>1690</v>
      </c>
      <c r="D1458" s="34"/>
      <c r="E1458" s="34"/>
      <c r="F1458" s="34">
        <f>Source!CA614</f>
        <v>83</v>
      </c>
      <c r="G1458" s="58">
        <f>(Source!AF614+Source!AE614)*Source!FY614/100</f>
        <v>9.4889749999999999</v>
      </c>
      <c r="H1458" s="58">
        <f>Source!Y614</f>
        <v>313.22000000000003</v>
      </c>
    </row>
    <row r="1459" spans="1:28" x14ac:dyDescent="0.2">
      <c r="C1459" s="9" t="s">
        <v>1691</v>
      </c>
      <c r="D1459" s="34"/>
      <c r="E1459" s="34"/>
      <c r="F1459" s="34"/>
      <c r="G1459" s="34" t="str">
        <f>CONCATENATE(Source!DM614,Source!FU614, "=", Source!FY614, "%")</f>
        <v>*0,85=70,55%</v>
      </c>
      <c r="H1459" s="34" t="str">
        <f>CONCATENATE(Source!AU614)</f>
        <v>71</v>
      </c>
    </row>
    <row r="1460" spans="1:28" x14ac:dyDescent="0.2">
      <c r="C1460" s="9" t="s">
        <v>1692</v>
      </c>
      <c r="D1460" s="34"/>
      <c r="E1460" s="34"/>
      <c r="F1460" s="34"/>
      <c r="G1460" s="58">
        <f>((Source!AF614+Source!AE614)*Source!FX614/100)+((Source!AF614+Source!AE614)*Source!FY614/100)+Source!AB614</f>
        <v>67.023375000000001</v>
      </c>
      <c r="H1460" s="58">
        <f>Source!O614+Source!X614+Source!Y614</f>
        <v>2199.46</v>
      </c>
    </row>
    <row r="1461" spans="1:28" ht="42.75" x14ac:dyDescent="0.2">
      <c r="A1461" s="46">
        <v>216</v>
      </c>
      <c r="B1461" s="46" t="str">
        <f>Source!E615</f>
        <v>104,1</v>
      </c>
      <c r="C1461" s="46" t="str">
        <f>Source!G615</f>
        <v>Краны шаровые BUGATTI New Jerseyдля воды и пара стандартные ВВ с размером резьбы 3/4" прим.</v>
      </c>
      <c r="D1461" s="46" t="str">
        <f>Source!F615</f>
        <v>18.1.09.08-0276</v>
      </c>
      <c r="E1461" s="31" t="str">
        <f>Source!H615</f>
        <v>шт.</v>
      </c>
      <c r="F1461" s="12">
        <f>Source!I615</f>
        <v>5</v>
      </c>
      <c r="G1461" s="22">
        <f>Source!AB615</f>
        <v>41.41</v>
      </c>
      <c r="H1461" s="22">
        <f>Source!O615</f>
        <v>1358.25</v>
      </c>
      <c r="T1461">
        <f>Source!O615+Source!X615+Source!Y615</f>
        <v>1358.25</v>
      </c>
      <c r="U1461">
        <f>Source!P615</f>
        <v>1358.25</v>
      </c>
      <c r="V1461">
        <f>Source!S615</f>
        <v>0</v>
      </c>
      <c r="W1461">
        <f>Source!Q615</f>
        <v>0</v>
      </c>
      <c r="X1461">
        <f>Source!R615</f>
        <v>0</v>
      </c>
      <c r="Y1461">
        <f>Source!U615</f>
        <v>0</v>
      </c>
      <c r="Z1461">
        <f>Source!V615</f>
        <v>0</v>
      </c>
      <c r="AA1461">
        <f>Source!X615</f>
        <v>0</v>
      </c>
      <c r="AB1461">
        <f>Source!Y615</f>
        <v>0</v>
      </c>
    </row>
    <row r="1462" spans="1:28" ht="14.25" x14ac:dyDescent="0.2">
      <c r="C1462" s="23" t="s">
        <v>1686</v>
      </c>
      <c r="D1462" s="23">
        <f>Source!BC615</f>
        <v>6.56</v>
      </c>
      <c r="F1462" s="12"/>
      <c r="G1462" s="12"/>
      <c r="H1462" s="12"/>
    </row>
    <row r="1463" spans="1:28" ht="28.5" x14ac:dyDescent="0.2">
      <c r="A1463" s="46">
        <v>217</v>
      </c>
      <c r="B1463" s="46" t="str">
        <f>Source!E616</f>
        <v>105</v>
      </c>
      <c r="C1463" s="46" t="str">
        <f>Source!G616</f>
        <v>Установка раковин</v>
      </c>
      <c r="D1463" s="46" t="str">
        <f>Source!F616</f>
        <v>17-01-005-04</v>
      </c>
      <c r="E1463" s="31" t="str">
        <f>Source!H616</f>
        <v>10 компл</v>
      </c>
      <c r="F1463" s="12">
        <f>Source!I616</f>
        <v>0.2</v>
      </c>
      <c r="G1463" s="22">
        <f>Source!AB616</f>
        <v>169.59</v>
      </c>
      <c r="H1463" s="22">
        <f>Source!O616</f>
        <v>222.5</v>
      </c>
      <c r="T1463">
        <f>Source!O616+Source!X616+Source!Y616</f>
        <v>473.02</v>
      </c>
      <c r="U1463">
        <f>Source!P616</f>
        <v>73.34</v>
      </c>
      <c r="V1463">
        <f>Source!S616</f>
        <v>130.47999999999999</v>
      </c>
      <c r="W1463">
        <f>Source!Q616</f>
        <v>18.68</v>
      </c>
      <c r="X1463">
        <f>Source!R616</f>
        <v>4.21</v>
      </c>
      <c r="Y1463">
        <f>Source!U616</f>
        <v>2.0676999999999999</v>
      </c>
      <c r="Z1463">
        <f>Source!V616</f>
        <v>5.2500000000000005E-2</v>
      </c>
      <c r="AA1463">
        <f>Source!X616</f>
        <v>154.88999999999999</v>
      </c>
      <c r="AB1463">
        <f>Source!Y616</f>
        <v>95.63</v>
      </c>
    </row>
    <row r="1464" spans="1:28" ht="14.25" x14ac:dyDescent="0.2">
      <c r="C1464" s="23" t="str">
        <f>"Объем: "&amp;Source!I616&amp;"=2/"&amp;"10"</f>
        <v>Объем: 0,2=2/10</v>
      </c>
      <c r="F1464" s="12"/>
      <c r="G1464" s="12"/>
      <c r="H1464" s="12"/>
    </row>
    <row r="1465" spans="1:28" x14ac:dyDescent="0.2">
      <c r="C1465" s="23" t="s">
        <v>1684</v>
      </c>
      <c r="D1465" s="23">
        <f>Source!BA616</f>
        <v>6.56</v>
      </c>
    </row>
    <row r="1466" spans="1:28" x14ac:dyDescent="0.2">
      <c r="C1466" s="23" t="s">
        <v>1685</v>
      </c>
      <c r="D1466" s="23">
        <f>Source!BB616</f>
        <v>6.56</v>
      </c>
    </row>
    <row r="1467" spans="1:28" x14ac:dyDescent="0.2">
      <c r="C1467" s="23" t="s">
        <v>1686</v>
      </c>
      <c r="D1467" s="23">
        <f>Source!BC616</f>
        <v>6.56</v>
      </c>
    </row>
    <row r="1468" spans="1:28" x14ac:dyDescent="0.2">
      <c r="C1468" s="23" t="s">
        <v>1687</v>
      </c>
      <c r="D1468" s="23">
        <f>Source!BS616</f>
        <v>6.56</v>
      </c>
    </row>
    <row r="1469" spans="1:28" x14ac:dyDescent="0.2">
      <c r="C1469" s="23" t="s">
        <v>1694</v>
      </c>
      <c r="D1469" s="89" t="s">
        <v>172</v>
      </c>
      <c r="E1469" s="89"/>
      <c r="F1469" s="89"/>
      <c r="G1469" s="89"/>
      <c r="H1469" s="89"/>
    </row>
    <row r="1470" spans="1:28" x14ac:dyDescent="0.2">
      <c r="C1470" s="23" t="s">
        <v>1695</v>
      </c>
      <c r="D1470" s="89" t="s">
        <v>172</v>
      </c>
      <c r="E1470" s="89"/>
      <c r="F1470" s="89"/>
      <c r="G1470" s="89"/>
      <c r="H1470" s="89"/>
    </row>
    <row r="1471" spans="1:28" x14ac:dyDescent="0.2">
      <c r="C1471" s="23" t="s">
        <v>1696</v>
      </c>
      <c r="D1471" s="89" t="s">
        <v>173</v>
      </c>
      <c r="E1471" s="89"/>
      <c r="F1471" s="89"/>
      <c r="G1471" s="89"/>
      <c r="H1471" s="89"/>
    </row>
    <row r="1472" spans="1:28" x14ac:dyDescent="0.2">
      <c r="C1472" s="23" t="s">
        <v>1697</v>
      </c>
      <c r="D1472" s="89" t="s">
        <v>173</v>
      </c>
      <c r="E1472" s="89"/>
      <c r="F1472" s="89"/>
      <c r="G1472" s="89"/>
      <c r="H1472" s="89"/>
    </row>
    <row r="1473" spans="1:28" x14ac:dyDescent="0.2">
      <c r="C1473" s="23" t="s">
        <v>1698</v>
      </c>
      <c r="D1473" s="89" t="s">
        <v>172</v>
      </c>
      <c r="E1473" s="89"/>
      <c r="F1473" s="89"/>
      <c r="G1473" s="89"/>
      <c r="H1473" s="89"/>
    </row>
    <row r="1474" spans="1:28" x14ac:dyDescent="0.2">
      <c r="C1474" s="9" t="s">
        <v>1688</v>
      </c>
      <c r="D1474" s="34"/>
      <c r="E1474" s="34"/>
      <c r="F1474" s="34">
        <f>Source!BZ616</f>
        <v>128</v>
      </c>
      <c r="G1474" s="58">
        <f>(Source!AF616+Source!AE616)*Source!FX616/100</f>
        <v>118.26432000000001</v>
      </c>
      <c r="H1474" s="58">
        <f>Source!X616</f>
        <v>154.88999999999999</v>
      </c>
    </row>
    <row r="1475" spans="1:28" x14ac:dyDescent="0.2">
      <c r="C1475" s="9" t="s">
        <v>1689</v>
      </c>
      <c r="D1475" s="34"/>
      <c r="E1475" s="34"/>
      <c r="F1475" s="34"/>
      <c r="G1475" s="34" t="str">
        <f>CONCATENATE(Source!DL616,Source!FT616, "=", Source!FX616, "%")</f>
        <v>*0,9=115,2%</v>
      </c>
      <c r="H1475" s="34" t="str">
        <f>CONCATENATE(Source!AT616)</f>
        <v>115</v>
      </c>
    </row>
    <row r="1476" spans="1:28" x14ac:dyDescent="0.2">
      <c r="C1476" s="9" t="s">
        <v>1690</v>
      </c>
      <c r="D1476" s="34"/>
      <c r="E1476" s="34"/>
      <c r="F1476" s="34">
        <f>Source!CA616</f>
        <v>83</v>
      </c>
      <c r="G1476" s="58">
        <f>(Source!AF616+Source!AE616)*Source!FY616/100</f>
        <v>72.426629999999989</v>
      </c>
      <c r="H1476" s="58">
        <f>Source!Y616</f>
        <v>95.63</v>
      </c>
    </row>
    <row r="1477" spans="1:28" x14ac:dyDescent="0.2">
      <c r="C1477" s="9" t="s">
        <v>1691</v>
      </c>
      <c r="D1477" s="34"/>
      <c r="E1477" s="34"/>
      <c r="F1477" s="34"/>
      <c r="G1477" s="34" t="str">
        <f>CONCATENATE(Source!DM616,Source!FU616, "=", Source!FY616, "%")</f>
        <v>*0,85=70,55%</v>
      </c>
      <c r="H1477" s="34" t="str">
        <f>CONCATENATE(Source!AU616)</f>
        <v>71</v>
      </c>
    </row>
    <row r="1478" spans="1:28" x14ac:dyDescent="0.2">
      <c r="C1478" s="9" t="s">
        <v>1692</v>
      </c>
      <c r="D1478" s="34"/>
      <c r="E1478" s="34"/>
      <c r="F1478" s="34"/>
      <c r="G1478" s="58">
        <f>((Source!AF616+Source!AE616)*Source!FX616/100)+((Source!AF616+Source!AE616)*Source!FY616/100)+Source!AB616</f>
        <v>360.28094999999996</v>
      </c>
      <c r="H1478" s="58">
        <f>Source!O616+Source!X616+Source!Y616</f>
        <v>473.02</v>
      </c>
    </row>
    <row r="1479" spans="1:28" ht="28.5" x14ac:dyDescent="0.2">
      <c r="A1479" s="46">
        <v>218</v>
      </c>
      <c r="B1479" s="46" t="str">
        <f>Source!E617</f>
        <v>105,1</v>
      </c>
      <c r="C1479" s="46" t="str">
        <f>Source!G617</f>
        <v>Пьедесталы для раковины Santek Бореаль WH110591 прим.</v>
      </c>
      <c r="D1479" s="46" t="str">
        <f>Source!F617</f>
        <v>18.2.06.12-0021</v>
      </c>
      <c r="E1479" s="31" t="str">
        <f>Source!H617</f>
        <v>шт.</v>
      </c>
      <c r="F1479" s="12">
        <f>Source!I617</f>
        <v>2</v>
      </c>
      <c r="G1479" s="22">
        <f>Source!AB617</f>
        <v>130.53</v>
      </c>
      <c r="H1479" s="22">
        <f>Source!O617</f>
        <v>1712.55</v>
      </c>
      <c r="T1479">
        <f>Source!O617+Source!X617+Source!Y617</f>
        <v>1712.55</v>
      </c>
      <c r="U1479">
        <f>Source!P617</f>
        <v>1712.55</v>
      </c>
      <c r="V1479">
        <f>Source!S617</f>
        <v>0</v>
      </c>
      <c r="W1479">
        <f>Source!Q617</f>
        <v>0</v>
      </c>
      <c r="X1479">
        <f>Source!R617</f>
        <v>0</v>
      </c>
      <c r="Y1479">
        <f>Source!U617</f>
        <v>0</v>
      </c>
      <c r="Z1479">
        <f>Source!V617</f>
        <v>0</v>
      </c>
      <c r="AA1479">
        <f>Source!X617</f>
        <v>0</v>
      </c>
      <c r="AB1479">
        <f>Source!Y617</f>
        <v>0</v>
      </c>
    </row>
    <row r="1480" spans="1:28" ht="14.25" x14ac:dyDescent="0.2">
      <c r="C1480" s="23" t="s">
        <v>1686</v>
      </c>
      <c r="D1480" s="23">
        <f>Source!BC617</f>
        <v>6.56</v>
      </c>
      <c r="F1480" s="12"/>
      <c r="G1480" s="12"/>
      <c r="H1480" s="12"/>
    </row>
    <row r="1481" spans="1:28" ht="85.5" x14ac:dyDescent="0.2">
      <c r="A1481" s="46">
        <v>219</v>
      </c>
      <c r="B1481" s="46" t="str">
        <f>Source!E618</f>
        <v>105,2</v>
      </c>
      <c r="C1481" s="46" t="str">
        <f>Source!G618</f>
        <v>Раковины Santek Бореаль 60 с смесителем  Bravat Fit F 1233188 CPс нижней камерой смешивания, кронштейнами, сифоном  для раковины Alkaplast A41 Flexi латунным и выпуском  прим.</v>
      </c>
      <c r="D1481" s="46" t="str">
        <f>Source!F618</f>
        <v>18.2.01.05-0189</v>
      </c>
      <c r="E1481" s="31" t="str">
        <f>Source!H618</f>
        <v>компл.</v>
      </c>
      <c r="F1481" s="12">
        <f>Source!I618</f>
        <v>2</v>
      </c>
      <c r="G1481" s="22">
        <f>Source!AB618</f>
        <v>357</v>
      </c>
      <c r="H1481" s="22">
        <f>Source!O618</f>
        <v>4683.84</v>
      </c>
      <c r="T1481">
        <f>Source!O618+Source!X618+Source!Y618</f>
        <v>4683.84</v>
      </c>
      <c r="U1481">
        <f>Source!P618</f>
        <v>4683.84</v>
      </c>
      <c r="V1481">
        <f>Source!S618</f>
        <v>0</v>
      </c>
      <c r="W1481">
        <f>Source!Q618</f>
        <v>0</v>
      </c>
      <c r="X1481">
        <f>Source!R618</f>
        <v>0</v>
      </c>
      <c r="Y1481">
        <f>Source!U618</f>
        <v>0</v>
      </c>
      <c r="Z1481">
        <f>Source!V618</f>
        <v>0</v>
      </c>
      <c r="AA1481">
        <f>Source!X618</f>
        <v>0</v>
      </c>
      <c r="AB1481">
        <f>Source!Y618</f>
        <v>0</v>
      </c>
    </row>
    <row r="1482" spans="1:28" ht="14.25" x14ac:dyDescent="0.2">
      <c r="C1482" s="23" t="s">
        <v>1686</v>
      </c>
      <c r="D1482" s="23">
        <f>Source!BC618</f>
        <v>6.56</v>
      </c>
      <c r="F1482" s="12"/>
      <c r="G1482" s="12"/>
      <c r="H1482" s="12"/>
    </row>
    <row r="1483" spans="1:28" ht="28.5" x14ac:dyDescent="0.2">
      <c r="A1483" s="46">
        <v>220</v>
      </c>
      <c r="B1483" s="46" t="str">
        <f>Source!E619</f>
        <v>105,3</v>
      </c>
      <c r="C1483" s="46" t="str">
        <f>Source!G619</f>
        <v>Подводка гибкая армированная резиновая 1000 мм</v>
      </c>
      <c r="D1483" s="46" t="str">
        <f>Source!F619</f>
        <v>18.2.06.08-0016</v>
      </c>
      <c r="E1483" s="31" t="str">
        <f>Source!H619</f>
        <v>10 шт.</v>
      </c>
      <c r="F1483" s="12">
        <f>Source!I619</f>
        <v>0.2</v>
      </c>
      <c r="G1483" s="22">
        <f>Source!AB619</f>
        <v>160.19999999999999</v>
      </c>
      <c r="H1483" s="22">
        <f>Source!O619</f>
        <v>210.18</v>
      </c>
      <c r="T1483">
        <f>Source!O619+Source!X619+Source!Y619</f>
        <v>210.18</v>
      </c>
      <c r="U1483">
        <f>Source!P619</f>
        <v>210.18</v>
      </c>
      <c r="V1483">
        <f>Source!S619</f>
        <v>0</v>
      </c>
      <c r="W1483">
        <f>Source!Q619</f>
        <v>0</v>
      </c>
      <c r="X1483">
        <f>Source!R619</f>
        <v>0</v>
      </c>
      <c r="Y1483">
        <f>Source!U619</f>
        <v>0</v>
      </c>
      <c r="Z1483">
        <f>Source!V619</f>
        <v>0</v>
      </c>
      <c r="AA1483">
        <f>Source!X619</f>
        <v>0</v>
      </c>
      <c r="AB1483">
        <f>Source!Y619</f>
        <v>0</v>
      </c>
    </row>
    <row r="1484" spans="1:28" ht="14.25" x14ac:dyDescent="0.2">
      <c r="C1484" s="23" t="s">
        <v>1686</v>
      </c>
      <c r="D1484" s="23">
        <f>Source!BC619</f>
        <v>6.56</v>
      </c>
      <c r="F1484" s="12"/>
      <c r="G1484" s="12"/>
      <c r="H1484" s="12"/>
    </row>
    <row r="1485" spans="1:28" ht="28.5" x14ac:dyDescent="0.2">
      <c r="A1485" s="46">
        <v>221</v>
      </c>
      <c r="B1485" s="46" t="str">
        <f>Source!E620</f>
        <v>106</v>
      </c>
      <c r="C1485" s="46" t="str">
        <f>Source!G620</f>
        <v>Установка смесителей (без стоимости материалов)</v>
      </c>
      <c r="D1485" s="46" t="str">
        <f>Source!F620</f>
        <v>17-01-002-03</v>
      </c>
      <c r="E1485" s="31" t="str">
        <f>Source!H620</f>
        <v>10 ШТ</v>
      </c>
      <c r="F1485" s="12">
        <f>Source!I620</f>
        <v>0.2</v>
      </c>
      <c r="G1485" s="22">
        <f>Source!AB620</f>
        <v>88.42</v>
      </c>
      <c r="H1485" s="22">
        <f>Source!O620</f>
        <v>116.01</v>
      </c>
      <c r="T1485">
        <f>Source!O620+Source!X620+Source!Y620</f>
        <v>304.99</v>
      </c>
      <c r="U1485">
        <f>Source!P620</f>
        <v>14.41</v>
      </c>
      <c r="V1485">
        <f>Source!S620</f>
        <v>101.6</v>
      </c>
      <c r="W1485">
        <f>Source!Q620</f>
        <v>0</v>
      </c>
      <c r="X1485">
        <f>Source!R620</f>
        <v>0</v>
      </c>
      <c r="Y1485">
        <f>Source!U620</f>
        <v>1.6099999999999999</v>
      </c>
      <c r="Z1485">
        <f>Source!V620</f>
        <v>0</v>
      </c>
      <c r="AA1485">
        <f>Source!X620</f>
        <v>116.84</v>
      </c>
      <c r="AB1485">
        <f>Source!Y620</f>
        <v>72.14</v>
      </c>
    </row>
    <row r="1486" spans="1:28" ht="14.25" x14ac:dyDescent="0.2">
      <c r="C1486" s="23" t="str">
        <f>"Объем: "&amp;Source!I620&amp;"=2/"&amp;"10"</f>
        <v>Объем: 0,2=2/10</v>
      </c>
      <c r="F1486" s="12"/>
      <c r="G1486" s="12"/>
      <c r="H1486" s="12"/>
    </row>
    <row r="1487" spans="1:28" x14ac:dyDescent="0.2">
      <c r="C1487" s="23" t="s">
        <v>1684</v>
      </c>
      <c r="D1487" s="23">
        <f>Source!BA620</f>
        <v>6.56</v>
      </c>
    </row>
    <row r="1488" spans="1:28" x14ac:dyDescent="0.2">
      <c r="C1488" s="23" t="s">
        <v>1685</v>
      </c>
      <c r="D1488" s="23">
        <f>Source!BB620</f>
        <v>6.56</v>
      </c>
    </row>
    <row r="1489" spans="1:33" x14ac:dyDescent="0.2">
      <c r="C1489" s="23" t="s">
        <v>1686</v>
      </c>
      <c r="D1489" s="23">
        <f>Source!BC620</f>
        <v>6.56</v>
      </c>
    </row>
    <row r="1490" spans="1:33" x14ac:dyDescent="0.2">
      <c r="C1490" s="23" t="s">
        <v>1687</v>
      </c>
      <c r="D1490" s="23">
        <f>Source!BS620</f>
        <v>6.56</v>
      </c>
    </row>
    <row r="1491" spans="1:33" x14ac:dyDescent="0.2">
      <c r="C1491" s="23" t="s">
        <v>1694</v>
      </c>
      <c r="D1491" s="89" t="s">
        <v>172</v>
      </c>
      <c r="E1491" s="89"/>
      <c r="F1491" s="89"/>
      <c r="G1491" s="89"/>
      <c r="H1491" s="89"/>
    </row>
    <row r="1492" spans="1:33" x14ac:dyDescent="0.2">
      <c r="C1492" s="23" t="s">
        <v>1695</v>
      </c>
      <c r="D1492" s="89" t="s">
        <v>172</v>
      </c>
      <c r="E1492" s="89"/>
      <c r="F1492" s="89"/>
      <c r="G1492" s="89"/>
      <c r="H1492" s="89"/>
    </row>
    <row r="1493" spans="1:33" x14ac:dyDescent="0.2">
      <c r="C1493" s="23" t="s">
        <v>1696</v>
      </c>
      <c r="D1493" s="89" t="s">
        <v>173</v>
      </c>
      <c r="E1493" s="89"/>
      <c r="F1493" s="89"/>
      <c r="G1493" s="89"/>
      <c r="H1493" s="89"/>
    </row>
    <row r="1494" spans="1:33" x14ac:dyDescent="0.2">
      <c r="C1494" s="23" t="s">
        <v>1697</v>
      </c>
      <c r="D1494" s="89" t="s">
        <v>173</v>
      </c>
      <c r="E1494" s="89"/>
      <c r="F1494" s="89"/>
      <c r="G1494" s="89"/>
      <c r="H1494" s="89"/>
    </row>
    <row r="1495" spans="1:33" x14ac:dyDescent="0.2">
      <c r="C1495" s="23" t="s">
        <v>1698</v>
      </c>
      <c r="D1495" s="89" t="s">
        <v>172</v>
      </c>
      <c r="E1495" s="89"/>
      <c r="F1495" s="89"/>
      <c r="G1495" s="89"/>
      <c r="H1495" s="89"/>
    </row>
    <row r="1496" spans="1:33" x14ac:dyDescent="0.2">
      <c r="C1496" s="9" t="s">
        <v>1688</v>
      </c>
      <c r="D1496" s="34"/>
      <c r="E1496" s="34"/>
      <c r="F1496" s="34">
        <f>Source!BZ620</f>
        <v>128</v>
      </c>
      <c r="G1496" s="58">
        <f>(Source!AF620+Source!AE620)*Source!FX620/100</f>
        <v>89.210880000000003</v>
      </c>
      <c r="H1496" s="58">
        <f>Source!X620</f>
        <v>116.84</v>
      </c>
    </row>
    <row r="1497" spans="1:33" x14ac:dyDescent="0.2">
      <c r="C1497" s="9" t="s">
        <v>1689</v>
      </c>
      <c r="D1497" s="34"/>
      <c r="E1497" s="34"/>
      <c r="F1497" s="34"/>
      <c r="G1497" s="34" t="str">
        <f>CONCATENATE(Source!DL620,Source!FT620, "=", Source!FX620, "%")</f>
        <v>*0,9=115,2%</v>
      </c>
      <c r="H1497" s="34" t="str">
        <f>CONCATENATE(Source!AT620)</f>
        <v>115</v>
      </c>
    </row>
    <row r="1498" spans="1:33" x14ac:dyDescent="0.2">
      <c r="C1498" s="9" t="s">
        <v>1690</v>
      </c>
      <c r="D1498" s="34"/>
      <c r="E1498" s="34"/>
      <c r="F1498" s="34">
        <f>Source!CA620</f>
        <v>83</v>
      </c>
      <c r="G1498" s="58">
        <f>(Source!AF620+Source!AE620)*Source!FY620/100</f>
        <v>54.633919999999996</v>
      </c>
      <c r="H1498" s="58">
        <f>Source!Y620</f>
        <v>72.14</v>
      </c>
    </row>
    <row r="1499" spans="1:33" x14ac:dyDescent="0.2">
      <c r="C1499" s="9" t="s">
        <v>1691</v>
      </c>
      <c r="D1499" s="34"/>
      <c r="E1499" s="34"/>
      <c r="F1499" s="34"/>
      <c r="G1499" s="34" t="str">
        <f>CONCATENATE(Source!DM620,Source!FU620, "=", Source!FY620, "%")</f>
        <v>*0,85=70,55%</v>
      </c>
      <c r="H1499" s="34" t="str">
        <f>CONCATENATE(Source!AU620)</f>
        <v>71</v>
      </c>
    </row>
    <row r="1500" spans="1:33" x14ac:dyDescent="0.2">
      <c r="C1500" s="9" t="s">
        <v>1692</v>
      </c>
      <c r="D1500" s="34"/>
      <c r="E1500" s="34"/>
      <c r="F1500" s="34"/>
      <c r="G1500" s="58">
        <f>((Source!AF620+Source!AE620)*Source!FX620/100)+((Source!AF620+Source!AE620)*Source!FY620/100)+Source!AB620</f>
        <v>232.26479999999998</v>
      </c>
      <c r="H1500" s="58">
        <f>Source!O620+Source!X620+Source!Y620</f>
        <v>304.99</v>
      </c>
    </row>
    <row r="1502" spans="1:33" ht="15" x14ac:dyDescent="0.25">
      <c r="A1502" s="59"/>
      <c r="B1502" s="59"/>
      <c r="C1502" s="74" t="str">
        <f>CONCATENATE("Итого по разделу: ",IF(Source!G622&lt;&gt;"Новый раздел", Source!G622, ""))</f>
        <v>Итого по разделу: 7 Система горячего и холодного водоснабжения</v>
      </c>
      <c r="D1502" s="74"/>
      <c r="E1502" s="74"/>
      <c r="F1502" s="74"/>
      <c r="G1502" s="59"/>
      <c r="H1502" s="60">
        <f>IF(SUM(T1441:T1501)=0, "-", SUM(T1441:T1501))</f>
        <v>11007.42</v>
      </c>
      <c r="AG1502" s="51" t="str">
        <f>CONCATENATE("Итого по разделу: ",IF(Source!G622&lt;&gt;"Новый раздел", Source!G622, ""))</f>
        <v>Итого по разделу: 7 Система горячего и холодного водоснабжения</v>
      </c>
    </row>
    <row r="1503" spans="1:33" ht="15" x14ac:dyDescent="0.25">
      <c r="A1503" s="59"/>
      <c r="B1503" s="59"/>
      <c r="C1503" s="59"/>
      <c r="D1503" s="59"/>
      <c r="E1503" s="59"/>
      <c r="F1503" s="59"/>
      <c r="G1503" s="59"/>
      <c r="H1503" s="59"/>
    </row>
    <row r="1506" spans="1:28" ht="16.5" x14ac:dyDescent="0.25">
      <c r="A1506" s="75" t="str">
        <f>CONCATENATE("Раздел: ",IF(Source!G651&lt;&gt;"Новый раздел", Source!G651, ""))</f>
        <v>Раздел: 8 Канализация</v>
      </c>
      <c r="B1506" s="75"/>
      <c r="C1506" s="75"/>
      <c r="D1506" s="75"/>
      <c r="E1506" s="75"/>
      <c r="F1506" s="75"/>
      <c r="G1506" s="75"/>
      <c r="H1506" s="75"/>
    </row>
    <row r="1507" spans="1:28" ht="28.5" x14ac:dyDescent="0.2">
      <c r="A1507" s="46">
        <v>222</v>
      </c>
      <c r="B1507" s="46" t="str">
        <f>Source!E655</f>
        <v>107</v>
      </c>
      <c r="C1507" s="46" t="str">
        <f>Source!G655</f>
        <v>Демонтаж: Установка трапов диаметром 100 мм</v>
      </c>
      <c r="D1507" s="46" t="str">
        <f>Source!F655</f>
        <v>17-01-001-23</v>
      </c>
      <c r="E1507" s="31" t="str">
        <f>Source!H655</f>
        <v>10 компл</v>
      </c>
      <c r="F1507" s="12">
        <f>Source!I655</f>
        <v>0.1</v>
      </c>
      <c r="G1507" s="22">
        <f>Source!AB655</f>
        <v>39.99</v>
      </c>
      <c r="H1507" s="22">
        <f>Source!O655</f>
        <v>26.23</v>
      </c>
      <c r="T1507">
        <f>Source!O655+Source!X655+Source!Y655</f>
        <v>69.14</v>
      </c>
      <c r="U1507">
        <f>Source!P655</f>
        <v>0</v>
      </c>
      <c r="V1507">
        <f>Source!S655</f>
        <v>22.14</v>
      </c>
      <c r="W1507">
        <f>Source!Q655</f>
        <v>4.09</v>
      </c>
      <c r="X1507">
        <f>Source!R655</f>
        <v>0.93</v>
      </c>
      <c r="Y1507">
        <f>Source!U655</f>
        <v>0.3508</v>
      </c>
      <c r="Z1507">
        <f>Source!V655</f>
        <v>1.1599999999999999E-2</v>
      </c>
      <c r="AA1507">
        <f>Source!X655</f>
        <v>26.53</v>
      </c>
      <c r="AB1507">
        <f>Source!Y655</f>
        <v>16.38</v>
      </c>
    </row>
    <row r="1508" spans="1:28" ht="14.25" x14ac:dyDescent="0.2">
      <c r="C1508" s="23" t="str">
        <f>"Объем: "&amp;Source!I655&amp;"=1/"&amp;"10"</f>
        <v>Объем: 0,1=1/10</v>
      </c>
      <c r="F1508" s="12"/>
      <c r="G1508" s="12"/>
      <c r="H1508" s="12"/>
    </row>
    <row r="1509" spans="1:28" x14ac:dyDescent="0.2">
      <c r="C1509" s="23" t="s">
        <v>1684</v>
      </c>
      <c r="D1509" s="23">
        <f>Source!BA655</f>
        <v>6.56</v>
      </c>
    </row>
    <row r="1510" spans="1:28" x14ac:dyDescent="0.2">
      <c r="C1510" s="23" t="s">
        <v>1685</v>
      </c>
      <c r="D1510" s="23">
        <f>Source!BB655</f>
        <v>6.56</v>
      </c>
    </row>
    <row r="1511" spans="1:28" x14ac:dyDescent="0.2">
      <c r="C1511" s="23" t="s">
        <v>1686</v>
      </c>
      <c r="D1511" s="23">
        <f>Source!BC655</f>
        <v>6.56</v>
      </c>
    </row>
    <row r="1512" spans="1:28" x14ac:dyDescent="0.2">
      <c r="C1512" s="23" t="s">
        <v>1687</v>
      </c>
      <c r="D1512" s="23">
        <f>Source!BS655</f>
        <v>6.56</v>
      </c>
    </row>
    <row r="1513" spans="1:28" x14ac:dyDescent="0.2">
      <c r="C1513" s="23" t="s">
        <v>1693</v>
      </c>
      <c r="D1513" s="89" t="s">
        <v>92</v>
      </c>
      <c r="E1513" s="89"/>
      <c r="F1513" s="89"/>
      <c r="G1513" s="89"/>
      <c r="H1513" s="89"/>
    </row>
    <row r="1514" spans="1:28" x14ac:dyDescent="0.2">
      <c r="C1514" s="23" t="s">
        <v>1694</v>
      </c>
      <c r="D1514" s="89" t="s">
        <v>956</v>
      </c>
      <c r="E1514" s="89"/>
      <c r="F1514" s="89"/>
      <c r="G1514" s="89"/>
      <c r="H1514" s="89"/>
    </row>
    <row r="1515" spans="1:28" x14ac:dyDescent="0.2">
      <c r="C1515" s="23" t="s">
        <v>1695</v>
      </c>
      <c r="D1515" s="89" t="s">
        <v>956</v>
      </c>
      <c r="E1515" s="89"/>
      <c r="F1515" s="89"/>
      <c r="G1515" s="89"/>
      <c r="H1515" s="89"/>
    </row>
    <row r="1516" spans="1:28" x14ac:dyDescent="0.2">
      <c r="C1516" s="23" t="s">
        <v>1696</v>
      </c>
      <c r="D1516" s="89" t="s">
        <v>956</v>
      </c>
      <c r="E1516" s="89"/>
      <c r="F1516" s="89"/>
      <c r="G1516" s="89"/>
      <c r="H1516" s="89"/>
    </row>
    <row r="1517" spans="1:28" x14ac:dyDescent="0.2">
      <c r="C1517" s="23" t="s">
        <v>1697</v>
      </c>
      <c r="D1517" s="89" t="s">
        <v>956</v>
      </c>
      <c r="E1517" s="89"/>
      <c r="F1517" s="89"/>
      <c r="G1517" s="89"/>
      <c r="H1517" s="89"/>
    </row>
    <row r="1518" spans="1:28" x14ac:dyDescent="0.2">
      <c r="C1518" s="23" t="s">
        <v>1698</v>
      </c>
      <c r="D1518" s="89" t="s">
        <v>956</v>
      </c>
      <c r="E1518" s="89"/>
      <c r="F1518" s="89"/>
      <c r="G1518" s="89"/>
      <c r="H1518" s="89"/>
    </row>
    <row r="1519" spans="1:28" x14ac:dyDescent="0.2">
      <c r="C1519" s="9" t="s">
        <v>1688</v>
      </c>
      <c r="D1519" s="34"/>
      <c r="E1519" s="34"/>
      <c r="F1519" s="34">
        <f>Source!BZ655</f>
        <v>128</v>
      </c>
      <c r="G1519" s="58">
        <f>(Source!AF655+Source!AE655)*Source!FX655/100</f>
        <v>40.515840000000004</v>
      </c>
      <c r="H1519" s="58">
        <f>Source!X655</f>
        <v>26.53</v>
      </c>
    </row>
    <row r="1520" spans="1:28" x14ac:dyDescent="0.2">
      <c r="C1520" s="9" t="s">
        <v>1689</v>
      </c>
      <c r="D1520" s="34"/>
      <c r="E1520" s="34"/>
      <c r="F1520" s="34"/>
      <c r="G1520" s="34" t="str">
        <f>CONCATENATE(Source!DL655,Source!FT655, "=", Source!FX655, "%")</f>
        <v>*0,9=115,2%</v>
      </c>
      <c r="H1520" s="34" t="str">
        <f>CONCATENATE(Source!AT655)</f>
        <v>115</v>
      </c>
    </row>
    <row r="1521" spans="1:28" x14ac:dyDescent="0.2">
      <c r="C1521" s="9" t="s">
        <v>1690</v>
      </c>
      <c r="D1521" s="34"/>
      <c r="E1521" s="34"/>
      <c r="F1521" s="34">
        <f>Source!CA655</f>
        <v>83</v>
      </c>
      <c r="G1521" s="58">
        <f>(Source!AF655+Source!AE655)*Source!FY655/100</f>
        <v>24.812435000000001</v>
      </c>
      <c r="H1521" s="58">
        <f>Source!Y655</f>
        <v>16.38</v>
      </c>
    </row>
    <row r="1522" spans="1:28" x14ac:dyDescent="0.2">
      <c r="C1522" s="9" t="s">
        <v>1691</v>
      </c>
      <c r="D1522" s="34"/>
      <c r="E1522" s="34"/>
      <c r="F1522" s="34"/>
      <c r="G1522" s="34" t="str">
        <f>CONCATENATE(Source!DM655,Source!FU655, "=", Source!FY655, "%")</f>
        <v>*0,85=70,55%</v>
      </c>
      <c r="H1522" s="34" t="str">
        <f>CONCATENATE(Source!AU655)</f>
        <v>71</v>
      </c>
    </row>
    <row r="1523" spans="1:28" x14ac:dyDescent="0.2">
      <c r="C1523" s="9" t="s">
        <v>1692</v>
      </c>
      <c r="D1523" s="34"/>
      <c r="E1523" s="34"/>
      <c r="F1523" s="34"/>
      <c r="G1523" s="58">
        <f>((Source!AF655+Source!AE655)*Source!FX655/100)+((Source!AF655+Source!AE655)*Source!FY655/100)+Source!AB655</f>
        <v>105.318275</v>
      </c>
      <c r="H1523" s="58">
        <f>Source!O655+Source!X655+Source!Y655</f>
        <v>69.14</v>
      </c>
    </row>
    <row r="1524" spans="1:28" ht="14.25" x14ac:dyDescent="0.2">
      <c r="A1524" s="46">
        <v>223</v>
      </c>
      <c r="B1524" s="46" t="str">
        <f>Source!E656</f>
        <v>108</v>
      </c>
      <c r="C1524" s="46" t="str">
        <f>Source!G656</f>
        <v>Демонтаж унитазов и писсуаров</v>
      </c>
      <c r="D1524" s="46" t="str">
        <f>Source!F656</f>
        <v>65-4-2</v>
      </c>
      <c r="E1524" s="31" t="str">
        <f>Source!H656</f>
        <v>100 ШТ</v>
      </c>
      <c r="F1524" s="12">
        <f>Source!I656</f>
        <v>0.02</v>
      </c>
      <c r="G1524" s="22">
        <f>Source!AB656</f>
        <v>553.63</v>
      </c>
      <c r="H1524" s="22">
        <f>Source!O656</f>
        <v>72.64</v>
      </c>
      <c r="T1524">
        <f>Source!O656+Source!X656+Source!Y656</f>
        <v>161.87</v>
      </c>
      <c r="U1524">
        <f>Source!P656</f>
        <v>0</v>
      </c>
      <c r="V1524">
        <f>Source!S656</f>
        <v>71.45</v>
      </c>
      <c r="W1524">
        <f>Source!Q656</f>
        <v>1.19</v>
      </c>
      <c r="X1524">
        <f>Source!R656</f>
        <v>0.51</v>
      </c>
      <c r="Y1524">
        <f>Source!U656</f>
        <v>1.2768000000000002</v>
      </c>
      <c r="Z1524">
        <f>Source!V656</f>
        <v>5.7999999999999996E-3</v>
      </c>
      <c r="AA1524">
        <f>Source!X656</f>
        <v>53.25</v>
      </c>
      <c r="AB1524">
        <f>Source!Y656</f>
        <v>35.979999999999997</v>
      </c>
    </row>
    <row r="1525" spans="1:28" ht="14.25" x14ac:dyDescent="0.2">
      <c r="C1525" s="23" t="str">
        <f>"Объем: "&amp;Source!I656&amp;"=2/"&amp;"100"</f>
        <v>Объем: 0,02=2/100</v>
      </c>
      <c r="F1525" s="12"/>
      <c r="G1525" s="12"/>
      <c r="H1525" s="12"/>
    </row>
    <row r="1526" spans="1:28" x14ac:dyDescent="0.2">
      <c r="C1526" s="23" t="s">
        <v>1684</v>
      </c>
      <c r="D1526" s="23">
        <f>Source!BA656</f>
        <v>6.56</v>
      </c>
    </row>
    <row r="1527" spans="1:28" x14ac:dyDescent="0.2">
      <c r="C1527" s="23" t="s">
        <v>1685</v>
      </c>
      <c r="D1527" s="23">
        <f>Source!BB656</f>
        <v>6.56</v>
      </c>
    </row>
    <row r="1528" spans="1:28" x14ac:dyDescent="0.2">
      <c r="C1528" s="23" t="s">
        <v>1686</v>
      </c>
      <c r="D1528" s="23">
        <f>Source!BC656</f>
        <v>6.56</v>
      </c>
    </row>
    <row r="1529" spans="1:28" x14ac:dyDescent="0.2">
      <c r="C1529" s="23" t="s">
        <v>1687</v>
      </c>
      <c r="D1529" s="23">
        <f>Source!BS656</f>
        <v>6.56</v>
      </c>
    </row>
    <row r="1530" spans="1:28" x14ac:dyDescent="0.2">
      <c r="C1530" s="9" t="s">
        <v>1688</v>
      </c>
      <c r="D1530" s="34"/>
      <c r="E1530" s="34"/>
      <c r="F1530" s="34">
        <f>Source!BZ656</f>
        <v>74</v>
      </c>
      <c r="G1530" s="58">
        <f>(Source!AF656+Source!AE656)*Source!FX656/100</f>
        <v>405.87519999999989</v>
      </c>
      <c r="H1530" s="58">
        <f>Source!X656</f>
        <v>53.25</v>
      </c>
    </row>
    <row r="1531" spans="1:28" x14ac:dyDescent="0.2">
      <c r="C1531" s="9" t="s">
        <v>1690</v>
      </c>
      <c r="D1531" s="34"/>
      <c r="E1531" s="34"/>
      <c r="F1531" s="34">
        <f>Source!CA656</f>
        <v>50</v>
      </c>
      <c r="G1531" s="58">
        <f>(Source!AF656+Source!AE656)*Source!FY656/100</f>
        <v>274.23999999999995</v>
      </c>
      <c r="H1531" s="58">
        <f>Source!Y656</f>
        <v>35.979999999999997</v>
      </c>
    </row>
    <row r="1532" spans="1:28" x14ac:dyDescent="0.2">
      <c r="C1532" s="9" t="s">
        <v>1692</v>
      </c>
      <c r="D1532" s="34"/>
      <c r="E1532" s="34"/>
      <c r="F1532" s="34"/>
      <c r="G1532" s="58">
        <f>((Source!AF656+Source!AE656)*Source!FX656/100)+((Source!AF656+Source!AE656)*Source!FY656/100)+Source!AB656</f>
        <v>1233.7451999999998</v>
      </c>
      <c r="H1532" s="58">
        <f>Source!O656+Source!X656+Source!Y656</f>
        <v>161.87</v>
      </c>
    </row>
    <row r="1533" spans="1:28" ht="28.5" x14ac:dyDescent="0.2">
      <c r="A1533" s="46">
        <v>224</v>
      </c>
      <c r="B1533" s="46" t="str">
        <f>Source!E657</f>
        <v>109</v>
      </c>
      <c r="C1533" s="46" t="str">
        <f>Source!G657</f>
        <v>Установка унитазов с бачком непосредственно присоединенным</v>
      </c>
      <c r="D1533" s="46" t="str">
        <f>Source!F657</f>
        <v>17-01-003-01</v>
      </c>
      <c r="E1533" s="31" t="str">
        <f>Source!H657</f>
        <v>10 компл</v>
      </c>
      <c r="F1533" s="12">
        <f>Source!I657</f>
        <v>0.3</v>
      </c>
      <c r="G1533" s="22">
        <f>Source!AB657</f>
        <v>505.69</v>
      </c>
      <c r="H1533" s="22">
        <f>Source!O657</f>
        <v>995.2</v>
      </c>
      <c r="T1533">
        <f>Source!O657+Source!X657+Source!Y657</f>
        <v>2022.08</v>
      </c>
      <c r="U1533">
        <f>Source!P657</f>
        <v>377.21</v>
      </c>
      <c r="V1533">
        <f>Source!S657</f>
        <v>530.34</v>
      </c>
      <c r="W1533">
        <f>Source!Q657</f>
        <v>87.65</v>
      </c>
      <c r="X1533">
        <f>Source!R657</f>
        <v>21.75</v>
      </c>
      <c r="Y1533">
        <f>Source!U657</f>
        <v>8.5007999999999999</v>
      </c>
      <c r="Z1533">
        <f>Source!V657</f>
        <v>0.26624999999999999</v>
      </c>
      <c r="AA1533">
        <f>Source!X657</f>
        <v>634.9</v>
      </c>
      <c r="AB1533">
        <f>Source!Y657</f>
        <v>391.98</v>
      </c>
    </row>
    <row r="1534" spans="1:28" ht="14.25" x14ac:dyDescent="0.2">
      <c r="C1534" s="23" t="str">
        <f>"Объем: "&amp;Source!I657&amp;"=3/"&amp;"10"</f>
        <v>Объем: 0,3=3/10</v>
      </c>
      <c r="F1534" s="12"/>
      <c r="G1534" s="12"/>
      <c r="H1534" s="12"/>
    </row>
    <row r="1535" spans="1:28" x14ac:dyDescent="0.2">
      <c r="C1535" s="23" t="s">
        <v>1684</v>
      </c>
      <c r="D1535" s="23">
        <f>Source!BA657</f>
        <v>6.56</v>
      </c>
    </row>
    <row r="1536" spans="1:28" x14ac:dyDescent="0.2">
      <c r="C1536" s="23" t="s">
        <v>1685</v>
      </c>
      <c r="D1536" s="23">
        <f>Source!BB657</f>
        <v>6.56</v>
      </c>
    </row>
    <row r="1537" spans="1:28" x14ac:dyDescent="0.2">
      <c r="C1537" s="23" t="s">
        <v>1686</v>
      </c>
      <c r="D1537" s="23">
        <f>Source!BC657</f>
        <v>6.56</v>
      </c>
    </row>
    <row r="1538" spans="1:28" x14ac:dyDescent="0.2">
      <c r="C1538" s="23" t="s">
        <v>1687</v>
      </c>
      <c r="D1538" s="23">
        <f>Source!BS657</f>
        <v>6.56</v>
      </c>
    </row>
    <row r="1539" spans="1:28" x14ac:dyDescent="0.2">
      <c r="C1539" s="23" t="s">
        <v>1694</v>
      </c>
      <c r="D1539" s="89" t="s">
        <v>172</v>
      </c>
      <c r="E1539" s="89"/>
      <c r="F1539" s="89"/>
      <c r="G1539" s="89"/>
      <c r="H1539" s="89"/>
    </row>
    <row r="1540" spans="1:28" x14ac:dyDescent="0.2">
      <c r="C1540" s="23" t="s">
        <v>1695</v>
      </c>
      <c r="D1540" s="89" t="s">
        <v>172</v>
      </c>
      <c r="E1540" s="89"/>
      <c r="F1540" s="89"/>
      <c r="G1540" s="89"/>
      <c r="H1540" s="89"/>
    </row>
    <row r="1541" spans="1:28" x14ac:dyDescent="0.2">
      <c r="C1541" s="23" t="s">
        <v>1696</v>
      </c>
      <c r="D1541" s="89" t="s">
        <v>173</v>
      </c>
      <c r="E1541" s="89"/>
      <c r="F1541" s="89"/>
      <c r="G1541" s="89"/>
      <c r="H1541" s="89"/>
    </row>
    <row r="1542" spans="1:28" x14ac:dyDescent="0.2">
      <c r="C1542" s="23" t="s">
        <v>1697</v>
      </c>
      <c r="D1542" s="89" t="s">
        <v>173</v>
      </c>
      <c r="E1542" s="89"/>
      <c r="F1542" s="89"/>
      <c r="G1542" s="89"/>
      <c r="H1542" s="89"/>
    </row>
    <row r="1543" spans="1:28" x14ac:dyDescent="0.2">
      <c r="C1543" s="23" t="s">
        <v>1698</v>
      </c>
      <c r="D1543" s="89" t="s">
        <v>172</v>
      </c>
      <c r="E1543" s="89"/>
      <c r="F1543" s="89"/>
      <c r="G1543" s="89"/>
      <c r="H1543" s="89"/>
    </row>
    <row r="1544" spans="1:28" x14ac:dyDescent="0.2">
      <c r="C1544" s="9" t="s">
        <v>1688</v>
      </c>
      <c r="D1544" s="34"/>
      <c r="E1544" s="34"/>
      <c r="F1544" s="34">
        <f>Source!BZ657</f>
        <v>128</v>
      </c>
      <c r="G1544" s="58">
        <f>(Source!AF657+Source!AE657)*Source!FX657/100</f>
        <v>323.17056000000002</v>
      </c>
      <c r="H1544" s="58">
        <f>Source!X657</f>
        <v>634.9</v>
      </c>
    </row>
    <row r="1545" spans="1:28" x14ac:dyDescent="0.2">
      <c r="C1545" s="9" t="s">
        <v>1689</v>
      </c>
      <c r="D1545" s="34"/>
      <c r="E1545" s="34"/>
      <c r="F1545" s="34"/>
      <c r="G1545" s="34" t="str">
        <f>CONCATENATE(Source!DL657,Source!FT657, "=", Source!FX657, "%")</f>
        <v>*0,9=115,2%</v>
      </c>
      <c r="H1545" s="34" t="str">
        <f>CONCATENATE(Source!AT657)</f>
        <v>115</v>
      </c>
    </row>
    <row r="1546" spans="1:28" x14ac:dyDescent="0.2">
      <c r="C1546" s="9" t="s">
        <v>1690</v>
      </c>
      <c r="D1546" s="34"/>
      <c r="E1546" s="34"/>
      <c r="F1546" s="34">
        <f>Source!CA657</f>
        <v>83</v>
      </c>
      <c r="G1546" s="58">
        <f>(Source!AF657+Source!AE657)*Source!FY657/100</f>
        <v>197.913915</v>
      </c>
      <c r="H1546" s="58">
        <f>Source!Y657</f>
        <v>391.98</v>
      </c>
    </row>
    <row r="1547" spans="1:28" x14ac:dyDescent="0.2">
      <c r="C1547" s="9" t="s">
        <v>1691</v>
      </c>
      <c r="D1547" s="34"/>
      <c r="E1547" s="34"/>
      <c r="F1547" s="34"/>
      <c r="G1547" s="34" t="str">
        <f>CONCATENATE(Source!DM657,Source!FU657, "=", Source!FY657, "%")</f>
        <v>*0,85=70,55%</v>
      </c>
      <c r="H1547" s="34" t="str">
        <f>CONCATENATE(Source!AU657)</f>
        <v>71</v>
      </c>
    </row>
    <row r="1548" spans="1:28" x14ac:dyDescent="0.2">
      <c r="C1548" s="9" t="s">
        <v>1692</v>
      </c>
      <c r="D1548" s="34"/>
      <c r="E1548" s="34"/>
      <c r="F1548" s="34"/>
      <c r="G1548" s="58">
        <f>((Source!AF657+Source!AE657)*Source!FX657/100)+((Source!AF657+Source!AE657)*Source!FY657/100)+Source!AB657</f>
        <v>1026.7744749999999</v>
      </c>
      <c r="H1548" s="58">
        <f>Source!O657+Source!X657+Source!Y657</f>
        <v>2022.08</v>
      </c>
    </row>
    <row r="1549" spans="1:28" ht="28.5" x14ac:dyDescent="0.2">
      <c r="A1549" s="46">
        <v>225</v>
      </c>
      <c r="B1549" s="46" t="str">
        <f>Source!E658</f>
        <v>109,1</v>
      </c>
      <c r="C1549" s="46" t="str">
        <f>Source!G658</f>
        <v>Подводка гибкая армированная резиновая 1000 мм</v>
      </c>
      <c r="D1549" s="46" t="str">
        <f>Source!F658</f>
        <v>18.2.06.08-0016</v>
      </c>
      <c r="E1549" s="31" t="str">
        <f>Source!H658</f>
        <v>10 шт.</v>
      </c>
      <c r="F1549" s="12">
        <f>Source!I658</f>
        <v>0.3</v>
      </c>
      <c r="G1549" s="22">
        <f>Source!AB658</f>
        <v>160.19999999999999</v>
      </c>
      <c r="H1549" s="22">
        <f>Source!O658</f>
        <v>315.27</v>
      </c>
      <c r="T1549">
        <f>Source!O658+Source!X658+Source!Y658</f>
        <v>315.27</v>
      </c>
      <c r="U1549">
        <f>Source!P658</f>
        <v>315.27</v>
      </c>
      <c r="V1549">
        <f>Source!S658</f>
        <v>0</v>
      </c>
      <c r="W1549">
        <f>Source!Q658</f>
        <v>0</v>
      </c>
      <c r="X1549">
        <f>Source!R658</f>
        <v>0</v>
      </c>
      <c r="Y1549">
        <f>Source!U658</f>
        <v>0</v>
      </c>
      <c r="Z1549">
        <f>Source!V658</f>
        <v>0</v>
      </c>
      <c r="AA1549">
        <f>Source!X658</f>
        <v>0</v>
      </c>
      <c r="AB1549">
        <f>Source!Y658</f>
        <v>0</v>
      </c>
    </row>
    <row r="1550" spans="1:28" ht="14.25" x14ac:dyDescent="0.2">
      <c r="C1550" s="23" t="s">
        <v>1686</v>
      </c>
      <c r="D1550" s="23">
        <f>Source!BC658</f>
        <v>6.56</v>
      </c>
      <c r="F1550" s="12"/>
      <c r="G1550" s="12"/>
      <c r="H1550" s="12"/>
    </row>
    <row r="1551" spans="1:28" ht="28.5" x14ac:dyDescent="0.2">
      <c r="A1551" s="46">
        <v>226</v>
      </c>
      <c r="B1551" s="46" t="str">
        <f>Source!E659</f>
        <v>109,2</v>
      </c>
      <c r="C1551" s="46" t="str">
        <f>Source!G659</f>
        <v>Унитаз-компакт Santek Бореаль WH302143</v>
      </c>
      <c r="D1551" s="46" t="str">
        <f>Source!F659</f>
        <v>18.2.01.06-0001</v>
      </c>
      <c r="E1551" s="31" t="str">
        <f>Source!H659</f>
        <v>компл.</v>
      </c>
      <c r="F1551" s="12">
        <f>Source!I659</f>
        <v>3</v>
      </c>
      <c r="G1551" s="22">
        <f>Source!AB659</f>
        <v>318</v>
      </c>
      <c r="H1551" s="22">
        <f>Source!O659</f>
        <v>6258.24</v>
      </c>
      <c r="T1551">
        <f>Source!O659+Source!X659+Source!Y659</f>
        <v>6258.24</v>
      </c>
      <c r="U1551">
        <f>Source!P659</f>
        <v>6258.24</v>
      </c>
      <c r="V1551">
        <f>Source!S659</f>
        <v>0</v>
      </c>
      <c r="W1551">
        <f>Source!Q659</f>
        <v>0</v>
      </c>
      <c r="X1551">
        <f>Source!R659</f>
        <v>0</v>
      </c>
      <c r="Y1551">
        <f>Source!U659</f>
        <v>0</v>
      </c>
      <c r="Z1551">
        <f>Source!V659</f>
        <v>0</v>
      </c>
      <c r="AA1551">
        <f>Source!X659</f>
        <v>0</v>
      </c>
      <c r="AB1551">
        <f>Source!Y659</f>
        <v>0</v>
      </c>
    </row>
    <row r="1552" spans="1:28" ht="14.25" x14ac:dyDescent="0.2">
      <c r="C1552" s="23" t="s">
        <v>1686</v>
      </c>
      <c r="D1552" s="23">
        <f>Source!BC659</f>
        <v>6.56</v>
      </c>
      <c r="F1552" s="12"/>
      <c r="G1552" s="12"/>
      <c r="H1552" s="12"/>
    </row>
    <row r="1553" spans="1:28" ht="28.5" x14ac:dyDescent="0.2">
      <c r="A1553" s="46">
        <v>227</v>
      </c>
      <c r="B1553" s="46" t="str">
        <f>Source!E660</f>
        <v>110</v>
      </c>
      <c r="C1553" s="46" t="str">
        <f>Source!G660</f>
        <v>Установка трапов диаметром 100 мм</v>
      </c>
      <c r="D1553" s="46" t="str">
        <f>Source!F660</f>
        <v>17-01-001-23</v>
      </c>
      <c r="E1553" s="31" t="str">
        <f>Source!H660</f>
        <v>10 компл</v>
      </c>
      <c r="F1553" s="12">
        <f>Source!I660</f>
        <v>0.1</v>
      </c>
      <c r="G1553" s="22">
        <f>Source!AB660</f>
        <v>158.47</v>
      </c>
      <c r="H1553" s="22">
        <f>Source!O660</f>
        <v>103.96</v>
      </c>
      <c r="T1553">
        <f>Source!O660+Source!X660+Source!Y660</f>
        <v>227.76</v>
      </c>
      <c r="U1553">
        <f>Source!P660</f>
        <v>27.5</v>
      </c>
      <c r="V1553">
        <f>Source!S660</f>
        <v>63.65</v>
      </c>
      <c r="W1553">
        <f>Source!Q660</f>
        <v>12.81</v>
      </c>
      <c r="X1553">
        <f>Source!R660</f>
        <v>2.91</v>
      </c>
      <c r="Y1553">
        <f>Source!U660</f>
        <v>1.0085499999999998</v>
      </c>
      <c r="Z1553">
        <f>Source!V660</f>
        <v>3.6249999999999998E-2</v>
      </c>
      <c r="AA1553">
        <f>Source!X660</f>
        <v>76.540000000000006</v>
      </c>
      <c r="AB1553">
        <f>Source!Y660</f>
        <v>47.26</v>
      </c>
    </row>
    <row r="1554" spans="1:28" ht="14.25" x14ac:dyDescent="0.2">
      <c r="C1554" s="23" t="str">
        <f>"Объем: "&amp;Source!I660&amp;"=1/"&amp;"10"</f>
        <v>Объем: 0,1=1/10</v>
      </c>
      <c r="F1554" s="12"/>
      <c r="G1554" s="12"/>
      <c r="H1554" s="12"/>
    </row>
    <row r="1555" spans="1:28" x14ac:dyDescent="0.2">
      <c r="C1555" s="23" t="s">
        <v>1684</v>
      </c>
      <c r="D1555" s="23">
        <f>Source!BA660</f>
        <v>6.56</v>
      </c>
    </row>
    <row r="1556" spans="1:28" x14ac:dyDescent="0.2">
      <c r="C1556" s="23" t="s">
        <v>1685</v>
      </c>
      <c r="D1556" s="23">
        <f>Source!BB660</f>
        <v>6.56</v>
      </c>
    </row>
    <row r="1557" spans="1:28" x14ac:dyDescent="0.2">
      <c r="C1557" s="23" t="s">
        <v>1686</v>
      </c>
      <c r="D1557" s="23">
        <f>Source!BC660</f>
        <v>6.56</v>
      </c>
    </row>
    <row r="1558" spans="1:28" x14ac:dyDescent="0.2">
      <c r="C1558" s="23" t="s">
        <v>1687</v>
      </c>
      <c r="D1558" s="23">
        <f>Source!BS660</f>
        <v>6.56</v>
      </c>
    </row>
    <row r="1559" spans="1:28" x14ac:dyDescent="0.2">
      <c r="C1559" s="23" t="s">
        <v>1694</v>
      </c>
      <c r="D1559" s="89" t="s">
        <v>172</v>
      </c>
      <c r="E1559" s="89"/>
      <c r="F1559" s="89"/>
      <c r="G1559" s="89"/>
      <c r="H1559" s="89"/>
    </row>
    <row r="1560" spans="1:28" x14ac:dyDescent="0.2">
      <c r="C1560" s="23" t="s">
        <v>1695</v>
      </c>
      <c r="D1560" s="89" t="s">
        <v>172</v>
      </c>
      <c r="E1560" s="89"/>
      <c r="F1560" s="89"/>
      <c r="G1560" s="89"/>
      <c r="H1560" s="89"/>
    </row>
    <row r="1561" spans="1:28" x14ac:dyDescent="0.2">
      <c r="C1561" s="23" t="s">
        <v>1696</v>
      </c>
      <c r="D1561" s="89" t="s">
        <v>173</v>
      </c>
      <c r="E1561" s="89"/>
      <c r="F1561" s="89"/>
      <c r="G1561" s="89"/>
      <c r="H1561" s="89"/>
    </row>
    <row r="1562" spans="1:28" x14ac:dyDescent="0.2">
      <c r="C1562" s="23" t="s">
        <v>1697</v>
      </c>
      <c r="D1562" s="89" t="s">
        <v>173</v>
      </c>
      <c r="E1562" s="89"/>
      <c r="F1562" s="89"/>
      <c r="G1562" s="89"/>
      <c r="H1562" s="89"/>
    </row>
    <row r="1563" spans="1:28" x14ac:dyDescent="0.2">
      <c r="C1563" s="23" t="s">
        <v>1698</v>
      </c>
      <c r="D1563" s="89" t="s">
        <v>172</v>
      </c>
      <c r="E1563" s="89"/>
      <c r="F1563" s="89"/>
      <c r="G1563" s="89"/>
      <c r="H1563" s="89"/>
    </row>
    <row r="1564" spans="1:28" x14ac:dyDescent="0.2">
      <c r="C1564" s="9" t="s">
        <v>1688</v>
      </c>
      <c r="D1564" s="34"/>
      <c r="E1564" s="34"/>
      <c r="F1564" s="34">
        <f>Source!BZ660</f>
        <v>128</v>
      </c>
      <c r="G1564" s="58">
        <f>(Source!AF660+Source!AE660)*Source!FX660/100</f>
        <v>116.89344000000001</v>
      </c>
      <c r="H1564" s="58">
        <f>Source!X660</f>
        <v>76.540000000000006</v>
      </c>
    </row>
    <row r="1565" spans="1:28" x14ac:dyDescent="0.2">
      <c r="C1565" s="9" t="s">
        <v>1689</v>
      </c>
      <c r="D1565" s="34"/>
      <c r="E1565" s="34"/>
      <c r="F1565" s="34"/>
      <c r="G1565" s="34" t="str">
        <f>CONCATENATE(Source!DL660,Source!FT660, "=", Source!FX660, "%")</f>
        <v>*0,9=115,2%</v>
      </c>
      <c r="H1565" s="34" t="str">
        <f>CONCATENATE(Source!AT660)</f>
        <v>115</v>
      </c>
    </row>
    <row r="1566" spans="1:28" x14ac:dyDescent="0.2">
      <c r="C1566" s="9" t="s">
        <v>1690</v>
      </c>
      <c r="D1566" s="34"/>
      <c r="E1566" s="34"/>
      <c r="F1566" s="34">
        <f>Source!CA660</f>
        <v>83</v>
      </c>
      <c r="G1566" s="58">
        <f>(Source!AF660+Source!AE660)*Source!FY660/100</f>
        <v>71.587085000000002</v>
      </c>
      <c r="H1566" s="58">
        <f>Source!Y660</f>
        <v>47.26</v>
      </c>
    </row>
    <row r="1567" spans="1:28" x14ac:dyDescent="0.2">
      <c r="C1567" s="9" t="s">
        <v>1691</v>
      </c>
      <c r="D1567" s="34"/>
      <c r="E1567" s="34"/>
      <c r="F1567" s="34"/>
      <c r="G1567" s="34" t="str">
        <f>CONCATENATE(Source!DM660,Source!FU660, "=", Source!FY660, "%")</f>
        <v>*0,85=70,55%</v>
      </c>
      <c r="H1567" s="34" t="str">
        <f>CONCATENATE(Source!AU660)</f>
        <v>71</v>
      </c>
    </row>
    <row r="1568" spans="1:28" x14ac:dyDescent="0.2">
      <c r="C1568" s="9" t="s">
        <v>1692</v>
      </c>
      <c r="D1568" s="34"/>
      <c r="E1568" s="34"/>
      <c r="F1568" s="34"/>
      <c r="G1568" s="58">
        <f>((Source!AF660+Source!AE660)*Source!FX660/100)+((Source!AF660+Source!AE660)*Source!FY660/100)+Source!AB660</f>
        <v>346.95052499999997</v>
      </c>
      <c r="H1568" s="58">
        <f>Source!O660+Source!X660+Source!Y660</f>
        <v>227.76</v>
      </c>
    </row>
    <row r="1569" spans="1:28" ht="85.5" x14ac:dyDescent="0.2">
      <c r="A1569" s="46">
        <v>228</v>
      </c>
      <c r="B1569" s="46" t="str">
        <f>Source!E661</f>
        <v>110,1</v>
      </c>
      <c r="C1569" s="46" t="str">
        <f>Source!G661</f>
        <v>Трапы чугунные эмалированные с прямым отводом, с решеткой и резиновой пробкой Т-100М размером 355х200х142 мм (в экспортном исполнении), малые (Трапы AlcaPlast APV1) прим.</v>
      </c>
      <c r="D1569" s="46" t="str">
        <f>Source!F661</f>
        <v>18.2.06.10-0023</v>
      </c>
      <c r="E1569" s="31" t="str">
        <f>Source!H661</f>
        <v>компл.</v>
      </c>
      <c r="F1569" s="12">
        <f>Source!I661</f>
        <v>1</v>
      </c>
      <c r="G1569" s="22">
        <f>Source!AB661</f>
        <v>309.86</v>
      </c>
      <c r="H1569" s="22">
        <f>Source!O661</f>
        <v>2032.68</v>
      </c>
      <c r="T1569">
        <f>Source!O661+Source!X661+Source!Y661</f>
        <v>2032.68</v>
      </c>
      <c r="U1569">
        <f>Source!P661</f>
        <v>2032.68</v>
      </c>
      <c r="V1569">
        <f>Source!S661</f>
        <v>0</v>
      </c>
      <c r="W1569">
        <f>Source!Q661</f>
        <v>0</v>
      </c>
      <c r="X1569">
        <f>Source!R661</f>
        <v>0</v>
      </c>
      <c r="Y1569">
        <f>Source!U661</f>
        <v>0</v>
      </c>
      <c r="Z1569">
        <f>Source!V661</f>
        <v>0</v>
      </c>
      <c r="AA1569">
        <f>Source!X661</f>
        <v>0</v>
      </c>
      <c r="AB1569">
        <f>Source!Y661</f>
        <v>0</v>
      </c>
    </row>
    <row r="1570" spans="1:28" ht="14.25" x14ac:dyDescent="0.2">
      <c r="C1570" s="23" t="s">
        <v>1686</v>
      </c>
      <c r="D1570" s="23">
        <f>Source!BC661</f>
        <v>6.56</v>
      </c>
      <c r="F1570" s="12"/>
      <c r="G1570" s="12"/>
      <c r="H1570" s="12"/>
    </row>
    <row r="1571" spans="1:28" ht="42.75" x14ac:dyDescent="0.2">
      <c r="A1571" s="46">
        <v>229</v>
      </c>
      <c r="B1571" s="46" t="str">
        <f>Source!E662</f>
        <v>111</v>
      </c>
      <c r="C1571" s="46" t="str">
        <f>Source!G662</f>
        <v>Прокладка трубопроводов канализации из полиэтиленовых труб высокой плотности диаметром 110 мм</v>
      </c>
      <c r="D1571" s="46" t="str">
        <f>Source!F662</f>
        <v>16-04-001-02</v>
      </c>
      <c r="E1571" s="31" t="str">
        <f>Source!H662</f>
        <v>100 м</v>
      </c>
      <c r="F1571" s="12">
        <f>Source!I662</f>
        <v>0.06</v>
      </c>
      <c r="G1571" s="22">
        <f>Source!AB662</f>
        <v>851.33</v>
      </c>
      <c r="H1571" s="22">
        <f>Source!O662</f>
        <v>335.08</v>
      </c>
      <c r="T1571">
        <f>Source!O662+Source!X662+Source!Y662</f>
        <v>850.38000000000011</v>
      </c>
      <c r="U1571">
        <f>Source!P662</f>
        <v>55.47</v>
      </c>
      <c r="V1571">
        <f>Source!S662</f>
        <v>276.58999999999997</v>
      </c>
      <c r="W1571">
        <f>Source!Q662</f>
        <v>3.02</v>
      </c>
      <c r="X1571">
        <f>Source!R662</f>
        <v>0.45</v>
      </c>
      <c r="Y1571">
        <f>Source!U662</f>
        <v>4.2503999999999991</v>
      </c>
      <c r="Z1571">
        <f>Source!V662</f>
        <v>5.2500000000000003E-3</v>
      </c>
      <c r="AA1571">
        <f>Source!X662</f>
        <v>318.60000000000002</v>
      </c>
      <c r="AB1571">
        <f>Source!Y662</f>
        <v>196.7</v>
      </c>
    </row>
    <row r="1572" spans="1:28" ht="14.25" x14ac:dyDescent="0.2">
      <c r="C1572" s="23" t="str">
        <f>"Объем: "&amp;Source!I662&amp;"=6/"&amp;"100"</f>
        <v>Объем: 0,06=6/100</v>
      </c>
      <c r="F1572" s="12"/>
      <c r="G1572" s="12"/>
      <c r="H1572" s="12"/>
    </row>
    <row r="1573" spans="1:28" x14ac:dyDescent="0.2">
      <c r="C1573" s="23" t="s">
        <v>1684</v>
      </c>
      <c r="D1573" s="23">
        <f>Source!BA662</f>
        <v>6.56</v>
      </c>
    </row>
    <row r="1574" spans="1:28" x14ac:dyDescent="0.2">
      <c r="C1574" s="23" t="s">
        <v>1685</v>
      </c>
      <c r="D1574" s="23">
        <f>Source!BB662</f>
        <v>6.56</v>
      </c>
    </row>
    <row r="1575" spans="1:28" x14ac:dyDescent="0.2">
      <c r="C1575" s="23" t="s">
        <v>1686</v>
      </c>
      <c r="D1575" s="23">
        <f>Source!BC662</f>
        <v>6.56</v>
      </c>
    </row>
    <row r="1576" spans="1:28" x14ac:dyDescent="0.2">
      <c r="C1576" s="23" t="s">
        <v>1687</v>
      </c>
      <c r="D1576" s="23">
        <f>Source!BS662</f>
        <v>6.56</v>
      </c>
    </row>
    <row r="1577" spans="1:28" x14ac:dyDescent="0.2">
      <c r="C1577" s="23" t="s">
        <v>1694</v>
      </c>
      <c r="D1577" s="89" t="s">
        <v>172</v>
      </c>
      <c r="E1577" s="89"/>
      <c r="F1577" s="89"/>
      <c r="G1577" s="89"/>
      <c r="H1577" s="89"/>
    </row>
    <row r="1578" spans="1:28" x14ac:dyDescent="0.2">
      <c r="C1578" s="23" t="s">
        <v>1695</v>
      </c>
      <c r="D1578" s="89" t="s">
        <v>172</v>
      </c>
      <c r="E1578" s="89"/>
      <c r="F1578" s="89"/>
      <c r="G1578" s="89"/>
      <c r="H1578" s="89"/>
    </row>
    <row r="1579" spans="1:28" x14ac:dyDescent="0.2">
      <c r="C1579" s="23" t="s">
        <v>1696</v>
      </c>
      <c r="D1579" s="89" t="s">
        <v>173</v>
      </c>
      <c r="E1579" s="89"/>
      <c r="F1579" s="89"/>
      <c r="G1579" s="89"/>
      <c r="H1579" s="89"/>
    </row>
    <row r="1580" spans="1:28" x14ac:dyDescent="0.2">
      <c r="C1580" s="23" t="s">
        <v>1697</v>
      </c>
      <c r="D1580" s="89" t="s">
        <v>173</v>
      </c>
      <c r="E1580" s="89"/>
      <c r="F1580" s="89"/>
      <c r="G1580" s="89"/>
      <c r="H1580" s="89"/>
    </row>
    <row r="1581" spans="1:28" x14ac:dyDescent="0.2">
      <c r="C1581" s="23" t="s">
        <v>1698</v>
      </c>
      <c r="D1581" s="89" t="s">
        <v>172</v>
      </c>
      <c r="E1581" s="89"/>
      <c r="F1581" s="89"/>
      <c r="G1581" s="89"/>
      <c r="H1581" s="89"/>
    </row>
    <row r="1582" spans="1:28" x14ac:dyDescent="0.2">
      <c r="C1582" s="9" t="s">
        <v>1688</v>
      </c>
      <c r="D1582" s="34"/>
      <c r="E1582" s="34"/>
      <c r="F1582" s="34">
        <f>Source!BZ662</f>
        <v>128</v>
      </c>
      <c r="G1582" s="58">
        <f>(Source!AF662+Source!AE662)*Source!FX662/100</f>
        <v>810.85824000000002</v>
      </c>
      <c r="H1582" s="58">
        <f>Source!X662</f>
        <v>318.60000000000002</v>
      </c>
    </row>
    <row r="1583" spans="1:28" x14ac:dyDescent="0.2">
      <c r="C1583" s="9" t="s">
        <v>1689</v>
      </c>
      <c r="D1583" s="34"/>
      <c r="E1583" s="34"/>
      <c r="F1583" s="34"/>
      <c r="G1583" s="34" t="str">
        <f>CONCATENATE(Source!DL662,Source!FT662, "=", Source!FX662, "%")</f>
        <v>*0,9=115,2%</v>
      </c>
      <c r="H1583" s="34" t="str">
        <f>CONCATENATE(Source!AT662)</f>
        <v>115</v>
      </c>
    </row>
    <row r="1584" spans="1:28" x14ac:dyDescent="0.2">
      <c r="C1584" s="9" t="s">
        <v>1690</v>
      </c>
      <c r="D1584" s="34"/>
      <c r="E1584" s="34"/>
      <c r="F1584" s="34">
        <f>Source!CA662</f>
        <v>83</v>
      </c>
      <c r="G1584" s="58">
        <f>(Source!AF662+Source!AE662)*Source!FY662/100</f>
        <v>496.580285</v>
      </c>
      <c r="H1584" s="58">
        <f>Source!Y662</f>
        <v>196.7</v>
      </c>
    </row>
    <row r="1585" spans="1:28" x14ac:dyDescent="0.2">
      <c r="C1585" s="9" t="s">
        <v>1691</v>
      </c>
      <c r="D1585" s="34"/>
      <c r="E1585" s="34"/>
      <c r="F1585" s="34"/>
      <c r="G1585" s="34" t="str">
        <f>CONCATENATE(Source!DM662,Source!FU662, "=", Source!FY662, "%")</f>
        <v>*0,85=70,55%</v>
      </c>
      <c r="H1585" s="34" t="str">
        <f>CONCATENATE(Source!AU662)</f>
        <v>71</v>
      </c>
    </row>
    <row r="1586" spans="1:28" x14ac:dyDescent="0.2">
      <c r="C1586" s="9" t="s">
        <v>1692</v>
      </c>
      <c r="D1586" s="34"/>
      <c r="E1586" s="34"/>
      <c r="F1586" s="34"/>
      <c r="G1586" s="58">
        <f>((Source!AF662+Source!AE662)*Source!FX662/100)+((Source!AF662+Source!AE662)*Source!FY662/100)+Source!AB662</f>
        <v>2158.768525</v>
      </c>
      <c r="H1586" s="58">
        <f>Source!O662+Source!X662+Source!Y662</f>
        <v>850.38000000000011</v>
      </c>
    </row>
    <row r="1587" spans="1:28" ht="57" x14ac:dyDescent="0.2">
      <c r="A1587" s="46">
        <v>230</v>
      </c>
      <c r="B1587" s="46" t="str">
        <f>Source!E663</f>
        <v>111,1</v>
      </c>
      <c r="C1587" s="46" t="str">
        <f>Source!G663</f>
        <v>Хомуты для крепления канализационных и водосточных пластмассовых трубопроводов, диаметром 100 мм</v>
      </c>
      <c r="D1587" s="46" t="str">
        <f>Source!F663</f>
        <v>24.1.02.01-0112</v>
      </c>
      <c r="E1587" s="31" t="str">
        <f>Source!H663</f>
        <v>т</v>
      </c>
      <c r="F1587" s="12">
        <f>Source!I663</f>
        <v>1.63E-4</v>
      </c>
      <c r="G1587" s="22">
        <f>Source!AB663</f>
        <v>37529.15</v>
      </c>
      <c r="H1587" s="22">
        <f>Source!O663</f>
        <v>40.130000000000003</v>
      </c>
      <c r="T1587">
        <f>Source!O663+Source!X663+Source!Y663</f>
        <v>40.130000000000003</v>
      </c>
      <c r="U1587">
        <f>Source!P663</f>
        <v>40.130000000000003</v>
      </c>
      <c r="V1587">
        <f>Source!S663</f>
        <v>0</v>
      </c>
      <c r="W1587">
        <f>Source!Q663</f>
        <v>0</v>
      </c>
      <c r="X1587">
        <f>Source!R663</f>
        <v>0</v>
      </c>
      <c r="Y1587">
        <f>Source!U663</f>
        <v>0</v>
      </c>
      <c r="Z1587">
        <f>Source!V663</f>
        <v>0</v>
      </c>
      <c r="AA1587">
        <f>Source!X663</f>
        <v>0</v>
      </c>
      <c r="AB1587">
        <f>Source!Y663</f>
        <v>0</v>
      </c>
    </row>
    <row r="1588" spans="1:28" ht="14.25" x14ac:dyDescent="0.2">
      <c r="C1588" s="23" t="s">
        <v>1686</v>
      </c>
      <c r="D1588" s="23">
        <f>Source!BC663</f>
        <v>6.56</v>
      </c>
      <c r="F1588" s="12"/>
      <c r="G1588" s="12"/>
      <c r="H1588" s="12"/>
    </row>
    <row r="1589" spans="1:28" ht="42.75" x14ac:dyDescent="0.2">
      <c r="A1589" s="46">
        <v>231</v>
      </c>
      <c r="B1589" s="46" t="str">
        <f>Source!E664</f>
        <v>111,2</v>
      </c>
      <c r="C1589" s="46" t="str">
        <f>Source!G664</f>
        <v>Трубопроводы для внутренней канализации из поливинилхлоридных труб диаметром 100 мм</v>
      </c>
      <c r="D1589" s="46" t="str">
        <f>Source!F664</f>
        <v>24.3.01.06-0012</v>
      </c>
      <c r="E1589" s="31" t="str">
        <f>Source!H664</f>
        <v>м</v>
      </c>
      <c r="F1589" s="12">
        <f>Source!I664</f>
        <v>6</v>
      </c>
      <c r="G1589" s="22">
        <f>Source!AB664</f>
        <v>104.07</v>
      </c>
      <c r="H1589" s="22">
        <f>Source!O664</f>
        <v>4096.2</v>
      </c>
      <c r="T1589">
        <f>Source!O664+Source!X664+Source!Y664</f>
        <v>4096.2</v>
      </c>
      <c r="U1589">
        <f>Source!P664</f>
        <v>4096.2</v>
      </c>
      <c r="V1589">
        <f>Source!S664</f>
        <v>0</v>
      </c>
      <c r="W1589">
        <f>Source!Q664</f>
        <v>0</v>
      </c>
      <c r="X1589">
        <f>Source!R664</f>
        <v>0</v>
      </c>
      <c r="Y1589">
        <f>Source!U664</f>
        <v>0</v>
      </c>
      <c r="Z1589">
        <f>Source!V664</f>
        <v>0</v>
      </c>
      <c r="AA1589">
        <f>Source!X664</f>
        <v>0</v>
      </c>
      <c r="AB1589">
        <f>Source!Y664</f>
        <v>0</v>
      </c>
    </row>
    <row r="1590" spans="1:28" ht="14.25" x14ac:dyDescent="0.2">
      <c r="C1590" s="23" t="s">
        <v>1686</v>
      </c>
      <c r="D1590" s="23">
        <f>Source!BC664</f>
        <v>6.56</v>
      </c>
      <c r="F1590" s="12"/>
      <c r="G1590" s="12"/>
      <c r="H1590" s="12"/>
    </row>
    <row r="1591" spans="1:28" ht="42.75" x14ac:dyDescent="0.2">
      <c r="A1591" s="46">
        <v>232</v>
      </c>
      <c r="B1591" s="46" t="str">
        <f>Source!E665</f>
        <v>112</v>
      </c>
      <c r="C1591" s="46" t="str">
        <f>Source!G665</f>
        <v>Прокладка трубопроводов канализации из полиэтиленовых труб высокой плотности диаметром 50 мм</v>
      </c>
      <c r="D1591" s="46" t="str">
        <f>Source!F665</f>
        <v>16-04-001-01</v>
      </c>
      <c r="E1591" s="31" t="str">
        <f>Source!H665</f>
        <v>100 м</v>
      </c>
      <c r="F1591" s="12">
        <f>Source!I665</f>
        <v>0.08</v>
      </c>
      <c r="G1591" s="22">
        <f>Source!AB665</f>
        <v>791.52</v>
      </c>
      <c r="H1591" s="22">
        <f>Source!O665</f>
        <v>415.39</v>
      </c>
      <c r="T1591">
        <f>Source!O665+Source!X665+Source!Y665</f>
        <v>1131.23</v>
      </c>
      <c r="U1591">
        <f>Source!P665</f>
        <v>29.06</v>
      </c>
      <c r="V1591">
        <f>Source!S665</f>
        <v>384.6</v>
      </c>
      <c r="W1591">
        <f>Source!Q665</f>
        <v>1.73</v>
      </c>
      <c r="X1591">
        <f>Source!R665</f>
        <v>0.26</v>
      </c>
      <c r="Y1591">
        <f>Source!U665</f>
        <v>5.9100799999999998</v>
      </c>
      <c r="Z1591">
        <f>Source!V665</f>
        <v>3.0000000000000001E-3</v>
      </c>
      <c r="AA1591">
        <f>Source!X665</f>
        <v>442.59</v>
      </c>
      <c r="AB1591">
        <f>Source!Y665</f>
        <v>273.25</v>
      </c>
    </row>
    <row r="1592" spans="1:28" ht="14.25" x14ac:dyDescent="0.2">
      <c r="C1592" s="23" t="str">
        <f>"Объем: "&amp;Source!I665&amp;"=8/"&amp;"100"</f>
        <v>Объем: 0,08=8/100</v>
      </c>
      <c r="F1592" s="12"/>
      <c r="G1592" s="12"/>
      <c r="H1592" s="12"/>
    </row>
    <row r="1593" spans="1:28" x14ac:dyDescent="0.2">
      <c r="C1593" s="23" t="s">
        <v>1684</v>
      </c>
      <c r="D1593" s="23">
        <f>Source!BA665</f>
        <v>6.56</v>
      </c>
    </row>
    <row r="1594" spans="1:28" x14ac:dyDescent="0.2">
      <c r="C1594" s="23" t="s">
        <v>1685</v>
      </c>
      <c r="D1594" s="23">
        <f>Source!BB665</f>
        <v>6.56</v>
      </c>
    </row>
    <row r="1595" spans="1:28" x14ac:dyDescent="0.2">
      <c r="C1595" s="23" t="s">
        <v>1686</v>
      </c>
      <c r="D1595" s="23">
        <f>Source!BC665</f>
        <v>6.56</v>
      </c>
    </row>
    <row r="1596" spans="1:28" x14ac:dyDescent="0.2">
      <c r="C1596" s="23" t="s">
        <v>1687</v>
      </c>
      <c r="D1596" s="23">
        <f>Source!BS665</f>
        <v>6.56</v>
      </c>
    </row>
    <row r="1597" spans="1:28" x14ac:dyDescent="0.2">
      <c r="C1597" s="23" t="s">
        <v>1694</v>
      </c>
      <c r="D1597" s="89" t="s">
        <v>172</v>
      </c>
      <c r="E1597" s="89"/>
      <c r="F1597" s="89"/>
      <c r="G1597" s="89"/>
      <c r="H1597" s="89"/>
    </row>
    <row r="1598" spans="1:28" x14ac:dyDescent="0.2">
      <c r="C1598" s="23" t="s">
        <v>1695</v>
      </c>
      <c r="D1598" s="89" t="s">
        <v>172</v>
      </c>
      <c r="E1598" s="89"/>
      <c r="F1598" s="89"/>
      <c r="G1598" s="89"/>
      <c r="H1598" s="89"/>
    </row>
    <row r="1599" spans="1:28" x14ac:dyDescent="0.2">
      <c r="C1599" s="23" t="s">
        <v>1696</v>
      </c>
      <c r="D1599" s="89" t="s">
        <v>173</v>
      </c>
      <c r="E1599" s="89"/>
      <c r="F1599" s="89"/>
      <c r="G1599" s="89"/>
      <c r="H1599" s="89"/>
    </row>
    <row r="1600" spans="1:28" x14ac:dyDescent="0.2">
      <c r="C1600" s="23" t="s">
        <v>1697</v>
      </c>
      <c r="D1600" s="89" t="s">
        <v>173</v>
      </c>
      <c r="E1600" s="89"/>
      <c r="F1600" s="89"/>
      <c r="G1600" s="89"/>
      <c r="H1600" s="89"/>
    </row>
    <row r="1601" spans="1:28" x14ac:dyDescent="0.2">
      <c r="C1601" s="23" t="s">
        <v>1698</v>
      </c>
      <c r="D1601" s="89" t="s">
        <v>172</v>
      </c>
      <c r="E1601" s="89"/>
      <c r="F1601" s="89"/>
      <c r="G1601" s="89"/>
      <c r="H1601" s="89"/>
    </row>
    <row r="1602" spans="1:28" x14ac:dyDescent="0.2">
      <c r="C1602" s="9" t="s">
        <v>1688</v>
      </c>
      <c r="D1602" s="34"/>
      <c r="E1602" s="34"/>
      <c r="F1602" s="34">
        <f>Source!BZ665</f>
        <v>128</v>
      </c>
      <c r="G1602" s="58">
        <f>(Source!AF665+Source!AE665)*Source!FX665/100</f>
        <v>844.81920000000002</v>
      </c>
      <c r="H1602" s="58">
        <f>Source!X665</f>
        <v>442.59</v>
      </c>
    </row>
    <row r="1603" spans="1:28" x14ac:dyDescent="0.2">
      <c r="C1603" s="9" t="s">
        <v>1689</v>
      </c>
      <c r="D1603" s="34"/>
      <c r="E1603" s="34"/>
      <c r="F1603" s="34"/>
      <c r="G1603" s="34" t="str">
        <f>CONCATENATE(Source!DL665,Source!FT665, "=", Source!FX665, "%")</f>
        <v>*0,9=115,2%</v>
      </c>
      <c r="H1603" s="34" t="str">
        <f>CONCATENATE(Source!AT665)</f>
        <v>115</v>
      </c>
    </row>
    <row r="1604" spans="1:28" x14ac:dyDescent="0.2">
      <c r="C1604" s="9" t="s">
        <v>1690</v>
      </c>
      <c r="D1604" s="34"/>
      <c r="E1604" s="34"/>
      <c r="F1604" s="34">
        <f>Source!CA665</f>
        <v>83</v>
      </c>
      <c r="G1604" s="58">
        <f>(Source!AF665+Source!AE665)*Source!FY665/100</f>
        <v>517.37842499999999</v>
      </c>
      <c r="H1604" s="58">
        <f>Source!Y665</f>
        <v>273.25</v>
      </c>
    </row>
    <row r="1605" spans="1:28" x14ac:dyDescent="0.2">
      <c r="C1605" s="9" t="s">
        <v>1691</v>
      </c>
      <c r="D1605" s="34"/>
      <c r="E1605" s="34"/>
      <c r="F1605" s="34"/>
      <c r="G1605" s="34" t="str">
        <f>CONCATENATE(Source!DM665,Source!FU665, "=", Source!FY665, "%")</f>
        <v>*0,85=70,55%</v>
      </c>
      <c r="H1605" s="34" t="str">
        <f>CONCATENATE(Source!AU665)</f>
        <v>71</v>
      </c>
    </row>
    <row r="1606" spans="1:28" x14ac:dyDescent="0.2">
      <c r="C1606" s="9" t="s">
        <v>1692</v>
      </c>
      <c r="D1606" s="34"/>
      <c r="E1606" s="34"/>
      <c r="F1606" s="34"/>
      <c r="G1606" s="58">
        <f>((Source!AF665+Source!AE665)*Source!FX665/100)+((Source!AF665+Source!AE665)*Source!FY665/100)+Source!AB665</f>
        <v>2153.7176250000002</v>
      </c>
      <c r="H1606" s="58">
        <f>Source!O665+Source!X665+Source!Y665</f>
        <v>1131.23</v>
      </c>
    </row>
    <row r="1607" spans="1:28" ht="42.75" x14ac:dyDescent="0.2">
      <c r="A1607" s="46">
        <v>233</v>
      </c>
      <c r="B1607" s="46" t="str">
        <f>Source!E666</f>
        <v>112,1</v>
      </c>
      <c r="C1607" s="46" t="str">
        <f>Source!G666</f>
        <v>Трубопроводы для внутренней канализации из поливинилхлоридных труб диаметром 50 мм</v>
      </c>
      <c r="D1607" s="46" t="str">
        <f>Source!F666</f>
        <v>24.3.01.06-0011</v>
      </c>
      <c r="E1607" s="31" t="str">
        <f>Source!H666</f>
        <v>м</v>
      </c>
      <c r="F1607" s="12">
        <f>Source!I666</f>
        <v>8</v>
      </c>
      <c r="G1607" s="22">
        <f>Source!AB666</f>
        <v>47.46</v>
      </c>
      <c r="H1607" s="22">
        <f>Source!O666</f>
        <v>2490.6999999999998</v>
      </c>
      <c r="T1607">
        <f>Source!O666+Source!X666+Source!Y666</f>
        <v>2490.6999999999998</v>
      </c>
      <c r="U1607">
        <f>Source!P666</f>
        <v>2490.6999999999998</v>
      </c>
      <c r="V1607">
        <f>Source!S666</f>
        <v>0</v>
      </c>
      <c r="W1607">
        <f>Source!Q666</f>
        <v>0</v>
      </c>
      <c r="X1607">
        <f>Source!R666</f>
        <v>0</v>
      </c>
      <c r="Y1607">
        <f>Source!U666</f>
        <v>0</v>
      </c>
      <c r="Z1607">
        <f>Source!V666</f>
        <v>0</v>
      </c>
      <c r="AA1607">
        <f>Source!X666</f>
        <v>0</v>
      </c>
      <c r="AB1607">
        <f>Source!Y666</f>
        <v>0</v>
      </c>
    </row>
    <row r="1608" spans="1:28" ht="14.25" x14ac:dyDescent="0.2">
      <c r="C1608" s="23" t="s">
        <v>1686</v>
      </c>
      <c r="D1608" s="23">
        <f>Source!BC666</f>
        <v>6.56</v>
      </c>
      <c r="F1608" s="12"/>
      <c r="G1608" s="12"/>
      <c r="H1608" s="12"/>
    </row>
    <row r="1609" spans="1:28" ht="57" x14ac:dyDescent="0.2">
      <c r="A1609" s="46">
        <v>234</v>
      </c>
      <c r="B1609" s="46" t="str">
        <f>Source!E667</f>
        <v>112,2</v>
      </c>
      <c r="C1609" s="46" t="str">
        <f>Source!G667</f>
        <v>Хомуты для крепления канализационных и водосточных пластмассовых трубопроводов, диаметром 50 мм</v>
      </c>
      <c r="D1609" s="46" t="str">
        <f>Source!F667</f>
        <v>24.1.02.01-0111</v>
      </c>
      <c r="E1609" s="31" t="str">
        <f>Source!H667</f>
        <v>т</v>
      </c>
      <c r="F1609" s="12">
        <f>Source!I667</f>
        <v>5.9999999999999995E-4</v>
      </c>
      <c r="G1609" s="22">
        <f>Source!AB667</f>
        <v>26729.37</v>
      </c>
      <c r="H1609" s="22">
        <f>Source!O667</f>
        <v>105.21</v>
      </c>
      <c r="T1609">
        <f>Source!O667+Source!X667+Source!Y667</f>
        <v>105.21</v>
      </c>
      <c r="U1609">
        <f>Source!P667</f>
        <v>105.21</v>
      </c>
      <c r="V1609">
        <f>Source!S667</f>
        <v>0</v>
      </c>
      <c r="W1609">
        <f>Source!Q667</f>
        <v>0</v>
      </c>
      <c r="X1609">
        <f>Source!R667</f>
        <v>0</v>
      </c>
      <c r="Y1609">
        <f>Source!U667</f>
        <v>0</v>
      </c>
      <c r="Z1609">
        <f>Source!V667</f>
        <v>0</v>
      </c>
      <c r="AA1609">
        <f>Source!X667</f>
        <v>0</v>
      </c>
      <c r="AB1609">
        <f>Source!Y667</f>
        <v>0</v>
      </c>
    </row>
    <row r="1610" spans="1:28" ht="14.25" x14ac:dyDescent="0.2">
      <c r="C1610" s="23" t="s">
        <v>1686</v>
      </c>
      <c r="D1610" s="23">
        <f>Source!BC667</f>
        <v>6.56</v>
      </c>
      <c r="F1610" s="12"/>
      <c r="G1610" s="12"/>
      <c r="H1610" s="12"/>
    </row>
    <row r="1612" spans="1:28" ht="15" x14ac:dyDescent="0.25">
      <c r="A1612" s="59"/>
      <c r="B1612" s="59"/>
      <c r="C1612" s="74" t="str">
        <f>CONCATENATE("Итого по разделу: ",IF(Source!G669&lt;&gt;"Новый раздел", Source!G669, ""))</f>
        <v>Итого по разделу: 8 Канализация</v>
      </c>
      <c r="D1612" s="74"/>
      <c r="E1612" s="74"/>
      <c r="F1612" s="74"/>
      <c r="G1612" s="59"/>
      <c r="H1612" s="60">
        <f>IF(SUM(T1506:T1611)=0, "-", SUM(T1506:T1611))</f>
        <v>19800.89</v>
      </c>
    </row>
    <row r="1613" spans="1:28" ht="15" x14ac:dyDescent="0.25">
      <c r="A1613" s="59"/>
      <c r="B1613" s="59"/>
      <c r="C1613" s="59"/>
      <c r="D1613" s="59"/>
      <c r="E1613" s="59"/>
      <c r="F1613" s="59"/>
      <c r="G1613" s="59"/>
      <c r="H1613" s="59"/>
    </row>
    <row r="1616" spans="1:28" ht="15" x14ac:dyDescent="0.25">
      <c r="A1616" s="59"/>
      <c r="B1616" s="59"/>
      <c r="C1616" s="74" t="str">
        <f>CONCATENATE("Итого по локальной смете: ",IF(Source!G698&lt;&gt;"Новая локальная смета", Source!G698, ""))</f>
        <v xml:space="preserve">Итого по локальной смете: </v>
      </c>
      <c r="D1616" s="74"/>
      <c r="E1616" s="74"/>
      <c r="F1616" s="74"/>
      <c r="G1616" s="59"/>
      <c r="H1616" s="60">
        <f>IF(SUM(T37:T1615)=0, "-", SUM(T37:T1615))</f>
        <v>2218501.1399999987</v>
      </c>
    </row>
    <row r="1617" spans="1:33" ht="15" x14ac:dyDescent="0.25">
      <c r="A1617" s="59"/>
      <c r="B1617" s="59"/>
      <c r="C1617" s="59"/>
      <c r="D1617" s="59"/>
      <c r="E1617" s="59"/>
      <c r="F1617" s="59"/>
      <c r="G1617" s="59"/>
      <c r="H1617" s="59"/>
    </row>
    <row r="1619" spans="1:33" ht="14.25" x14ac:dyDescent="0.2">
      <c r="C1619" s="88" t="str">
        <f>Source!H726</f>
        <v>Итого</v>
      </c>
      <c r="D1619" s="88"/>
      <c r="E1619" s="88"/>
      <c r="F1619" s="88"/>
      <c r="G1619" s="77">
        <f>IF(Source!F726=0, "", Source!F726)</f>
        <v>2218501.14</v>
      </c>
      <c r="H1619" s="77"/>
    </row>
    <row r="1620" spans="1:33" ht="14.25" x14ac:dyDescent="0.2">
      <c r="C1620" s="88" t="str">
        <f>Source!H727</f>
        <v>НДС 18%</v>
      </c>
      <c r="D1620" s="88"/>
      <c r="E1620" s="88"/>
      <c r="F1620" s="88"/>
      <c r="G1620" s="77">
        <f>IF(Source!F727=0, "", Source!F727)</f>
        <v>399330.21</v>
      </c>
      <c r="H1620" s="77"/>
    </row>
    <row r="1621" spans="1:33" ht="14.25" x14ac:dyDescent="0.2">
      <c r="C1621" s="88" t="str">
        <f>Source!H728</f>
        <v>Всего</v>
      </c>
      <c r="D1621" s="88"/>
      <c r="E1621" s="88"/>
      <c r="F1621" s="88"/>
      <c r="G1621" s="77">
        <f>IF(Source!F728=0, "", Source!F728)</f>
        <v>2617831.35</v>
      </c>
      <c r="H1621" s="77"/>
    </row>
    <row r="1623" spans="1:33" ht="75" x14ac:dyDescent="0.25">
      <c r="A1623" s="59"/>
      <c r="B1623" s="59"/>
      <c r="C1623" s="74" t="str">
        <f>CONCATENATE("Итого по смете: ",IF(Source!G730&lt;&gt;"Новый объект", Source!G730, ""))</f>
        <v>Итого по смете: на капитальный ремонт помещений №1,№2,№4,№5,№6,№8,№9,№10,№11,№13,№14,№15,№16,№17,№18 третьего этажа,помещений  №1,№2,№4,№5,№6, №7,№8,№9,№10,№11, №12,№13,№14,№15,№16 5-го  этажа  и  лестниц  А ,Б НИЯУ МИФИ по адресу: г.Москва,Каширское шоссе,д.64_(Копия)</v>
      </c>
      <c r="D1623" s="74"/>
      <c r="E1623" s="74"/>
      <c r="F1623" s="74"/>
      <c r="G1623" s="59"/>
      <c r="H1623" s="60">
        <f>IF(SUM(T1:T1622)=0, "-", SUM(T1:T1622))</f>
        <v>2218501.1399999987</v>
      </c>
      <c r="AG1623" s="51" t="str">
        <f>CONCATENATE("Итого по смете: ",IF(Source!G730&lt;&gt;"Новый объект", Source!G730, ""))</f>
        <v>Итого по смете: на капитальный ремонт помещений №1,№2,№4,№5,№6,№8,№9,№10,№11,№13,№14,№15,№16,№17,№18 третьего этажа,помещений  №1,№2,№4,№5,№6, №7,№8,№9,№10,№11, №12,№13,№14,№15,№16 5-го  этажа  и  лестниц  А ,Б НИЯУ МИФИ по адресу: г.Москва,Каширское шоссе,д.64_(Копия)</v>
      </c>
    </row>
    <row r="1624" spans="1:33" ht="15" x14ac:dyDescent="0.25">
      <c r="A1624" s="59"/>
      <c r="B1624" s="59"/>
      <c r="C1624" s="59"/>
      <c r="D1624" s="59"/>
      <c r="E1624" s="59"/>
      <c r="F1624" s="59"/>
      <c r="G1624" s="59"/>
      <c r="H1624" s="59"/>
    </row>
    <row r="1627" spans="1:33" ht="15" thickBot="1" x14ac:dyDescent="0.25">
      <c r="A1627" s="86" t="s">
        <v>1703</v>
      </c>
      <c r="B1627" s="86"/>
      <c r="C1627" s="61" t="str">
        <f>IF(Source!AC12&lt;&gt;"", Source!AC12," ")</f>
        <v xml:space="preserve"> </v>
      </c>
      <c r="D1627" s="12"/>
      <c r="E1627" s="62"/>
      <c r="F1627" s="12"/>
      <c r="G1627" s="87" t="str">
        <f>IF(Source!AB12&lt;&gt;"", Source!AB12," ")</f>
        <v xml:space="preserve"> </v>
      </c>
      <c r="H1627" s="87"/>
      <c r="I1627" s="12"/>
      <c r="J1627" s="12"/>
      <c r="K1627" s="12"/>
      <c r="L1627" s="12"/>
    </row>
    <row r="1628" spans="1:33" ht="14.25" x14ac:dyDescent="0.2">
      <c r="A1628" s="12"/>
      <c r="B1628" s="12"/>
      <c r="C1628" s="63" t="s">
        <v>1704</v>
      </c>
      <c r="D1628" s="12"/>
      <c r="E1628" s="63" t="s">
        <v>1705</v>
      </c>
      <c r="F1628" s="12"/>
      <c r="G1628" s="85" t="s">
        <v>1706</v>
      </c>
      <c r="H1628" s="85"/>
      <c r="I1628" s="12"/>
      <c r="J1628" s="12"/>
      <c r="K1628" s="12"/>
      <c r="L1628" s="12"/>
    </row>
    <row r="1629" spans="1:33" ht="14.25" x14ac:dyDescent="0.2">
      <c r="A1629" s="12"/>
      <c r="B1629" s="12"/>
      <c r="C1629" s="12"/>
      <c r="D1629" s="12"/>
      <c r="E1629" s="12"/>
      <c r="F1629" s="12"/>
      <c r="G1629" s="12"/>
      <c r="H1629" s="12"/>
      <c r="I1629" s="12"/>
      <c r="J1629" s="12"/>
      <c r="K1629" s="12"/>
      <c r="L1629" s="12"/>
    </row>
    <row r="1630" spans="1:33" ht="14.25" x14ac:dyDescent="0.2">
      <c r="A1630" s="12"/>
      <c r="B1630" s="12"/>
      <c r="C1630" s="13" t="s">
        <v>1707</v>
      </c>
      <c r="D1630" s="12"/>
      <c r="E1630" s="12"/>
      <c r="F1630" s="12"/>
      <c r="G1630" s="12"/>
      <c r="H1630" s="12"/>
      <c r="I1630" s="12"/>
      <c r="J1630" s="12"/>
      <c r="K1630" s="12"/>
      <c r="L1630" s="12"/>
    </row>
    <row r="1631" spans="1:33" ht="14.25" x14ac:dyDescent="0.2">
      <c r="A1631" s="12"/>
      <c r="B1631" s="12"/>
      <c r="C1631" s="12"/>
      <c r="D1631" s="12"/>
      <c r="E1631" s="12"/>
      <c r="F1631" s="12"/>
      <c r="G1631" s="12"/>
      <c r="H1631" s="12"/>
      <c r="I1631" s="12"/>
      <c r="J1631" s="12"/>
      <c r="K1631" s="12"/>
      <c r="L1631" s="12"/>
    </row>
    <row r="1632" spans="1:33" ht="15" thickBot="1" x14ac:dyDescent="0.25">
      <c r="A1632" s="86" t="s">
        <v>1708</v>
      </c>
      <c r="B1632" s="86"/>
      <c r="C1632" s="61" t="str">
        <f>IF(Source!AG12&lt;&gt;"", Source!AG12," ")</f>
        <v xml:space="preserve"> </v>
      </c>
      <c r="D1632" s="12"/>
      <c r="E1632" s="62"/>
      <c r="F1632" s="12"/>
      <c r="G1632" s="87" t="str">
        <f>IF(Source!AF12&lt;&gt;"", Source!AF12," ")</f>
        <v xml:space="preserve"> </v>
      </c>
      <c r="H1632" s="87"/>
      <c r="I1632" s="12"/>
      <c r="J1632" s="12"/>
      <c r="K1632" s="12"/>
      <c r="L1632" s="12"/>
    </row>
    <row r="1633" spans="1:12" ht="14.25" x14ac:dyDescent="0.2">
      <c r="A1633" s="12"/>
      <c r="B1633" s="12"/>
      <c r="C1633" s="63" t="s">
        <v>1704</v>
      </c>
      <c r="D1633" s="12"/>
      <c r="E1633" s="63" t="s">
        <v>1705</v>
      </c>
      <c r="F1633" s="12"/>
      <c r="G1633" s="85" t="s">
        <v>1706</v>
      </c>
      <c r="H1633" s="85"/>
      <c r="I1633" s="12"/>
      <c r="J1633" s="12"/>
      <c r="K1633" s="12"/>
      <c r="L1633" s="12"/>
    </row>
    <row r="1634" spans="1:12" ht="14.25" x14ac:dyDescent="0.2">
      <c r="A1634" s="12"/>
      <c r="B1634" s="12"/>
      <c r="C1634" s="12"/>
      <c r="D1634" s="12"/>
      <c r="E1634" s="12"/>
      <c r="F1634" s="12"/>
      <c r="G1634" s="12"/>
      <c r="H1634" s="12"/>
      <c r="I1634" s="12"/>
      <c r="J1634" s="12"/>
      <c r="K1634" s="12"/>
      <c r="L1634" s="12"/>
    </row>
    <row r="1635" spans="1:12" ht="14.25" x14ac:dyDescent="0.2">
      <c r="A1635" s="12"/>
      <c r="B1635" s="12"/>
      <c r="C1635" s="13" t="s">
        <v>1707</v>
      </c>
      <c r="D1635" s="12"/>
      <c r="E1635" s="12"/>
      <c r="F1635" s="12"/>
      <c r="G1635" s="12"/>
      <c r="H1635" s="12"/>
      <c r="I1635" s="12"/>
      <c r="J1635" s="12"/>
      <c r="K1635" s="12"/>
      <c r="L1635" s="12"/>
    </row>
  </sheetData>
  <mergeCells count="282">
    <mergeCell ref="E2:H2"/>
    <mergeCell ref="E3:H3"/>
    <mergeCell ref="E4:H4"/>
    <mergeCell ref="G6:H6"/>
    <mergeCell ref="G7:H7"/>
    <mergeCell ref="G8:H9"/>
    <mergeCell ref="C9:E9"/>
    <mergeCell ref="C14:E14"/>
    <mergeCell ref="G14:H15"/>
    <mergeCell ref="C15:E15"/>
    <mergeCell ref="C16:E16"/>
    <mergeCell ref="G16:H17"/>
    <mergeCell ref="C17:E17"/>
    <mergeCell ref="C10:E10"/>
    <mergeCell ref="G10:H11"/>
    <mergeCell ref="C11:E11"/>
    <mergeCell ref="C12:E12"/>
    <mergeCell ref="G12:H13"/>
    <mergeCell ref="C13:E13"/>
    <mergeCell ref="G22:H22"/>
    <mergeCell ref="D24:D25"/>
    <mergeCell ref="E24:E25"/>
    <mergeCell ref="F24:G24"/>
    <mergeCell ref="A28:H28"/>
    <mergeCell ref="A29:H29"/>
    <mergeCell ref="C18:E18"/>
    <mergeCell ref="D19:F19"/>
    <mergeCell ref="G19:H19"/>
    <mergeCell ref="D20:E20"/>
    <mergeCell ref="G20:H20"/>
    <mergeCell ref="G21:H21"/>
    <mergeCell ref="A37:H37"/>
    <mergeCell ref="A39:H39"/>
    <mergeCell ref="A41:H41"/>
    <mergeCell ref="D149:H149"/>
    <mergeCell ref="D150:H150"/>
    <mergeCell ref="D151:H151"/>
    <mergeCell ref="F31:G31"/>
    <mergeCell ref="A33:B33"/>
    <mergeCell ref="C33:C34"/>
    <mergeCell ref="D33:D34"/>
    <mergeCell ref="E33:E34"/>
    <mergeCell ref="F33:H33"/>
    <mergeCell ref="D206:H206"/>
    <mergeCell ref="D207:H207"/>
    <mergeCell ref="D208:H208"/>
    <mergeCell ref="D209:H209"/>
    <mergeCell ref="D225:H225"/>
    <mergeCell ref="D226:H226"/>
    <mergeCell ref="D152:H152"/>
    <mergeCell ref="D153:H153"/>
    <mergeCell ref="D154:H154"/>
    <mergeCell ref="C194:F194"/>
    <mergeCell ref="A198:H198"/>
    <mergeCell ref="D205:H205"/>
    <mergeCell ref="D248:H248"/>
    <mergeCell ref="D249:H249"/>
    <mergeCell ref="D261:H261"/>
    <mergeCell ref="D262:H262"/>
    <mergeCell ref="D263:H263"/>
    <mergeCell ref="D264:H264"/>
    <mergeCell ref="D227:H227"/>
    <mergeCell ref="D228:H228"/>
    <mergeCell ref="D229:H229"/>
    <mergeCell ref="D245:H245"/>
    <mergeCell ref="D246:H246"/>
    <mergeCell ref="D247:H247"/>
    <mergeCell ref="D295:H295"/>
    <mergeCell ref="D296:H296"/>
    <mergeCell ref="D297:H297"/>
    <mergeCell ref="D298:H298"/>
    <mergeCell ref="D299:H299"/>
    <mergeCell ref="D314:H314"/>
    <mergeCell ref="D265:H265"/>
    <mergeCell ref="D279:H279"/>
    <mergeCell ref="D280:H280"/>
    <mergeCell ref="D281:H281"/>
    <mergeCell ref="D282:H282"/>
    <mergeCell ref="D283:H283"/>
    <mergeCell ref="D337:H337"/>
    <mergeCell ref="D338:H338"/>
    <mergeCell ref="D339:H339"/>
    <mergeCell ref="D353:H353"/>
    <mergeCell ref="D354:H354"/>
    <mergeCell ref="D355:H355"/>
    <mergeCell ref="D315:H315"/>
    <mergeCell ref="D316:H316"/>
    <mergeCell ref="D317:H317"/>
    <mergeCell ref="D318:H318"/>
    <mergeCell ref="D335:H335"/>
    <mergeCell ref="D336:H336"/>
    <mergeCell ref="D379:H379"/>
    <mergeCell ref="D520:H520"/>
    <mergeCell ref="D521:H521"/>
    <mergeCell ref="D522:H522"/>
    <mergeCell ref="D523:H523"/>
    <mergeCell ref="D524:H524"/>
    <mergeCell ref="D356:H356"/>
    <mergeCell ref="D357:H357"/>
    <mergeCell ref="D375:H375"/>
    <mergeCell ref="D376:H376"/>
    <mergeCell ref="D377:H377"/>
    <mergeCell ref="D378:H378"/>
    <mergeCell ref="D557:H557"/>
    <mergeCell ref="D558:H558"/>
    <mergeCell ref="D559:H559"/>
    <mergeCell ref="D560:H560"/>
    <mergeCell ref="D583:H583"/>
    <mergeCell ref="D584:H584"/>
    <mergeCell ref="D536:H536"/>
    <mergeCell ref="D537:H537"/>
    <mergeCell ref="D538:H538"/>
    <mergeCell ref="D539:H539"/>
    <mergeCell ref="D540:H540"/>
    <mergeCell ref="D556:H556"/>
    <mergeCell ref="D606:H606"/>
    <mergeCell ref="D607:H607"/>
    <mergeCell ref="D623:H623"/>
    <mergeCell ref="D624:H624"/>
    <mergeCell ref="D625:H625"/>
    <mergeCell ref="D626:H626"/>
    <mergeCell ref="D585:H585"/>
    <mergeCell ref="D586:H586"/>
    <mergeCell ref="D587:H587"/>
    <mergeCell ref="D603:H603"/>
    <mergeCell ref="D604:H604"/>
    <mergeCell ref="D605:H605"/>
    <mergeCell ref="D648:H648"/>
    <mergeCell ref="D660:H660"/>
    <mergeCell ref="D661:H661"/>
    <mergeCell ref="D662:H662"/>
    <mergeCell ref="D663:H663"/>
    <mergeCell ref="D664:H664"/>
    <mergeCell ref="D627:H627"/>
    <mergeCell ref="D628:H628"/>
    <mergeCell ref="D644:H644"/>
    <mergeCell ref="D645:H645"/>
    <mergeCell ref="D646:H646"/>
    <mergeCell ref="D647:H647"/>
    <mergeCell ref="D693:H693"/>
    <mergeCell ref="D694:H694"/>
    <mergeCell ref="D695:H695"/>
    <mergeCell ref="D696:H696"/>
    <mergeCell ref="D697:H697"/>
    <mergeCell ref="D713:H713"/>
    <mergeCell ref="D665:H665"/>
    <mergeCell ref="D677:H677"/>
    <mergeCell ref="D678:H678"/>
    <mergeCell ref="D679:H679"/>
    <mergeCell ref="D680:H680"/>
    <mergeCell ref="D681:H681"/>
    <mergeCell ref="D731:H731"/>
    <mergeCell ref="D732:H732"/>
    <mergeCell ref="D733:H733"/>
    <mergeCell ref="D749:H749"/>
    <mergeCell ref="D750:H750"/>
    <mergeCell ref="D751:H751"/>
    <mergeCell ref="D714:H714"/>
    <mergeCell ref="D715:H715"/>
    <mergeCell ref="D716:H716"/>
    <mergeCell ref="D717:H717"/>
    <mergeCell ref="D729:H729"/>
    <mergeCell ref="D730:H730"/>
    <mergeCell ref="D773:H773"/>
    <mergeCell ref="D789:H789"/>
    <mergeCell ref="D790:H790"/>
    <mergeCell ref="D791:H791"/>
    <mergeCell ref="D792:H792"/>
    <mergeCell ref="D793:H793"/>
    <mergeCell ref="D752:H752"/>
    <mergeCell ref="D753:H753"/>
    <mergeCell ref="D769:H769"/>
    <mergeCell ref="D770:H770"/>
    <mergeCell ref="D771:H771"/>
    <mergeCell ref="D772:H772"/>
    <mergeCell ref="D828:H828"/>
    <mergeCell ref="D829:H829"/>
    <mergeCell ref="D830:H830"/>
    <mergeCell ref="D831:H831"/>
    <mergeCell ref="C856:F856"/>
    <mergeCell ref="C860:F860"/>
    <mergeCell ref="D811:H811"/>
    <mergeCell ref="D812:H812"/>
    <mergeCell ref="D813:H813"/>
    <mergeCell ref="D814:H814"/>
    <mergeCell ref="D815:H815"/>
    <mergeCell ref="D827:H827"/>
    <mergeCell ref="D904:H904"/>
    <mergeCell ref="D905:H905"/>
    <mergeCell ref="D914:H914"/>
    <mergeCell ref="D915:H915"/>
    <mergeCell ref="D916:H916"/>
    <mergeCell ref="D917:H917"/>
    <mergeCell ref="A864:H864"/>
    <mergeCell ref="A866:H866"/>
    <mergeCell ref="D900:H900"/>
    <mergeCell ref="D901:H901"/>
    <mergeCell ref="D902:H902"/>
    <mergeCell ref="D903:H903"/>
    <mergeCell ref="C1256:F1256"/>
    <mergeCell ref="C1260:F1260"/>
    <mergeCell ref="A1264:H1264"/>
    <mergeCell ref="D1267:H1267"/>
    <mergeCell ref="D1268:H1268"/>
    <mergeCell ref="D1274:H1274"/>
    <mergeCell ref="D918:H918"/>
    <mergeCell ref="D919:H919"/>
    <mergeCell ref="C924:F924"/>
    <mergeCell ref="A928:H928"/>
    <mergeCell ref="C1069:F1069"/>
    <mergeCell ref="A1073:H1073"/>
    <mergeCell ref="A1299:H1299"/>
    <mergeCell ref="C1341:F1341"/>
    <mergeCell ref="A1345:H1345"/>
    <mergeCell ref="C1400:F1400"/>
    <mergeCell ref="A1404:H1404"/>
    <mergeCell ref="D1420:H1420"/>
    <mergeCell ref="D1275:H1275"/>
    <mergeCell ref="D1282:H1282"/>
    <mergeCell ref="D1283:H1283"/>
    <mergeCell ref="D1289:H1289"/>
    <mergeCell ref="D1290:H1290"/>
    <mergeCell ref="C1295:F1295"/>
    <mergeCell ref="D1469:H1469"/>
    <mergeCell ref="D1470:H1470"/>
    <mergeCell ref="D1471:H1471"/>
    <mergeCell ref="D1472:H1472"/>
    <mergeCell ref="D1473:H1473"/>
    <mergeCell ref="D1491:H1491"/>
    <mergeCell ref="D1421:H1421"/>
    <mergeCell ref="D1422:H1422"/>
    <mergeCell ref="D1423:H1423"/>
    <mergeCell ref="D1424:H1424"/>
    <mergeCell ref="C1437:F1437"/>
    <mergeCell ref="A1441:H1441"/>
    <mergeCell ref="D1513:H1513"/>
    <mergeCell ref="D1514:H1514"/>
    <mergeCell ref="D1515:H1515"/>
    <mergeCell ref="D1516:H1516"/>
    <mergeCell ref="D1517:H1517"/>
    <mergeCell ref="D1518:H1518"/>
    <mergeCell ref="D1492:H1492"/>
    <mergeCell ref="D1493:H1493"/>
    <mergeCell ref="D1494:H1494"/>
    <mergeCell ref="D1495:H1495"/>
    <mergeCell ref="C1502:F1502"/>
    <mergeCell ref="A1506:H1506"/>
    <mergeCell ref="D1560:H1560"/>
    <mergeCell ref="D1561:H1561"/>
    <mergeCell ref="D1562:H1562"/>
    <mergeCell ref="D1563:H1563"/>
    <mergeCell ref="D1577:H1577"/>
    <mergeCell ref="D1578:H1578"/>
    <mergeCell ref="D1539:H1539"/>
    <mergeCell ref="D1540:H1540"/>
    <mergeCell ref="D1541:H1541"/>
    <mergeCell ref="D1542:H1542"/>
    <mergeCell ref="D1543:H1543"/>
    <mergeCell ref="D1559:H1559"/>
    <mergeCell ref="D1600:H1600"/>
    <mergeCell ref="D1601:H1601"/>
    <mergeCell ref="C1612:F1612"/>
    <mergeCell ref="C1616:F1616"/>
    <mergeCell ref="C1619:F1619"/>
    <mergeCell ref="G1619:H1619"/>
    <mergeCell ref="D1579:H1579"/>
    <mergeCell ref="D1580:H1580"/>
    <mergeCell ref="D1581:H1581"/>
    <mergeCell ref="D1597:H1597"/>
    <mergeCell ref="D1598:H1598"/>
    <mergeCell ref="D1599:H1599"/>
    <mergeCell ref="G1628:H1628"/>
    <mergeCell ref="A1632:B1632"/>
    <mergeCell ref="G1632:H1632"/>
    <mergeCell ref="G1633:H1633"/>
    <mergeCell ref="C1620:F1620"/>
    <mergeCell ref="G1620:H1620"/>
    <mergeCell ref="C1621:F1621"/>
    <mergeCell ref="G1621:H1621"/>
    <mergeCell ref="C1623:F1623"/>
    <mergeCell ref="A1627:B1627"/>
    <mergeCell ref="G1627:H1627"/>
  </mergeCells>
  <pageMargins left="0.4" right="0.2" top="0.4" bottom="0.4" header="0.2" footer="0.2"/>
  <pageSetup paperSize="9" scale="85" fitToHeight="0" orientation="portrait" r:id="rId1"/>
  <headerFooter>
    <oddHeader>&amp;L&amp;8НИЯУ МИФИ  Доп. раб. место  MCCS-0027251</oddHeader>
    <oddFooter>&amp;R&amp;P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2"/>
  <sheetViews>
    <sheetView zoomScaleNormal="100" workbookViewId="0">
      <selection sqref="A1:D1"/>
    </sheetView>
  </sheetViews>
  <sheetFormatPr defaultRowHeight="12.75" x14ac:dyDescent="0.2"/>
  <cols>
    <col min="1" max="1" width="5.7109375" customWidth="1"/>
    <col min="2" max="2" width="22.7109375" customWidth="1"/>
    <col min="10" max="11" width="11.140625" customWidth="1"/>
  </cols>
  <sheetData>
    <row r="1" spans="1:12" ht="14.25" x14ac:dyDescent="0.2">
      <c r="A1" s="157" t="str">
        <f>Source!B1</f>
        <v>Smeta.RU  (495) 974-1589</v>
      </c>
      <c r="B1" s="157"/>
      <c r="C1" s="157"/>
      <c r="D1" s="157"/>
      <c r="E1" s="12"/>
      <c r="F1" s="12"/>
      <c r="G1" s="12"/>
      <c r="H1" s="111" t="s">
        <v>1709</v>
      </c>
      <c r="I1" s="111"/>
      <c r="J1" s="111"/>
      <c r="K1" s="111"/>
      <c r="L1" s="111"/>
    </row>
    <row r="2" spans="1:12" ht="14.25" x14ac:dyDescent="0.2">
      <c r="A2" s="12"/>
      <c r="B2" s="12"/>
      <c r="C2" s="12"/>
      <c r="D2" s="12"/>
      <c r="E2" s="12"/>
      <c r="F2" s="12"/>
      <c r="G2" s="12"/>
      <c r="H2" s="111" t="s">
        <v>1646</v>
      </c>
      <c r="I2" s="111"/>
      <c r="J2" s="111"/>
      <c r="K2" s="111"/>
      <c r="L2" s="111"/>
    </row>
    <row r="3" spans="1:12" ht="14.25" x14ac:dyDescent="0.2">
      <c r="A3" s="12"/>
      <c r="B3" s="12"/>
      <c r="C3" s="12"/>
      <c r="D3" s="12"/>
      <c r="E3" s="12"/>
      <c r="F3" s="12"/>
      <c r="G3" s="12"/>
      <c r="H3" s="111" t="s">
        <v>1647</v>
      </c>
      <c r="I3" s="111"/>
      <c r="J3" s="111"/>
      <c r="K3" s="111"/>
      <c r="L3" s="111"/>
    </row>
    <row r="4" spans="1:12" ht="14.25" x14ac:dyDescent="0.2">
      <c r="A4" s="12"/>
      <c r="B4" s="12"/>
      <c r="C4" s="12"/>
      <c r="D4" s="12"/>
      <c r="E4" s="12"/>
      <c r="F4" s="12"/>
      <c r="G4" s="12"/>
      <c r="H4" s="12"/>
      <c r="I4" s="12"/>
      <c r="J4" s="12"/>
      <c r="K4" s="102" t="s">
        <v>1710</v>
      </c>
      <c r="L4" s="103"/>
    </row>
    <row r="5" spans="1:12" ht="14.25" x14ac:dyDescent="0.2">
      <c r="A5" s="12"/>
      <c r="B5" s="12"/>
      <c r="C5" s="12"/>
      <c r="D5" s="12"/>
      <c r="E5" s="12"/>
      <c r="F5" s="12"/>
      <c r="G5" s="12"/>
      <c r="H5" s="12"/>
      <c r="I5" s="80" t="s">
        <v>1649</v>
      </c>
      <c r="J5" s="80"/>
      <c r="K5" s="102">
        <v>322001</v>
      </c>
      <c r="L5" s="103"/>
    </row>
    <row r="6" spans="1:12" ht="14.25" x14ac:dyDescent="0.2">
      <c r="A6" s="80" t="s">
        <v>1711</v>
      </c>
      <c r="B6" s="80"/>
      <c r="C6" s="156"/>
      <c r="D6" s="156"/>
      <c r="E6" s="156"/>
      <c r="F6" s="156"/>
      <c r="G6" s="156"/>
      <c r="H6" s="156"/>
      <c r="I6" s="156"/>
      <c r="J6" s="11" t="s">
        <v>1652</v>
      </c>
      <c r="K6" s="102"/>
      <c r="L6" s="103"/>
    </row>
    <row r="7" spans="1:12" ht="14.25" x14ac:dyDescent="0.2">
      <c r="A7" s="12"/>
      <c r="B7" s="12"/>
      <c r="C7" s="100" t="s">
        <v>1653</v>
      </c>
      <c r="D7" s="100"/>
      <c r="E7" s="100"/>
      <c r="F7" s="100"/>
      <c r="G7" s="100"/>
      <c r="H7" s="100"/>
      <c r="I7" s="100"/>
      <c r="J7" s="12"/>
      <c r="K7" s="52"/>
      <c r="L7" s="64"/>
    </row>
    <row r="8" spans="1:12" ht="14.25" x14ac:dyDescent="0.2">
      <c r="A8" s="80" t="s">
        <v>1712</v>
      </c>
      <c r="B8" s="80"/>
      <c r="C8" s="156"/>
      <c r="D8" s="156"/>
      <c r="E8" s="156"/>
      <c r="F8" s="156"/>
      <c r="G8" s="156"/>
      <c r="H8" s="156"/>
      <c r="I8" s="25"/>
      <c r="J8" s="11" t="s">
        <v>1652</v>
      </c>
      <c r="K8" s="109"/>
      <c r="L8" s="110"/>
    </row>
    <row r="9" spans="1:12" ht="14.25" x14ac:dyDescent="0.2">
      <c r="A9" s="12"/>
      <c r="B9" s="12"/>
      <c r="C9" s="100" t="s">
        <v>1653</v>
      </c>
      <c r="D9" s="100"/>
      <c r="E9" s="100"/>
      <c r="F9" s="100"/>
      <c r="G9" s="100"/>
      <c r="H9" s="100"/>
      <c r="I9" s="100"/>
      <c r="J9" s="12"/>
      <c r="K9" s="52"/>
      <c r="L9" s="64"/>
    </row>
    <row r="10" spans="1:12" ht="14.25" x14ac:dyDescent="0.2">
      <c r="A10" s="80" t="s">
        <v>1713</v>
      </c>
      <c r="B10" s="80"/>
      <c r="C10" s="156"/>
      <c r="D10" s="156"/>
      <c r="E10" s="156"/>
      <c r="F10" s="156"/>
      <c r="G10" s="156"/>
      <c r="H10" s="156"/>
      <c r="I10" s="156"/>
      <c r="J10" s="11" t="s">
        <v>1652</v>
      </c>
      <c r="K10" s="109"/>
      <c r="L10" s="110"/>
    </row>
    <row r="11" spans="1:12" ht="14.25" x14ac:dyDescent="0.2">
      <c r="A11" s="12"/>
      <c r="B11" s="12"/>
      <c r="C11" s="100" t="s">
        <v>1653</v>
      </c>
      <c r="D11" s="100"/>
      <c r="E11" s="100"/>
      <c r="F11" s="100"/>
      <c r="G11" s="100"/>
      <c r="H11" s="100"/>
      <c r="I11" s="100"/>
      <c r="J11" s="12"/>
      <c r="K11" s="52"/>
      <c r="L11" s="64"/>
    </row>
    <row r="12" spans="1:12" ht="14.25" x14ac:dyDescent="0.2">
      <c r="A12" s="80" t="s">
        <v>1714</v>
      </c>
      <c r="B12" s="80"/>
      <c r="C12" s="156"/>
      <c r="D12" s="156"/>
      <c r="E12" s="156"/>
      <c r="F12" s="156"/>
      <c r="G12" s="156"/>
      <c r="H12" s="156"/>
      <c r="I12" s="156"/>
      <c r="J12" s="11" t="s">
        <v>1652</v>
      </c>
      <c r="K12" s="109"/>
      <c r="L12" s="110"/>
    </row>
    <row r="13" spans="1:12" ht="14.25" x14ac:dyDescent="0.2">
      <c r="A13" s="12"/>
      <c r="B13" s="12"/>
      <c r="C13" s="100" t="s">
        <v>1657</v>
      </c>
      <c r="D13" s="100"/>
      <c r="E13" s="100"/>
      <c r="F13" s="100"/>
      <c r="G13" s="100"/>
      <c r="H13" s="80" t="s">
        <v>1715</v>
      </c>
      <c r="I13" s="80"/>
      <c r="J13" s="101"/>
      <c r="K13" s="102"/>
      <c r="L13" s="103"/>
    </row>
    <row r="14" spans="1:12" ht="14.25" x14ac:dyDescent="0.2">
      <c r="A14" s="12"/>
      <c r="B14" s="12"/>
      <c r="C14" s="12"/>
      <c r="D14" s="12"/>
      <c r="E14" s="80" t="s">
        <v>1716</v>
      </c>
      <c r="F14" s="80"/>
      <c r="G14" s="80"/>
      <c r="H14" s="80"/>
      <c r="I14" s="155" t="s">
        <v>1662</v>
      </c>
      <c r="J14" s="127"/>
      <c r="K14" s="102"/>
      <c r="L14" s="103"/>
    </row>
    <row r="15" spans="1:12" ht="14.25" x14ac:dyDescent="0.2">
      <c r="A15" s="12"/>
      <c r="B15" s="12"/>
      <c r="C15" s="12"/>
      <c r="D15" s="12"/>
      <c r="E15" s="12"/>
      <c r="F15" s="12"/>
      <c r="G15" s="12"/>
      <c r="H15" s="12"/>
      <c r="I15" s="138" t="s">
        <v>1663</v>
      </c>
      <c r="J15" s="139"/>
      <c r="K15" s="104"/>
      <c r="L15" s="105"/>
    </row>
    <row r="16" spans="1:12" ht="14.25" x14ac:dyDescent="0.2">
      <c r="A16" s="12"/>
      <c r="B16" s="12"/>
      <c r="C16" s="12"/>
      <c r="D16" s="12"/>
      <c r="E16" s="12"/>
      <c r="F16" s="12"/>
      <c r="G16" s="12"/>
      <c r="H16" s="12"/>
      <c r="I16" s="127" t="s">
        <v>1717</v>
      </c>
      <c r="J16" s="127"/>
      <c r="K16" s="140"/>
      <c r="L16" s="141"/>
    </row>
    <row r="17" spans="1:12" ht="14.25" x14ac:dyDescent="0.2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</row>
    <row r="18" spans="1:12" ht="14.25" x14ac:dyDescent="0.2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</row>
    <row r="19" spans="1:12" ht="14.25" x14ac:dyDescent="0.2">
      <c r="A19" s="12"/>
      <c r="B19" s="12"/>
      <c r="C19" s="142" t="s">
        <v>1665</v>
      </c>
      <c r="D19" s="143"/>
      <c r="E19" s="142" t="s">
        <v>1666</v>
      </c>
      <c r="F19" s="146"/>
      <c r="G19" s="12"/>
      <c r="H19" s="12"/>
      <c r="I19" s="142" t="s">
        <v>1667</v>
      </c>
      <c r="J19" s="143"/>
      <c r="K19" s="143"/>
      <c r="L19" s="146"/>
    </row>
    <row r="20" spans="1:12" ht="14.25" x14ac:dyDescent="0.2">
      <c r="A20" s="12"/>
      <c r="B20" s="12"/>
      <c r="C20" s="144"/>
      <c r="D20" s="145"/>
      <c r="E20" s="144"/>
      <c r="F20" s="147"/>
      <c r="G20" s="12"/>
      <c r="H20" s="12"/>
      <c r="I20" s="148" t="s">
        <v>1668</v>
      </c>
      <c r="J20" s="149"/>
      <c r="K20" s="148" t="s">
        <v>1669</v>
      </c>
      <c r="L20" s="150"/>
    </row>
    <row r="21" spans="1:12" ht="14.25" x14ac:dyDescent="0.2">
      <c r="A21" s="12"/>
      <c r="B21" s="12"/>
      <c r="C21" s="92"/>
      <c r="D21" s="151"/>
      <c r="E21" s="152"/>
      <c r="F21" s="153"/>
      <c r="G21" s="65"/>
      <c r="H21" s="65"/>
      <c r="I21" s="152"/>
      <c r="J21" s="154"/>
      <c r="K21" s="152"/>
      <c r="L21" s="153"/>
    </row>
    <row r="22" spans="1:12" ht="14.25" x14ac:dyDescent="0.2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ht="14.25" x14ac:dyDescent="0.2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</row>
    <row r="24" spans="1:12" ht="18" x14ac:dyDescent="0.25">
      <c r="A24" s="99" t="s">
        <v>1718</v>
      </c>
      <c r="B24" s="99"/>
      <c r="C24" s="99"/>
      <c r="D24" s="99"/>
      <c r="E24" s="99"/>
      <c r="F24" s="99"/>
      <c r="G24" s="99"/>
      <c r="H24" s="99"/>
      <c r="I24" s="99"/>
      <c r="J24" s="99"/>
      <c r="K24" s="99"/>
      <c r="L24" s="99"/>
    </row>
    <row r="25" spans="1:12" ht="18" x14ac:dyDescent="0.25">
      <c r="A25" s="99" t="s">
        <v>1719</v>
      </c>
      <c r="B25" s="99"/>
      <c r="C25" s="99"/>
      <c r="D25" s="99"/>
      <c r="E25" s="99"/>
      <c r="F25" s="99"/>
      <c r="G25" s="99"/>
      <c r="H25" s="99"/>
      <c r="I25" s="99"/>
      <c r="J25" s="99"/>
      <c r="K25" s="99"/>
      <c r="L25" s="99"/>
    </row>
    <row r="26" spans="1:12" ht="14.25" x14ac:dyDescent="0.2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</row>
    <row r="27" spans="1:12" ht="14.25" x14ac:dyDescent="0.2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</row>
    <row r="28" spans="1:12" ht="14.25" x14ac:dyDescent="0.2">
      <c r="A28" s="132" t="s">
        <v>1623</v>
      </c>
      <c r="B28" s="132" t="s">
        <v>1720</v>
      </c>
      <c r="C28" s="134"/>
      <c r="D28" s="134"/>
      <c r="E28" s="134"/>
      <c r="F28" s="132" t="s">
        <v>1648</v>
      </c>
      <c r="G28" s="132" t="s">
        <v>1721</v>
      </c>
      <c r="H28" s="134"/>
      <c r="I28" s="134"/>
      <c r="J28" s="134"/>
      <c r="K28" s="134"/>
      <c r="L28" s="136"/>
    </row>
    <row r="29" spans="1:12" x14ac:dyDescent="0.2">
      <c r="A29" s="133"/>
      <c r="B29" s="133"/>
      <c r="C29" s="135"/>
      <c r="D29" s="135"/>
      <c r="E29" s="135"/>
      <c r="F29" s="133"/>
      <c r="G29" s="132" t="s">
        <v>1722</v>
      </c>
      <c r="H29" s="134"/>
      <c r="I29" s="132" t="s">
        <v>1723</v>
      </c>
      <c r="J29" s="134"/>
      <c r="K29" s="132" t="s">
        <v>1724</v>
      </c>
      <c r="L29" s="136"/>
    </row>
    <row r="30" spans="1:12" x14ac:dyDescent="0.2">
      <c r="A30" s="133"/>
      <c r="B30" s="133"/>
      <c r="C30" s="135"/>
      <c r="D30" s="135"/>
      <c r="E30" s="135"/>
      <c r="F30" s="133"/>
      <c r="G30" s="133"/>
      <c r="H30" s="135"/>
      <c r="I30" s="133"/>
      <c r="J30" s="135"/>
      <c r="K30" s="133"/>
      <c r="L30" s="137"/>
    </row>
    <row r="31" spans="1:12" x14ac:dyDescent="0.2">
      <c r="A31" s="133"/>
      <c r="B31" s="133"/>
      <c r="C31" s="135"/>
      <c r="D31" s="135"/>
      <c r="E31" s="135"/>
      <c r="F31" s="133"/>
      <c r="G31" s="133"/>
      <c r="H31" s="135"/>
      <c r="I31" s="133"/>
      <c r="J31" s="135"/>
      <c r="K31" s="133"/>
      <c r="L31" s="137"/>
    </row>
    <row r="32" spans="1:12" x14ac:dyDescent="0.2">
      <c r="A32" s="133"/>
      <c r="B32" s="133"/>
      <c r="C32" s="135"/>
      <c r="D32" s="135"/>
      <c r="E32" s="135"/>
      <c r="F32" s="133"/>
      <c r="G32" s="133"/>
      <c r="H32" s="135"/>
      <c r="I32" s="133"/>
      <c r="J32" s="135"/>
      <c r="K32" s="133"/>
      <c r="L32" s="137"/>
    </row>
    <row r="33" spans="1:12" ht="14.25" x14ac:dyDescent="0.2">
      <c r="A33" s="52">
        <v>1</v>
      </c>
      <c r="B33" s="102">
        <v>2</v>
      </c>
      <c r="C33" s="118"/>
      <c r="D33" s="118"/>
      <c r="E33" s="118"/>
      <c r="F33" s="52">
        <v>3</v>
      </c>
      <c r="G33" s="102">
        <v>4</v>
      </c>
      <c r="H33" s="118"/>
      <c r="I33" s="102">
        <v>5</v>
      </c>
      <c r="J33" s="118"/>
      <c r="K33" s="102">
        <v>6</v>
      </c>
      <c r="L33" s="103"/>
    </row>
    <row r="34" spans="1:12" ht="14.25" x14ac:dyDescent="0.2">
      <c r="A34" s="66"/>
      <c r="B34" s="119" t="s">
        <v>1725</v>
      </c>
      <c r="C34" s="120"/>
      <c r="D34" s="120"/>
      <c r="E34" s="120"/>
      <c r="F34" s="67"/>
      <c r="G34" s="121"/>
      <c r="H34" s="122"/>
      <c r="I34" s="121"/>
      <c r="J34" s="122"/>
      <c r="K34" s="121"/>
      <c r="L34" s="123"/>
    </row>
    <row r="35" spans="1:12" ht="14.25" x14ac:dyDescent="0.2">
      <c r="A35" s="68"/>
      <c r="B35" s="124" t="s">
        <v>1726</v>
      </c>
      <c r="C35" s="125"/>
      <c r="D35" s="125"/>
      <c r="E35" s="125"/>
      <c r="F35" s="125"/>
      <c r="G35" s="125"/>
      <c r="H35" s="125"/>
      <c r="I35" s="125"/>
      <c r="J35" s="125"/>
      <c r="K35" s="120"/>
      <c r="L35" s="126"/>
    </row>
    <row r="36" spans="1:12" ht="14.25" x14ac:dyDescent="0.2">
      <c r="A36" s="127" t="s">
        <v>1002</v>
      </c>
      <c r="B36" s="127"/>
      <c r="C36" s="127"/>
      <c r="D36" s="127"/>
      <c r="E36" s="127"/>
      <c r="F36" s="127"/>
      <c r="G36" s="127"/>
      <c r="H36" s="127"/>
      <c r="I36" s="127"/>
      <c r="J36" s="128"/>
      <c r="K36" s="129"/>
      <c r="L36" s="128"/>
    </row>
    <row r="37" spans="1:12" ht="14.25" x14ac:dyDescent="0.2">
      <c r="A37" s="115" t="s">
        <v>1727</v>
      </c>
      <c r="B37" s="115"/>
      <c r="C37" s="115"/>
      <c r="D37" s="115"/>
      <c r="E37" s="115"/>
      <c r="F37" s="115"/>
      <c r="G37" s="115"/>
      <c r="H37" s="115"/>
      <c r="I37" s="115"/>
      <c r="J37" s="115"/>
      <c r="K37" s="130"/>
      <c r="L37" s="131"/>
    </row>
    <row r="38" spans="1:12" ht="14.25" x14ac:dyDescent="0.2">
      <c r="A38" s="115" t="s">
        <v>1728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6"/>
      <c r="L38" s="117"/>
    </row>
    <row r="39" spans="1:12" ht="14.25" x14ac:dyDescent="0.2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</row>
    <row r="42" spans="1:12" ht="14.25" x14ac:dyDescent="0.2">
      <c r="A42" s="86" t="s">
        <v>1712</v>
      </c>
      <c r="B42" s="86"/>
      <c r="C42" s="113"/>
      <c r="D42" s="113"/>
      <c r="E42" s="113"/>
      <c r="F42" s="12"/>
      <c r="G42" s="113"/>
      <c r="H42" s="113"/>
      <c r="I42" s="12"/>
      <c r="J42" s="113"/>
      <c r="K42" s="113"/>
      <c r="L42" s="113"/>
    </row>
    <row r="43" spans="1:12" ht="14.25" x14ac:dyDescent="0.2">
      <c r="A43" s="12"/>
      <c r="B43" s="12"/>
      <c r="C43" s="114" t="s">
        <v>1704</v>
      </c>
      <c r="D43" s="114"/>
      <c r="E43" s="114"/>
      <c r="F43" s="12"/>
      <c r="G43" s="114" t="s">
        <v>1705</v>
      </c>
      <c r="H43" s="114"/>
      <c r="I43" s="12"/>
      <c r="J43" s="114" t="s">
        <v>1706</v>
      </c>
      <c r="K43" s="114"/>
      <c r="L43" s="114"/>
    </row>
    <row r="44" spans="1:12" ht="14.25" x14ac:dyDescent="0.2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</row>
    <row r="45" spans="1:12" ht="14.25" x14ac:dyDescent="0.2">
      <c r="A45" s="11" t="s">
        <v>1729</v>
      </c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</row>
    <row r="46" spans="1:12" ht="14.25" x14ac:dyDescent="0.2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</row>
    <row r="47" spans="1:12" ht="14.25" x14ac:dyDescent="0.2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</row>
    <row r="48" spans="1:12" ht="14.25" x14ac:dyDescent="0.2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</row>
    <row r="49" spans="1:12" ht="14.25" x14ac:dyDescent="0.2">
      <c r="A49" s="86" t="s">
        <v>1713</v>
      </c>
      <c r="B49" s="86"/>
      <c r="C49" s="113"/>
      <c r="D49" s="113"/>
      <c r="E49" s="113"/>
      <c r="F49" s="12"/>
      <c r="G49" s="113"/>
      <c r="H49" s="113"/>
      <c r="I49" s="12"/>
      <c r="J49" s="113"/>
      <c r="K49" s="113"/>
      <c r="L49" s="113"/>
    </row>
    <row r="50" spans="1:12" ht="14.25" x14ac:dyDescent="0.2">
      <c r="A50" s="12"/>
      <c r="B50" s="12"/>
      <c r="C50" s="114" t="s">
        <v>1704</v>
      </c>
      <c r="D50" s="114"/>
      <c r="E50" s="114"/>
      <c r="F50" s="12"/>
      <c r="G50" s="114" t="s">
        <v>1705</v>
      </c>
      <c r="H50" s="114"/>
      <c r="I50" s="12"/>
      <c r="J50" s="114" t="s">
        <v>1706</v>
      </c>
      <c r="K50" s="114"/>
      <c r="L50" s="114"/>
    </row>
    <row r="51" spans="1:12" ht="14.25" x14ac:dyDescent="0.2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</row>
    <row r="52" spans="1:12" ht="14.25" x14ac:dyDescent="0.2">
      <c r="A52" s="11" t="s">
        <v>1729</v>
      </c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</row>
  </sheetData>
  <mergeCells count="79">
    <mergeCell ref="I5:J5"/>
    <mergeCell ref="K5:L5"/>
    <mergeCell ref="A1:D1"/>
    <mergeCell ref="H1:L1"/>
    <mergeCell ref="H2:L2"/>
    <mergeCell ref="H3:L3"/>
    <mergeCell ref="K4:L4"/>
    <mergeCell ref="A12:B12"/>
    <mergeCell ref="C12:I12"/>
    <mergeCell ref="K12:L12"/>
    <mergeCell ref="A6:B6"/>
    <mergeCell ref="C6:I6"/>
    <mergeCell ref="K6:L6"/>
    <mergeCell ref="C7:I7"/>
    <mergeCell ref="A8:B8"/>
    <mergeCell ref="C8:H8"/>
    <mergeCell ref="K8:L8"/>
    <mergeCell ref="C9:I9"/>
    <mergeCell ref="A10:B10"/>
    <mergeCell ref="C10:I10"/>
    <mergeCell ref="K10:L10"/>
    <mergeCell ref="C11:I11"/>
    <mergeCell ref="C13:G13"/>
    <mergeCell ref="H13:J13"/>
    <mergeCell ref="K13:L13"/>
    <mergeCell ref="E14:H14"/>
    <mergeCell ref="I14:J14"/>
    <mergeCell ref="K14:L14"/>
    <mergeCell ref="A25:L25"/>
    <mergeCell ref="I15:J15"/>
    <mergeCell ref="K15:L15"/>
    <mergeCell ref="I16:J16"/>
    <mergeCell ref="K16:L16"/>
    <mergeCell ref="C19:D20"/>
    <mergeCell ref="E19:F20"/>
    <mergeCell ref="I19:L19"/>
    <mergeCell ref="I20:J20"/>
    <mergeCell ref="K20:L20"/>
    <mergeCell ref="C21:D21"/>
    <mergeCell ref="E21:F21"/>
    <mergeCell ref="I21:J21"/>
    <mergeCell ref="K21:L21"/>
    <mergeCell ref="A24:L24"/>
    <mergeCell ref="A28:A32"/>
    <mergeCell ref="B28:E32"/>
    <mergeCell ref="F28:F32"/>
    <mergeCell ref="G28:L28"/>
    <mergeCell ref="G29:H32"/>
    <mergeCell ref="I29:J32"/>
    <mergeCell ref="K29:L32"/>
    <mergeCell ref="A38:J38"/>
    <mergeCell ref="K38:L38"/>
    <mergeCell ref="B33:E33"/>
    <mergeCell ref="G33:H33"/>
    <mergeCell ref="I33:J33"/>
    <mergeCell ref="K33:L33"/>
    <mergeCell ref="B34:E34"/>
    <mergeCell ref="G34:H34"/>
    <mergeCell ref="I34:J34"/>
    <mergeCell ref="K34:L34"/>
    <mergeCell ref="B35:L35"/>
    <mergeCell ref="A36:J36"/>
    <mergeCell ref="K36:L36"/>
    <mergeCell ref="A37:J37"/>
    <mergeCell ref="K37:L37"/>
    <mergeCell ref="A42:B42"/>
    <mergeCell ref="C42:E42"/>
    <mergeCell ref="G42:H42"/>
    <mergeCell ref="J42:L42"/>
    <mergeCell ref="C43:E43"/>
    <mergeCell ref="G43:H43"/>
    <mergeCell ref="J43:L43"/>
    <mergeCell ref="A49:B49"/>
    <mergeCell ref="C49:E49"/>
    <mergeCell ref="G49:H49"/>
    <mergeCell ref="J49:L49"/>
    <mergeCell ref="C50:E50"/>
    <mergeCell ref="G50:H50"/>
    <mergeCell ref="J50:L50"/>
  </mergeCells>
  <pageMargins left="0.4" right="0.2" top="0.4" bottom="0.4" header="0.2" footer="0.2"/>
  <pageSetup paperSize="9" scale="78" fitToHeight="0" orientation="portrait" r:id="rId1"/>
  <headerFooter>
    <oddHeader>&amp;L&amp;8НИЯУ МИФИ  Доп. раб. место  MCCS-0027251</oddHeader>
    <oddFooter>&amp;R&amp;P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K793"/>
  <sheetViews>
    <sheetView topLeftCell="A55" workbookViewId="0">
      <selection activeCell="L92" sqref="L92"/>
    </sheetView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27251</v>
      </c>
      <c r="M1">
        <v>10</v>
      </c>
      <c r="N1">
        <v>10</v>
      </c>
      <c r="O1">
        <v>1</v>
      </c>
      <c r="P1">
        <v>0</v>
      </c>
      <c r="Q1">
        <v>5</v>
      </c>
    </row>
    <row r="12" spans="1:133" x14ac:dyDescent="0.2">
      <c r="A12" s="1">
        <v>1</v>
      </c>
      <c r="B12" s="1">
        <v>788</v>
      </c>
      <c r="C12" s="1">
        <v>0</v>
      </c>
      <c r="D12" s="1">
        <f>ROW(A730)</f>
        <v>730</v>
      </c>
      <c r="E12" s="1">
        <v>0</v>
      </c>
      <c r="F12" s="1" t="s">
        <v>4</v>
      </c>
      <c r="G12" s="1" t="s">
        <v>5</v>
      </c>
      <c r="H12" s="1" t="s">
        <v>6</v>
      </c>
      <c r="I12" s="1">
        <v>0</v>
      </c>
      <c r="J12" s="1" t="s">
        <v>6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/>
      <c r="T12" s="1"/>
      <c r="U12" s="1" t="s">
        <v>6</v>
      </c>
      <c r="V12" s="1">
        <v>0</v>
      </c>
      <c r="W12" s="1" t="s">
        <v>6</v>
      </c>
      <c r="X12" s="1" t="s">
        <v>6</v>
      </c>
      <c r="Y12" s="1" t="s">
        <v>6</v>
      </c>
      <c r="Z12" s="1" t="s">
        <v>6</v>
      </c>
      <c r="AA12" s="1" t="s">
        <v>6</v>
      </c>
      <c r="AB12" s="1" t="s">
        <v>6</v>
      </c>
      <c r="AC12" s="1" t="s">
        <v>6</v>
      </c>
      <c r="AD12" s="1" t="s">
        <v>6</v>
      </c>
      <c r="AE12" s="1" t="s">
        <v>6</v>
      </c>
      <c r="AF12" s="1" t="s">
        <v>6</v>
      </c>
      <c r="AG12" s="1" t="s">
        <v>6</v>
      </c>
      <c r="AH12" s="1" t="s">
        <v>6</v>
      </c>
      <c r="AI12" s="1" t="s">
        <v>6</v>
      </c>
      <c r="AJ12" s="1" t="s">
        <v>6</v>
      </c>
      <c r="AK12" s="1"/>
      <c r="AL12" s="1" t="s">
        <v>6</v>
      </c>
      <c r="AM12" s="1" t="s">
        <v>6</v>
      </c>
      <c r="AN12" s="1" t="s">
        <v>6</v>
      </c>
      <c r="AO12" s="1"/>
      <c r="AP12" s="1" t="s">
        <v>6</v>
      </c>
      <c r="AQ12" s="1" t="s">
        <v>6</v>
      </c>
      <c r="AR12" s="1" t="s">
        <v>6</v>
      </c>
      <c r="AS12" s="1"/>
      <c r="AT12" s="1"/>
      <c r="AU12" s="1"/>
      <c r="AV12" s="1"/>
      <c r="AW12" s="1"/>
      <c r="AX12" s="1" t="s">
        <v>6</v>
      </c>
      <c r="AY12" s="1" t="s">
        <v>6</v>
      </c>
      <c r="AZ12" s="1" t="s">
        <v>6</v>
      </c>
      <c r="BA12" s="1"/>
      <c r="BB12" s="1"/>
      <c r="BC12" s="1"/>
      <c r="BD12" s="1"/>
      <c r="BE12" s="1"/>
      <c r="BF12" s="1"/>
      <c r="BG12" s="1"/>
      <c r="BH12" s="1" t="s">
        <v>7</v>
      </c>
      <c r="BI12" s="1" t="s">
        <v>8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9</v>
      </c>
      <c r="BZ12" s="1" t="s">
        <v>10</v>
      </c>
      <c r="CA12" s="1" t="s">
        <v>9</v>
      </c>
      <c r="CB12" s="1" t="s">
        <v>9</v>
      </c>
      <c r="CC12" s="1" t="s">
        <v>9</v>
      </c>
      <c r="CD12" s="1" t="s">
        <v>9</v>
      </c>
      <c r="CE12" s="1" t="s">
        <v>11</v>
      </c>
      <c r="CF12" s="1">
        <v>0</v>
      </c>
      <c r="CG12" s="1">
        <v>0</v>
      </c>
      <c r="CH12" s="1">
        <v>524296</v>
      </c>
      <c r="CI12" s="1" t="s">
        <v>6</v>
      </c>
      <c r="CJ12" s="1" t="s">
        <v>6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 x14ac:dyDescent="0.2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45" x14ac:dyDescent="0.2">
      <c r="A18" s="2">
        <v>52</v>
      </c>
      <c r="B18" s="2">
        <f t="shared" ref="B18:G18" si="0">B730</f>
        <v>788</v>
      </c>
      <c r="C18" s="2">
        <f t="shared" si="0"/>
        <v>1</v>
      </c>
      <c r="D18" s="2">
        <f t="shared" si="0"/>
        <v>12</v>
      </c>
      <c r="E18" s="2">
        <f t="shared" si="0"/>
        <v>0</v>
      </c>
      <c r="F18" s="2" t="str">
        <f t="shared" si="0"/>
        <v>Новый объект_(Копия)</v>
      </c>
      <c r="G18" s="2" t="str">
        <f t="shared" si="0"/>
        <v>на капитальный ремонт помещений №1,№2,№4,№5,№6,№8,№9,№10,№11,№13,№14,№15,№16,№17,№18 третьего этажа,помещений  №1,№2,№4,№5,№6, №7,№8,№9,№10,№11, №12,№13,№14,№15,№16 5-го  этажа  и  лестниц  А ,Б НИЯУ МИФИ по адресу: г.Москва,Каширское шоссе,д.64_(Копия)</v>
      </c>
      <c r="H18" s="2"/>
      <c r="I18" s="2"/>
      <c r="J18" s="2"/>
      <c r="K18" s="2"/>
      <c r="L18" s="2"/>
      <c r="M18" s="2"/>
      <c r="N18" s="2"/>
      <c r="O18" s="2">
        <f t="shared" ref="O18:AT18" si="1">O730</f>
        <v>1966902.86</v>
      </c>
      <c r="P18" s="2">
        <f t="shared" si="1"/>
        <v>1774171.91</v>
      </c>
      <c r="Q18" s="2">
        <f t="shared" si="1"/>
        <v>20233.37</v>
      </c>
      <c r="R18" s="2">
        <f t="shared" si="1"/>
        <v>3538.3</v>
      </c>
      <c r="S18" s="2">
        <f t="shared" si="1"/>
        <v>172497.58</v>
      </c>
      <c r="T18" s="2">
        <f t="shared" si="1"/>
        <v>0</v>
      </c>
      <c r="U18" s="2">
        <f t="shared" si="1"/>
        <v>2256.7420697500002</v>
      </c>
      <c r="V18" s="2">
        <f t="shared" si="1"/>
        <v>45.953571999999994</v>
      </c>
      <c r="W18" s="2">
        <f t="shared" si="1"/>
        <v>0</v>
      </c>
      <c r="X18" s="2">
        <f t="shared" si="1"/>
        <v>149802.93</v>
      </c>
      <c r="Y18" s="2">
        <f t="shared" si="1"/>
        <v>94412.99</v>
      </c>
      <c r="Z18" s="2">
        <f t="shared" si="1"/>
        <v>0</v>
      </c>
      <c r="AA18" s="2">
        <f t="shared" si="1"/>
        <v>0</v>
      </c>
      <c r="AB18" s="2">
        <f t="shared" si="1"/>
        <v>0</v>
      </c>
      <c r="AC18" s="2">
        <f t="shared" si="1"/>
        <v>0</v>
      </c>
      <c r="AD18" s="2">
        <f t="shared" si="1"/>
        <v>0</v>
      </c>
      <c r="AE18" s="2">
        <f t="shared" si="1"/>
        <v>0</v>
      </c>
      <c r="AF18" s="2">
        <f t="shared" si="1"/>
        <v>0</v>
      </c>
      <c r="AG18" s="2">
        <f t="shared" si="1"/>
        <v>0</v>
      </c>
      <c r="AH18" s="2">
        <f t="shared" si="1"/>
        <v>0</v>
      </c>
      <c r="AI18" s="2">
        <f t="shared" si="1"/>
        <v>0</v>
      </c>
      <c r="AJ18" s="2">
        <f t="shared" si="1"/>
        <v>0</v>
      </c>
      <c r="AK18" s="2">
        <f t="shared" si="1"/>
        <v>0</v>
      </c>
      <c r="AL18" s="2">
        <f t="shared" si="1"/>
        <v>0</v>
      </c>
      <c r="AM18" s="2">
        <f t="shared" si="1"/>
        <v>0</v>
      </c>
      <c r="AN18" s="2">
        <f t="shared" si="1"/>
        <v>0</v>
      </c>
      <c r="AO18" s="2">
        <f t="shared" si="1"/>
        <v>0</v>
      </c>
      <c r="AP18" s="2">
        <f t="shared" si="1"/>
        <v>0</v>
      </c>
      <c r="AQ18" s="2">
        <f t="shared" si="1"/>
        <v>0</v>
      </c>
      <c r="AR18" s="2">
        <f t="shared" si="1"/>
        <v>2218501.14</v>
      </c>
      <c r="AS18" s="2">
        <f t="shared" si="1"/>
        <v>1540258.79</v>
      </c>
      <c r="AT18" s="2">
        <f t="shared" si="1"/>
        <v>588860.31999999995</v>
      </c>
      <c r="AU18" s="2">
        <f t="shared" ref="AU18:BZ18" si="2">AU730</f>
        <v>89382.03</v>
      </c>
      <c r="AV18" s="2">
        <f t="shared" si="2"/>
        <v>1774171.91</v>
      </c>
      <c r="AW18" s="2">
        <f t="shared" si="2"/>
        <v>1774171.91</v>
      </c>
      <c r="AX18" s="2">
        <f t="shared" si="2"/>
        <v>0</v>
      </c>
      <c r="AY18" s="2">
        <f t="shared" si="2"/>
        <v>1774171.91</v>
      </c>
      <c r="AZ18" s="2">
        <f t="shared" si="2"/>
        <v>0</v>
      </c>
      <c r="BA18" s="2">
        <f t="shared" si="2"/>
        <v>0</v>
      </c>
      <c r="BB18" s="2">
        <f t="shared" si="2"/>
        <v>0</v>
      </c>
      <c r="BC18" s="2">
        <f t="shared" si="2"/>
        <v>0</v>
      </c>
      <c r="BD18" s="2">
        <f t="shared" si="2"/>
        <v>0</v>
      </c>
      <c r="BE18" s="2">
        <f t="shared" si="2"/>
        <v>0</v>
      </c>
      <c r="BF18" s="2">
        <f t="shared" si="2"/>
        <v>0</v>
      </c>
      <c r="BG18" s="2">
        <f t="shared" si="2"/>
        <v>0</v>
      </c>
      <c r="BH18" s="2">
        <f t="shared" si="2"/>
        <v>0</v>
      </c>
      <c r="BI18" s="2">
        <f t="shared" si="2"/>
        <v>0</v>
      </c>
      <c r="BJ18" s="2">
        <f t="shared" si="2"/>
        <v>0</v>
      </c>
      <c r="BK18" s="2">
        <f t="shared" si="2"/>
        <v>0</v>
      </c>
      <c r="BL18" s="2">
        <f t="shared" si="2"/>
        <v>0</v>
      </c>
      <c r="BM18" s="2">
        <f t="shared" si="2"/>
        <v>0</v>
      </c>
      <c r="BN18" s="2">
        <f t="shared" si="2"/>
        <v>0</v>
      </c>
      <c r="BO18" s="2">
        <f t="shared" si="2"/>
        <v>0</v>
      </c>
      <c r="BP18" s="2">
        <f t="shared" si="2"/>
        <v>0</v>
      </c>
      <c r="BQ18" s="2">
        <f t="shared" si="2"/>
        <v>0</v>
      </c>
      <c r="BR18" s="2">
        <f t="shared" si="2"/>
        <v>0</v>
      </c>
      <c r="BS18" s="2">
        <f t="shared" si="2"/>
        <v>0</v>
      </c>
      <c r="BT18" s="2">
        <f t="shared" si="2"/>
        <v>0</v>
      </c>
      <c r="BU18" s="2">
        <f t="shared" si="2"/>
        <v>0</v>
      </c>
      <c r="BV18" s="2">
        <f t="shared" si="2"/>
        <v>0</v>
      </c>
      <c r="BW18" s="2">
        <f t="shared" si="2"/>
        <v>0</v>
      </c>
      <c r="BX18" s="2">
        <f t="shared" si="2"/>
        <v>0</v>
      </c>
      <c r="BY18" s="2">
        <f t="shared" si="2"/>
        <v>0</v>
      </c>
      <c r="BZ18" s="2">
        <f t="shared" si="2"/>
        <v>0</v>
      </c>
      <c r="CA18" s="2">
        <f t="shared" ref="CA18:DF18" si="3">CA730</f>
        <v>0</v>
      </c>
      <c r="CB18" s="2">
        <f t="shared" si="3"/>
        <v>0</v>
      </c>
      <c r="CC18" s="2">
        <f t="shared" si="3"/>
        <v>0</v>
      </c>
      <c r="CD18" s="2">
        <f t="shared" si="3"/>
        <v>0</v>
      </c>
      <c r="CE18" s="2">
        <f t="shared" si="3"/>
        <v>0</v>
      </c>
      <c r="CF18" s="2">
        <f t="shared" si="3"/>
        <v>0</v>
      </c>
      <c r="CG18" s="2">
        <f t="shared" si="3"/>
        <v>0</v>
      </c>
      <c r="CH18" s="2">
        <f t="shared" si="3"/>
        <v>0</v>
      </c>
      <c r="CI18" s="2">
        <f t="shared" si="3"/>
        <v>0</v>
      </c>
      <c r="CJ18" s="2">
        <f t="shared" si="3"/>
        <v>0</v>
      </c>
      <c r="CK18" s="2">
        <f t="shared" si="3"/>
        <v>0</v>
      </c>
      <c r="CL18" s="2">
        <f t="shared" si="3"/>
        <v>0</v>
      </c>
      <c r="CM18" s="2">
        <f t="shared" si="3"/>
        <v>0</v>
      </c>
      <c r="CN18" s="2">
        <f t="shared" si="3"/>
        <v>0</v>
      </c>
      <c r="CO18" s="2">
        <f t="shared" si="3"/>
        <v>0</v>
      </c>
      <c r="CP18" s="2">
        <f t="shared" si="3"/>
        <v>0</v>
      </c>
      <c r="CQ18" s="2">
        <f t="shared" si="3"/>
        <v>0</v>
      </c>
      <c r="CR18" s="2">
        <f t="shared" si="3"/>
        <v>0</v>
      </c>
      <c r="CS18" s="2">
        <f t="shared" si="3"/>
        <v>0</v>
      </c>
      <c r="CT18" s="2">
        <f t="shared" si="3"/>
        <v>0</v>
      </c>
      <c r="CU18" s="2">
        <f t="shared" si="3"/>
        <v>0</v>
      </c>
      <c r="CV18" s="2">
        <f t="shared" si="3"/>
        <v>0</v>
      </c>
      <c r="CW18" s="2">
        <f t="shared" si="3"/>
        <v>0</v>
      </c>
      <c r="CX18" s="2">
        <f t="shared" si="3"/>
        <v>0</v>
      </c>
      <c r="CY18" s="2">
        <f t="shared" si="3"/>
        <v>0</v>
      </c>
      <c r="CZ18" s="2">
        <f t="shared" si="3"/>
        <v>0</v>
      </c>
      <c r="DA18" s="2">
        <f t="shared" si="3"/>
        <v>0</v>
      </c>
      <c r="DB18" s="2">
        <f t="shared" si="3"/>
        <v>0</v>
      </c>
      <c r="DC18" s="2">
        <f t="shared" si="3"/>
        <v>0</v>
      </c>
      <c r="DD18" s="2">
        <f t="shared" si="3"/>
        <v>0</v>
      </c>
      <c r="DE18" s="2">
        <f t="shared" si="3"/>
        <v>0</v>
      </c>
      <c r="DF18" s="2">
        <f t="shared" si="3"/>
        <v>0</v>
      </c>
      <c r="DG18" s="3">
        <f t="shared" ref="DG18:EL18" si="4">DG730</f>
        <v>0</v>
      </c>
      <c r="DH18" s="3">
        <f t="shared" si="4"/>
        <v>0</v>
      </c>
      <c r="DI18" s="3">
        <f t="shared" si="4"/>
        <v>0</v>
      </c>
      <c r="DJ18" s="3">
        <f t="shared" si="4"/>
        <v>0</v>
      </c>
      <c r="DK18" s="3">
        <f t="shared" si="4"/>
        <v>0</v>
      </c>
      <c r="DL18" s="3">
        <f t="shared" si="4"/>
        <v>0</v>
      </c>
      <c r="DM18" s="3">
        <f t="shared" si="4"/>
        <v>0</v>
      </c>
      <c r="DN18" s="3">
        <f t="shared" si="4"/>
        <v>0</v>
      </c>
      <c r="DO18" s="3">
        <f t="shared" si="4"/>
        <v>0</v>
      </c>
      <c r="DP18" s="3">
        <f t="shared" si="4"/>
        <v>0</v>
      </c>
      <c r="DQ18" s="3">
        <f t="shared" si="4"/>
        <v>0</v>
      </c>
      <c r="DR18" s="3">
        <f t="shared" si="4"/>
        <v>0</v>
      </c>
      <c r="DS18" s="3">
        <f t="shared" si="4"/>
        <v>0</v>
      </c>
      <c r="DT18" s="3">
        <f t="shared" si="4"/>
        <v>0</v>
      </c>
      <c r="DU18" s="3">
        <f t="shared" si="4"/>
        <v>0</v>
      </c>
      <c r="DV18" s="3">
        <f t="shared" si="4"/>
        <v>0</v>
      </c>
      <c r="DW18" s="3">
        <f t="shared" si="4"/>
        <v>0</v>
      </c>
      <c r="DX18" s="3">
        <f t="shared" si="4"/>
        <v>0</v>
      </c>
      <c r="DY18" s="3">
        <f t="shared" si="4"/>
        <v>0</v>
      </c>
      <c r="DZ18" s="3">
        <f t="shared" si="4"/>
        <v>0</v>
      </c>
      <c r="EA18" s="3">
        <f t="shared" si="4"/>
        <v>0</v>
      </c>
      <c r="EB18" s="3">
        <f t="shared" si="4"/>
        <v>0</v>
      </c>
      <c r="EC18" s="3">
        <f t="shared" si="4"/>
        <v>0</v>
      </c>
      <c r="ED18" s="3">
        <f t="shared" si="4"/>
        <v>0</v>
      </c>
      <c r="EE18" s="3">
        <f t="shared" si="4"/>
        <v>0</v>
      </c>
      <c r="EF18" s="3">
        <f t="shared" si="4"/>
        <v>0</v>
      </c>
      <c r="EG18" s="3">
        <f t="shared" si="4"/>
        <v>0</v>
      </c>
      <c r="EH18" s="3">
        <f t="shared" si="4"/>
        <v>0</v>
      </c>
      <c r="EI18" s="3">
        <f t="shared" si="4"/>
        <v>0</v>
      </c>
      <c r="EJ18" s="3">
        <f t="shared" si="4"/>
        <v>0</v>
      </c>
      <c r="EK18" s="3">
        <f t="shared" si="4"/>
        <v>0</v>
      </c>
      <c r="EL18" s="3">
        <f t="shared" si="4"/>
        <v>0</v>
      </c>
      <c r="EM18" s="3">
        <f t="shared" ref="EM18:FR18" si="5">EM730</f>
        <v>0</v>
      </c>
      <c r="EN18" s="3">
        <f t="shared" si="5"/>
        <v>0</v>
      </c>
      <c r="EO18" s="3">
        <f t="shared" si="5"/>
        <v>0</v>
      </c>
      <c r="EP18" s="3">
        <f t="shared" si="5"/>
        <v>0</v>
      </c>
      <c r="EQ18" s="3">
        <f t="shared" si="5"/>
        <v>0</v>
      </c>
      <c r="ER18" s="3">
        <f t="shared" si="5"/>
        <v>0</v>
      </c>
      <c r="ES18" s="3">
        <f t="shared" si="5"/>
        <v>0</v>
      </c>
      <c r="ET18" s="3">
        <f t="shared" si="5"/>
        <v>0</v>
      </c>
      <c r="EU18" s="3">
        <f t="shared" si="5"/>
        <v>0</v>
      </c>
      <c r="EV18" s="3">
        <f t="shared" si="5"/>
        <v>0</v>
      </c>
      <c r="EW18" s="3">
        <f t="shared" si="5"/>
        <v>0</v>
      </c>
      <c r="EX18" s="3">
        <f t="shared" si="5"/>
        <v>0</v>
      </c>
      <c r="EY18" s="3">
        <f t="shared" si="5"/>
        <v>0</v>
      </c>
      <c r="EZ18" s="3">
        <f t="shared" si="5"/>
        <v>0</v>
      </c>
      <c r="FA18" s="3">
        <f t="shared" si="5"/>
        <v>0</v>
      </c>
      <c r="FB18" s="3">
        <f t="shared" si="5"/>
        <v>0</v>
      </c>
      <c r="FC18" s="3">
        <f t="shared" si="5"/>
        <v>0</v>
      </c>
      <c r="FD18" s="3">
        <f t="shared" si="5"/>
        <v>0</v>
      </c>
      <c r="FE18" s="3">
        <f t="shared" si="5"/>
        <v>0</v>
      </c>
      <c r="FF18" s="3">
        <f t="shared" si="5"/>
        <v>0</v>
      </c>
      <c r="FG18" s="3">
        <f t="shared" si="5"/>
        <v>0</v>
      </c>
      <c r="FH18" s="3">
        <f t="shared" si="5"/>
        <v>0</v>
      </c>
      <c r="FI18" s="3">
        <f t="shared" si="5"/>
        <v>0</v>
      </c>
      <c r="FJ18" s="3">
        <f t="shared" si="5"/>
        <v>0</v>
      </c>
      <c r="FK18" s="3">
        <f t="shared" si="5"/>
        <v>0</v>
      </c>
      <c r="FL18" s="3">
        <f t="shared" si="5"/>
        <v>0</v>
      </c>
      <c r="FM18" s="3">
        <f t="shared" si="5"/>
        <v>0</v>
      </c>
      <c r="FN18" s="3">
        <f t="shared" si="5"/>
        <v>0</v>
      </c>
      <c r="FO18" s="3">
        <f t="shared" si="5"/>
        <v>0</v>
      </c>
      <c r="FP18" s="3">
        <f t="shared" si="5"/>
        <v>0</v>
      </c>
      <c r="FQ18" s="3">
        <f t="shared" si="5"/>
        <v>0</v>
      </c>
      <c r="FR18" s="3">
        <f t="shared" si="5"/>
        <v>0</v>
      </c>
      <c r="FS18" s="3">
        <f t="shared" ref="FS18:GX18" si="6">FS730</f>
        <v>0</v>
      </c>
      <c r="FT18" s="3">
        <f t="shared" si="6"/>
        <v>0</v>
      </c>
      <c r="FU18" s="3">
        <f t="shared" si="6"/>
        <v>0</v>
      </c>
      <c r="FV18" s="3">
        <f t="shared" si="6"/>
        <v>0</v>
      </c>
      <c r="FW18" s="3">
        <f t="shared" si="6"/>
        <v>0</v>
      </c>
      <c r="FX18" s="3">
        <f t="shared" si="6"/>
        <v>0</v>
      </c>
      <c r="FY18" s="3">
        <f t="shared" si="6"/>
        <v>0</v>
      </c>
      <c r="FZ18" s="3">
        <f t="shared" si="6"/>
        <v>0</v>
      </c>
      <c r="GA18" s="3">
        <f t="shared" si="6"/>
        <v>0</v>
      </c>
      <c r="GB18" s="3">
        <f t="shared" si="6"/>
        <v>0</v>
      </c>
      <c r="GC18" s="3">
        <f t="shared" si="6"/>
        <v>0</v>
      </c>
      <c r="GD18" s="3">
        <f t="shared" si="6"/>
        <v>0</v>
      </c>
      <c r="GE18" s="3">
        <f t="shared" si="6"/>
        <v>0</v>
      </c>
      <c r="GF18" s="3">
        <f t="shared" si="6"/>
        <v>0</v>
      </c>
      <c r="GG18" s="3">
        <f t="shared" si="6"/>
        <v>0</v>
      </c>
      <c r="GH18" s="3">
        <f t="shared" si="6"/>
        <v>0</v>
      </c>
      <c r="GI18" s="3">
        <f t="shared" si="6"/>
        <v>0</v>
      </c>
      <c r="GJ18" s="3">
        <f t="shared" si="6"/>
        <v>0</v>
      </c>
      <c r="GK18" s="3">
        <f t="shared" si="6"/>
        <v>0</v>
      </c>
      <c r="GL18" s="3">
        <f t="shared" si="6"/>
        <v>0</v>
      </c>
      <c r="GM18" s="3">
        <f t="shared" si="6"/>
        <v>0</v>
      </c>
      <c r="GN18" s="3">
        <f t="shared" si="6"/>
        <v>0</v>
      </c>
      <c r="GO18" s="3">
        <f t="shared" si="6"/>
        <v>0</v>
      </c>
      <c r="GP18" s="3">
        <f t="shared" si="6"/>
        <v>0</v>
      </c>
      <c r="GQ18" s="3">
        <f t="shared" si="6"/>
        <v>0</v>
      </c>
      <c r="GR18" s="3">
        <f t="shared" si="6"/>
        <v>0</v>
      </c>
      <c r="GS18" s="3">
        <f t="shared" si="6"/>
        <v>0</v>
      </c>
      <c r="GT18" s="3">
        <f t="shared" si="6"/>
        <v>0</v>
      </c>
      <c r="GU18" s="3">
        <f t="shared" si="6"/>
        <v>0</v>
      </c>
      <c r="GV18" s="3">
        <f t="shared" si="6"/>
        <v>0</v>
      </c>
      <c r="GW18" s="3">
        <f t="shared" si="6"/>
        <v>0</v>
      </c>
      <c r="GX18" s="3">
        <f t="shared" si="6"/>
        <v>0</v>
      </c>
    </row>
    <row r="20" spans="1:245" x14ac:dyDescent="0.2">
      <c r="A20" s="1">
        <v>3</v>
      </c>
      <c r="B20" s="1">
        <v>1</v>
      </c>
      <c r="C20" s="1"/>
      <c r="D20" s="1">
        <f>ROW(A698)</f>
        <v>698</v>
      </c>
      <c r="E20" s="1"/>
      <c r="F20" s="1" t="s">
        <v>12</v>
      </c>
      <c r="G20" s="1" t="s">
        <v>12</v>
      </c>
      <c r="H20" s="1" t="s">
        <v>6</v>
      </c>
      <c r="I20" s="1">
        <v>0</v>
      </c>
      <c r="J20" s="1" t="s">
        <v>6</v>
      </c>
      <c r="K20" s="1">
        <v>0</v>
      </c>
      <c r="L20" s="1" t="s">
        <v>6</v>
      </c>
      <c r="M20" s="1"/>
      <c r="N20" s="1"/>
      <c r="O20" s="1"/>
      <c r="P20" s="1"/>
      <c r="Q20" s="1"/>
      <c r="R20" s="1"/>
      <c r="S20" s="1"/>
      <c r="T20" s="1"/>
      <c r="U20" s="1" t="s">
        <v>6</v>
      </c>
      <c r="V20" s="1">
        <v>0</v>
      </c>
      <c r="W20" s="1"/>
      <c r="X20" s="1"/>
      <c r="Y20" s="1"/>
      <c r="Z20" s="1"/>
      <c r="AA20" s="1"/>
      <c r="AB20" s="1" t="s">
        <v>6</v>
      </c>
      <c r="AC20" s="1" t="s">
        <v>6</v>
      </c>
      <c r="AD20" s="1" t="s">
        <v>6</v>
      </c>
      <c r="AE20" s="1" t="s">
        <v>6</v>
      </c>
      <c r="AF20" s="1" t="s">
        <v>6</v>
      </c>
      <c r="AG20" s="1" t="s">
        <v>6</v>
      </c>
      <c r="AH20" s="1"/>
      <c r="AI20" s="1"/>
      <c r="AJ20" s="1"/>
      <c r="AK20" s="1"/>
      <c r="AL20" s="1"/>
      <c r="AM20" s="1"/>
      <c r="AN20" s="1"/>
      <c r="AO20" s="1"/>
      <c r="AP20" s="1" t="s">
        <v>6</v>
      </c>
      <c r="AQ20" s="1" t="s">
        <v>6</v>
      </c>
      <c r="AR20" s="1" t="s">
        <v>6</v>
      </c>
      <c r="AS20" s="1"/>
      <c r="AT20" s="1"/>
      <c r="AU20" s="1"/>
      <c r="AV20" s="1"/>
      <c r="AW20" s="1"/>
      <c r="AX20" s="1"/>
      <c r="AY20" s="1"/>
      <c r="AZ20" s="1" t="s">
        <v>6</v>
      </c>
      <c r="BA20" s="1"/>
      <c r="BB20" s="1" t="s">
        <v>6</v>
      </c>
      <c r="BC20" s="1" t="s">
        <v>6</v>
      </c>
      <c r="BD20" s="1" t="s">
        <v>6</v>
      </c>
      <c r="BE20" s="1" t="s">
        <v>6</v>
      </c>
      <c r="BF20" s="1" t="s">
        <v>6</v>
      </c>
      <c r="BG20" s="1" t="s">
        <v>6</v>
      </c>
      <c r="BH20" s="1" t="s">
        <v>6</v>
      </c>
      <c r="BI20" s="1" t="s">
        <v>6</v>
      </c>
      <c r="BJ20" s="1" t="s">
        <v>6</v>
      </c>
      <c r="BK20" s="1" t="s">
        <v>6</v>
      </c>
      <c r="BL20" s="1" t="s">
        <v>6</v>
      </c>
      <c r="BM20" s="1" t="s">
        <v>6</v>
      </c>
      <c r="BN20" s="1" t="s">
        <v>6</v>
      </c>
      <c r="BO20" s="1" t="s">
        <v>6</v>
      </c>
      <c r="BP20" s="1" t="s">
        <v>6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6</v>
      </c>
      <c r="CJ20" s="1" t="s">
        <v>6</v>
      </c>
    </row>
    <row r="22" spans="1:245" x14ac:dyDescent="0.2">
      <c r="A22" s="2">
        <v>52</v>
      </c>
      <c r="B22" s="2">
        <f t="shared" ref="B22:G22" si="7">B698</f>
        <v>1</v>
      </c>
      <c r="C22" s="2">
        <f t="shared" si="7"/>
        <v>3</v>
      </c>
      <c r="D22" s="2">
        <f t="shared" si="7"/>
        <v>20</v>
      </c>
      <c r="E22" s="2">
        <f t="shared" si="7"/>
        <v>0</v>
      </c>
      <c r="F22" s="2" t="str">
        <f t="shared" si="7"/>
        <v>Новая локальная смета</v>
      </c>
      <c r="G22" s="2" t="str">
        <f t="shared" si="7"/>
        <v>Новая локальная смета</v>
      </c>
      <c r="H22" s="2"/>
      <c r="I22" s="2"/>
      <c r="J22" s="2"/>
      <c r="K22" s="2"/>
      <c r="L22" s="2"/>
      <c r="M22" s="2"/>
      <c r="N22" s="2"/>
      <c r="O22" s="2">
        <f t="shared" ref="O22:AT22" si="8">O698</f>
        <v>1966902.86</v>
      </c>
      <c r="P22" s="2">
        <f t="shared" si="8"/>
        <v>1774171.91</v>
      </c>
      <c r="Q22" s="2">
        <f t="shared" si="8"/>
        <v>20233.37</v>
      </c>
      <c r="R22" s="2">
        <f t="shared" si="8"/>
        <v>3538.3</v>
      </c>
      <c r="S22" s="2">
        <f t="shared" si="8"/>
        <v>172497.58</v>
      </c>
      <c r="T22" s="2">
        <f t="shared" si="8"/>
        <v>0</v>
      </c>
      <c r="U22" s="2">
        <f t="shared" si="8"/>
        <v>2256.7420697500002</v>
      </c>
      <c r="V22" s="2">
        <f t="shared" si="8"/>
        <v>45.953571999999994</v>
      </c>
      <c r="W22" s="2">
        <f t="shared" si="8"/>
        <v>0</v>
      </c>
      <c r="X22" s="2">
        <f t="shared" si="8"/>
        <v>149802.93</v>
      </c>
      <c r="Y22" s="2">
        <f t="shared" si="8"/>
        <v>94412.99</v>
      </c>
      <c r="Z22" s="2">
        <f t="shared" si="8"/>
        <v>0</v>
      </c>
      <c r="AA22" s="2">
        <f t="shared" si="8"/>
        <v>0</v>
      </c>
      <c r="AB22" s="2">
        <f t="shared" si="8"/>
        <v>0</v>
      </c>
      <c r="AC22" s="2">
        <f t="shared" si="8"/>
        <v>0</v>
      </c>
      <c r="AD22" s="2">
        <f t="shared" si="8"/>
        <v>0</v>
      </c>
      <c r="AE22" s="2">
        <f t="shared" si="8"/>
        <v>0</v>
      </c>
      <c r="AF22" s="2">
        <f t="shared" si="8"/>
        <v>0</v>
      </c>
      <c r="AG22" s="2">
        <f t="shared" si="8"/>
        <v>0</v>
      </c>
      <c r="AH22" s="2">
        <f t="shared" si="8"/>
        <v>0</v>
      </c>
      <c r="AI22" s="2">
        <f t="shared" si="8"/>
        <v>0</v>
      </c>
      <c r="AJ22" s="2">
        <f t="shared" si="8"/>
        <v>0</v>
      </c>
      <c r="AK22" s="2">
        <f t="shared" si="8"/>
        <v>0</v>
      </c>
      <c r="AL22" s="2">
        <f t="shared" si="8"/>
        <v>0</v>
      </c>
      <c r="AM22" s="2">
        <f t="shared" si="8"/>
        <v>0</v>
      </c>
      <c r="AN22" s="2">
        <f t="shared" si="8"/>
        <v>0</v>
      </c>
      <c r="AO22" s="2">
        <f t="shared" si="8"/>
        <v>0</v>
      </c>
      <c r="AP22" s="2">
        <f t="shared" si="8"/>
        <v>0</v>
      </c>
      <c r="AQ22" s="2">
        <f t="shared" si="8"/>
        <v>0</v>
      </c>
      <c r="AR22" s="2">
        <f t="shared" si="8"/>
        <v>2218501.14</v>
      </c>
      <c r="AS22" s="2">
        <f t="shared" si="8"/>
        <v>1540258.79</v>
      </c>
      <c r="AT22" s="2">
        <f t="shared" si="8"/>
        <v>588860.31999999995</v>
      </c>
      <c r="AU22" s="2">
        <f t="shared" ref="AU22:BZ22" si="9">AU698</f>
        <v>89382.03</v>
      </c>
      <c r="AV22" s="2">
        <f t="shared" si="9"/>
        <v>1774171.91</v>
      </c>
      <c r="AW22" s="2">
        <f t="shared" si="9"/>
        <v>1774171.91</v>
      </c>
      <c r="AX22" s="2">
        <f t="shared" si="9"/>
        <v>0</v>
      </c>
      <c r="AY22" s="2">
        <f t="shared" si="9"/>
        <v>1774171.91</v>
      </c>
      <c r="AZ22" s="2">
        <f t="shared" si="9"/>
        <v>0</v>
      </c>
      <c r="BA22" s="2">
        <f t="shared" si="9"/>
        <v>0</v>
      </c>
      <c r="BB22" s="2">
        <f t="shared" si="9"/>
        <v>0</v>
      </c>
      <c r="BC22" s="2">
        <f t="shared" si="9"/>
        <v>0</v>
      </c>
      <c r="BD22" s="2">
        <f t="shared" si="9"/>
        <v>0</v>
      </c>
      <c r="BE22" s="2">
        <f t="shared" si="9"/>
        <v>0</v>
      </c>
      <c r="BF22" s="2">
        <f t="shared" si="9"/>
        <v>0</v>
      </c>
      <c r="BG22" s="2">
        <f t="shared" si="9"/>
        <v>0</v>
      </c>
      <c r="BH22" s="2">
        <f t="shared" si="9"/>
        <v>0</v>
      </c>
      <c r="BI22" s="2">
        <f t="shared" si="9"/>
        <v>0</v>
      </c>
      <c r="BJ22" s="2">
        <f t="shared" si="9"/>
        <v>0</v>
      </c>
      <c r="BK22" s="2">
        <f t="shared" si="9"/>
        <v>0</v>
      </c>
      <c r="BL22" s="2">
        <f t="shared" si="9"/>
        <v>0</v>
      </c>
      <c r="BM22" s="2">
        <f t="shared" si="9"/>
        <v>0</v>
      </c>
      <c r="BN22" s="2">
        <f t="shared" si="9"/>
        <v>0</v>
      </c>
      <c r="BO22" s="2">
        <f t="shared" si="9"/>
        <v>0</v>
      </c>
      <c r="BP22" s="2">
        <f t="shared" si="9"/>
        <v>0</v>
      </c>
      <c r="BQ22" s="2">
        <f t="shared" si="9"/>
        <v>0</v>
      </c>
      <c r="BR22" s="2">
        <f t="shared" si="9"/>
        <v>0</v>
      </c>
      <c r="BS22" s="2">
        <f t="shared" si="9"/>
        <v>0</v>
      </c>
      <c r="BT22" s="2">
        <f t="shared" si="9"/>
        <v>0</v>
      </c>
      <c r="BU22" s="2">
        <f t="shared" si="9"/>
        <v>0</v>
      </c>
      <c r="BV22" s="2">
        <f t="shared" si="9"/>
        <v>0</v>
      </c>
      <c r="BW22" s="2">
        <f t="shared" si="9"/>
        <v>0</v>
      </c>
      <c r="BX22" s="2">
        <f t="shared" si="9"/>
        <v>0</v>
      </c>
      <c r="BY22" s="2">
        <f t="shared" si="9"/>
        <v>0</v>
      </c>
      <c r="BZ22" s="2">
        <f t="shared" si="9"/>
        <v>0</v>
      </c>
      <c r="CA22" s="2">
        <f t="shared" ref="CA22:DF22" si="10">CA698</f>
        <v>0</v>
      </c>
      <c r="CB22" s="2">
        <f t="shared" si="10"/>
        <v>0</v>
      </c>
      <c r="CC22" s="2">
        <f t="shared" si="10"/>
        <v>0</v>
      </c>
      <c r="CD22" s="2">
        <f t="shared" si="10"/>
        <v>0</v>
      </c>
      <c r="CE22" s="2">
        <f t="shared" si="10"/>
        <v>0</v>
      </c>
      <c r="CF22" s="2">
        <f t="shared" si="10"/>
        <v>0</v>
      </c>
      <c r="CG22" s="2">
        <f t="shared" si="10"/>
        <v>0</v>
      </c>
      <c r="CH22" s="2">
        <f t="shared" si="10"/>
        <v>0</v>
      </c>
      <c r="CI22" s="2">
        <f t="shared" si="10"/>
        <v>0</v>
      </c>
      <c r="CJ22" s="2">
        <f t="shared" si="10"/>
        <v>0</v>
      </c>
      <c r="CK22" s="2">
        <f t="shared" si="10"/>
        <v>0</v>
      </c>
      <c r="CL22" s="2">
        <f t="shared" si="10"/>
        <v>0</v>
      </c>
      <c r="CM22" s="2">
        <f t="shared" si="10"/>
        <v>0</v>
      </c>
      <c r="CN22" s="2">
        <f t="shared" si="10"/>
        <v>0</v>
      </c>
      <c r="CO22" s="2">
        <f t="shared" si="10"/>
        <v>0</v>
      </c>
      <c r="CP22" s="2">
        <f t="shared" si="10"/>
        <v>0</v>
      </c>
      <c r="CQ22" s="2">
        <f t="shared" si="10"/>
        <v>0</v>
      </c>
      <c r="CR22" s="2">
        <f t="shared" si="10"/>
        <v>0</v>
      </c>
      <c r="CS22" s="2">
        <f t="shared" si="10"/>
        <v>0</v>
      </c>
      <c r="CT22" s="2">
        <f t="shared" si="10"/>
        <v>0</v>
      </c>
      <c r="CU22" s="2">
        <f t="shared" si="10"/>
        <v>0</v>
      </c>
      <c r="CV22" s="2">
        <f t="shared" si="10"/>
        <v>0</v>
      </c>
      <c r="CW22" s="2">
        <f t="shared" si="10"/>
        <v>0</v>
      </c>
      <c r="CX22" s="2">
        <f t="shared" si="10"/>
        <v>0</v>
      </c>
      <c r="CY22" s="2">
        <f t="shared" si="10"/>
        <v>0</v>
      </c>
      <c r="CZ22" s="2">
        <f t="shared" si="10"/>
        <v>0</v>
      </c>
      <c r="DA22" s="2">
        <f t="shared" si="10"/>
        <v>0</v>
      </c>
      <c r="DB22" s="2">
        <f t="shared" si="10"/>
        <v>0</v>
      </c>
      <c r="DC22" s="2">
        <f t="shared" si="10"/>
        <v>0</v>
      </c>
      <c r="DD22" s="2">
        <f t="shared" si="10"/>
        <v>0</v>
      </c>
      <c r="DE22" s="2">
        <f t="shared" si="10"/>
        <v>0</v>
      </c>
      <c r="DF22" s="2">
        <f t="shared" si="10"/>
        <v>0</v>
      </c>
      <c r="DG22" s="3">
        <f t="shared" ref="DG22:EL22" si="11">DG698</f>
        <v>0</v>
      </c>
      <c r="DH22" s="3">
        <f t="shared" si="11"/>
        <v>0</v>
      </c>
      <c r="DI22" s="3">
        <f t="shared" si="11"/>
        <v>0</v>
      </c>
      <c r="DJ22" s="3">
        <f t="shared" si="11"/>
        <v>0</v>
      </c>
      <c r="DK22" s="3">
        <f t="shared" si="11"/>
        <v>0</v>
      </c>
      <c r="DL22" s="3">
        <f t="shared" si="11"/>
        <v>0</v>
      </c>
      <c r="DM22" s="3">
        <f t="shared" si="11"/>
        <v>0</v>
      </c>
      <c r="DN22" s="3">
        <f t="shared" si="11"/>
        <v>0</v>
      </c>
      <c r="DO22" s="3">
        <f t="shared" si="11"/>
        <v>0</v>
      </c>
      <c r="DP22" s="3">
        <f t="shared" si="11"/>
        <v>0</v>
      </c>
      <c r="DQ22" s="3">
        <f t="shared" si="11"/>
        <v>0</v>
      </c>
      <c r="DR22" s="3">
        <f t="shared" si="11"/>
        <v>0</v>
      </c>
      <c r="DS22" s="3">
        <f t="shared" si="11"/>
        <v>0</v>
      </c>
      <c r="DT22" s="3">
        <f t="shared" si="11"/>
        <v>0</v>
      </c>
      <c r="DU22" s="3">
        <f t="shared" si="11"/>
        <v>0</v>
      </c>
      <c r="DV22" s="3">
        <f t="shared" si="11"/>
        <v>0</v>
      </c>
      <c r="DW22" s="3">
        <f t="shared" si="11"/>
        <v>0</v>
      </c>
      <c r="DX22" s="3">
        <f t="shared" si="11"/>
        <v>0</v>
      </c>
      <c r="DY22" s="3">
        <f t="shared" si="11"/>
        <v>0</v>
      </c>
      <c r="DZ22" s="3">
        <f t="shared" si="11"/>
        <v>0</v>
      </c>
      <c r="EA22" s="3">
        <f t="shared" si="11"/>
        <v>0</v>
      </c>
      <c r="EB22" s="3">
        <f t="shared" si="11"/>
        <v>0</v>
      </c>
      <c r="EC22" s="3">
        <f t="shared" si="11"/>
        <v>0</v>
      </c>
      <c r="ED22" s="3">
        <f t="shared" si="11"/>
        <v>0</v>
      </c>
      <c r="EE22" s="3">
        <f t="shared" si="11"/>
        <v>0</v>
      </c>
      <c r="EF22" s="3">
        <f t="shared" si="11"/>
        <v>0</v>
      </c>
      <c r="EG22" s="3">
        <f t="shared" si="11"/>
        <v>0</v>
      </c>
      <c r="EH22" s="3">
        <f t="shared" si="11"/>
        <v>0</v>
      </c>
      <c r="EI22" s="3">
        <f t="shared" si="11"/>
        <v>0</v>
      </c>
      <c r="EJ22" s="3">
        <f t="shared" si="11"/>
        <v>0</v>
      </c>
      <c r="EK22" s="3">
        <f t="shared" si="11"/>
        <v>0</v>
      </c>
      <c r="EL22" s="3">
        <f t="shared" si="11"/>
        <v>0</v>
      </c>
      <c r="EM22" s="3">
        <f t="shared" ref="EM22:FR22" si="12">EM698</f>
        <v>0</v>
      </c>
      <c r="EN22" s="3">
        <f t="shared" si="12"/>
        <v>0</v>
      </c>
      <c r="EO22" s="3">
        <f t="shared" si="12"/>
        <v>0</v>
      </c>
      <c r="EP22" s="3">
        <f t="shared" si="12"/>
        <v>0</v>
      </c>
      <c r="EQ22" s="3">
        <f t="shared" si="12"/>
        <v>0</v>
      </c>
      <c r="ER22" s="3">
        <f t="shared" si="12"/>
        <v>0</v>
      </c>
      <c r="ES22" s="3">
        <f t="shared" si="12"/>
        <v>0</v>
      </c>
      <c r="ET22" s="3">
        <f t="shared" si="12"/>
        <v>0</v>
      </c>
      <c r="EU22" s="3">
        <f t="shared" si="12"/>
        <v>0</v>
      </c>
      <c r="EV22" s="3">
        <f t="shared" si="12"/>
        <v>0</v>
      </c>
      <c r="EW22" s="3">
        <f t="shared" si="12"/>
        <v>0</v>
      </c>
      <c r="EX22" s="3">
        <f t="shared" si="12"/>
        <v>0</v>
      </c>
      <c r="EY22" s="3">
        <f t="shared" si="12"/>
        <v>0</v>
      </c>
      <c r="EZ22" s="3">
        <f t="shared" si="12"/>
        <v>0</v>
      </c>
      <c r="FA22" s="3">
        <f t="shared" si="12"/>
        <v>0</v>
      </c>
      <c r="FB22" s="3">
        <f t="shared" si="12"/>
        <v>0</v>
      </c>
      <c r="FC22" s="3">
        <f t="shared" si="12"/>
        <v>0</v>
      </c>
      <c r="FD22" s="3">
        <f t="shared" si="12"/>
        <v>0</v>
      </c>
      <c r="FE22" s="3">
        <f t="shared" si="12"/>
        <v>0</v>
      </c>
      <c r="FF22" s="3">
        <f t="shared" si="12"/>
        <v>0</v>
      </c>
      <c r="FG22" s="3">
        <f t="shared" si="12"/>
        <v>0</v>
      </c>
      <c r="FH22" s="3">
        <f t="shared" si="12"/>
        <v>0</v>
      </c>
      <c r="FI22" s="3">
        <f t="shared" si="12"/>
        <v>0</v>
      </c>
      <c r="FJ22" s="3">
        <f t="shared" si="12"/>
        <v>0</v>
      </c>
      <c r="FK22" s="3">
        <f t="shared" si="12"/>
        <v>0</v>
      </c>
      <c r="FL22" s="3">
        <f t="shared" si="12"/>
        <v>0</v>
      </c>
      <c r="FM22" s="3">
        <f t="shared" si="12"/>
        <v>0</v>
      </c>
      <c r="FN22" s="3">
        <f t="shared" si="12"/>
        <v>0</v>
      </c>
      <c r="FO22" s="3">
        <f t="shared" si="12"/>
        <v>0</v>
      </c>
      <c r="FP22" s="3">
        <f t="shared" si="12"/>
        <v>0</v>
      </c>
      <c r="FQ22" s="3">
        <f t="shared" si="12"/>
        <v>0</v>
      </c>
      <c r="FR22" s="3">
        <f t="shared" si="12"/>
        <v>0</v>
      </c>
      <c r="FS22" s="3">
        <f t="shared" ref="FS22:GX22" si="13">FS698</f>
        <v>0</v>
      </c>
      <c r="FT22" s="3">
        <f t="shared" si="13"/>
        <v>0</v>
      </c>
      <c r="FU22" s="3">
        <f t="shared" si="13"/>
        <v>0</v>
      </c>
      <c r="FV22" s="3">
        <f t="shared" si="13"/>
        <v>0</v>
      </c>
      <c r="FW22" s="3">
        <f t="shared" si="13"/>
        <v>0</v>
      </c>
      <c r="FX22" s="3">
        <f t="shared" si="13"/>
        <v>0</v>
      </c>
      <c r="FY22" s="3">
        <f t="shared" si="13"/>
        <v>0</v>
      </c>
      <c r="FZ22" s="3">
        <f t="shared" si="13"/>
        <v>0</v>
      </c>
      <c r="GA22" s="3">
        <f t="shared" si="13"/>
        <v>0</v>
      </c>
      <c r="GB22" s="3">
        <f t="shared" si="13"/>
        <v>0</v>
      </c>
      <c r="GC22" s="3">
        <f t="shared" si="13"/>
        <v>0</v>
      </c>
      <c r="GD22" s="3">
        <f t="shared" si="13"/>
        <v>0</v>
      </c>
      <c r="GE22" s="3">
        <f t="shared" si="13"/>
        <v>0</v>
      </c>
      <c r="GF22" s="3">
        <f t="shared" si="13"/>
        <v>0</v>
      </c>
      <c r="GG22" s="3">
        <f t="shared" si="13"/>
        <v>0</v>
      </c>
      <c r="GH22" s="3">
        <f t="shared" si="13"/>
        <v>0</v>
      </c>
      <c r="GI22" s="3">
        <f t="shared" si="13"/>
        <v>0</v>
      </c>
      <c r="GJ22" s="3">
        <f t="shared" si="13"/>
        <v>0</v>
      </c>
      <c r="GK22" s="3">
        <f t="shared" si="13"/>
        <v>0</v>
      </c>
      <c r="GL22" s="3">
        <f t="shared" si="13"/>
        <v>0</v>
      </c>
      <c r="GM22" s="3">
        <f t="shared" si="13"/>
        <v>0</v>
      </c>
      <c r="GN22" s="3">
        <f t="shared" si="13"/>
        <v>0</v>
      </c>
      <c r="GO22" s="3">
        <f t="shared" si="13"/>
        <v>0</v>
      </c>
      <c r="GP22" s="3">
        <f t="shared" si="13"/>
        <v>0</v>
      </c>
      <c r="GQ22" s="3">
        <f t="shared" si="13"/>
        <v>0</v>
      </c>
      <c r="GR22" s="3">
        <f t="shared" si="13"/>
        <v>0</v>
      </c>
      <c r="GS22" s="3">
        <f t="shared" si="13"/>
        <v>0</v>
      </c>
      <c r="GT22" s="3">
        <f t="shared" si="13"/>
        <v>0</v>
      </c>
      <c r="GU22" s="3">
        <f t="shared" si="13"/>
        <v>0</v>
      </c>
      <c r="GV22" s="3">
        <f t="shared" si="13"/>
        <v>0</v>
      </c>
      <c r="GW22" s="3">
        <f t="shared" si="13"/>
        <v>0</v>
      </c>
      <c r="GX22" s="3">
        <f t="shared" si="13"/>
        <v>0</v>
      </c>
    </row>
    <row r="24" spans="1:245" x14ac:dyDescent="0.2">
      <c r="A24" s="1">
        <v>4</v>
      </c>
      <c r="B24" s="1">
        <v>1</v>
      </c>
      <c r="C24" s="1"/>
      <c r="D24" s="1">
        <f>ROW(A216)</f>
        <v>216</v>
      </c>
      <c r="E24" s="1"/>
      <c r="F24" s="1" t="s">
        <v>13</v>
      </c>
      <c r="G24" s="1" t="s">
        <v>14</v>
      </c>
      <c r="H24" s="1" t="s">
        <v>6</v>
      </c>
      <c r="I24" s="1">
        <v>0</v>
      </c>
      <c r="J24" s="1"/>
      <c r="K24" s="1">
        <v>0</v>
      </c>
      <c r="L24" s="1"/>
      <c r="M24" s="1"/>
      <c r="N24" s="1"/>
      <c r="O24" s="1"/>
      <c r="P24" s="1"/>
      <c r="Q24" s="1"/>
      <c r="R24" s="1"/>
      <c r="S24" s="1"/>
      <c r="T24" s="1"/>
      <c r="U24" s="1" t="s">
        <v>6</v>
      </c>
      <c r="V24" s="1">
        <v>0</v>
      </c>
      <c r="W24" s="1"/>
      <c r="X24" s="1"/>
      <c r="Y24" s="1"/>
      <c r="Z24" s="1"/>
      <c r="AA24" s="1"/>
      <c r="AB24" s="1" t="s">
        <v>6</v>
      </c>
      <c r="AC24" s="1" t="s">
        <v>6</v>
      </c>
      <c r="AD24" s="1" t="s">
        <v>6</v>
      </c>
      <c r="AE24" s="1" t="s">
        <v>6</v>
      </c>
      <c r="AF24" s="1" t="s">
        <v>6</v>
      </c>
      <c r="AG24" s="1" t="s">
        <v>6</v>
      </c>
      <c r="AH24" s="1"/>
      <c r="AI24" s="1"/>
      <c r="AJ24" s="1"/>
      <c r="AK24" s="1"/>
      <c r="AL24" s="1"/>
      <c r="AM24" s="1"/>
      <c r="AN24" s="1"/>
      <c r="AO24" s="1"/>
      <c r="AP24" s="1" t="s">
        <v>6</v>
      </c>
      <c r="AQ24" s="1" t="s">
        <v>6</v>
      </c>
      <c r="AR24" s="1" t="s">
        <v>6</v>
      </c>
      <c r="AS24" s="1"/>
      <c r="AT24" s="1"/>
      <c r="AU24" s="1"/>
      <c r="AV24" s="1"/>
      <c r="AW24" s="1"/>
      <c r="AX24" s="1"/>
      <c r="AY24" s="1"/>
      <c r="AZ24" s="1" t="s">
        <v>6</v>
      </c>
      <c r="BA24" s="1"/>
      <c r="BB24" s="1" t="s">
        <v>6</v>
      </c>
      <c r="BC24" s="1" t="s">
        <v>6</v>
      </c>
      <c r="BD24" s="1" t="s">
        <v>6</v>
      </c>
      <c r="BE24" s="1" t="s">
        <v>6</v>
      </c>
      <c r="BF24" s="1" t="s">
        <v>6</v>
      </c>
      <c r="BG24" s="1" t="s">
        <v>6</v>
      </c>
      <c r="BH24" s="1" t="s">
        <v>6</v>
      </c>
      <c r="BI24" s="1" t="s">
        <v>6</v>
      </c>
      <c r="BJ24" s="1" t="s">
        <v>6</v>
      </c>
      <c r="BK24" s="1" t="s">
        <v>6</v>
      </c>
      <c r="BL24" s="1" t="s">
        <v>6</v>
      </c>
      <c r="BM24" s="1" t="s">
        <v>6</v>
      </c>
      <c r="BN24" s="1" t="s">
        <v>6</v>
      </c>
      <c r="BO24" s="1" t="s">
        <v>6</v>
      </c>
      <c r="BP24" s="1" t="s">
        <v>6</v>
      </c>
      <c r="BQ24" s="1"/>
      <c r="BR24" s="1"/>
      <c r="BS24" s="1"/>
      <c r="BT24" s="1"/>
      <c r="BU24" s="1"/>
      <c r="BV24" s="1"/>
      <c r="BW24" s="1"/>
      <c r="BX24" s="1">
        <v>0</v>
      </c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>
        <v>0</v>
      </c>
    </row>
    <row r="26" spans="1:245" x14ac:dyDescent="0.2">
      <c r="A26" s="2">
        <v>52</v>
      </c>
      <c r="B26" s="2">
        <f t="shared" ref="B26:G26" si="14">B216</f>
        <v>1</v>
      </c>
      <c r="C26" s="2">
        <f t="shared" si="14"/>
        <v>4</v>
      </c>
      <c r="D26" s="2">
        <f t="shared" si="14"/>
        <v>24</v>
      </c>
      <c r="E26" s="2">
        <f t="shared" si="14"/>
        <v>0</v>
      </c>
      <c r="F26" s="2" t="str">
        <f t="shared" si="14"/>
        <v>Новый раздел</v>
      </c>
      <c r="G26" s="2" t="str">
        <f t="shared" si="14"/>
        <v>1 Общестроительные работы</v>
      </c>
      <c r="H26" s="2"/>
      <c r="I26" s="2"/>
      <c r="J26" s="2"/>
      <c r="K26" s="2"/>
      <c r="L26" s="2"/>
      <c r="M26" s="2"/>
      <c r="N26" s="2"/>
      <c r="O26" s="2">
        <f t="shared" ref="O26:AT26" si="15">O216</f>
        <v>1308726.18</v>
      </c>
      <c r="P26" s="2">
        <f t="shared" si="15"/>
        <v>1226480.26</v>
      </c>
      <c r="Q26" s="2">
        <f t="shared" si="15"/>
        <v>11001.62</v>
      </c>
      <c r="R26" s="2">
        <f t="shared" si="15"/>
        <v>2447.79</v>
      </c>
      <c r="S26" s="2">
        <f t="shared" si="15"/>
        <v>71244.3</v>
      </c>
      <c r="T26" s="2">
        <f t="shared" si="15"/>
        <v>0</v>
      </c>
      <c r="U26" s="2">
        <f t="shared" si="15"/>
        <v>1233.8907197499998</v>
      </c>
      <c r="V26" s="2">
        <f t="shared" si="15"/>
        <v>31.607910749999995</v>
      </c>
      <c r="W26" s="2">
        <f t="shared" si="15"/>
        <v>0</v>
      </c>
      <c r="X26" s="2">
        <f t="shared" si="15"/>
        <v>70103.38</v>
      </c>
      <c r="Y26" s="2">
        <f t="shared" si="15"/>
        <v>40288.22</v>
      </c>
      <c r="Z26" s="2">
        <f t="shared" si="15"/>
        <v>0</v>
      </c>
      <c r="AA26" s="2">
        <f t="shared" si="15"/>
        <v>0</v>
      </c>
      <c r="AB26" s="2">
        <f t="shared" si="15"/>
        <v>0</v>
      </c>
      <c r="AC26" s="2">
        <f t="shared" si="15"/>
        <v>0</v>
      </c>
      <c r="AD26" s="2">
        <f t="shared" si="15"/>
        <v>0</v>
      </c>
      <c r="AE26" s="2">
        <f t="shared" si="15"/>
        <v>0</v>
      </c>
      <c r="AF26" s="2">
        <f t="shared" si="15"/>
        <v>0</v>
      </c>
      <c r="AG26" s="2">
        <f t="shared" si="15"/>
        <v>0</v>
      </c>
      <c r="AH26" s="2">
        <f t="shared" si="15"/>
        <v>0</v>
      </c>
      <c r="AI26" s="2">
        <f t="shared" si="15"/>
        <v>0</v>
      </c>
      <c r="AJ26" s="2">
        <f t="shared" si="15"/>
        <v>0</v>
      </c>
      <c r="AK26" s="2">
        <f t="shared" si="15"/>
        <v>0</v>
      </c>
      <c r="AL26" s="2">
        <f t="shared" si="15"/>
        <v>0</v>
      </c>
      <c r="AM26" s="2">
        <f t="shared" si="15"/>
        <v>0</v>
      </c>
      <c r="AN26" s="2">
        <f t="shared" si="15"/>
        <v>0</v>
      </c>
      <c r="AO26" s="2">
        <f t="shared" si="15"/>
        <v>0</v>
      </c>
      <c r="AP26" s="2">
        <f t="shared" si="15"/>
        <v>0</v>
      </c>
      <c r="AQ26" s="2">
        <f t="shared" si="15"/>
        <v>0</v>
      </c>
      <c r="AR26" s="2">
        <f t="shared" si="15"/>
        <v>1426500.14</v>
      </c>
      <c r="AS26" s="2">
        <f t="shared" si="15"/>
        <v>1426500.14</v>
      </c>
      <c r="AT26" s="2">
        <f t="shared" si="15"/>
        <v>0</v>
      </c>
      <c r="AU26" s="2">
        <f t="shared" ref="AU26:BZ26" si="16">AU216</f>
        <v>0</v>
      </c>
      <c r="AV26" s="2">
        <f t="shared" si="16"/>
        <v>1226480.26</v>
      </c>
      <c r="AW26" s="2">
        <f t="shared" si="16"/>
        <v>1226480.26</v>
      </c>
      <c r="AX26" s="2">
        <f t="shared" si="16"/>
        <v>0</v>
      </c>
      <c r="AY26" s="2">
        <f t="shared" si="16"/>
        <v>1226480.26</v>
      </c>
      <c r="AZ26" s="2">
        <f t="shared" si="16"/>
        <v>0</v>
      </c>
      <c r="BA26" s="2">
        <f t="shared" si="16"/>
        <v>0</v>
      </c>
      <c r="BB26" s="2">
        <f t="shared" si="16"/>
        <v>0</v>
      </c>
      <c r="BC26" s="2">
        <f t="shared" si="16"/>
        <v>0</v>
      </c>
      <c r="BD26" s="2">
        <f t="shared" si="16"/>
        <v>0</v>
      </c>
      <c r="BE26" s="2">
        <f t="shared" si="16"/>
        <v>0</v>
      </c>
      <c r="BF26" s="2">
        <f t="shared" si="16"/>
        <v>0</v>
      </c>
      <c r="BG26" s="2">
        <f t="shared" si="16"/>
        <v>0</v>
      </c>
      <c r="BH26" s="2">
        <f t="shared" si="16"/>
        <v>0</v>
      </c>
      <c r="BI26" s="2">
        <f t="shared" si="16"/>
        <v>0</v>
      </c>
      <c r="BJ26" s="2">
        <f t="shared" si="16"/>
        <v>0</v>
      </c>
      <c r="BK26" s="2">
        <f t="shared" si="16"/>
        <v>0</v>
      </c>
      <c r="BL26" s="2">
        <f t="shared" si="16"/>
        <v>0</v>
      </c>
      <c r="BM26" s="2">
        <f t="shared" si="16"/>
        <v>0</v>
      </c>
      <c r="BN26" s="2">
        <f t="shared" si="16"/>
        <v>0</v>
      </c>
      <c r="BO26" s="2">
        <f t="shared" si="16"/>
        <v>0</v>
      </c>
      <c r="BP26" s="2">
        <f t="shared" si="16"/>
        <v>0</v>
      </c>
      <c r="BQ26" s="2">
        <f t="shared" si="16"/>
        <v>0</v>
      </c>
      <c r="BR26" s="2">
        <f t="shared" si="16"/>
        <v>0</v>
      </c>
      <c r="BS26" s="2">
        <f t="shared" si="16"/>
        <v>0</v>
      </c>
      <c r="BT26" s="2">
        <f t="shared" si="16"/>
        <v>0</v>
      </c>
      <c r="BU26" s="2">
        <f t="shared" si="16"/>
        <v>0</v>
      </c>
      <c r="BV26" s="2">
        <f t="shared" si="16"/>
        <v>0</v>
      </c>
      <c r="BW26" s="2">
        <f t="shared" si="16"/>
        <v>0</v>
      </c>
      <c r="BX26" s="2">
        <f t="shared" si="16"/>
        <v>0</v>
      </c>
      <c r="BY26" s="2">
        <f t="shared" si="16"/>
        <v>0</v>
      </c>
      <c r="BZ26" s="2">
        <f t="shared" si="16"/>
        <v>0</v>
      </c>
      <c r="CA26" s="2">
        <f t="shared" ref="CA26:DF26" si="17">CA216</f>
        <v>0</v>
      </c>
      <c r="CB26" s="2">
        <f t="shared" si="17"/>
        <v>0</v>
      </c>
      <c r="CC26" s="2">
        <f t="shared" si="17"/>
        <v>0</v>
      </c>
      <c r="CD26" s="2">
        <f t="shared" si="17"/>
        <v>0</v>
      </c>
      <c r="CE26" s="2">
        <f t="shared" si="17"/>
        <v>0</v>
      </c>
      <c r="CF26" s="2">
        <f t="shared" si="17"/>
        <v>0</v>
      </c>
      <c r="CG26" s="2">
        <f t="shared" si="17"/>
        <v>0</v>
      </c>
      <c r="CH26" s="2">
        <f t="shared" si="17"/>
        <v>0</v>
      </c>
      <c r="CI26" s="2">
        <f t="shared" si="17"/>
        <v>0</v>
      </c>
      <c r="CJ26" s="2">
        <f t="shared" si="17"/>
        <v>0</v>
      </c>
      <c r="CK26" s="2">
        <f t="shared" si="17"/>
        <v>0</v>
      </c>
      <c r="CL26" s="2">
        <f t="shared" si="17"/>
        <v>0</v>
      </c>
      <c r="CM26" s="2">
        <f t="shared" si="17"/>
        <v>0</v>
      </c>
      <c r="CN26" s="2">
        <f t="shared" si="17"/>
        <v>0</v>
      </c>
      <c r="CO26" s="2">
        <f t="shared" si="17"/>
        <v>0</v>
      </c>
      <c r="CP26" s="2">
        <f t="shared" si="17"/>
        <v>0</v>
      </c>
      <c r="CQ26" s="2">
        <f t="shared" si="17"/>
        <v>0</v>
      </c>
      <c r="CR26" s="2">
        <f t="shared" si="17"/>
        <v>0</v>
      </c>
      <c r="CS26" s="2">
        <f t="shared" si="17"/>
        <v>0</v>
      </c>
      <c r="CT26" s="2">
        <f t="shared" si="17"/>
        <v>0</v>
      </c>
      <c r="CU26" s="2">
        <f t="shared" si="17"/>
        <v>0</v>
      </c>
      <c r="CV26" s="2">
        <f t="shared" si="17"/>
        <v>0</v>
      </c>
      <c r="CW26" s="2">
        <f t="shared" si="17"/>
        <v>0</v>
      </c>
      <c r="CX26" s="2">
        <f t="shared" si="17"/>
        <v>0</v>
      </c>
      <c r="CY26" s="2">
        <f t="shared" si="17"/>
        <v>0</v>
      </c>
      <c r="CZ26" s="2">
        <f t="shared" si="17"/>
        <v>0</v>
      </c>
      <c r="DA26" s="2">
        <f t="shared" si="17"/>
        <v>0</v>
      </c>
      <c r="DB26" s="2">
        <f t="shared" si="17"/>
        <v>0</v>
      </c>
      <c r="DC26" s="2">
        <f t="shared" si="17"/>
        <v>0</v>
      </c>
      <c r="DD26" s="2">
        <f t="shared" si="17"/>
        <v>0</v>
      </c>
      <c r="DE26" s="2">
        <f t="shared" si="17"/>
        <v>0</v>
      </c>
      <c r="DF26" s="2">
        <f t="shared" si="17"/>
        <v>0</v>
      </c>
      <c r="DG26" s="3">
        <f t="shared" ref="DG26:EL26" si="18">DG216</f>
        <v>0</v>
      </c>
      <c r="DH26" s="3">
        <f t="shared" si="18"/>
        <v>0</v>
      </c>
      <c r="DI26" s="3">
        <f t="shared" si="18"/>
        <v>0</v>
      </c>
      <c r="DJ26" s="3">
        <f t="shared" si="18"/>
        <v>0</v>
      </c>
      <c r="DK26" s="3">
        <f t="shared" si="18"/>
        <v>0</v>
      </c>
      <c r="DL26" s="3">
        <f t="shared" si="18"/>
        <v>0</v>
      </c>
      <c r="DM26" s="3">
        <f t="shared" si="18"/>
        <v>0</v>
      </c>
      <c r="DN26" s="3">
        <f t="shared" si="18"/>
        <v>0</v>
      </c>
      <c r="DO26" s="3">
        <f t="shared" si="18"/>
        <v>0</v>
      </c>
      <c r="DP26" s="3">
        <f t="shared" si="18"/>
        <v>0</v>
      </c>
      <c r="DQ26" s="3">
        <f t="shared" si="18"/>
        <v>0</v>
      </c>
      <c r="DR26" s="3">
        <f t="shared" si="18"/>
        <v>0</v>
      </c>
      <c r="DS26" s="3">
        <f t="shared" si="18"/>
        <v>0</v>
      </c>
      <c r="DT26" s="3">
        <f t="shared" si="18"/>
        <v>0</v>
      </c>
      <c r="DU26" s="3">
        <f t="shared" si="18"/>
        <v>0</v>
      </c>
      <c r="DV26" s="3">
        <f t="shared" si="18"/>
        <v>0</v>
      </c>
      <c r="DW26" s="3">
        <f t="shared" si="18"/>
        <v>0</v>
      </c>
      <c r="DX26" s="3">
        <f t="shared" si="18"/>
        <v>0</v>
      </c>
      <c r="DY26" s="3">
        <f t="shared" si="18"/>
        <v>0</v>
      </c>
      <c r="DZ26" s="3">
        <f t="shared" si="18"/>
        <v>0</v>
      </c>
      <c r="EA26" s="3">
        <f t="shared" si="18"/>
        <v>0</v>
      </c>
      <c r="EB26" s="3">
        <f t="shared" si="18"/>
        <v>0</v>
      </c>
      <c r="EC26" s="3">
        <f t="shared" si="18"/>
        <v>0</v>
      </c>
      <c r="ED26" s="3">
        <f t="shared" si="18"/>
        <v>0</v>
      </c>
      <c r="EE26" s="3">
        <f t="shared" si="18"/>
        <v>0</v>
      </c>
      <c r="EF26" s="3">
        <f t="shared" si="18"/>
        <v>0</v>
      </c>
      <c r="EG26" s="3">
        <f t="shared" si="18"/>
        <v>0</v>
      </c>
      <c r="EH26" s="3">
        <f t="shared" si="18"/>
        <v>0</v>
      </c>
      <c r="EI26" s="3">
        <f t="shared" si="18"/>
        <v>0</v>
      </c>
      <c r="EJ26" s="3">
        <f t="shared" si="18"/>
        <v>0</v>
      </c>
      <c r="EK26" s="3">
        <f t="shared" si="18"/>
        <v>0</v>
      </c>
      <c r="EL26" s="3">
        <f t="shared" si="18"/>
        <v>0</v>
      </c>
      <c r="EM26" s="3">
        <f t="shared" ref="EM26:FR26" si="19">EM216</f>
        <v>0</v>
      </c>
      <c r="EN26" s="3">
        <f t="shared" si="19"/>
        <v>0</v>
      </c>
      <c r="EO26" s="3">
        <f t="shared" si="19"/>
        <v>0</v>
      </c>
      <c r="EP26" s="3">
        <f t="shared" si="19"/>
        <v>0</v>
      </c>
      <c r="EQ26" s="3">
        <f t="shared" si="19"/>
        <v>0</v>
      </c>
      <c r="ER26" s="3">
        <f t="shared" si="19"/>
        <v>0</v>
      </c>
      <c r="ES26" s="3">
        <f t="shared" si="19"/>
        <v>0</v>
      </c>
      <c r="ET26" s="3">
        <f t="shared" si="19"/>
        <v>0</v>
      </c>
      <c r="EU26" s="3">
        <f t="shared" si="19"/>
        <v>0</v>
      </c>
      <c r="EV26" s="3">
        <f t="shared" si="19"/>
        <v>0</v>
      </c>
      <c r="EW26" s="3">
        <f t="shared" si="19"/>
        <v>0</v>
      </c>
      <c r="EX26" s="3">
        <f t="shared" si="19"/>
        <v>0</v>
      </c>
      <c r="EY26" s="3">
        <f t="shared" si="19"/>
        <v>0</v>
      </c>
      <c r="EZ26" s="3">
        <f t="shared" si="19"/>
        <v>0</v>
      </c>
      <c r="FA26" s="3">
        <f t="shared" si="19"/>
        <v>0</v>
      </c>
      <c r="FB26" s="3">
        <f t="shared" si="19"/>
        <v>0</v>
      </c>
      <c r="FC26" s="3">
        <f t="shared" si="19"/>
        <v>0</v>
      </c>
      <c r="FD26" s="3">
        <f t="shared" si="19"/>
        <v>0</v>
      </c>
      <c r="FE26" s="3">
        <f t="shared" si="19"/>
        <v>0</v>
      </c>
      <c r="FF26" s="3">
        <f t="shared" si="19"/>
        <v>0</v>
      </c>
      <c r="FG26" s="3">
        <f t="shared" si="19"/>
        <v>0</v>
      </c>
      <c r="FH26" s="3">
        <f t="shared" si="19"/>
        <v>0</v>
      </c>
      <c r="FI26" s="3">
        <f t="shared" si="19"/>
        <v>0</v>
      </c>
      <c r="FJ26" s="3">
        <f t="shared" si="19"/>
        <v>0</v>
      </c>
      <c r="FK26" s="3">
        <f t="shared" si="19"/>
        <v>0</v>
      </c>
      <c r="FL26" s="3">
        <f t="shared" si="19"/>
        <v>0</v>
      </c>
      <c r="FM26" s="3">
        <f t="shared" si="19"/>
        <v>0</v>
      </c>
      <c r="FN26" s="3">
        <f t="shared" si="19"/>
        <v>0</v>
      </c>
      <c r="FO26" s="3">
        <f t="shared" si="19"/>
        <v>0</v>
      </c>
      <c r="FP26" s="3">
        <f t="shared" si="19"/>
        <v>0</v>
      </c>
      <c r="FQ26" s="3">
        <f t="shared" si="19"/>
        <v>0</v>
      </c>
      <c r="FR26" s="3">
        <f t="shared" si="19"/>
        <v>0</v>
      </c>
      <c r="FS26" s="3">
        <f t="shared" ref="FS26:GX26" si="20">FS216</f>
        <v>0</v>
      </c>
      <c r="FT26" s="3">
        <f t="shared" si="20"/>
        <v>0</v>
      </c>
      <c r="FU26" s="3">
        <f t="shared" si="20"/>
        <v>0</v>
      </c>
      <c r="FV26" s="3">
        <f t="shared" si="20"/>
        <v>0</v>
      </c>
      <c r="FW26" s="3">
        <f t="shared" si="20"/>
        <v>0</v>
      </c>
      <c r="FX26" s="3">
        <f t="shared" si="20"/>
        <v>0</v>
      </c>
      <c r="FY26" s="3">
        <f t="shared" si="20"/>
        <v>0</v>
      </c>
      <c r="FZ26" s="3">
        <f t="shared" si="20"/>
        <v>0</v>
      </c>
      <c r="GA26" s="3">
        <f t="shared" si="20"/>
        <v>0</v>
      </c>
      <c r="GB26" s="3">
        <f t="shared" si="20"/>
        <v>0</v>
      </c>
      <c r="GC26" s="3">
        <f t="shared" si="20"/>
        <v>0</v>
      </c>
      <c r="GD26" s="3">
        <f t="shared" si="20"/>
        <v>0</v>
      </c>
      <c r="GE26" s="3">
        <f t="shared" si="20"/>
        <v>0</v>
      </c>
      <c r="GF26" s="3">
        <f t="shared" si="20"/>
        <v>0</v>
      </c>
      <c r="GG26" s="3">
        <f t="shared" si="20"/>
        <v>0</v>
      </c>
      <c r="GH26" s="3">
        <f t="shared" si="20"/>
        <v>0</v>
      </c>
      <c r="GI26" s="3">
        <f t="shared" si="20"/>
        <v>0</v>
      </c>
      <c r="GJ26" s="3">
        <f t="shared" si="20"/>
        <v>0</v>
      </c>
      <c r="GK26" s="3">
        <f t="shared" si="20"/>
        <v>0</v>
      </c>
      <c r="GL26" s="3">
        <f t="shared" si="20"/>
        <v>0</v>
      </c>
      <c r="GM26" s="3">
        <f t="shared" si="20"/>
        <v>0</v>
      </c>
      <c r="GN26" s="3">
        <f t="shared" si="20"/>
        <v>0</v>
      </c>
      <c r="GO26" s="3">
        <f t="shared" si="20"/>
        <v>0</v>
      </c>
      <c r="GP26" s="3">
        <f t="shared" si="20"/>
        <v>0</v>
      </c>
      <c r="GQ26" s="3">
        <f t="shared" si="20"/>
        <v>0</v>
      </c>
      <c r="GR26" s="3">
        <f t="shared" si="20"/>
        <v>0</v>
      </c>
      <c r="GS26" s="3">
        <f t="shared" si="20"/>
        <v>0</v>
      </c>
      <c r="GT26" s="3">
        <f t="shared" si="20"/>
        <v>0</v>
      </c>
      <c r="GU26" s="3">
        <f t="shared" si="20"/>
        <v>0</v>
      </c>
      <c r="GV26" s="3">
        <f t="shared" si="20"/>
        <v>0</v>
      </c>
      <c r="GW26" s="3">
        <f t="shared" si="20"/>
        <v>0</v>
      </c>
      <c r="GX26" s="3">
        <f t="shared" si="20"/>
        <v>0</v>
      </c>
    </row>
    <row r="28" spans="1:245" x14ac:dyDescent="0.2">
      <c r="A28" s="1">
        <v>5</v>
      </c>
      <c r="B28" s="1">
        <v>1</v>
      </c>
      <c r="C28" s="1"/>
      <c r="D28" s="1">
        <f>ROW(A52)</f>
        <v>52</v>
      </c>
      <c r="E28" s="1"/>
      <c r="F28" s="1" t="s">
        <v>15</v>
      </c>
      <c r="G28" s="1" t="s">
        <v>16</v>
      </c>
      <c r="H28" s="1" t="s">
        <v>6</v>
      </c>
      <c r="I28" s="1">
        <v>0</v>
      </c>
      <c r="J28" s="1"/>
      <c r="K28" s="1">
        <v>0</v>
      </c>
      <c r="L28" s="1"/>
      <c r="M28" s="1"/>
      <c r="N28" s="1"/>
      <c r="O28" s="1"/>
      <c r="P28" s="1"/>
      <c r="Q28" s="1"/>
      <c r="R28" s="1"/>
      <c r="S28" s="1"/>
      <c r="T28" s="1"/>
      <c r="U28" s="1" t="s">
        <v>6</v>
      </c>
      <c r="V28" s="1">
        <v>0</v>
      </c>
      <c r="W28" s="1"/>
      <c r="X28" s="1"/>
      <c r="Y28" s="1"/>
      <c r="Z28" s="1"/>
      <c r="AA28" s="1"/>
      <c r="AB28" s="1" t="s">
        <v>6</v>
      </c>
      <c r="AC28" s="1" t="s">
        <v>6</v>
      </c>
      <c r="AD28" s="1" t="s">
        <v>6</v>
      </c>
      <c r="AE28" s="1" t="s">
        <v>6</v>
      </c>
      <c r="AF28" s="1" t="s">
        <v>6</v>
      </c>
      <c r="AG28" s="1" t="s">
        <v>6</v>
      </c>
      <c r="AH28" s="1"/>
      <c r="AI28" s="1"/>
      <c r="AJ28" s="1"/>
      <c r="AK28" s="1"/>
      <c r="AL28" s="1"/>
      <c r="AM28" s="1"/>
      <c r="AN28" s="1"/>
      <c r="AO28" s="1"/>
      <c r="AP28" s="1" t="s">
        <v>6</v>
      </c>
      <c r="AQ28" s="1" t="s">
        <v>6</v>
      </c>
      <c r="AR28" s="1" t="s">
        <v>6</v>
      </c>
      <c r="AS28" s="1"/>
      <c r="AT28" s="1"/>
      <c r="AU28" s="1"/>
      <c r="AV28" s="1"/>
      <c r="AW28" s="1"/>
      <c r="AX28" s="1"/>
      <c r="AY28" s="1"/>
      <c r="AZ28" s="1" t="s">
        <v>6</v>
      </c>
      <c r="BA28" s="1"/>
      <c r="BB28" s="1" t="s">
        <v>6</v>
      </c>
      <c r="BC28" s="1" t="s">
        <v>6</v>
      </c>
      <c r="BD28" s="1" t="s">
        <v>6</v>
      </c>
      <c r="BE28" s="1" t="s">
        <v>6</v>
      </c>
      <c r="BF28" s="1" t="s">
        <v>6</v>
      </c>
      <c r="BG28" s="1" t="s">
        <v>6</v>
      </c>
      <c r="BH28" s="1" t="s">
        <v>6</v>
      </c>
      <c r="BI28" s="1" t="s">
        <v>6</v>
      </c>
      <c r="BJ28" s="1" t="s">
        <v>6</v>
      </c>
      <c r="BK28" s="1" t="s">
        <v>6</v>
      </c>
      <c r="BL28" s="1" t="s">
        <v>6</v>
      </c>
      <c r="BM28" s="1" t="s">
        <v>6</v>
      </c>
      <c r="BN28" s="1" t="s">
        <v>6</v>
      </c>
      <c r="BO28" s="1" t="s">
        <v>6</v>
      </c>
      <c r="BP28" s="1" t="s">
        <v>6</v>
      </c>
      <c r="BQ28" s="1"/>
      <c r="BR28" s="1"/>
      <c r="BS28" s="1"/>
      <c r="BT28" s="1"/>
      <c r="BU28" s="1"/>
      <c r="BV28" s="1"/>
      <c r="BW28" s="1"/>
      <c r="BX28" s="1">
        <v>0</v>
      </c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>
        <v>0</v>
      </c>
    </row>
    <row r="30" spans="1:245" x14ac:dyDescent="0.2">
      <c r="A30" s="2">
        <v>52</v>
      </c>
      <c r="B30" s="2">
        <f t="shared" ref="B30:G30" si="21">B52</f>
        <v>1</v>
      </c>
      <c r="C30" s="2">
        <f t="shared" si="21"/>
        <v>5</v>
      </c>
      <c r="D30" s="2">
        <f t="shared" si="21"/>
        <v>28</v>
      </c>
      <c r="E30" s="2">
        <f t="shared" si="21"/>
        <v>0</v>
      </c>
      <c r="F30" s="2" t="str">
        <f t="shared" si="21"/>
        <v>Новый подраздел</v>
      </c>
      <c r="G30" s="2" t="str">
        <f t="shared" si="21"/>
        <v>1 Демонтаж</v>
      </c>
      <c r="H30" s="2"/>
      <c r="I30" s="2"/>
      <c r="J30" s="2"/>
      <c r="K30" s="2"/>
      <c r="L30" s="2"/>
      <c r="M30" s="2"/>
      <c r="N30" s="2"/>
      <c r="O30" s="2">
        <f t="shared" ref="O30:AT30" si="22">O52</f>
        <v>14619.33</v>
      </c>
      <c r="P30" s="2">
        <f t="shared" si="22"/>
        <v>786.34</v>
      </c>
      <c r="Q30" s="2">
        <f t="shared" si="22"/>
        <v>1767.66</v>
      </c>
      <c r="R30" s="2">
        <f t="shared" si="22"/>
        <v>352.27</v>
      </c>
      <c r="S30" s="2">
        <f t="shared" si="22"/>
        <v>12065.33</v>
      </c>
      <c r="T30" s="2">
        <f t="shared" si="22"/>
        <v>0</v>
      </c>
      <c r="U30" s="2">
        <f t="shared" si="22"/>
        <v>224.97086999999999</v>
      </c>
      <c r="V30" s="2">
        <f t="shared" si="22"/>
        <v>4.1317619999999993</v>
      </c>
      <c r="W30" s="2">
        <f t="shared" si="22"/>
        <v>0</v>
      </c>
      <c r="X30" s="2">
        <f t="shared" si="22"/>
        <v>11007.77</v>
      </c>
      <c r="Y30" s="2">
        <f t="shared" si="22"/>
        <v>7612.87</v>
      </c>
      <c r="Z30" s="2">
        <f t="shared" si="22"/>
        <v>0</v>
      </c>
      <c r="AA30" s="2">
        <f t="shared" si="22"/>
        <v>0</v>
      </c>
      <c r="AB30" s="2">
        <f t="shared" si="22"/>
        <v>14619.33</v>
      </c>
      <c r="AC30" s="2">
        <f t="shared" si="22"/>
        <v>786.34</v>
      </c>
      <c r="AD30" s="2">
        <f t="shared" si="22"/>
        <v>1767.66</v>
      </c>
      <c r="AE30" s="2">
        <f t="shared" si="22"/>
        <v>352.27</v>
      </c>
      <c r="AF30" s="2">
        <f t="shared" si="22"/>
        <v>12065.33</v>
      </c>
      <c r="AG30" s="2">
        <f t="shared" si="22"/>
        <v>0</v>
      </c>
      <c r="AH30" s="2">
        <f t="shared" si="22"/>
        <v>224.97086999999999</v>
      </c>
      <c r="AI30" s="2">
        <f t="shared" si="22"/>
        <v>4.1317619999999993</v>
      </c>
      <c r="AJ30" s="2">
        <f t="shared" si="22"/>
        <v>0</v>
      </c>
      <c r="AK30" s="2">
        <f t="shared" si="22"/>
        <v>11007.77</v>
      </c>
      <c r="AL30" s="2">
        <f t="shared" si="22"/>
        <v>7612.87</v>
      </c>
      <c r="AM30" s="2">
        <f t="shared" si="22"/>
        <v>0</v>
      </c>
      <c r="AN30" s="2">
        <f t="shared" si="22"/>
        <v>0</v>
      </c>
      <c r="AO30" s="2">
        <f t="shared" si="22"/>
        <v>0</v>
      </c>
      <c r="AP30" s="2">
        <f t="shared" si="22"/>
        <v>0</v>
      </c>
      <c r="AQ30" s="2">
        <f t="shared" si="22"/>
        <v>0</v>
      </c>
      <c r="AR30" s="2">
        <f t="shared" si="22"/>
        <v>33239.97</v>
      </c>
      <c r="AS30" s="2">
        <f t="shared" si="22"/>
        <v>33239.97</v>
      </c>
      <c r="AT30" s="2">
        <f t="shared" si="22"/>
        <v>0</v>
      </c>
      <c r="AU30" s="2">
        <f t="shared" ref="AU30:BZ30" si="23">AU52</f>
        <v>0</v>
      </c>
      <c r="AV30" s="2">
        <f t="shared" si="23"/>
        <v>786.34</v>
      </c>
      <c r="AW30" s="2">
        <f t="shared" si="23"/>
        <v>786.34</v>
      </c>
      <c r="AX30" s="2">
        <f t="shared" si="23"/>
        <v>0</v>
      </c>
      <c r="AY30" s="2">
        <f t="shared" si="23"/>
        <v>786.34</v>
      </c>
      <c r="AZ30" s="2">
        <f t="shared" si="23"/>
        <v>0</v>
      </c>
      <c r="BA30" s="2">
        <f t="shared" si="23"/>
        <v>0</v>
      </c>
      <c r="BB30" s="2">
        <f t="shared" si="23"/>
        <v>0</v>
      </c>
      <c r="BC30" s="2">
        <f t="shared" si="23"/>
        <v>0</v>
      </c>
      <c r="BD30" s="2">
        <f t="shared" si="23"/>
        <v>0</v>
      </c>
      <c r="BE30" s="2">
        <f t="shared" si="23"/>
        <v>0</v>
      </c>
      <c r="BF30" s="2">
        <f t="shared" si="23"/>
        <v>0</v>
      </c>
      <c r="BG30" s="2">
        <f t="shared" si="23"/>
        <v>0</v>
      </c>
      <c r="BH30" s="2">
        <f t="shared" si="23"/>
        <v>0</v>
      </c>
      <c r="BI30" s="2">
        <f t="shared" si="23"/>
        <v>0</v>
      </c>
      <c r="BJ30" s="2">
        <f t="shared" si="23"/>
        <v>0</v>
      </c>
      <c r="BK30" s="2">
        <f t="shared" si="23"/>
        <v>0</v>
      </c>
      <c r="BL30" s="2">
        <f t="shared" si="23"/>
        <v>0</v>
      </c>
      <c r="BM30" s="2">
        <f t="shared" si="23"/>
        <v>0</v>
      </c>
      <c r="BN30" s="2">
        <f t="shared" si="23"/>
        <v>0</v>
      </c>
      <c r="BO30" s="2">
        <f t="shared" si="23"/>
        <v>0</v>
      </c>
      <c r="BP30" s="2">
        <f t="shared" si="23"/>
        <v>0</v>
      </c>
      <c r="BQ30" s="2">
        <f t="shared" si="23"/>
        <v>0</v>
      </c>
      <c r="BR30" s="2">
        <f t="shared" si="23"/>
        <v>0</v>
      </c>
      <c r="BS30" s="2">
        <f t="shared" si="23"/>
        <v>0</v>
      </c>
      <c r="BT30" s="2">
        <f t="shared" si="23"/>
        <v>0</v>
      </c>
      <c r="BU30" s="2">
        <f t="shared" si="23"/>
        <v>0</v>
      </c>
      <c r="BV30" s="2">
        <f t="shared" si="23"/>
        <v>0</v>
      </c>
      <c r="BW30" s="2">
        <f t="shared" si="23"/>
        <v>0</v>
      </c>
      <c r="BX30" s="2">
        <f t="shared" si="23"/>
        <v>0</v>
      </c>
      <c r="BY30" s="2">
        <f t="shared" si="23"/>
        <v>0</v>
      </c>
      <c r="BZ30" s="2">
        <f t="shared" si="23"/>
        <v>0</v>
      </c>
      <c r="CA30" s="2">
        <f t="shared" ref="CA30:DF30" si="24">CA52</f>
        <v>33239.97</v>
      </c>
      <c r="CB30" s="2">
        <f t="shared" si="24"/>
        <v>33239.97</v>
      </c>
      <c r="CC30" s="2">
        <f t="shared" si="24"/>
        <v>0</v>
      </c>
      <c r="CD30" s="2">
        <f t="shared" si="24"/>
        <v>0</v>
      </c>
      <c r="CE30" s="2">
        <f t="shared" si="24"/>
        <v>786.34</v>
      </c>
      <c r="CF30" s="2">
        <f t="shared" si="24"/>
        <v>786.34</v>
      </c>
      <c r="CG30" s="2">
        <f t="shared" si="24"/>
        <v>0</v>
      </c>
      <c r="CH30" s="2">
        <f t="shared" si="24"/>
        <v>786.34</v>
      </c>
      <c r="CI30" s="2">
        <f t="shared" si="24"/>
        <v>0</v>
      </c>
      <c r="CJ30" s="2">
        <f t="shared" si="24"/>
        <v>0</v>
      </c>
      <c r="CK30" s="2">
        <f t="shared" si="24"/>
        <v>0</v>
      </c>
      <c r="CL30" s="2">
        <f t="shared" si="24"/>
        <v>0</v>
      </c>
      <c r="CM30" s="2">
        <f t="shared" si="24"/>
        <v>0</v>
      </c>
      <c r="CN30" s="2">
        <f t="shared" si="24"/>
        <v>0</v>
      </c>
      <c r="CO30" s="2">
        <f t="shared" si="24"/>
        <v>0</v>
      </c>
      <c r="CP30" s="2">
        <f t="shared" si="24"/>
        <v>0</v>
      </c>
      <c r="CQ30" s="2">
        <f t="shared" si="24"/>
        <v>0</v>
      </c>
      <c r="CR30" s="2">
        <f t="shared" si="24"/>
        <v>0</v>
      </c>
      <c r="CS30" s="2">
        <f t="shared" si="24"/>
        <v>0</v>
      </c>
      <c r="CT30" s="2">
        <f t="shared" si="24"/>
        <v>0</v>
      </c>
      <c r="CU30" s="2">
        <f t="shared" si="24"/>
        <v>0</v>
      </c>
      <c r="CV30" s="2">
        <f t="shared" si="24"/>
        <v>0</v>
      </c>
      <c r="CW30" s="2">
        <f t="shared" si="24"/>
        <v>0</v>
      </c>
      <c r="CX30" s="2">
        <f t="shared" si="24"/>
        <v>0</v>
      </c>
      <c r="CY30" s="2">
        <f t="shared" si="24"/>
        <v>0</v>
      </c>
      <c r="CZ30" s="2">
        <f t="shared" si="24"/>
        <v>0</v>
      </c>
      <c r="DA30" s="2">
        <f t="shared" si="24"/>
        <v>0</v>
      </c>
      <c r="DB30" s="2">
        <f t="shared" si="24"/>
        <v>0</v>
      </c>
      <c r="DC30" s="2">
        <f t="shared" si="24"/>
        <v>0</v>
      </c>
      <c r="DD30" s="2">
        <f t="shared" si="24"/>
        <v>0</v>
      </c>
      <c r="DE30" s="2">
        <f t="shared" si="24"/>
        <v>0</v>
      </c>
      <c r="DF30" s="2">
        <f t="shared" si="24"/>
        <v>0</v>
      </c>
      <c r="DG30" s="3">
        <f t="shared" ref="DG30:EL30" si="25">DG52</f>
        <v>0</v>
      </c>
      <c r="DH30" s="3">
        <f t="shared" si="25"/>
        <v>0</v>
      </c>
      <c r="DI30" s="3">
        <f t="shared" si="25"/>
        <v>0</v>
      </c>
      <c r="DJ30" s="3">
        <f t="shared" si="25"/>
        <v>0</v>
      </c>
      <c r="DK30" s="3">
        <f t="shared" si="25"/>
        <v>0</v>
      </c>
      <c r="DL30" s="3">
        <f t="shared" si="25"/>
        <v>0</v>
      </c>
      <c r="DM30" s="3">
        <f t="shared" si="25"/>
        <v>0</v>
      </c>
      <c r="DN30" s="3">
        <f t="shared" si="25"/>
        <v>0</v>
      </c>
      <c r="DO30" s="3">
        <f t="shared" si="25"/>
        <v>0</v>
      </c>
      <c r="DP30" s="3">
        <f t="shared" si="25"/>
        <v>0</v>
      </c>
      <c r="DQ30" s="3">
        <f t="shared" si="25"/>
        <v>0</v>
      </c>
      <c r="DR30" s="3">
        <f t="shared" si="25"/>
        <v>0</v>
      </c>
      <c r="DS30" s="3">
        <f t="shared" si="25"/>
        <v>0</v>
      </c>
      <c r="DT30" s="3">
        <f t="shared" si="25"/>
        <v>0</v>
      </c>
      <c r="DU30" s="3">
        <f t="shared" si="25"/>
        <v>0</v>
      </c>
      <c r="DV30" s="3">
        <f t="shared" si="25"/>
        <v>0</v>
      </c>
      <c r="DW30" s="3">
        <f t="shared" si="25"/>
        <v>0</v>
      </c>
      <c r="DX30" s="3">
        <f t="shared" si="25"/>
        <v>0</v>
      </c>
      <c r="DY30" s="3">
        <f t="shared" si="25"/>
        <v>0</v>
      </c>
      <c r="DZ30" s="3">
        <f t="shared" si="25"/>
        <v>0</v>
      </c>
      <c r="EA30" s="3">
        <f t="shared" si="25"/>
        <v>0</v>
      </c>
      <c r="EB30" s="3">
        <f t="shared" si="25"/>
        <v>0</v>
      </c>
      <c r="EC30" s="3">
        <f t="shared" si="25"/>
        <v>0</v>
      </c>
      <c r="ED30" s="3">
        <f t="shared" si="25"/>
        <v>0</v>
      </c>
      <c r="EE30" s="3">
        <f t="shared" si="25"/>
        <v>0</v>
      </c>
      <c r="EF30" s="3">
        <f t="shared" si="25"/>
        <v>0</v>
      </c>
      <c r="EG30" s="3">
        <f t="shared" si="25"/>
        <v>0</v>
      </c>
      <c r="EH30" s="3">
        <f t="shared" si="25"/>
        <v>0</v>
      </c>
      <c r="EI30" s="3">
        <f t="shared" si="25"/>
        <v>0</v>
      </c>
      <c r="EJ30" s="3">
        <f t="shared" si="25"/>
        <v>0</v>
      </c>
      <c r="EK30" s="3">
        <f t="shared" si="25"/>
        <v>0</v>
      </c>
      <c r="EL30" s="3">
        <f t="shared" si="25"/>
        <v>0</v>
      </c>
      <c r="EM30" s="3">
        <f t="shared" ref="EM30:FR30" si="26">EM52</f>
        <v>0</v>
      </c>
      <c r="EN30" s="3">
        <f t="shared" si="26"/>
        <v>0</v>
      </c>
      <c r="EO30" s="3">
        <f t="shared" si="26"/>
        <v>0</v>
      </c>
      <c r="EP30" s="3">
        <f t="shared" si="26"/>
        <v>0</v>
      </c>
      <c r="EQ30" s="3">
        <f t="shared" si="26"/>
        <v>0</v>
      </c>
      <c r="ER30" s="3">
        <f t="shared" si="26"/>
        <v>0</v>
      </c>
      <c r="ES30" s="3">
        <f t="shared" si="26"/>
        <v>0</v>
      </c>
      <c r="ET30" s="3">
        <f t="shared" si="26"/>
        <v>0</v>
      </c>
      <c r="EU30" s="3">
        <f t="shared" si="26"/>
        <v>0</v>
      </c>
      <c r="EV30" s="3">
        <f t="shared" si="26"/>
        <v>0</v>
      </c>
      <c r="EW30" s="3">
        <f t="shared" si="26"/>
        <v>0</v>
      </c>
      <c r="EX30" s="3">
        <f t="shared" si="26"/>
        <v>0</v>
      </c>
      <c r="EY30" s="3">
        <f t="shared" si="26"/>
        <v>0</v>
      </c>
      <c r="EZ30" s="3">
        <f t="shared" si="26"/>
        <v>0</v>
      </c>
      <c r="FA30" s="3">
        <f t="shared" si="26"/>
        <v>0</v>
      </c>
      <c r="FB30" s="3">
        <f t="shared" si="26"/>
        <v>0</v>
      </c>
      <c r="FC30" s="3">
        <f t="shared" si="26"/>
        <v>0</v>
      </c>
      <c r="FD30" s="3">
        <f t="shared" si="26"/>
        <v>0</v>
      </c>
      <c r="FE30" s="3">
        <f t="shared" si="26"/>
        <v>0</v>
      </c>
      <c r="FF30" s="3">
        <f t="shared" si="26"/>
        <v>0</v>
      </c>
      <c r="FG30" s="3">
        <f t="shared" si="26"/>
        <v>0</v>
      </c>
      <c r="FH30" s="3">
        <f t="shared" si="26"/>
        <v>0</v>
      </c>
      <c r="FI30" s="3">
        <f t="shared" si="26"/>
        <v>0</v>
      </c>
      <c r="FJ30" s="3">
        <f t="shared" si="26"/>
        <v>0</v>
      </c>
      <c r="FK30" s="3">
        <f t="shared" si="26"/>
        <v>0</v>
      </c>
      <c r="FL30" s="3">
        <f t="shared" si="26"/>
        <v>0</v>
      </c>
      <c r="FM30" s="3">
        <f t="shared" si="26"/>
        <v>0</v>
      </c>
      <c r="FN30" s="3">
        <f t="shared" si="26"/>
        <v>0</v>
      </c>
      <c r="FO30" s="3">
        <f t="shared" si="26"/>
        <v>0</v>
      </c>
      <c r="FP30" s="3">
        <f t="shared" si="26"/>
        <v>0</v>
      </c>
      <c r="FQ30" s="3">
        <f t="shared" si="26"/>
        <v>0</v>
      </c>
      <c r="FR30" s="3">
        <f t="shared" si="26"/>
        <v>0</v>
      </c>
      <c r="FS30" s="3">
        <f t="shared" ref="FS30:GX30" si="27">FS52</f>
        <v>0</v>
      </c>
      <c r="FT30" s="3">
        <f t="shared" si="27"/>
        <v>0</v>
      </c>
      <c r="FU30" s="3">
        <f t="shared" si="27"/>
        <v>0</v>
      </c>
      <c r="FV30" s="3">
        <f t="shared" si="27"/>
        <v>0</v>
      </c>
      <c r="FW30" s="3">
        <f t="shared" si="27"/>
        <v>0</v>
      </c>
      <c r="FX30" s="3">
        <f t="shared" si="27"/>
        <v>0</v>
      </c>
      <c r="FY30" s="3">
        <f t="shared" si="27"/>
        <v>0</v>
      </c>
      <c r="FZ30" s="3">
        <f t="shared" si="27"/>
        <v>0</v>
      </c>
      <c r="GA30" s="3">
        <f t="shared" si="27"/>
        <v>0</v>
      </c>
      <c r="GB30" s="3">
        <f t="shared" si="27"/>
        <v>0</v>
      </c>
      <c r="GC30" s="3">
        <f t="shared" si="27"/>
        <v>0</v>
      </c>
      <c r="GD30" s="3">
        <f t="shared" si="27"/>
        <v>0</v>
      </c>
      <c r="GE30" s="3">
        <f t="shared" si="27"/>
        <v>0</v>
      </c>
      <c r="GF30" s="3">
        <f t="shared" si="27"/>
        <v>0</v>
      </c>
      <c r="GG30" s="3">
        <f t="shared" si="27"/>
        <v>0</v>
      </c>
      <c r="GH30" s="3">
        <f t="shared" si="27"/>
        <v>0</v>
      </c>
      <c r="GI30" s="3">
        <f t="shared" si="27"/>
        <v>0</v>
      </c>
      <c r="GJ30" s="3">
        <f t="shared" si="27"/>
        <v>0</v>
      </c>
      <c r="GK30" s="3">
        <f t="shared" si="27"/>
        <v>0</v>
      </c>
      <c r="GL30" s="3">
        <f t="shared" si="27"/>
        <v>0</v>
      </c>
      <c r="GM30" s="3">
        <f t="shared" si="27"/>
        <v>0</v>
      </c>
      <c r="GN30" s="3">
        <f t="shared" si="27"/>
        <v>0</v>
      </c>
      <c r="GO30" s="3">
        <f t="shared" si="27"/>
        <v>0</v>
      </c>
      <c r="GP30" s="3">
        <f t="shared" si="27"/>
        <v>0</v>
      </c>
      <c r="GQ30" s="3">
        <f t="shared" si="27"/>
        <v>0</v>
      </c>
      <c r="GR30" s="3">
        <f t="shared" si="27"/>
        <v>0</v>
      </c>
      <c r="GS30" s="3">
        <f t="shared" si="27"/>
        <v>0</v>
      </c>
      <c r="GT30" s="3">
        <f t="shared" si="27"/>
        <v>0</v>
      </c>
      <c r="GU30" s="3">
        <f t="shared" si="27"/>
        <v>0</v>
      </c>
      <c r="GV30" s="3">
        <f t="shared" si="27"/>
        <v>0</v>
      </c>
      <c r="GW30" s="3">
        <f t="shared" si="27"/>
        <v>0</v>
      </c>
      <c r="GX30" s="3">
        <f t="shared" si="27"/>
        <v>0</v>
      </c>
    </row>
    <row r="32" spans="1:245" x14ac:dyDescent="0.2">
      <c r="A32">
        <v>17</v>
      </c>
      <c r="B32">
        <v>1</v>
      </c>
      <c r="E32" t="s">
        <v>17</v>
      </c>
      <c r="F32" t="s">
        <v>18</v>
      </c>
      <c r="G32" t="s">
        <v>19</v>
      </c>
      <c r="H32" t="s">
        <v>20</v>
      </c>
      <c r="I32">
        <f>ROUND(24.6/100,9)</f>
        <v>0.246</v>
      </c>
      <c r="J32">
        <v>0</v>
      </c>
      <c r="O32">
        <f t="shared" ref="O32:O50" si="28">ROUND(CP32,2)</f>
        <v>2851.9</v>
      </c>
      <c r="P32">
        <f t="shared" ref="P32:P50" si="29">ROUND(CQ32*I32,2)</f>
        <v>0</v>
      </c>
      <c r="Q32">
        <f t="shared" ref="Q32:Q50" si="30">ROUND(CR32*I32,2)</f>
        <v>390.45</v>
      </c>
      <c r="R32">
        <f t="shared" ref="R32:R50" si="31">ROUND(CS32*I32,2)</f>
        <v>168.62</v>
      </c>
      <c r="S32">
        <f t="shared" ref="S32:S50" si="32">ROUND(CT32*I32,2)</f>
        <v>2461.4499999999998</v>
      </c>
      <c r="T32">
        <f t="shared" ref="T32:T50" si="33">ROUND(CU32*I32,2)</f>
        <v>0</v>
      </c>
      <c r="U32">
        <f t="shared" ref="U32:U50" si="34">CV32*I32</f>
        <v>46.380839999999999</v>
      </c>
      <c r="V32">
        <f t="shared" ref="V32:V50" si="35">CW32*I32</f>
        <v>1.90404</v>
      </c>
      <c r="W32">
        <f t="shared" ref="W32:W50" si="36">ROUND(CX32*I32,2)</f>
        <v>0</v>
      </c>
      <c r="X32">
        <f t="shared" ref="X32:X50" si="37">ROUND(CY32,2)</f>
        <v>2603.77</v>
      </c>
      <c r="Y32">
        <f t="shared" ref="Y32:Y50" si="38">ROUND(CZ32,2)</f>
        <v>1578.04</v>
      </c>
      <c r="AA32">
        <v>16748969</v>
      </c>
      <c r="AB32">
        <f t="shared" ref="AB32:AB50" si="39">ROUND((AC32+AD32+AF32),2)</f>
        <v>1767.24</v>
      </c>
      <c r="AC32">
        <f t="shared" ref="AC32:AC44" si="40">ROUND((ES32),2)</f>
        <v>0</v>
      </c>
      <c r="AD32">
        <f t="shared" ref="AD32:AD44" si="41">ROUND((((ET32)-(EU32))+AE32),2)</f>
        <v>241.95</v>
      </c>
      <c r="AE32">
        <f t="shared" ref="AE32:AE44" si="42">ROUND((EU32),2)</f>
        <v>104.49</v>
      </c>
      <c r="AF32">
        <f t="shared" ref="AF32:AF44" si="43">ROUND((EV32),2)</f>
        <v>1525.29</v>
      </c>
      <c r="AG32">
        <f t="shared" ref="AG32:AG50" si="44">ROUND((AP32),2)</f>
        <v>0</v>
      </c>
      <c r="AH32">
        <f t="shared" ref="AH32:AH44" si="45">(EW32)</f>
        <v>188.54</v>
      </c>
      <c r="AI32">
        <f t="shared" ref="AI32:AI44" si="46">(EX32)</f>
        <v>7.74</v>
      </c>
      <c r="AJ32">
        <f t="shared" ref="AJ32:AJ50" si="47">ROUND((AS32),2)</f>
        <v>0</v>
      </c>
      <c r="AK32">
        <v>1767.24</v>
      </c>
      <c r="AL32">
        <v>0</v>
      </c>
      <c r="AM32">
        <v>241.95</v>
      </c>
      <c r="AN32">
        <v>104.49</v>
      </c>
      <c r="AO32">
        <v>1525.29</v>
      </c>
      <c r="AP32">
        <v>0</v>
      </c>
      <c r="AQ32">
        <v>188.54</v>
      </c>
      <c r="AR32">
        <v>7.74</v>
      </c>
      <c r="AS32">
        <v>0</v>
      </c>
      <c r="AT32">
        <v>99</v>
      </c>
      <c r="AU32">
        <v>60</v>
      </c>
      <c r="AV32">
        <v>1</v>
      </c>
      <c r="AW32">
        <v>1</v>
      </c>
      <c r="AZ32">
        <v>6.56</v>
      </c>
      <c r="BA32">
        <v>6.56</v>
      </c>
      <c r="BB32">
        <v>6.56</v>
      </c>
      <c r="BC32">
        <v>6.56</v>
      </c>
      <c r="BD32" t="s">
        <v>6</v>
      </c>
      <c r="BE32" t="s">
        <v>6</v>
      </c>
      <c r="BF32" t="s">
        <v>6</v>
      </c>
      <c r="BG32" t="s">
        <v>6</v>
      </c>
      <c r="BH32">
        <v>0</v>
      </c>
      <c r="BI32">
        <v>1</v>
      </c>
      <c r="BJ32" t="s">
        <v>21</v>
      </c>
      <c r="BM32">
        <v>46001</v>
      </c>
      <c r="BN32">
        <v>0</v>
      </c>
      <c r="BO32" t="s">
        <v>6</v>
      </c>
      <c r="BP32">
        <v>0</v>
      </c>
      <c r="BQ32">
        <v>2</v>
      </c>
      <c r="BR32">
        <v>0</v>
      </c>
      <c r="BS32">
        <v>6.56</v>
      </c>
      <c r="BT32">
        <v>1</v>
      </c>
      <c r="BU32">
        <v>1</v>
      </c>
      <c r="BV32">
        <v>1</v>
      </c>
      <c r="BW32">
        <v>1</v>
      </c>
      <c r="BX32">
        <v>1</v>
      </c>
      <c r="BY32" t="s">
        <v>6</v>
      </c>
      <c r="BZ32">
        <v>110</v>
      </c>
      <c r="CA32">
        <v>70</v>
      </c>
      <c r="CF32">
        <v>0</v>
      </c>
      <c r="CG32">
        <v>0</v>
      </c>
      <c r="CM32">
        <v>0</v>
      </c>
      <c r="CN32" t="s">
        <v>6</v>
      </c>
      <c r="CO32">
        <v>0</v>
      </c>
      <c r="CP32">
        <f t="shared" ref="CP32:CP50" si="48">(P32+Q32+S32)</f>
        <v>2851.8999999999996</v>
      </c>
      <c r="CQ32">
        <f t="shared" ref="CQ32:CQ50" si="49">AC32*BC32</f>
        <v>0</v>
      </c>
      <c r="CR32">
        <f t="shared" ref="CR32:CR50" si="50">AD32*BB32</f>
        <v>1587.1919999999998</v>
      </c>
      <c r="CS32">
        <f t="shared" ref="CS32:CS50" si="51">AE32*BS32</f>
        <v>685.45439999999996</v>
      </c>
      <c r="CT32">
        <f t="shared" ref="CT32:CT50" si="52">AF32*BA32</f>
        <v>10005.902399999999</v>
      </c>
      <c r="CU32">
        <f t="shared" ref="CU32:CU50" si="53">AG32</f>
        <v>0</v>
      </c>
      <c r="CV32">
        <f t="shared" ref="CV32:CV50" si="54">AH32</f>
        <v>188.54</v>
      </c>
      <c r="CW32">
        <f t="shared" ref="CW32:CW50" si="55">AI32</f>
        <v>7.74</v>
      </c>
      <c r="CX32">
        <f t="shared" ref="CX32:CX50" si="56">AJ32</f>
        <v>0</v>
      </c>
      <c r="CY32">
        <f t="shared" ref="CY32:CY50" si="57">(((S32+R32)*AT32)/100)</f>
        <v>2603.7692999999995</v>
      </c>
      <c r="CZ32">
        <f t="shared" ref="CZ32:CZ50" si="58">(((S32+R32)*AU32)/100)</f>
        <v>1578.0419999999999</v>
      </c>
      <c r="DC32" t="s">
        <v>6</v>
      </c>
      <c r="DD32" t="s">
        <v>6</v>
      </c>
      <c r="DE32" t="s">
        <v>6</v>
      </c>
      <c r="DF32" t="s">
        <v>6</v>
      </c>
      <c r="DG32" t="s">
        <v>6</v>
      </c>
      <c r="DH32" t="s">
        <v>6</v>
      </c>
      <c r="DI32" t="s">
        <v>6</v>
      </c>
      <c r="DJ32" t="s">
        <v>6</v>
      </c>
      <c r="DK32" t="s">
        <v>6</v>
      </c>
      <c r="DL32" t="s">
        <v>6</v>
      </c>
      <c r="DM32" t="s">
        <v>6</v>
      </c>
      <c r="DN32">
        <v>0</v>
      </c>
      <c r="DO32">
        <v>0</v>
      </c>
      <c r="DP32">
        <v>1</v>
      </c>
      <c r="DQ32">
        <v>1</v>
      </c>
      <c r="DU32">
        <v>1005</v>
      </c>
      <c r="DV32" t="s">
        <v>20</v>
      </c>
      <c r="DW32" t="s">
        <v>20</v>
      </c>
      <c r="DX32">
        <v>100</v>
      </c>
      <c r="EE32">
        <v>16510555</v>
      </c>
      <c r="EF32">
        <v>2</v>
      </c>
      <c r="EG32" t="s">
        <v>22</v>
      </c>
      <c r="EH32">
        <v>0</v>
      </c>
      <c r="EI32" t="s">
        <v>6</v>
      </c>
      <c r="EJ32">
        <v>1</v>
      </c>
      <c r="EK32">
        <v>46001</v>
      </c>
      <c r="EL32" t="s">
        <v>23</v>
      </c>
      <c r="EM32" t="s">
        <v>24</v>
      </c>
      <c r="EO32" t="s">
        <v>6</v>
      </c>
      <c r="EQ32">
        <v>131072</v>
      </c>
      <c r="ER32">
        <v>1767.24</v>
      </c>
      <c r="ES32">
        <v>0</v>
      </c>
      <c r="ET32">
        <v>241.95</v>
      </c>
      <c r="EU32">
        <v>104.49</v>
      </c>
      <c r="EV32">
        <v>1525.29</v>
      </c>
      <c r="EW32">
        <v>188.54</v>
      </c>
      <c r="EX32">
        <v>7.74</v>
      </c>
      <c r="EY32">
        <v>0</v>
      </c>
      <c r="FQ32">
        <v>0</v>
      </c>
      <c r="FR32">
        <f t="shared" ref="FR32:FR50" si="59">ROUND(IF(AND(BH32=3,BI32=3),P32,0),2)</f>
        <v>0</v>
      </c>
      <c r="FS32">
        <v>0</v>
      </c>
      <c r="FT32" t="s">
        <v>25</v>
      </c>
      <c r="FU32" t="s">
        <v>26</v>
      </c>
      <c r="FX32">
        <v>99</v>
      </c>
      <c r="FY32">
        <v>59.5</v>
      </c>
      <c r="GA32" t="s">
        <v>6</v>
      </c>
      <c r="GD32">
        <v>0</v>
      </c>
      <c r="GF32">
        <v>1630687704</v>
      </c>
      <c r="GG32">
        <v>1</v>
      </c>
      <c r="GH32">
        <v>1</v>
      </c>
      <c r="GI32">
        <v>4</v>
      </c>
      <c r="GJ32">
        <v>0</v>
      </c>
      <c r="GK32">
        <f>ROUND(R32*(R12)/100,2)</f>
        <v>0</v>
      </c>
      <c r="GL32">
        <f t="shared" ref="GL32:GL50" si="60">ROUND(IF(AND(BH32=3,BI32=3,FS32&lt;&gt;0),P32,0),2)</f>
        <v>0</v>
      </c>
      <c r="GM32">
        <f t="shared" ref="GM32:GM50" si="61">ROUND(O32+X32+Y32+GK32,2)+GX32</f>
        <v>7033.71</v>
      </c>
      <c r="GN32">
        <f t="shared" ref="GN32:GN50" si="62">IF(OR(BI32=0,BI32=1),ROUND(O32+X32+Y32+GK32,2),0)</f>
        <v>7033.71</v>
      </c>
      <c r="GO32">
        <f t="shared" ref="GO32:GO50" si="63">IF(BI32=2,ROUND(O32+X32+Y32+GK32,2),0)</f>
        <v>0</v>
      </c>
      <c r="GP32">
        <f t="shared" ref="GP32:GP50" si="64">IF(BI32=4,ROUND(O32+X32+Y32+GK32,2)+GX32,0)</f>
        <v>0</v>
      </c>
      <c r="GR32">
        <v>0</v>
      </c>
      <c r="GS32">
        <v>3</v>
      </c>
      <c r="GT32">
        <v>0</v>
      </c>
      <c r="GU32" t="s">
        <v>6</v>
      </c>
      <c r="GV32">
        <f t="shared" ref="GV32:GV50" si="65">ROUND(GT32,2)</f>
        <v>0</v>
      </c>
      <c r="GW32">
        <v>1</v>
      </c>
      <c r="GX32">
        <f t="shared" ref="GX32:GX50" si="66">ROUND(GV32*GW32*I32,2)</f>
        <v>0</v>
      </c>
      <c r="HA32">
        <v>0</v>
      </c>
      <c r="HB32">
        <v>0</v>
      </c>
      <c r="IK32">
        <v>0</v>
      </c>
    </row>
    <row r="33" spans="1:245" x14ac:dyDescent="0.2">
      <c r="A33">
        <v>17</v>
      </c>
      <c r="B33">
        <v>1</v>
      </c>
      <c r="E33" t="s">
        <v>27</v>
      </c>
      <c r="F33" t="s">
        <v>28</v>
      </c>
      <c r="G33" t="s">
        <v>29</v>
      </c>
      <c r="H33" t="s">
        <v>20</v>
      </c>
      <c r="I33">
        <f>ROUND(0.81/100,9)</f>
        <v>8.0999999999999996E-3</v>
      </c>
      <c r="J33">
        <v>0</v>
      </c>
      <c r="O33">
        <f t="shared" si="28"/>
        <v>87.12</v>
      </c>
      <c r="P33">
        <f t="shared" si="29"/>
        <v>0</v>
      </c>
      <c r="Q33">
        <f t="shared" si="30"/>
        <v>12.86</v>
      </c>
      <c r="R33">
        <f t="shared" si="31"/>
        <v>5.55</v>
      </c>
      <c r="S33">
        <f t="shared" si="32"/>
        <v>74.260000000000005</v>
      </c>
      <c r="T33">
        <f t="shared" si="33"/>
        <v>0</v>
      </c>
      <c r="U33">
        <f t="shared" si="34"/>
        <v>1.3993559999999998</v>
      </c>
      <c r="V33">
        <f t="shared" si="35"/>
        <v>6.2694E-2</v>
      </c>
      <c r="W33">
        <f t="shared" si="36"/>
        <v>0</v>
      </c>
      <c r="X33">
        <f t="shared" si="37"/>
        <v>79.010000000000005</v>
      </c>
      <c r="Y33">
        <f t="shared" si="38"/>
        <v>47.89</v>
      </c>
      <c r="AA33">
        <v>16748969</v>
      </c>
      <c r="AB33">
        <f t="shared" si="39"/>
        <v>1639.58</v>
      </c>
      <c r="AC33">
        <f t="shared" si="40"/>
        <v>0</v>
      </c>
      <c r="AD33">
        <f t="shared" si="41"/>
        <v>241.95</v>
      </c>
      <c r="AE33">
        <f t="shared" si="42"/>
        <v>104.49</v>
      </c>
      <c r="AF33">
        <f t="shared" si="43"/>
        <v>1397.63</v>
      </c>
      <c r="AG33">
        <f t="shared" si="44"/>
        <v>0</v>
      </c>
      <c r="AH33">
        <f t="shared" si="45"/>
        <v>172.76</v>
      </c>
      <c r="AI33">
        <f t="shared" si="46"/>
        <v>7.74</v>
      </c>
      <c r="AJ33">
        <f t="shared" si="47"/>
        <v>0</v>
      </c>
      <c r="AK33">
        <v>1639.58</v>
      </c>
      <c r="AL33">
        <v>0</v>
      </c>
      <c r="AM33">
        <v>241.95</v>
      </c>
      <c r="AN33">
        <v>104.49</v>
      </c>
      <c r="AO33">
        <v>1397.63</v>
      </c>
      <c r="AP33">
        <v>0</v>
      </c>
      <c r="AQ33">
        <v>172.76</v>
      </c>
      <c r="AR33">
        <v>7.74</v>
      </c>
      <c r="AS33">
        <v>0</v>
      </c>
      <c r="AT33">
        <v>99</v>
      </c>
      <c r="AU33">
        <v>60</v>
      </c>
      <c r="AV33">
        <v>1</v>
      </c>
      <c r="AW33">
        <v>1</v>
      </c>
      <c r="AZ33">
        <v>6.56</v>
      </c>
      <c r="BA33">
        <v>6.56</v>
      </c>
      <c r="BB33">
        <v>6.56</v>
      </c>
      <c r="BC33">
        <v>6.56</v>
      </c>
      <c r="BD33" t="s">
        <v>6</v>
      </c>
      <c r="BE33" t="s">
        <v>6</v>
      </c>
      <c r="BF33" t="s">
        <v>6</v>
      </c>
      <c r="BG33" t="s">
        <v>6</v>
      </c>
      <c r="BH33">
        <v>0</v>
      </c>
      <c r="BI33">
        <v>1</v>
      </c>
      <c r="BJ33" t="s">
        <v>30</v>
      </c>
      <c r="BM33">
        <v>46001</v>
      </c>
      <c r="BN33">
        <v>0</v>
      </c>
      <c r="BO33" t="s">
        <v>6</v>
      </c>
      <c r="BP33">
        <v>0</v>
      </c>
      <c r="BQ33">
        <v>2</v>
      </c>
      <c r="BR33">
        <v>0</v>
      </c>
      <c r="BS33">
        <v>6.56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6</v>
      </c>
      <c r="BZ33">
        <v>110</v>
      </c>
      <c r="CA33">
        <v>70</v>
      </c>
      <c r="CF33">
        <v>0</v>
      </c>
      <c r="CG33">
        <v>0</v>
      </c>
      <c r="CM33">
        <v>0</v>
      </c>
      <c r="CN33" t="s">
        <v>6</v>
      </c>
      <c r="CO33">
        <v>0</v>
      </c>
      <c r="CP33">
        <f t="shared" si="48"/>
        <v>87.12</v>
      </c>
      <c r="CQ33">
        <f t="shared" si="49"/>
        <v>0</v>
      </c>
      <c r="CR33">
        <f t="shared" si="50"/>
        <v>1587.1919999999998</v>
      </c>
      <c r="CS33">
        <f t="shared" si="51"/>
        <v>685.45439999999996</v>
      </c>
      <c r="CT33">
        <f t="shared" si="52"/>
        <v>9168.4528000000009</v>
      </c>
      <c r="CU33">
        <f t="shared" si="53"/>
        <v>0</v>
      </c>
      <c r="CV33">
        <f t="shared" si="54"/>
        <v>172.76</v>
      </c>
      <c r="CW33">
        <f t="shared" si="55"/>
        <v>7.74</v>
      </c>
      <c r="CX33">
        <f t="shared" si="56"/>
        <v>0</v>
      </c>
      <c r="CY33">
        <f t="shared" si="57"/>
        <v>79.011900000000011</v>
      </c>
      <c r="CZ33">
        <f t="shared" si="58"/>
        <v>47.886000000000003</v>
      </c>
      <c r="DC33" t="s">
        <v>6</v>
      </c>
      <c r="DD33" t="s">
        <v>6</v>
      </c>
      <c r="DE33" t="s">
        <v>6</v>
      </c>
      <c r="DF33" t="s">
        <v>6</v>
      </c>
      <c r="DG33" t="s">
        <v>6</v>
      </c>
      <c r="DH33" t="s">
        <v>6</v>
      </c>
      <c r="DI33" t="s">
        <v>6</v>
      </c>
      <c r="DJ33" t="s">
        <v>6</v>
      </c>
      <c r="DK33" t="s">
        <v>6</v>
      </c>
      <c r="DL33" t="s">
        <v>6</v>
      </c>
      <c r="DM33" t="s">
        <v>6</v>
      </c>
      <c r="DN33">
        <v>0</v>
      </c>
      <c r="DO33">
        <v>0</v>
      </c>
      <c r="DP33">
        <v>1</v>
      </c>
      <c r="DQ33">
        <v>1</v>
      </c>
      <c r="DU33">
        <v>1005</v>
      </c>
      <c r="DV33" t="s">
        <v>20</v>
      </c>
      <c r="DW33" t="s">
        <v>20</v>
      </c>
      <c r="DX33">
        <v>100</v>
      </c>
      <c r="EE33">
        <v>16510555</v>
      </c>
      <c r="EF33">
        <v>2</v>
      </c>
      <c r="EG33" t="s">
        <v>22</v>
      </c>
      <c r="EH33">
        <v>0</v>
      </c>
      <c r="EI33" t="s">
        <v>6</v>
      </c>
      <c r="EJ33">
        <v>1</v>
      </c>
      <c r="EK33">
        <v>46001</v>
      </c>
      <c r="EL33" t="s">
        <v>23</v>
      </c>
      <c r="EM33" t="s">
        <v>24</v>
      </c>
      <c r="EO33" t="s">
        <v>6</v>
      </c>
      <c r="EQ33">
        <v>131072</v>
      </c>
      <c r="ER33">
        <v>1639.58</v>
      </c>
      <c r="ES33">
        <v>0</v>
      </c>
      <c r="ET33">
        <v>241.95</v>
      </c>
      <c r="EU33">
        <v>104.49</v>
      </c>
      <c r="EV33">
        <v>1397.63</v>
      </c>
      <c r="EW33">
        <v>172.76</v>
      </c>
      <c r="EX33">
        <v>7.74</v>
      </c>
      <c r="EY33">
        <v>0</v>
      </c>
      <c r="FQ33">
        <v>0</v>
      </c>
      <c r="FR33">
        <f t="shared" si="59"/>
        <v>0</v>
      </c>
      <c r="FS33">
        <v>0</v>
      </c>
      <c r="FT33" t="s">
        <v>25</v>
      </c>
      <c r="FU33" t="s">
        <v>26</v>
      </c>
      <c r="FX33">
        <v>99</v>
      </c>
      <c r="FY33">
        <v>59.5</v>
      </c>
      <c r="GA33" t="s">
        <v>6</v>
      </c>
      <c r="GD33">
        <v>0</v>
      </c>
      <c r="GF33">
        <v>426805715</v>
      </c>
      <c r="GG33">
        <v>1</v>
      </c>
      <c r="GH33">
        <v>1</v>
      </c>
      <c r="GI33">
        <v>4</v>
      </c>
      <c r="GJ33">
        <v>0</v>
      </c>
      <c r="GK33">
        <f>ROUND(R33*(R12)/100,2)</f>
        <v>0</v>
      </c>
      <c r="GL33">
        <f t="shared" si="60"/>
        <v>0</v>
      </c>
      <c r="GM33">
        <f t="shared" si="61"/>
        <v>214.02</v>
      </c>
      <c r="GN33">
        <f t="shared" si="62"/>
        <v>214.02</v>
      </c>
      <c r="GO33">
        <f t="shared" si="63"/>
        <v>0</v>
      </c>
      <c r="GP33">
        <f t="shared" si="64"/>
        <v>0</v>
      </c>
      <c r="GR33">
        <v>0</v>
      </c>
      <c r="GS33">
        <v>3</v>
      </c>
      <c r="GT33">
        <v>0</v>
      </c>
      <c r="GU33" t="s">
        <v>6</v>
      </c>
      <c r="GV33">
        <f t="shared" si="65"/>
        <v>0</v>
      </c>
      <c r="GW33">
        <v>1</v>
      </c>
      <c r="GX33">
        <f t="shared" si="66"/>
        <v>0</v>
      </c>
      <c r="HA33">
        <v>0</v>
      </c>
      <c r="HB33">
        <v>0</v>
      </c>
      <c r="IK33">
        <v>0</v>
      </c>
    </row>
    <row r="34" spans="1:245" x14ac:dyDescent="0.2">
      <c r="A34">
        <v>17</v>
      </c>
      <c r="B34">
        <v>1</v>
      </c>
      <c r="E34" t="s">
        <v>31</v>
      </c>
      <c r="F34" t="s">
        <v>32</v>
      </c>
      <c r="G34" t="s">
        <v>33</v>
      </c>
      <c r="H34" t="s">
        <v>34</v>
      </c>
      <c r="I34">
        <f>ROUND(10/100,9)</f>
        <v>0.1</v>
      </c>
      <c r="J34">
        <v>0</v>
      </c>
      <c r="O34">
        <f t="shared" si="28"/>
        <v>46.69</v>
      </c>
      <c r="P34">
        <f t="shared" si="29"/>
        <v>0</v>
      </c>
      <c r="Q34">
        <f t="shared" si="30"/>
        <v>0.13</v>
      </c>
      <c r="R34">
        <f t="shared" si="31"/>
        <v>0</v>
      </c>
      <c r="S34">
        <f t="shared" si="32"/>
        <v>46.56</v>
      </c>
      <c r="T34">
        <f t="shared" si="33"/>
        <v>0</v>
      </c>
      <c r="U34">
        <f t="shared" si="34"/>
        <v>0.91</v>
      </c>
      <c r="V34">
        <f t="shared" si="35"/>
        <v>0</v>
      </c>
      <c r="W34">
        <f t="shared" si="36"/>
        <v>0</v>
      </c>
      <c r="X34">
        <f t="shared" si="37"/>
        <v>38.64</v>
      </c>
      <c r="Y34">
        <f t="shared" si="38"/>
        <v>30.26</v>
      </c>
      <c r="AA34">
        <v>16748969</v>
      </c>
      <c r="AB34">
        <f t="shared" si="39"/>
        <v>71.180000000000007</v>
      </c>
      <c r="AC34">
        <f t="shared" si="40"/>
        <v>0</v>
      </c>
      <c r="AD34">
        <f t="shared" si="41"/>
        <v>0.2</v>
      </c>
      <c r="AE34">
        <f t="shared" si="42"/>
        <v>0</v>
      </c>
      <c r="AF34">
        <f t="shared" si="43"/>
        <v>70.98</v>
      </c>
      <c r="AG34">
        <f t="shared" si="44"/>
        <v>0</v>
      </c>
      <c r="AH34">
        <f t="shared" si="45"/>
        <v>9.1</v>
      </c>
      <c r="AI34">
        <f t="shared" si="46"/>
        <v>0</v>
      </c>
      <c r="AJ34">
        <f t="shared" si="47"/>
        <v>0</v>
      </c>
      <c r="AK34">
        <v>71.180000000000007</v>
      </c>
      <c r="AL34">
        <v>0</v>
      </c>
      <c r="AM34">
        <v>0.2</v>
      </c>
      <c r="AN34">
        <v>0</v>
      </c>
      <c r="AO34">
        <v>70.98</v>
      </c>
      <c r="AP34">
        <v>0</v>
      </c>
      <c r="AQ34">
        <v>9.1</v>
      </c>
      <c r="AR34">
        <v>0</v>
      </c>
      <c r="AS34">
        <v>0</v>
      </c>
      <c r="AT34">
        <v>83</v>
      </c>
      <c r="AU34">
        <v>65</v>
      </c>
      <c r="AV34">
        <v>1</v>
      </c>
      <c r="AW34">
        <v>1</v>
      </c>
      <c r="AZ34">
        <v>6.56</v>
      </c>
      <c r="BA34">
        <v>6.56</v>
      </c>
      <c r="BB34">
        <v>6.56</v>
      </c>
      <c r="BC34">
        <v>6.56</v>
      </c>
      <c r="BD34" t="s">
        <v>6</v>
      </c>
      <c r="BE34" t="s">
        <v>6</v>
      </c>
      <c r="BF34" t="s">
        <v>6</v>
      </c>
      <c r="BG34" t="s">
        <v>6</v>
      </c>
      <c r="BH34">
        <v>0</v>
      </c>
      <c r="BI34">
        <v>1</v>
      </c>
      <c r="BJ34" t="s">
        <v>35</v>
      </c>
      <c r="BM34">
        <v>58001</v>
      </c>
      <c r="BN34">
        <v>0</v>
      </c>
      <c r="BO34" t="s">
        <v>6</v>
      </c>
      <c r="BP34">
        <v>0</v>
      </c>
      <c r="BQ34">
        <v>6</v>
      </c>
      <c r="BR34">
        <v>0</v>
      </c>
      <c r="BS34">
        <v>6.56</v>
      </c>
      <c r="BT34">
        <v>1</v>
      </c>
      <c r="BU34">
        <v>1</v>
      </c>
      <c r="BV34">
        <v>1</v>
      </c>
      <c r="BW34">
        <v>1</v>
      </c>
      <c r="BX34">
        <v>1</v>
      </c>
      <c r="BY34" t="s">
        <v>6</v>
      </c>
      <c r="BZ34">
        <v>83</v>
      </c>
      <c r="CA34">
        <v>65</v>
      </c>
      <c r="CF34">
        <v>0</v>
      </c>
      <c r="CG34">
        <v>0</v>
      </c>
      <c r="CM34">
        <v>0</v>
      </c>
      <c r="CN34" t="s">
        <v>6</v>
      </c>
      <c r="CO34">
        <v>0</v>
      </c>
      <c r="CP34">
        <f t="shared" si="48"/>
        <v>46.690000000000005</v>
      </c>
      <c r="CQ34">
        <f t="shared" si="49"/>
        <v>0</v>
      </c>
      <c r="CR34">
        <f t="shared" si="50"/>
        <v>1.3120000000000001</v>
      </c>
      <c r="CS34">
        <f t="shared" si="51"/>
        <v>0</v>
      </c>
      <c r="CT34">
        <f t="shared" si="52"/>
        <v>465.62880000000001</v>
      </c>
      <c r="CU34">
        <f t="shared" si="53"/>
        <v>0</v>
      </c>
      <c r="CV34">
        <f t="shared" si="54"/>
        <v>9.1</v>
      </c>
      <c r="CW34">
        <f t="shared" si="55"/>
        <v>0</v>
      </c>
      <c r="CX34">
        <f t="shared" si="56"/>
        <v>0</v>
      </c>
      <c r="CY34">
        <f t="shared" si="57"/>
        <v>38.644800000000004</v>
      </c>
      <c r="CZ34">
        <f t="shared" si="58"/>
        <v>30.263999999999999</v>
      </c>
      <c r="DC34" t="s">
        <v>6</v>
      </c>
      <c r="DD34" t="s">
        <v>6</v>
      </c>
      <c r="DE34" t="s">
        <v>6</v>
      </c>
      <c r="DF34" t="s">
        <v>6</v>
      </c>
      <c r="DG34" t="s">
        <v>6</v>
      </c>
      <c r="DH34" t="s">
        <v>6</v>
      </c>
      <c r="DI34" t="s">
        <v>6</v>
      </c>
      <c r="DJ34" t="s">
        <v>6</v>
      </c>
      <c r="DK34" t="s">
        <v>6</v>
      </c>
      <c r="DL34" t="s">
        <v>6</v>
      </c>
      <c r="DM34" t="s">
        <v>6</v>
      </c>
      <c r="DN34">
        <v>0</v>
      </c>
      <c r="DO34">
        <v>0</v>
      </c>
      <c r="DP34">
        <v>1</v>
      </c>
      <c r="DQ34">
        <v>1</v>
      </c>
      <c r="DU34">
        <v>1003</v>
      </c>
      <c r="DV34" t="s">
        <v>34</v>
      </c>
      <c r="DW34" t="s">
        <v>34</v>
      </c>
      <c r="DX34">
        <v>100</v>
      </c>
      <c r="EE34">
        <v>16510567</v>
      </c>
      <c r="EF34">
        <v>6</v>
      </c>
      <c r="EG34" t="s">
        <v>36</v>
      </c>
      <c r="EH34">
        <v>0</v>
      </c>
      <c r="EI34" t="s">
        <v>6</v>
      </c>
      <c r="EJ34">
        <v>1</v>
      </c>
      <c r="EK34">
        <v>58001</v>
      </c>
      <c r="EL34" t="s">
        <v>37</v>
      </c>
      <c r="EM34" t="s">
        <v>38</v>
      </c>
      <c r="EO34" t="s">
        <v>6</v>
      </c>
      <c r="EQ34">
        <v>131072</v>
      </c>
      <c r="ER34">
        <v>71.180000000000007</v>
      </c>
      <c r="ES34">
        <v>0</v>
      </c>
      <c r="ET34">
        <v>0.2</v>
      </c>
      <c r="EU34">
        <v>0</v>
      </c>
      <c r="EV34">
        <v>70.98</v>
      </c>
      <c r="EW34">
        <v>9.1</v>
      </c>
      <c r="EX34">
        <v>0</v>
      </c>
      <c r="EY34">
        <v>0</v>
      </c>
      <c r="FQ34">
        <v>0</v>
      </c>
      <c r="FR34">
        <f t="shared" si="59"/>
        <v>0</v>
      </c>
      <c r="FS34">
        <v>0</v>
      </c>
      <c r="FX34">
        <v>83</v>
      </c>
      <c r="FY34">
        <v>65</v>
      </c>
      <c r="GA34" t="s">
        <v>6</v>
      </c>
      <c r="GD34">
        <v>0</v>
      </c>
      <c r="GF34">
        <v>-902764851</v>
      </c>
      <c r="GG34">
        <v>1</v>
      </c>
      <c r="GH34">
        <v>1</v>
      </c>
      <c r="GI34">
        <v>4</v>
      </c>
      <c r="GJ34">
        <v>0</v>
      </c>
      <c r="GK34">
        <f>ROUND(R34*(R12)/100,2)</f>
        <v>0</v>
      </c>
      <c r="GL34">
        <f t="shared" si="60"/>
        <v>0</v>
      </c>
      <c r="GM34">
        <f t="shared" si="61"/>
        <v>115.59</v>
      </c>
      <c r="GN34">
        <f t="shared" si="62"/>
        <v>115.59</v>
      </c>
      <c r="GO34">
        <f t="shared" si="63"/>
        <v>0</v>
      </c>
      <c r="GP34">
        <f t="shared" si="64"/>
        <v>0</v>
      </c>
      <c r="GR34">
        <v>0</v>
      </c>
      <c r="GS34">
        <v>3</v>
      </c>
      <c r="GT34">
        <v>0</v>
      </c>
      <c r="GU34" t="s">
        <v>6</v>
      </c>
      <c r="GV34">
        <f t="shared" si="65"/>
        <v>0</v>
      </c>
      <c r="GW34">
        <v>1</v>
      </c>
      <c r="GX34">
        <f t="shared" si="66"/>
        <v>0</v>
      </c>
      <c r="HA34">
        <v>0</v>
      </c>
      <c r="HB34">
        <v>0</v>
      </c>
      <c r="IK34">
        <v>0</v>
      </c>
    </row>
    <row r="35" spans="1:245" x14ac:dyDescent="0.2">
      <c r="A35">
        <v>17</v>
      </c>
      <c r="B35">
        <v>1</v>
      </c>
      <c r="E35" t="s">
        <v>39</v>
      </c>
      <c r="F35" t="s">
        <v>40</v>
      </c>
      <c r="G35" t="s">
        <v>41</v>
      </c>
      <c r="H35" t="s">
        <v>20</v>
      </c>
      <c r="I35">
        <f>ROUND(7.52/100,9)</f>
        <v>7.5200000000000003E-2</v>
      </c>
      <c r="J35">
        <v>0</v>
      </c>
      <c r="O35">
        <f t="shared" si="28"/>
        <v>534.04999999999995</v>
      </c>
      <c r="P35">
        <f t="shared" si="29"/>
        <v>0</v>
      </c>
      <c r="Q35">
        <f t="shared" si="30"/>
        <v>119.36</v>
      </c>
      <c r="R35">
        <f t="shared" si="31"/>
        <v>51.55</v>
      </c>
      <c r="S35">
        <f t="shared" si="32"/>
        <v>414.69</v>
      </c>
      <c r="T35">
        <f t="shared" si="33"/>
        <v>0</v>
      </c>
      <c r="U35">
        <f t="shared" si="34"/>
        <v>7.8140320000000001</v>
      </c>
      <c r="V35">
        <f t="shared" si="35"/>
        <v>0.58204800000000001</v>
      </c>
      <c r="W35">
        <f t="shared" si="36"/>
        <v>0</v>
      </c>
      <c r="X35">
        <f t="shared" si="37"/>
        <v>461.58</v>
      </c>
      <c r="Y35">
        <f t="shared" si="38"/>
        <v>279.74</v>
      </c>
      <c r="AA35">
        <v>16748969</v>
      </c>
      <c r="AB35">
        <f t="shared" si="39"/>
        <v>1082.58</v>
      </c>
      <c r="AC35">
        <f t="shared" si="40"/>
        <v>0</v>
      </c>
      <c r="AD35">
        <f t="shared" si="41"/>
        <v>241.95</v>
      </c>
      <c r="AE35">
        <f t="shared" si="42"/>
        <v>104.49</v>
      </c>
      <c r="AF35">
        <f t="shared" si="43"/>
        <v>840.63</v>
      </c>
      <c r="AG35">
        <f t="shared" si="44"/>
        <v>0</v>
      </c>
      <c r="AH35">
        <f t="shared" si="45"/>
        <v>103.91</v>
      </c>
      <c r="AI35">
        <f t="shared" si="46"/>
        <v>7.74</v>
      </c>
      <c r="AJ35">
        <f t="shared" si="47"/>
        <v>0</v>
      </c>
      <c r="AK35">
        <v>1082.58</v>
      </c>
      <c r="AL35">
        <v>0</v>
      </c>
      <c r="AM35">
        <v>241.95</v>
      </c>
      <c r="AN35">
        <v>104.49</v>
      </c>
      <c r="AO35">
        <v>840.63</v>
      </c>
      <c r="AP35">
        <v>0</v>
      </c>
      <c r="AQ35">
        <v>103.91</v>
      </c>
      <c r="AR35">
        <v>7.74</v>
      </c>
      <c r="AS35">
        <v>0</v>
      </c>
      <c r="AT35">
        <v>99</v>
      </c>
      <c r="AU35">
        <v>60</v>
      </c>
      <c r="AV35">
        <v>1</v>
      </c>
      <c r="AW35">
        <v>1</v>
      </c>
      <c r="AZ35">
        <v>6.56</v>
      </c>
      <c r="BA35">
        <v>6.56</v>
      </c>
      <c r="BB35">
        <v>6.56</v>
      </c>
      <c r="BC35">
        <v>6.56</v>
      </c>
      <c r="BD35" t="s">
        <v>6</v>
      </c>
      <c r="BE35" t="s">
        <v>6</v>
      </c>
      <c r="BF35" t="s">
        <v>6</v>
      </c>
      <c r="BG35" t="s">
        <v>6</v>
      </c>
      <c r="BH35">
        <v>0</v>
      </c>
      <c r="BI35">
        <v>1</v>
      </c>
      <c r="BJ35" t="s">
        <v>42</v>
      </c>
      <c r="BM35">
        <v>46001</v>
      </c>
      <c r="BN35">
        <v>0</v>
      </c>
      <c r="BO35" t="s">
        <v>6</v>
      </c>
      <c r="BP35">
        <v>0</v>
      </c>
      <c r="BQ35">
        <v>2</v>
      </c>
      <c r="BR35">
        <v>0</v>
      </c>
      <c r="BS35">
        <v>6.56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6</v>
      </c>
      <c r="BZ35">
        <v>110</v>
      </c>
      <c r="CA35">
        <v>70</v>
      </c>
      <c r="CF35">
        <v>0</v>
      </c>
      <c r="CG35">
        <v>0</v>
      </c>
      <c r="CM35">
        <v>0</v>
      </c>
      <c r="CN35" t="s">
        <v>6</v>
      </c>
      <c r="CO35">
        <v>0</v>
      </c>
      <c r="CP35">
        <f t="shared" si="48"/>
        <v>534.04999999999995</v>
      </c>
      <c r="CQ35">
        <f t="shared" si="49"/>
        <v>0</v>
      </c>
      <c r="CR35">
        <f t="shared" si="50"/>
        <v>1587.1919999999998</v>
      </c>
      <c r="CS35">
        <f t="shared" si="51"/>
        <v>685.45439999999996</v>
      </c>
      <c r="CT35">
        <f t="shared" si="52"/>
        <v>5514.5328</v>
      </c>
      <c r="CU35">
        <f t="shared" si="53"/>
        <v>0</v>
      </c>
      <c r="CV35">
        <f t="shared" si="54"/>
        <v>103.91</v>
      </c>
      <c r="CW35">
        <f t="shared" si="55"/>
        <v>7.74</v>
      </c>
      <c r="CX35">
        <f t="shared" si="56"/>
        <v>0</v>
      </c>
      <c r="CY35">
        <f t="shared" si="57"/>
        <v>461.57760000000002</v>
      </c>
      <c r="CZ35">
        <f t="shared" si="58"/>
        <v>279.74400000000003</v>
      </c>
      <c r="DC35" t="s">
        <v>6</v>
      </c>
      <c r="DD35" t="s">
        <v>6</v>
      </c>
      <c r="DE35" t="s">
        <v>6</v>
      </c>
      <c r="DF35" t="s">
        <v>6</v>
      </c>
      <c r="DG35" t="s">
        <v>6</v>
      </c>
      <c r="DH35" t="s">
        <v>6</v>
      </c>
      <c r="DI35" t="s">
        <v>6</v>
      </c>
      <c r="DJ35" t="s">
        <v>6</v>
      </c>
      <c r="DK35" t="s">
        <v>6</v>
      </c>
      <c r="DL35" t="s">
        <v>6</v>
      </c>
      <c r="DM35" t="s">
        <v>6</v>
      </c>
      <c r="DN35">
        <v>0</v>
      </c>
      <c r="DO35">
        <v>0</v>
      </c>
      <c r="DP35">
        <v>1</v>
      </c>
      <c r="DQ35">
        <v>1</v>
      </c>
      <c r="DU35">
        <v>1005</v>
      </c>
      <c r="DV35" t="s">
        <v>20</v>
      </c>
      <c r="DW35" t="s">
        <v>20</v>
      </c>
      <c r="DX35">
        <v>100</v>
      </c>
      <c r="EE35">
        <v>16510555</v>
      </c>
      <c r="EF35">
        <v>2</v>
      </c>
      <c r="EG35" t="s">
        <v>22</v>
      </c>
      <c r="EH35">
        <v>0</v>
      </c>
      <c r="EI35" t="s">
        <v>6</v>
      </c>
      <c r="EJ35">
        <v>1</v>
      </c>
      <c r="EK35">
        <v>46001</v>
      </c>
      <c r="EL35" t="s">
        <v>23</v>
      </c>
      <c r="EM35" t="s">
        <v>24</v>
      </c>
      <c r="EO35" t="s">
        <v>6</v>
      </c>
      <c r="EQ35">
        <v>131072</v>
      </c>
      <c r="ER35">
        <v>1082.58</v>
      </c>
      <c r="ES35">
        <v>0</v>
      </c>
      <c r="ET35">
        <v>241.95</v>
      </c>
      <c r="EU35">
        <v>104.49</v>
      </c>
      <c r="EV35">
        <v>840.63</v>
      </c>
      <c r="EW35">
        <v>103.91</v>
      </c>
      <c r="EX35">
        <v>7.74</v>
      </c>
      <c r="EY35">
        <v>0</v>
      </c>
      <c r="FQ35">
        <v>0</v>
      </c>
      <c r="FR35">
        <f t="shared" si="59"/>
        <v>0</v>
      </c>
      <c r="FS35">
        <v>0</v>
      </c>
      <c r="FT35" t="s">
        <v>25</v>
      </c>
      <c r="FU35" t="s">
        <v>26</v>
      </c>
      <c r="FX35">
        <v>99</v>
      </c>
      <c r="FY35">
        <v>59.5</v>
      </c>
      <c r="GA35" t="s">
        <v>6</v>
      </c>
      <c r="GD35">
        <v>0</v>
      </c>
      <c r="GF35">
        <v>309229644</v>
      </c>
      <c r="GG35">
        <v>1</v>
      </c>
      <c r="GH35">
        <v>1</v>
      </c>
      <c r="GI35">
        <v>4</v>
      </c>
      <c r="GJ35">
        <v>0</v>
      </c>
      <c r="GK35">
        <f>ROUND(R35*(R12)/100,2)</f>
        <v>0</v>
      </c>
      <c r="GL35">
        <f t="shared" si="60"/>
        <v>0</v>
      </c>
      <c r="GM35">
        <f t="shared" si="61"/>
        <v>1275.3699999999999</v>
      </c>
      <c r="GN35">
        <f t="shared" si="62"/>
        <v>1275.3699999999999</v>
      </c>
      <c r="GO35">
        <f t="shared" si="63"/>
        <v>0</v>
      </c>
      <c r="GP35">
        <f t="shared" si="64"/>
        <v>0</v>
      </c>
      <c r="GR35">
        <v>0</v>
      </c>
      <c r="GS35">
        <v>3</v>
      </c>
      <c r="GT35">
        <v>0</v>
      </c>
      <c r="GU35" t="s">
        <v>6</v>
      </c>
      <c r="GV35">
        <f t="shared" si="65"/>
        <v>0</v>
      </c>
      <c r="GW35">
        <v>1</v>
      </c>
      <c r="GX35">
        <f t="shared" si="66"/>
        <v>0</v>
      </c>
      <c r="HA35">
        <v>0</v>
      </c>
      <c r="HB35">
        <v>0</v>
      </c>
      <c r="IK35">
        <v>0</v>
      </c>
    </row>
    <row r="36" spans="1:245" x14ac:dyDescent="0.2">
      <c r="A36">
        <v>17</v>
      </c>
      <c r="B36">
        <v>1</v>
      </c>
      <c r="C36">
        <f>ROW(SmtRes!A7)</f>
        <v>7</v>
      </c>
      <c r="D36">
        <f>ROW(EtalonRes!A7)</f>
        <v>7</v>
      </c>
      <c r="E36" t="s">
        <v>43</v>
      </c>
      <c r="F36" t="s">
        <v>44</v>
      </c>
      <c r="G36" t="s">
        <v>45</v>
      </c>
      <c r="H36" t="s">
        <v>46</v>
      </c>
      <c r="I36">
        <f>ROUND(6/100,9)</f>
        <v>0.06</v>
      </c>
      <c r="J36">
        <v>0</v>
      </c>
      <c r="O36">
        <f t="shared" si="28"/>
        <v>169.59</v>
      </c>
      <c r="P36">
        <f t="shared" si="29"/>
        <v>14.39</v>
      </c>
      <c r="Q36">
        <f t="shared" si="30"/>
        <v>0.12</v>
      </c>
      <c r="R36">
        <f t="shared" si="31"/>
        <v>0.06</v>
      </c>
      <c r="S36">
        <f t="shared" si="32"/>
        <v>155.08000000000001</v>
      </c>
      <c r="T36">
        <f t="shared" si="33"/>
        <v>0</v>
      </c>
      <c r="U36">
        <f t="shared" si="34"/>
        <v>2.7713999999999999</v>
      </c>
      <c r="V36">
        <f t="shared" si="35"/>
        <v>5.9999999999999995E-4</v>
      </c>
      <c r="W36">
        <f t="shared" si="36"/>
        <v>0</v>
      </c>
      <c r="X36">
        <f t="shared" si="37"/>
        <v>159.79</v>
      </c>
      <c r="Y36">
        <f t="shared" si="38"/>
        <v>93.08</v>
      </c>
      <c r="AA36">
        <v>16748969</v>
      </c>
      <c r="AB36">
        <f t="shared" si="39"/>
        <v>430.86</v>
      </c>
      <c r="AC36">
        <f t="shared" si="40"/>
        <v>36.549999999999997</v>
      </c>
      <c r="AD36">
        <f t="shared" si="41"/>
        <v>0.31</v>
      </c>
      <c r="AE36">
        <f t="shared" si="42"/>
        <v>0.14000000000000001</v>
      </c>
      <c r="AF36">
        <f t="shared" si="43"/>
        <v>394</v>
      </c>
      <c r="AG36">
        <f t="shared" si="44"/>
        <v>0</v>
      </c>
      <c r="AH36">
        <f t="shared" si="45"/>
        <v>46.19</v>
      </c>
      <c r="AI36">
        <f t="shared" si="46"/>
        <v>0.01</v>
      </c>
      <c r="AJ36">
        <f t="shared" si="47"/>
        <v>0</v>
      </c>
      <c r="AK36">
        <v>430.86</v>
      </c>
      <c r="AL36">
        <v>36.549999999999997</v>
      </c>
      <c r="AM36">
        <v>0.31</v>
      </c>
      <c r="AN36">
        <v>0.14000000000000001</v>
      </c>
      <c r="AO36">
        <v>394</v>
      </c>
      <c r="AP36">
        <v>0</v>
      </c>
      <c r="AQ36">
        <v>46.19</v>
      </c>
      <c r="AR36">
        <v>0.01</v>
      </c>
      <c r="AS36">
        <v>0</v>
      </c>
      <c r="AT36">
        <v>103</v>
      </c>
      <c r="AU36">
        <v>60</v>
      </c>
      <c r="AV36">
        <v>1</v>
      </c>
      <c r="AW36">
        <v>1</v>
      </c>
      <c r="AZ36">
        <v>6.56</v>
      </c>
      <c r="BA36">
        <v>6.56</v>
      </c>
      <c r="BB36">
        <v>6.56</v>
      </c>
      <c r="BC36">
        <v>6.56</v>
      </c>
      <c r="BD36" t="s">
        <v>6</v>
      </c>
      <c r="BE36" t="s">
        <v>6</v>
      </c>
      <c r="BF36" t="s">
        <v>6</v>
      </c>
      <c r="BG36" t="s">
        <v>6</v>
      </c>
      <c r="BH36">
        <v>0</v>
      </c>
      <c r="BI36">
        <v>1</v>
      </c>
      <c r="BJ36" t="s">
        <v>47</v>
      </c>
      <c r="BM36">
        <v>65010</v>
      </c>
      <c r="BN36">
        <v>0</v>
      </c>
      <c r="BO36" t="s">
        <v>6</v>
      </c>
      <c r="BP36">
        <v>0</v>
      </c>
      <c r="BQ36">
        <v>6</v>
      </c>
      <c r="BR36">
        <v>0</v>
      </c>
      <c r="BS36">
        <v>6.56</v>
      </c>
      <c r="BT36">
        <v>1</v>
      </c>
      <c r="BU36">
        <v>1</v>
      </c>
      <c r="BV36">
        <v>1</v>
      </c>
      <c r="BW36">
        <v>1</v>
      </c>
      <c r="BX36">
        <v>1</v>
      </c>
      <c r="BY36" t="s">
        <v>6</v>
      </c>
      <c r="BZ36">
        <v>103</v>
      </c>
      <c r="CA36">
        <v>60</v>
      </c>
      <c r="CF36">
        <v>0</v>
      </c>
      <c r="CG36">
        <v>0</v>
      </c>
      <c r="CM36">
        <v>0</v>
      </c>
      <c r="CN36" t="s">
        <v>6</v>
      </c>
      <c r="CO36">
        <v>0</v>
      </c>
      <c r="CP36">
        <f t="shared" si="48"/>
        <v>169.59</v>
      </c>
      <c r="CQ36">
        <f t="shared" si="49"/>
        <v>239.76799999999997</v>
      </c>
      <c r="CR36">
        <f t="shared" si="50"/>
        <v>2.0335999999999999</v>
      </c>
      <c r="CS36">
        <f t="shared" si="51"/>
        <v>0.91839999999999999</v>
      </c>
      <c r="CT36">
        <f t="shared" si="52"/>
        <v>2584.64</v>
      </c>
      <c r="CU36">
        <f t="shared" si="53"/>
        <v>0</v>
      </c>
      <c r="CV36">
        <f t="shared" si="54"/>
        <v>46.19</v>
      </c>
      <c r="CW36">
        <f t="shared" si="55"/>
        <v>0.01</v>
      </c>
      <c r="CX36">
        <f t="shared" si="56"/>
        <v>0</v>
      </c>
      <c r="CY36">
        <f t="shared" si="57"/>
        <v>159.79420000000002</v>
      </c>
      <c r="CZ36">
        <f t="shared" si="58"/>
        <v>93.084000000000017</v>
      </c>
      <c r="DC36" t="s">
        <v>6</v>
      </c>
      <c r="DD36" t="s">
        <v>6</v>
      </c>
      <c r="DE36" t="s">
        <v>6</v>
      </c>
      <c r="DF36" t="s">
        <v>6</v>
      </c>
      <c r="DG36" t="s">
        <v>6</v>
      </c>
      <c r="DH36" t="s">
        <v>6</v>
      </c>
      <c r="DI36" t="s">
        <v>6</v>
      </c>
      <c r="DJ36" t="s">
        <v>6</v>
      </c>
      <c r="DK36" t="s">
        <v>6</v>
      </c>
      <c r="DL36" t="s">
        <v>6</v>
      </c>
      <c r="DM36" t="s">
        <v>6</v>
      </c>
      <c r="DN36">
        <v>0</v>
      </c>
      <c r="DO36">
        <v>0</v>
      </c>
      <c r="DP36">
        <v>1</v>
      </c>
      <c r="DQ36">
        <v>1</v>
      </c>
      <c r="DU36">
        <v>1013</v>
      </c>
      <c r="DV36" t="s">
        <v>46</v>
      </c>
      <c r="DW36" t="s">
        <v>46</v>
      </c>
      <c r="DX36">
        <v>1</v>
      </c>
      <c r="EE36">
        <v>16510589</v>
      </c>
      <c r="EF36">
        <v>6</v>
      </c>
      <c r="EG36" t="s">
        <v>36</v>
      </c>
      <c r="EH36">
        <v>0</v>
      </c>
      <c r="EI36" t="s">
        <v>6</v>
      </c>
      <c r="EJ36">
        <v>1</v>
      </c>
      <c r="EK36">
        <v>65010</v>
      </c>
      <c r="EL36" t="s">
        <v>48</v>
      </c>
      <c r="EM36" t="s">
        <v>49</v>
      </c>
      <c r="EO36" t="s">
        <v>6</v>
      </c>
      <c r="EQ36">
        <v>131072</v>
      </c>
      <c r="ER36">
        <v>430.86</v>
      </c>
      <c r="ES36">
        <v>36.549999999999997</v>
      </c>
      <c r="ET36">
        <v>0.31</v>
      </c>
      <c r="EU36">
        <v>0.14000000000000001</v>
      </c>
      <c r="EV36">
        <v>394</v>
      </c>
      <c r="EW36">
        <v>46.19</v>
      </c>
      <c r="EX36">
        <v>0.01</v>
      </c>
      <c r="EY36">
        <v>0</v>
      </c>
      <c r="FQ36">
        <v>0</v>
      </c>
      <c r="FR36">
        <f t="shared" si="59"/>
        <v>0</v>
      </c>
      <c r="FS36">
        <v>0</v>
      </c>
      <c r="FX36">
        <v>103</v>
      </c>
      <c r="FY36">
        <v>60</v>
      </c>
      <c r="GA36" t="s">
        <v>6</v>
      </c>
      <c r="GD36">
        <v>0</v>
      </c>
      <c r="GF36">
        <v>1556017287</v>
      </c>
      <c r="GG36">
        <v>1</v>
      </c>
      <c r="GH36">
        <v>1</v>
      </c>
      <c r="GI36">
        <v>4</v>
      </c>
      <c r="GJ36">
        <v>0</v>
      </c>
      <c r="GK36">
        <f>ROUND(R36*(R12)/100,2)</f>
        <v>0</v>
      </c>
      <c r="GL36">
        <f t="shared" si="60"/>
        <v>0</v>
      </c>
      <c r="GM36">
        <f t="shared" si="61"/>
        <v>422.46</v>
      </c>
      <c r="GN36">
        <f t="shared" si="62"/>
        <v>422.46</v>
      </c>
      <c r="GO36">
        <f t="shared" si="63"/>
        <v>0</v>
      </c>
      <c r="GP36">
        <f t="shared" si="64"/>
        <v>0</v>
      </c>
      <c r="GR36">
        <v>0</v>
      </c>
      <c r="GS36">
        <v>3</v>
      </c>
      <c r="GT36">
        <v>0</v>
      </c>
      <c r="GU36" t="s">
        <v>6</v>
      </c>
      <c r="GV36">
        <f t="shared" si="65"/>
        <v>0</v>
      </c>
      <c r="GW36">
        <v>1</v>
      </c>
      <c r="GX36">
        <f t="shared" si="66"/>
        <v>0</v>
      </c>
      <c r="HA36">
        <v>0</v>
      </c>
      <c r="HB36">
        <v>0</v>
      </c>
      <c r="IK36">
        <v>0</v>
      </c>
    </row>
    <row r="37" spans="1:245" x14ac:dyDescent="0.2">
      <c r="A37">
        <v>18</v>
      </c>
      <c r="B37">
        <v>1</v>
      </c>
      <c r="C37">
        <v>6</v>
      </c>
      <c r="E37" t="s">
        <v>50</v>
      </c>
      <c r="F37" t="s">
        <v>51</v>
      </c>
      <c r="G37" t="s">
        <v>52</v>
      </c>
      <c r="H37" t="s">
        <v>53</v>
      </c>
      <c r="I37">
        <f>I36*J37</f>
        <v>6</v>
      </c>
      <c r="J37">
        <v>100</v>
      </c>
      <c r="O37">
        <f t="shared" si="28"/>
        <v>734.85</v>
      </c>
      <c r="P37">
        <f t="shared" si="29"/>
        <v>734.85</v>
      </c>
      <c r="Q37">
        <f t="shared" si="30"/>
        <v>0</v>
      </c>
      <c r="R37">
        <f t="shared" si="31"/>
        <v>0</v>
      </c>
      <c r="S37">
        <f t="shared" si="32"/>
        <v>0</v>
      </c>
      <c r="T37">
        <f t="shared" si="33"/>
        <v>0</v>
      </c>
      <c r="U37">
        <f t="shared" si="34"/>
        <v>0</v>
      </c>
      <c r="V37">
        <f t="shared" si="35"/>
        <v>0</v>
      </c>
      <c r="W37">
        <f t="shared" si="36"/>
        <v>0</v>
      </c>
      <c r="X37">
        <f t="shared" si="37"/>
        <v>0</v>
      </c>
      <c r="Y37">
        <f t="shared" si="38"/>
        <v>0</v>
      </c>
      <c r="AA37">
        <v>16748969</v>
      </c>
      <c r="AB37">
        <f t="shared" si="39"/>
        <v>18.670000000000002</v>
      </c>
      <c r="AC37">
        <f t="shared" si="40"/>
        <v>18.670000000000002</v>
      </c>
      <c r="AD37">
        <f t="shared" si="41"/>
        <v>0</v>
      </c>
      <c r="AE37">
        <f t="shared" si="42"/>
        <v>0</v>
      </c>
      <c r="AF37">
        <f t="shared" si="43"/>
        <v>0</v>
      </c>
      <c r="AG37">
        <f t="shared" si="44"/>
        <v>0</v>
      </c>
      <c r="AH37">
        <f t="shared" si="45"/>
        <v>0</v>
      </c>
      <c r="AI37">
        <f t="shared" si="46"/>
        <v>0</v>
      </c>
      <c r="AJ37">
        <f t="shared" si="47"/>
        <v>0</v>
      </c>
      <c r="AK37">
        <v>18.670000000000002</v>
      </c>
      <c r="AL37">
        <v>18.670000000000002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103</v>
      </c>
      <c r="AU37">
        <v>60</v>
      </c>
      <c r="AV37">
        <v>1</v>
      </c>
      <c r="AW37">
        <v>1</v>
      </c>
      <c r="AZ37">
        <v>6.56</v>
      </c>
      <c r="BA37">
        <v>1</v>
      </c>
      <c r="BB37">
        <v>1</v>
      </c>
      <c r="BC37">
        <v>6.56</v>
      </c>
      <c r="BD37" t="s">
        <v>6</v>
      </c>
      <c r="BE37" t="s">
        <v>6</v>
      </c>
      <c r="BF37" t="s">
        <v>6</v>
      </c>
      <c r="BG37" t="s">
        <v>6</v>
      </c>
      <c r="BH37">
        <v>3</v>
      </c>
      <c r="BI37">
        <v>1</v>
      </c>
      <c r="BJ37" t="s">
        <v>54</v>
      </c>
      <c r="BM37">
        <v>65010</v>
      </c>
      <c r="BN37">
        <v>0</v>
      </c>
      <c r="BO37" t="s">
        <v>6</v>
      </c>
      <c r="BP37">
        <v>0</v>
      </c>
      <c r="BQ37">
        <v>6</v>
      </c>
      <c r="BR37">
        <v>0</v>
      </c>
      <c r="BS37">
        <v>1</v>
      </c>
      <c r="BT37">
        <v>1</v>
      </c>
      <c r="BU37">
        <v>1</v>
      </c>
      <c r="BV37">
        <v>1</v>
      </c>
      <c r="BW37">
        <v>1</v>
      </c>
      <c r="BX37">
        <v>1</v>
      </c>
      <c r="BY37" t="s">
        <v>6</v>
      </c>
      <c r="BZ37">
        <v>103</v>
      </c>
      <c r="CA37">
        <v>60</v>
      </c>
      <c r="CF37">
        <v>0</v>
      </c>
      <c r="CG37">
        <v>0</v>
      </c>
      <c r="CM37">
        <v>0</v>
      </c>
      <c r="CN37" t="s">
        <v>6</v>
      </c>
      <c r="CO37">
        <v>0</v>
      </c>
      <c r="CP37">
        <f t="shared" si="48"/>
        <v>734.85</v>
      </c>
      <c r="CQ37">
        <f t="shared" si="49"/>
        <v>122.4752</v>
      </c>
      <c r="CR37">
        <f t="shared" si="50"/>
        <v>0</v>
      </c>
      <c r="CS37">
        <f t="shared" si="51"/>
        <v>0</v>
      </c>
      <c r="CT37">
        <f t="shared" si="52"/>
        <v>0</v>
      </c>
      <c r="CU37">
        <f t="shared" si="53"/>
        <v>0</v>
      </c>
      <c r="CV37">
        <f t="shared" si="54"/>
        <v>0</v>
      </c>
      <c r="CW37">
        <f t="shared" si="55"/>
        <v>0</v>
      </c>
      <c r="CX37">
        <f t="shared" si="56"/>
        <v>0</v>
      </c>
      <c r="CY37">
        <f t="shared" si="57"/>
        <v>0</v>
      </c>
      <c r="CZ37">
        <f t="shared" si="58"/>
        <v>0</v>
      </c>
      <c r="DC37" t="s">
        <v>6</v>
      </c>
      <c r="DD37" t="s">
        <v>6</v>
      </c>
      <c r="DE37" t="s">
        <v>6</v>
      </c>
      <c r="DF37" t="s">
        <v>6</v>
      </c>
      <c r="DG37" t="s">
        <v>6</v>
      </c>
      <c r="DH37" t="s">
        <v>6</v>
      </c>
      <c r="DI37" t="s">
        <v>6</v>
      </c>
      <c r="DJ37" t="s">
        <v>6</v>
      </c>
      <c r="DK37" t="s">
        <v>6</v>
      </c>
      <c r="DL37" t="s">
        <v>6</v>
      </c>
      <c r="DM37" t="s">
        <v>6</v>
      </c>
      <c r="DN37">
        <v>0</v>
      </c>
      <c r="DO37">
        <v>0</v>
      </c>
      <c r="DP37">
        <v>1</v>
      </c>
      <c r="DQ37">
        <v>1</v>
      </c>
      <c r="DU37">
        <v>1010</v>
      </c>
      <c r="DV37" t="s">
        <v>53</v>
      </c>
      <c r="DW37" t="s">
        <v>53</v>
      </c>
      <c r="DX37">
        <v>1</v>
      </c>
      <c r="EE37">
        <v>16510589</v>
      </c>
      <c r="EF37">
        <v>6</v>
      </c>
      <c r="EG37" t="s">
        <v>36</v>
      </c>
      <c r="EH37">
        <v>0</v>
      </c>
      <c r="EI37" t="s">
        <v>6</v>
      </c>
      <c r="EJ37">
        <v>1</v>
      </c>
      <c r="EK37">
        <v>65010</v>
      </c>
      <c r="EL37" t="s">
        <v>48</v>
      </c>
      <c r="EM37" t="s">
        <v>49</v>
      </c>
      <c r="EO37" t="s">
        <v>6</v>
      </c>
      <c r="EQ37">
        <v>0</v>
      </c>
      <c r="ER37">
        <v>18.670000000000002</v>
      </c>
      <c r="ES37">
        <v>18.670000000000002</v>
      </c>
      <c r="ET37">
        <v>0</v>
      </c>
      <c r="EU37">
        <v>0</v>
      </c>
      <c r="EV37">
        <v>0</v>
      </c>
      <c r="EW37">
        <v>0</v>
      </c>
      <c r="EX37">
        <v>0</v>
      </c>
      <c r="FQ37">
        <v>0</v>
      </c>
      <c r="FR37">
        <f t="shared" si="59"/>
        <v>0</v>
      </c>
      <c r="FS37">
        <v>0</v>
      </c>
      <c r="FX37">
        <v>103</v>
      </c>
      <c r="FY37">
        <v>60</v>
      </c>
      <c r="GA37" t="s">
        <v>6</v>
      </c>
      <c r="GD37">
        <v>0</v>
      </c>
      <c r="GF37">
        <v>1245683594</v>
      </c>
      <c r="GG37">
        <v>1</v>
      </c>
      <c r="GH37">
        <v>1</v>
      </c>
      <c r="GI37">
        <v>4</v>
      </c>
      <c r="GJ37">
        <v>0</v>
      </c>
      <c r="GK37">
        <f>ROUND(R37*(R12)/100,2)</f>
        <v>0</v>
      </c>
      <c r="GL37">
        <f t="shared" si="60"/>
        <v>0</v>
      </c>
      <c r="GM37">
        <f t="shared" si="61"/>
        <v>734.85</v>
      </c>
      <c r="GN37">
        <f t="shared" si="62"/>
        <v>734.85</v>
      </c>
      <c r="GO37">
        <f t="shared" si="63"/>
        <v>0</v>
      </c>
      <c r="GP37">
        <f t="shared" si="64"/>
        <v>0</v>
      </c>
      <c r="GR37">
        <v>0</v>
      </c>
      <c r="GS37">
        <v>3</v>
      </c>
      <c r="GT37">
        <v>0</v>
      </c>
      <c r="GU37" t="s">
        <v>6</v>
      </c>
      <c r="GV37">
        <f t="shared" si="65"/>
        <v>0</v>
      </c>
      <c r="GW37">
        <v>1</v>
      </c>
      <c r="GX37">
        <f t="shared" si="66"/>
        <v>0</v>
      </c>
      <c r="HA37">
        <v>0</v>
      </c>
      <c r="HB37">
        <v>0</v>
      </c>
      <c r="IK37">
        <v>0</v>
      </c>
    </row>
    <row r="38" spans="1:245" x14ac:dyDescent="0.2">
      <c r="A38">
        <v>18</v>
      </c>
      <c r="B38">
        <v>1</v>
      </c>
      <c r="C38">
        <v>7</v>
      </c>
      <c r="E38" t="s">
        <v>55</v>
      </c>
      <c r="F38" t="s">
        <v>56</v>
      </c>
      <c r="G38" t="s">
        <v>57</v>
      </c>
      <c r="H38" t="s">
        <v>53</v>
      </c>
      <c r="I38">
        <f>I36*J38</f>
        <v>6</v>
      </c>
      <c r="J38">
        <v>100</v>
      </c>
      <c r="O38">
        <f t="shared" si="28"/>
        <v>0</v>
      </c>
      <c r="P38">
        <f t="shared" si="29"/>
        <v>0</v>
      </c>
      <c r="Q38">
        <f t="shared" si="30"/>
        <v>0</v>
      </c>
      <c r="R38">
        <f t="shared" si="31"/>
        <v>0</v>
      </c>
      <c r="S38">
        <f t="shared" si="32"/>
        <v>0</v>
      </c>
      <c r="T38">
        <f t="shared" si="33"/>
        <v>0</v>
      </c>
      <c r="U38">
        <f t="shared" si="34"/>
        <v>0</v>
      </c>
      <c r="V38">
        <f t="shared" si="35"/>
        <v>0</v>
      </c>
      <c r="W38">
        <f t="shared" si="36"/>
        <v>0</v>
      </c>
      <c r="X38">
        <f t="shared" si="37"/>
        <v>0</v>
      </c>
      <c r="Y38">
        <f t="shared" si="38"/>
        <v>0</v>
      </c>
      <c r="AA38">
        <v>16748969</v>
      </c>
      <c r="AB38">
        <f t="shared" si="39"/>
        <v>0</v>
      </c>
      <c r="AC38">
        <f t="shared" si="40"/>
        <v>0</v>
      </c>
      <c r="AD38">
        <f t="shared" si="41"/>
        <v>0</v>
      </c>
      <c r="AE38">
        <f t="shared" si="42"/>
        <v>0</v>
      </c>
      <c r="AF38">
        <f t="shared" si="43"/>
        <v>0</v>
      </c>
      <c r="AG38">
        <f t="shared" si="44"/>
        <v>0</v>
      </c>
      <c r="AH38">
        <f t="shared" si="45"/>
        <v>0</v>
      </c>
      <c r="AI38">
        <f t="shared" si="46"/>
        <v>0</v>
      </c>
      <c r="AJ38">
        <f t="shared" si="47"/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103</v>
      </c>
      <c r="AU38">
        <v>60</v>
      </c>
      <c r="AV38">
        <v>1</v>
      </c>
      <c r="AW38">
        <v>1</v>
      </c>
      <c r="AZ38">
        <v>6.56</v>
      </c>
      <c r="BA38">
        <v>1</v>
      </c>
      <c r="BB38">
        <v>1</v>
      </c>
      <c r="BC38">
        <v>6.56</v>
      </c>
      <c r="BD38" t="s">
        <v>6</v>
      </c>
      <c r="BE38" t="s">
        <v>6</v>
      </c>
      <c r="BF38" t="s">
        <v>6</v>
      </c>
      <c r="BG38" t="s">
        <v>6</v>
      </c>
      <c r="BH38">
        <v>3</v>
      </c>
      <c r="BI38">
        <v>1</v>
      </c>
      <c r="BJ38" t="s">
        <v>6</v>
      </c>
      <c r="BM38">
        <v>65010</v>
      </c>
      <c r="BN38">
        <v>0</v>
      </c>
      <c r="BO38" t="s">
        <v>6</v>
      </c>
      <c r="BP38">
        <v>0</v>
      </c>
      <c r="BQ38">
        <v>6</v>
      </c>
      <c r="BR38">
        <v>0</v>
      </c>
      <c r="BS38">
        <v>1</v>
      </c>
      <c r="BT38">
        <v>1</v>
      </c>
      <c r="BU38">
        <v>1</v>
      </c>
      <c r="BV38">
        <v>1</v>
      </c>
      <c r="BW38">
        <v>1</v>
      </c>
      <c r="BX38">
        <v>1</v>
      </c>
      <c r="BY38" t="s">
        <v>6</v>
      </c>
      <c r="BZ38">
        <v>103</v>
      </c>
      <c r="CA38">
        <v>60</v>
      </c>
      <c r="CF38">
        <v>0</v>
      </c>
      <c r="CG38">
        <v>0</v>
      </c>
      <c r="CM38">
        <v>0</v>
      </c>
      <c r="CN38" t="s">
        <v>6</v>
      </c>
      <c r="CO38">
        <v>0</v>
      </c>
      <c r="CP38">
        <f t="shared" si="48"/>
        <v>0</v>
      </c>
      <c r="CQ38">
        <f t="shared" si="49"/>
        <v>0</v>
      </c>
      <c r="CR38">
        <f t="shared" si="50"/>
        <v>0</v>
      </c>
      <c r="CS38">
        <f t="shared" si="51"/>
        <v>0</v>
      </c>
      <c r="CT38">
        <f t="shared" si="52"/>
        <v>0</v>
      </c>
      <c r="CU38">
        <f t="shared" si="53"/>
        <v>0</v>
      </c>
      <c r="CV38">
        <f t="shared" si="54"/>
        <v>0</v>
      </c>
      <c r="CW38">
        <f t="shared" si="55"/>
        <v>0</v>
      </c>
      <c r="CX38">
        <f t="shared" si="56"/>
        <v>0</v>
      </c>
      <c r="CY38">
        <f t="shared" si="57"/>
        <v>0</v>
      </c>
      <c r="CZ38">
        <f t="shared" si="58"/>
        <v>0</v>
      </c>
      <c r="DC38" t="s">
        <v>6</v>
      </c>
      <c r="DD38" t="s">
        <v>6</v>
      </c>
      <c r="DE38" t="s">
        <v>6</v>
      </c>
      <c r="DF38" t="s">
        <v>6</v>
      </c>
      <c r="DG38" t="s">
        <v>6</v>
      </c>
      <c r="DH38" t="s">
        <v>6</v>
      </c>
      <c r="DI38" t="s">
        <v>6</v>
      </c>
      <c r="DJ38" t="s">
        <v>6</v>
      </c>
      <c r="DK38" t="s">
        <v>6</v>
      </c>
      <c r="DL38" t="s">
        <v>6</v>
      </c>
      <c r="DM38" t="s">
        <v>6</v>
      </c>
      <c r="DN38">
        <v>0</v>
      </c>
      <c r="DO38">
        <v>0</v>
      </c>
      <c r="DP38">
        <v>1</v>
      </c>
      <c r="DQ38">
        <v>1</v>
      </c>
      <c r="DU38">
        <v>1010</v>
      </c>
      <c r="DV38" t="s">
        <v>53</v>
      </c>
      <c r="DW38" t="s">
        <v>53</v>
      </c>
      <c r="DX38">
        <v>1</v>
      </c>
      <c r="EE38">
        <v>16510589</v>
      </c>
      <c r="EF38">
        <v>6</v>
      </c>
      <c r="EG38" t="s">
        <v>36</v>
      </c>
      <c r="EH38">
        <v>0</v>
      </c>
      <c r="EI38" t="s">
        <v>6</v>
      </c>
      <c r="EJ38">
        <v>1</v>
      </c>
      <c r="EK38">
        <v>65010</v>
      </c>
      <c r="EL38" t="s">
        <v>48</v>
      </c>
      <c r="EM38" t="s">
        <v>49</v>
      </c>
      <c r="EO38" t="s">
        <v>6</v>
      </c>
      <c r="EQ38">
        <v>0</v>
      </c>
      <c r="ER38">
        <v>0</v>
      </c>
      <c r="ES38">
        <v>0</v>
      </c>
      <c r="ET38">
        <v>0</v>
      </c>
      <c r="EU38">
        <v>0</v>
      </c>
      <c r="EV38">
        <v>0</v>
      </c>
      <c r="EW38">
        <v>0</v>
      </c>
      <c r="EX38">
        <v>0</v>
      </c>
      <c r="FQ38">
        <v>0</v>
      </c>
      <c r="FR38">
        <f t="shared" si="59"/>
        <v>0</v>
      </c>
      <c r="FS38">
        <v>0</v>
      </c>
      <c r="FX38">
        <v>103</v>
      </c>
      <c r="FY38">
        <v>60</v>
      </c>
      <c r="GA38" t="s">
        <v>6</v>
      </c>
      <c r="GD38">
        <v>0</v>
      </c>
      <c r="GF38">
        <v>-698526538</v>
      </c>
      <c r="GG38">
        <v>1</v>
      </c>
      <c r="GH38">
        <v>1</v>
      </c>
      <c r="GI38">
        <v>4</v>
      </c>
      <c r="GJ38">
        <v>0</v>
      </c>
      <c r="GK38">
        <f>ROUND(R38*(R12)/100,2)</f>
        <v>0</v>
      </c>
      <c r="GL38">
        <f t="shared" si="60"/>
        <v>0</v>
      </c>
      <c r="GM38">
        <f t="shared" si="61"/>
        <v>0</v>
      </c>
      <c r="GN38">
        <f t="shared" si="62"/>
        <v>0</v>
      </c>
      <c r="GO38">
        <f t="shared" si="63"/>
        <v>0</v>
      </c>
      <c r="GP38">
        <f t="shared" si="64"/>
        <v>0</v>
      </c>
      <c r="GR38">
        <v>0</v>
      </c>
      <c r="GS38">
        <v>3</v>
      </c>
      <c r="GT38">
        <v>0</v>
      </c>
      <c r="GU38" t="s">
        <v>6</v>
      </c>
      <c r="GV38">
        <f t="shared" si="65"/>
        <v>0</v>
      </c>
      <c r="GW38">
        <v>1</v>
      </c>
      <c r="GX38">
        <f t="shared" si="66"/>
        <v>0</v>
      </c>
      <c r="HA38">
        <v>0</v>
      </c>
      <c r="HB38">
        <v>0</v>
      </c>
      <c r="IK38">
        <v>0</v>
      </c>
    </row>
    <row r="39" spans="1:245" x14ac:dyDescent="0.2">
      <c r="A39">
        <v>17</v>
      </c>
      <c r="B39">
        <v>1</v>
      </c>
      <c r="C39">
        <f>ROW(SmtRes!A8)</f>
        <v>8</v>
      </c>
      <c r="D39">
        <f>ROW(EtalonRes!A9)</f>
        <v>9</v>
      </c>
      <c r="E39" t="s">
        <v>58</v>
      </c>
      <c r="F39" t="s">
        <v>59</v>
      </c>
      <c r="G39" t="s">
        <v>60</v>
      </c>
      <c r="H39" t="s">
        <v>34</v>
      </c>
      <c r="I39">
        <f>ROUND(54.28/100,9)</f>
        <v>0.54279999999999995</v>
      </c>
      <c r="J39">
        <v>0</v>
      </c>
      <c r="O39">
        <f t="shared" si="28"/>
        <v>104.72</v>
      </c>
      <c r="P39">
        <f t="shared" si="29"/>
        <v>0</v>
      </c>
      <c r="Q39">
        <f t="shared" si="30"/>
        <v>0</v>
      </c>
      <c r="R39">
        <f t="shared" si="31"/>
        <v>0</v>
      </c>
      <c r="S39">
        <f t="shared" si="32"/>
        <v>104.72</v>
      </c>
      <c r="T39">
        <f t="shared" si="33"/>
        <v>0</v>
      </c>
      <c r="U39">
        <f t="shared" si="34"/>
        <v>2.0463559999999998</v>
      </c>
      <c r="V39">
        <f t="shared" si="35"/>
        <v>0</v>
      </c>
      <c r="W39">
        <f t="shared" si="36"/>
        <v>0</v>
      </c>
      <c r="X39">
        <f t="shared" si="37"/>
        <v>83.78</v>
      </c>
      <c r="Y39">
        <f t="shared" si="38"/>
        <v>71.209999999999994</v>
      </c>
      <c r="AA39">
        <v>16748969</v>
      </c>
      <c r="AB39">
        <f t="shared" si="39"/>
        <v>29.41</v>
      </c>
      <c r="AC39">
        <f t="shared" si="40"/>
        <v>0</v>
      </c>
      <c r="AD39">
        <f t="shared" si="41"/>
        <v>0</v>
      </c>
      <c r="AE39">
        <f t="shared" si="42"/>
        <v>0</v>
      </c>
      <c r="AF39">
        <f t="shared" si="43"/>
        <v>29.41</v>
      </c>
      <c r="AG39">
        <f t="shared" si="44"/>
        <v>0</v>
      </c>
      <c r="AH39">
        <f t="shared" si="45"/>
        <v>3.77</v>
      </c>
      <c r="AI39">
        <f t="shared" si="46"/>
        <v>0</v>
      </c>
      <c r="AJ39">
        <f t="shared" si="47"/>
        <v>0</v>
      </c>
      <c r="AK39">
        <v>29.41</v>
      </c>
      <c r="AL39">
        <v>0</v>
      </c>
      <c r="AM39">
        <v>0</v>
      </c>
      <c r="AN39">
        <v>0</v>
      </c>
      <c r="AO39">
        <v>29.41</v>
      </c>
      <c r="AP39">
        <v>0</v>
      </c>
      <c r="AQ39">
        <v>3.77</v>
      </c>
      <c r="AR39">
        <v>0</v>
      </c>
      <c r="AS39">
        <v>0</v>
      </c>
      <c r="AT39">
        <v>80</v>
      </c>
      <c r="AU39">
        <v>68</v>
      </c>
      <c r="AV39">
        <v>1</v>
      </c>
      <c r="AW39">
        <v>1</v>
      </c>
      <c r="AZ39">
        <v>6.56</v>
      </c>
      <c r="BA39">
        <v>6.56</v>
      </c>
      <c r="BB39">
        <v>6.56</v>
      </c>
      <c r="BC39">
        <v>6.56</v>
      </c>
      <c r="BD39" t="s">
        <v>6</v>
      </c>
      <c r="BE39" t="s">
        <v>6</v>
      </c>
      <c r="BF39" t="s">
        <v>6</v>
      </c>
      <c r="BG39" t="s">
        <v>6</v>
      </c>
      <c r="BH39">
        <v>0</v>
      </c>
      <c r="BI39">
        <v>1</v>
      </c>
      <c r="BJ39" t="s">
        <v>61</v>
      </c>
      <c r="BM39">
        <v>57001</v>
      </c>
      <c r="BN39">
        <v>0</v>
      </c>
      <c r="BO39" t="s">
        <v>6</v>
      </c>
      <c r="BP39">
        <v>0</v>
      </c>
      <c r="BQ39">
        <v>6</v>
      </c>
      <c r="BR39">
        <v>0</v>
      </c>
      <c r="BS39">
        <v>6.56</v>
      </c>
      <c r="BT39">
        <v>1</v>
      </c>
      <c r="BU39">
        <v>1</v>
      </c>
      <c r="BV39">
        <v>1</v>
      </c>
      <c r="BW39">
        <v>1</v>
      </c>
      <c r="BX39">
        <v>1</v>
      </c>
      <c r="BY39" t="s">
        <v>6</v>
      </c>
      <c r="BZ39">
        <v>80</v>
      </c>
      <c r="CA39">
        <v>68</v>
      </c>
      <c r="CF39">
        <v>0</v>
      </c>
      <c r="CG39">
        <v>0</v>
      </c>
      <c r="CM39">
        <v>0</v>
      </c>
      <c r="CN39" t="s">
        <v>6</v>
      </c>
      <c r="CO39">
        <v>0</v>
      </c>
      <c r="CP39">
        <f t="shared" si="48"/>
        <v>104.72</v>
      </c>
      <c r="CQ39">
        <f t="shared" si="49"/>
        <v>0</v>
      </c>
      <c r="CR39">
        <f t="shared" si="50"/>
        <v>0</v>
      </c>
      <c r="CS39">
        <f t="shared" si="51"/>
        <v>0</v>
      </c>
      <c r="CT39">
        <f t="shared" si="52"/>
        <v>192.92959999999999</v>
      </c>
      <c r="CU39">
        <f t="shared" si="53"/>
        <v>0</v>
      </c>
      <c r="CV39">
        <f t="shared" si="54"/>
        <v>3.77</v>
      </c>
      <c r="CW39">
        <f t="shared" si="55"/>
        <v>0</v>
      </c>
      <c r="CX39">
        <f t="shared" si="56"/>
        <v>0</v>
      </c>
      <c r="CY39">
        <f t="shared" si="57"/>
        <v>83.77600000000001</v>
      </c>
      <c r="CZ39">
        <f t="shared" si="58"/>
        <v>71.209599999999995</v>
      </c>
      <c r="DC39" t="s">
        <v>6</v>
      </c>
      <c r="DD39" t="s">
        <v>6</v>
      </c>
      <c r="DE39" t="s">
        <v>6</v>
      </c>
      <c r="DF39" t="s">
        <v>6</v>
      </c>
      <c r="DG39" t="s">
        <v>6</v>
      </c>
      <c r="DH39" t="s">
        <v>6</v>
      </c>
      <c r="DI39" t="s">
        <v>6</v>
      </c>
      <c r="DJ39" t="s">
        <v>6</v>
      </c>
      <c r="DK39" t="s">
        <v>6</v>
      </c>
      <c r="DL39" t="s">
        <v>6</v>
      </c>
      <c r="DM39" t="s">
        <v>6</v>
      </c>
      <c r="DN39">
        <v>0</v>
      </c>
      <c r="DO39">
        <v>0</v>
      </c>
      <c r="DP39">
        <v>1</v>
      </c>
      <c r="DQ39">
        <v>1</v>
      </c>
      <c r="DU39">
        <v>1003</v>
      </c>
      <c r="DV39" t="s">
        <v>34</v>
      </c>
      <c r="DW39" t="s">
        <v>34</v>
      </c>
      <c r="DX39">
        <v>100</v>
      </c>
      <c r="EE39">
        <v>16510566</v>
      </c>
      <c r="EF39">
        <v>6</v>
      </c>
      <c r="EG39" t="s">
        <v>36</v>
      </c>
      <c r="EH39">
        <v>0</v>
      </c>
      <c r="EI39" t="s">
        <v>6</v>
      </c>
      <c r="EJ39">
        <v>1</v>
      </c>
      <c r="EK39">
        <v>57001</v>
      </c>
      <c r="EL39" t="s">
        <v>62</v>
      </c>
      <c r="EM39" t="s">
        <v>63</v>
      </c>
      <c r="EO39" t="s">
        <v>6</v>
      </c>
      <c r="EQ39">
        <v>131072</v>
      </c>
      <c r="ER39">
        <v>29.41</v>
      </c>
      <c r="ES39">
        <v>0</v>
      </c>
      <c r="ET39">
        <v>0</v>
      </c>
      <c r="EU39">
        <v>0</v>
      </c>
      <c r="EV39">
        <v>29.41</v>
      </c>
      <c r="EW39">
        <v>3.77</v>
      </c>
      <c r="EX39">
        <v>0</v>
      </c>
      <c r="EY39">
        <v>0</v>
      </c>
      <c r="FQ39">
        <v>0</v>
      </c>
      <c r="FR39">
        <f t="shared" si="59"/>
        <v>0</v>
      </c>
      <c r="FS39">
        <v>0</v>
      </c>
      <c r="FX39">
        <v>80</v>
      </c>
      <c r="FY39">
        <v>68</v>
      </c>
      <c r="GA39" t="s">
        <v>6</v>
      </c>
      <c r="GD39">
        <v>0</v>
      </c>
      <c r="GF39">
        <v>-1389370821</v>
      </c>
      <c r="GG39">
        <v>1</v>
      </c>
      <c r="GH39">
        <v>1</v>
      </c>
      <c r="GI39">
        <v>4</v>
      </c>
      <c r="GJ39">
        <v>0</v>
      </c>
      <c r="GK39">
        <f>ROUND(R39*(R12)/100,2)</f>
        <v>0</v>
      </c>
      <c r="GL39">
        <f t="shared" si="60"/>
        <v>0</v>
      </c>
      <c r="GM39">
        <f t="shared" si="61"/>
        <v>259.70999999999998</v>
      </c>
      <c r="GN39">
        <f t="shared" si="62"/>
        <v>259.70999999999998</v>
      </c>
      <c r="GO39">
        <f t="shared" si="63"/>
        <v>0</v>
      </c>
      <c r="GP39">
        <f t="shared" si="64"/>
        <v>0</v>
      </c>
      <c r="GR39">
        <v>0</v>
      </c>
      <c r="GS39">
        <v>3</v>
      </c>
      <c r="GT39">
        <v>0</v>
      </c>
      <c r="GU39" t="s">
        <v>6</v>
      </c>
      <c r="GV39">
        <f t="shared" si="65"/>
        <v>0</v>
      </c>
      <c r="GW39">
        <v>1</v>
      </c>
      <c r="GX39">
        <f t="shared" si="66"/>
        <v>0</v>
      </c>
      <c r="HA39">
        <v>0</v>
      </c>
      <c r="HB39">
        <v>0</v>
      </c>
      <c r="IK39">
        <v>0</v>
      </c>
    </row>
    <row r="40" spans="1:245" x14ac:dyDescent="0.2">
      <c r="A40">
        <v>17</v>
      </c>
      <c r="B40">
        <v>1</v>
      </c>
      <c r="C40">
        <f>ROW(SmtRes!A12)</f>
        <v>12</v>
      </c>
      <c r="D40">
        <f>ROW(EtalonRes!A13)</f>
        <v>13</v>
      </c>
      <c r="E40" t="s">
        <v>64</v>
      </c>
      <c r="F40" t="s">
        <v>65</v>
      </c>
      <c r="G40" t="s">
        <v>66</v>
      </c>
      <c r="H40" t="s">
        <v>20</v>
      </c>
      <c r="I40">
        <f>ROUND(101.1/100,9)</f>
        <v>1.0109999999999999</v>
      </c>
      <c r="J40">
        <v>0</v>
      </c>
      <c r="O40">
        <f t="shared" si="28"/>
        <v>616.13</v>
      </c>
      <c r="P40">
        <f t="shared" si="29"/>
        <v>0</v>
      </c>
      <c r="Q40">
        <f t="shared" si="30"/>
        <v>26.93</v>
      </c>
      <c r="R40">
        <f t="shared" si="31"/>
        <v>11.67</v>
      </c>
      <c r="S40">
        <f t="shared" si="32"/>
        <v>589.20000000000005</v>
      </c>
      <c r="T40">
        <f t="shared" si="33"/>
        <v>0</v>
      </c>
      <c r="U40">
        <f t="shared" si="34"/>
        <v>11.51529</v>
      </c>
      <c r="V40">
        <f t="shared" si="35"/>
        <v>0.13142999999999999</v>
      </c>
      <c r="W40">
        <f t="shared" si="36"/>
        <v>0</v>
      </c>
      <c r="X40">
        <f t="shared" si="37"/>
        <v>480.7</v>
      </c>
      <c r="Y40">
        <f t="shared" si="38"/>
        <v>408.59</v>
      </c>
      <c r="AA40">
        <v>16748969</v>
      </c>
      <c r="AB40">
        <f t="shared" si="39"/>
        <v>92.9</v>
      </c>
      <c r="AC40">
        <f t="shared" si="40"/>
        <v>0</v>
      </c>
      <c r="AD40">
        <f t="shared" si="41"/>
        <v>4.0599999999999996</v>
      </c>
      <c r="AE40">
        <f t="shared" si="42"/>
        <v>1.76</v>
      </c>
      <c r="AF40">
        <f t="shared" si="43"/>
        <v>88.84</v>
      </c>
      <c r="AG40">
        <f t="shared" si="44"/>
        <v>0</v>
      </c>
      <c r="AH40">
        <f t="shared" si="45"/>
        <v>11.39</v>
      </c>
      <c r="AI40">
        <f t="shared" si="46"/>
        <v>0.13</v>
      </c>
      <c r="AJ40">
        <f t="shared" si="47"/>
        <v>0</v>
      </c>
      <c r="AK40">
        <v>92.9</v>
      </c>
      <c r="AL40">
        <v>0</v>
      </c>
      <c r="AM40">
        <v>4.0599999999999996</v>
      </c>
      <c r="AN40">
        <v>1.76</v>
      </c>
      <c r="AO40">
        <v>88.84</v>
      </c>
      <c r="AP40">
        <v>0</v>
      </c>
      <c r="AQ40">
        <v>11.39</v>
      </c>
      <c r="AR40">
        <v>0.13</v>
      </c>
      <c r="AS40">
        <v>0</v>
      </c>
      <c r="AT40">
        <v>80</v>
      </c>
      <c r="AU40">
        <v>68</v>
      </c>
      <c r="AV40">
        <v>1</v>
      </c>
      <c r="AW40">
        <v>1</v>
      </c>
      <c r="AZ40">
        <v>6.56</v>
      </c>
      <c r="BA40">
        <v>6.56</v>
      </c>
      <c r="BB40">
        <v>6.56</v>
      </c>
      <c r="BC40">
        <v>6.56</v>
      </c>
      <c r="BD40" t="s">
        <v>6</v>
      </c>
      <c r="BE40" t="s">
        <v>6</v>
      </c>
      <c r="BF40" t="s">
        <v>6</v>
      </c>
      <c r="BG40" t="s">
        <v>6</v>
      </c>
      <c r="BH40">
        <v>0</v>
      </c>
      <c r="BI40">
        <v>1</v>
      </c>
      <c r="BJ40" t="s">
        <v>67</v>
      </c>
      <c r="BM40">
        <v>57001</v>
      </c>
      <c r="BN40">
        <v>0</v>
      </c>
      <c r="BO40" t="s">
        <v>6</v>
      </c>
      <c r="BP40">
        <v>0</v>
      </c>
      <c r="BQ40">
        <v>6</v>
      </c>
      <c r="BR40">
        <v>0</v>
      </c>
      <c r="BS40">
        <v>6.56</v>
      </c>
      <c r="BT40">
        <v>1</v>
      </c>
      <c r="BU40">
        <v>1</v>
      </c>
      <c r="BV40">
        <v>1</v>
      </c>
      <c r="BW40">
        <v>1</v>
      </c>
      <c r="BX40">
        <v>1</v>
      </c>
      <c r="BY40" t="s">
        <v>6</v>
      </c>
      <c r="BZ40">
        <v>80</v>
      </c>
      <c r="CA40">
        <v>68</v>
      </c>
      <c r="CF40">
        <v>0</v>
      </c>
      <c r="CG40">
        <v>0</v>
      </c>
      <c r="CM40">
        <v>0</v>
      </c>
      <c r="CN40" t="s">
        <v>6</v>
      </c>
      <c r="CO40">
        <v>0</v>
      </c>
      <c r="CP40">
        <f t="shared" si="48"/>
        <v>616.13</v>
      </c>
      <c r="CQ40">
        <f t="shared" si="49"/>
        <v>0</v>
      </c>
      <c r="CR40">
        <f t="shared" si="50"/>
        <v>26.633599999999994</v>
      </c>
      <c r="CS40">
        <f t="shared" si="51"/>
        <v>11.545599999999999</v>
      </c>
      <c r="CT40">
        <f t="shared" si="52"/>
        <v>582.79039999999998</v>
      </c>
      <c r="CU40">
        <f t="shared" si="53"/>
        <v>0</v>
      </c>
      <c r="CV40">
        <f t="shared" si="54"/>
        <v>11.39</v>
      </c>
      <c r="CW40">
        <f t="shared" si="55"/>
        <v>0.13</v>
      </c>
      <c r="CX40">
        <f t="shared" si="56"/>
        <v>0</v>
      </c>
      <c r="CY40">
        <f t="shared" si="57"/>
        <v>480.69599999999997</v>
      </c>
      <c r="CZ40">
        <f t="shared" si="58"/>
        <v>408.59160000000003</v>
      </c>
      <c r="DC40" t="s">
        <v>6</v>
      </c>
      <c r="DD40" t="s">
        <v>6</v>
      </c>
      <c r="DE40" t="s">
        <v>6</v>
      </c>
      <c r="DF40" t="s">
        <v>6</v>
      </c>
      <c r="DG40" t="s">
        <v>6</v>
      </c>
      <c r="DH40" t="s">
        <v>6</v>
      </c>
      <c r="DI40" t="s">
        <v>6</v>
      </c>
      <c r="DJ40" t="s">
        <v>6</v>
      </c>
      <c r="DK40" t="s">
        <v>6</v>
      </c>
      <c r="DL40" t="s">
        <v>6</v>
      </c>
      <c r="DM40" t="s">
        <v>6</v>
      </c>
      <c r="DN40">
        <v>0</v>
      </c>
      <c r="DO40">
        <v>0</v>
      </c>
      <c r="DP40">
        <v>1</v>
      </c>
      <c r="DQ40">
        <v>1</v>
      </c>
      <c r="DU40">
        <v>1005</v>
      </c>
      <c r="DV40" t="s">
        <v>20</v>
      </c>
      <c r="DW40" t="s">
        <v>20</v>
      </c>
      <c r="DX40">
        <v>100</v>
      </c>
      <c r="EE40">
        <v>16510566</v>
      </c>
      <c r="EF40">
        <v>6</v>
      </c>
      <c r="EG40" t="s">
        <v>36</v>
      </c>
      <c r="EH40">
        <v>0</v>
      </c>
      <c r="EI40" t="s">
        <v>6</v>
      </c>
      <c r="EJ40">
        <v>1</v>
      </c>
      <c r="EK40">
        <v>57001</v>
      </c>
      <c r="EL40" t="s">
        <v>62</v>
      </c>
      <c r="EM40" t="s">
        <v>63</v>
      </c>
      <c r="EO40" t="s">
        <v>6</v>
      </c>
      <c r="EQ40">
        <v>131072</v>
      </c>
      <c r="ER40">
        <v>92.9</v>
      </c>
      <c r="ES40">
        <v>0</v>
      </c>
      <c r="ET40">
        <v>4.0599999999999996</v>
      </c>
      <c r="EU40">
        <v>1.76</v>
      </c>
      <c r="EV40">
        <v>88.84</v>
      </c>
      <c r="EW40">
        <v>11.39</v>
      </c>
      <c r="EX40">
        <v>0.13</v>
      </c>
      <c r="EY40">
        <v>0</v>
      </c>
      <c r="FQ40">
        <v>0</v>
      </c>
      <c r="FR40">
        <f t="shared" si="59"/>
        <v>0</v>
      </c>
      <c r="FS40">
        <v>0</v>
      </c>
      <c r="FX40">
        <v>80</v>
      </c>
      <c r="FY40">
        <v>68</v>
      </c>
      <c r="GA40" t="s">
        <v>6</v>
      </c>
      <c r="GD40">
        <v>0</v>
      </c>
      <c r="GF40">
        <v>537707280</v>
      </c>
      <c r="GG40">
        <v>1</v>
      </c>
      <c r="GH40">
        <v>1</v>
      </c>
      <c r="GI40">
        <v>4</v>
      </c>
      <c r="GJ40">
        <v>0</v>
      </c>
      <c r="GK40">
        <f>ROUND(R40*(R12)/100,2)</f>
        <v>0</v>
      </c>
      <c r="GL40">
        <f t="shared" si="60"/>
        <v>0</v>
      </c>
      <c r="GM40">
        <f t="shared" si="61"/>
        <v>1505.42</v>
      </c>
      <c r="GN40">
        <f t="shared" si="62"/>
        <v>1505.42</v>
      </c>
      <c r="GO40">
        <f t="shared" si="63"/>
        <v>0</v>
      </c>
      <c r="GP40">
        <f t="shared" si="64"/>
        <v>0</v>
      </c>
      <c r="GR40">
        <v>0</v>
      </c>
      <c r="GS40">
        <v>3</v>
      </c>
      <c r="GT40">
        <v>0</v>
      </c>
      <c r="GU40" t="s">
        <v>6</v>
      </c>
      <c r="GV40">
        <f t="shared" si="65"/>
        <v>0</v>
      </c>
      <c r="GW40">
        <v>1</v>
      </c>
      <c r="GX40">
        <f t="shared" si="66"/>
        <v>0</v>
      </c>
      <c r="HA40">
        <v>0</v>
      </c>
      <c r="HB40">
        <v>0</v>
      </c>
      <c r="IK40">
        <v>0</v>
      </c>
    </row>
    <row r="41" spans="1:245" x14ac:dyDescent="0.2">
      <c r="A41">
        <v>18</v>
      </c>
      <c r="B41">
        <v>1</v>
      </c>
      <c r="C41">
        <v>12</v>
      </c>
      <c r="E41" t="s">
        <v>68</v>
      </c>
      <c r="F41" t="s">
        <v>69</v>
      </c>
      <c r="G41" t="s">
        <v>70</v>
      </c>
      <c r="H41" t="s">
        <v>71</v>
      </c>
      <c r="I41">
        <f>I40*J41</f>
        <v>0.47516999999999998</v>
      </c>
      <c r="J41">
        <v>0.47000000000000003</v>
      </c>
      <c r="O41">
        <f t="shared" si="28"/>
        <v>0</v>
      </c>
      <c r="P41">
        <f t="shared" si="29"/>
        <v>0</v>
      </c>
      <c r="Q41">
        <f t="shared" si="30"/>
        <v>0</v>
      </c>
      <c r="R41">
        <f t="shared" si="31"/>
        <v>0</v>
      </c>
      <c r="S41">
        <f t="shared" si="32"/>
        <v>0</v>
      </c>
      <c r="T41">
        <f t="shared" si="33"/>
        <v>0</v>
      </c>
      <c r="U41">
        <f t="shared" si="34"/>
        <v>0</v>
      </c>
      <c r="V41">
        <f t="shared" si="35"/>
        <v>0</v>
      </c>
      <c r="W41">
        <f t="shared" si="36"/>
        <v>0</v>
      </c>
      <c r="X41">
        <f t="shared" si="37"/>
        <v>0</v>
      </c>
      <c r="Y41">
        <f t="shared" si="38"/>
        <v>0</v>
      </c>
      <c r="AA41">
        <v>16748969</v>
      </c>
      <c r="AB41">
        <f t="shared" si="39"/>
        <v>0</v>
      </c>
      <c r="AC41">
        <f t="shared" si="40"/>
        <v>0</v>
      </c>
      <c r="AD41">
        <f t="shared" si="41"/>
        <v>0</v>
      </c>
      <c r="AE41">
        <f t="shared" si="42"/>
        <v>0</v>
      </c>
      <c r="AF41">
        <f t="shared" si="43"/>
        <v>0</v>
      </c>
      <c r="AG41">
        <f t="shared" si="44"/>
        <v>0</v>
      </c>
      <c r="AH41">
        <f t="shared" si="45"/>
        <v>0</v>
      </c>
      <c r="AI41">
        <f t="shared" si="46"/>
        <v>0</v>
      </c>
      <c r="AJ41">
        <f t="shared" si="47"/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80</v>
      </c>
      <c r="AU41">
        <v>68</v>
      </c>
      <c r="AV41">
        <v>1</v>
      </c>
      <c r="AW41">
        <v>1</v>
      </c>
      <c r="AZ41">
        <v>6.56</v>
      </c>
      <c r="BA41">
        <v>1</v>
      </c>
      <c r="BB41">
        <v>1</v>
      </c>
      <c r="BC41">
        <v>6.56</v>
      </c>
      <c r="BD41" t="s">
        <v>6</v>
      </c>
      <c r="BE41" t="s">
        <v>6</v>
      </c>
      <c r="BF41" t="s">
        <v>6</v>
      </c>
      <c r="BG41" t="s">
        <v>6</v>
      </c>
      <c r="BH41">
        <v>3</v>
      </c>
      <c r="BI41">
        <v>1</v>
      </c>
      <c r="BJ41" t="s">
        <v>6</v>
      </c>
      <c r="BM41">
        <v>57001</v>
      </c>
      <c r="BN41">
        <v>0</v>
      </c>
      <c r="BO41" t="s">
        <v>6</v>
      </c>
      <c r="BP41">
        <v>0</v>
      </c>
      <c r="BQ41">
        <v>6</v>
      </c>
      <c r="BR41">
        <v>0</v>
      </c>
      <c r="BS41">
        <v>1</v>
      </c>
      <c r="BT41">
        <v>1</v>
      </c>
      <c r="BU41">
        <v>1</v>
      </c>
      <c r="BV41">
        <v>1</v>
      </c>
      <c r="BW41">
        <v>1</v>
      </c>
      <c r="BX41">
        <v>1</v>
      </c>
      <c r="BY41" t="s">
        <v>6</v>
      </c>
      <c r="BZ41">
        <v>80</v>
      </c>
      <c r="CA41">
        <v>68</v>
      </c>
      <c r="CF41">
        <v>0</v>
      </c>
      <c r="CG41">
        <v>0</v>
      </c>
      <c r="CM41">
        <v>0</v>
      </c>
      <c r="CN41" t="s">
        <v>6</v>
      </c>
      <c r="CO41">
        <v>0</v>
      </c>
      <c r="CP41">
        <f t="shared" si="48"/>
        <v>0</v>
      </c>
      <c r="CQ41">
        <f t="shared" si="49"/>
        <v>0</v>
      </c>
      <c r="CR41">
        <f t="shared" si="50"/>
        <v>0</v>
      </c>
      <c r="CS41">
        <f t="shared" si="51"/>
        <v>0</v>
      </c>
      <c r="CT41">
        <f t="shared" si="52"/>
        <v>0</v>
      </c>
      <c r="CU41">
        <f t="shared" si="53"/>
        <v>0</v>
      </c>
      <c r="CV41">
        <f t="shared" si="54"/>
        <v>0</v>
      </c>
      <c r="CW41">
        <f t="shared" si="55"/>
        <v>0</v>
      </c>
      <c r="CX41">
        <f t="shared" si="56"/>
        <v>0</v>
      </c>
      <c r="CY41">
        <f t="shared" si="57"/>
        <v>0</v>
      </c>
      <c r="CZ41">
        <f t="shared" si="58"/>
        <v>0</v>
      </c>
      <c r="DC41" t="s">
        <v>6</v>
      </c>
      <c r="DD41" t="s">
        <v>6</v>
      </c>
      <c r="DE41" t="s">
        <v>6</v>
      </c>
      <c r="DF41" t="s">
        <v>6</v>
      </c>
      <c r="DG41" t="s">
        <v>6</v>
      </c>
      <c r="DH41" t="s">
        <v>6</v>
      </c>
      <c r="DI41" t="s">
        <v>6</v>
      </c>
      <c r="DJ41" t="s">
        <v>6</v>
      </c>
      <c r="DK41" t="s">
        <v>6</v>
      </c>
      <c r="DL41" t="s">
        <v>6</v>
      </c>
      <c r="DM41" t="s">
        <v>6</v>
      </c>
      <c r="DN41">
        <v>0</v>
      </c>
      <c r="DO41">
        <v>0</v>
      </c>
      <c r="DP41">
        <v>1</v>
      </c>
      <c r="DQ41">
        <v>1</v>
      </c>
      <c r="DU41">
        <v>1009</v>
      </c>
      <c r="DV41" t="s">
        <v>71</v>
      </c>
      <c r="DW41" t="s">
        <v>71</v>
      </c>
      <c r="DX41">
        <v>1000</v>
      </c>
      <c r="EE41">
        <v>16510566</v>
      </c>
      <c r="EF41">
        <v>6</v>
      </c>
      <c r="EG41" t="s">
        <v>36</v>
      </c>
      <c r="EH41">
        <v>0</v>
      </c>
      <c r="EI41" t="s">
        <v>6</v>
      </c>
      <c r="EJ41">
        <v>1</v>
      </c>
      <c r="EK41">
        <v>57001</v>
      </c>
      <c r="EL41" t="s">
        <v>62</v>
      </c>
      <c r="EM41" t="s">
        <v>63</v>
      </c>
      <c r="EO41" t="s">
        <v>6</v>
      </c>
      <c r="EQ41">
        <v>0</v>
      </c>
      <c r="ER41">
        <v>0</v>
      </c>
      <c r="ES41">
        <v>0</v>
      </c>
      <c r="ET41">
        <v>0</v>
      </c>
      <c r="EU41">
        <v>0</v>
      </c>
      <c r="EV41">
        <v>0</v>
      </c>
      <c r="EW41">
        <v>0</v>
      </c>
      <c r="EX41">
        <v>0</v>
      </c>
      <c r="FQ41">
        <v>0</v>
      </c>
      <c r="FR41">
        <f t="shared" si="59"/>
        <v>0</v>
      </c>
      <c r="FS41">
        <v>0</v>
      </c>
      <c r="FX41">
        <v>80</v>
      </c>
      <c r="FY41">
        <v>68</v>
      </c>
      <c r="GA41" t="s">
        <v>6</v>
      </c>
      <c r="GD41">
        <v>0</v>
      </c>
      <c r="GF41">
        <v>-179832266</v>
      </c>
      <c r="GG41">
        <v>1</v>
      </c>
      <c r="GH41">
        <v>1</v>
      </c>
      <c r="GI41">
        <v>4</v>
      </c>
      <c r="GJ41">
        <v>0</v>
      </c>
      <c r="GK41">
        <f>ROUND(R41*(R12)/100,2)</f>
        <v>0</v>
      </c>
      <c r="GL41">
        <f t="shared" si="60"/>
        <v>0</v>
      </c>
      <c r="GM41">
        <f t="shared" si="61"/>
        <v>0</v>
      </c>
      <c r="GN41">
        <f t="shared" si="62"/>
        <v>0</v>
      </c>
      <c r="GO41">
        <f t="shared" si="63"/>
        <v>0</v>
      </c>
      <c r="GP41">
        <f t="shared" si="64"/>
        <v>0</v>
      </c>
      <c r="GR41">
        <v>0</v>
      </c>
      <c r="GS41">
        <v>3</v>
      </c>
      <c r="GT41">
        <v>0</v>
      </c>
      <c r="GU41" t="s">
        <v>6</v>
      </c>
      <c r="GV41">
        <f t="shared" si="65"/>
        <v>0</v>
      </c>
      <c r="GW41">
        <v>1</v>
      </c>
      <c r="GX41">
        <f t="shared" si="66"/>
        <v>0</v>
      </c>
      <c r="HA41">
        <v>0</v>
      </c>
      <c r="HB41">
        <v>0</v>
      </c>
      <c r="IK41">
        <v>0</v>
      </c>
    </row>
    <row r="42" spans="1:245" x14ac:dyDescent="0.2">
      <c r="A42">
        <v>17</v>
      </c>
      <c r="B42">
        <v>1</v>
      </c>
      <c r="C42">
        <f>ROW(SmtRes!A13)</f>
        <v>13</v>
      </c>
      <c r="D42">
        <f>ROW(EtalonRes!A15)</f>
        <v>15</v>
      </c>
      <c r="E42" t="s">
        <v>72</v>
      </c>
      <c r="F42" t="s">
        <v>73</v>
      </c>
      <c r="G42" t="s">
        <v>74</v>
      </c>
      <c r="H42" t="s">
        <v>20</v>
      </c>
      <c r="I42">
        <f>ROUND(111.17/100,9)</f>
        <v>1.1116999999999999</v>
      </c>
      <c r="J42">
        <v>0</v>
      </c>
      <c r="O42">
        <f t="shared" si="28"/>
        <v>992.03</v>
      </c>
      <c r="P42">
        <f t="shared" si="29"/>
        <v>0</v>
      </c>
      <c r="Q42">
        <f t="shared" si="30"/>
        <v>0</v>
      </c>
      <c r="R42">
        <f t="shared" si="31"/>
        <v>0</v>
      </c>
      <c r="S42">
        <f t="shared" si="32"/>
        <v>992.03</v>
      </c>
      <c r="T42">
        <f t="shared" si="33"/>
        <v>0</v>
      </c>
      <c r="U42">
        <f t="shared" si="34"/>
        <v>19.388048000000001</v>
      </c>
      <c r="V42">
        <f t="shared" si="35"/>
        <v>0</v>
      </c>
      <c r="W42">
        <f t="shared" si="36"/>
        <v>0</v>
      </c>
      <c r="X42">
        <f t="shared" si="37"/>
        <v>793.62</v>
      </c>
      <c r="Y42">
        <f t="shared" si="38"/>
        <v>674.58</v>
      </c>
      <c r="AA42">
        <v>16748969</v>
      </c>
      <c r="AB42">
        <f t="shared" si="39"/>
        <v>136.03</v>
      </c>
      <c r="AC42">
        <f t="shared" si="40"/>
        <v>0</v>
      </c>
      <c r="AD42">
        <f t="shared" si="41"/>
        <v>0</v>
      </c>
      <c r="AE42">
        <f t="shared" si="42"/>
        <v>0</v>
      </c>
      <c r="AF42">
        <f t="shared" si="43"/>
        <v>136.03</v>
      </c>
      <c r="AG42">
        <f t="shared" si="44"/>
        <v>0</v>
      </c>
      <c r="AH42">
        <f t="shared" si="45"/>
        <v>17.440000000000001</v>
      </c>
      <c r="AI42">
        <f t="shared" si="46"/>
        <v>0</v>
      </c>
      <c r="AJ42">
        <f t="shared" si="47"/>
        <v>0</v>
      </c>
      <c r="AK42">
        <v>136.03</v>
      </c>
      <c r="AL42">
        <v>0</v>
      </c>
      <c r="AM42">
        <v>0</v>
      </c>
      <c r="AN42">
        <v>0</v>
      </c>
      <c r="AO42">
        <v>136.03</v>
      </c>
      <c r="AP42">
        <v>0</v>
      </c>
      <c r="AQ42">
        <v>17.440000000000001</v>
      </c>
      <c r="AR42">
        <v>0</v>
      </c>
      <c r="AS42">
        <v>0</v>
      </c>
      <c r="AT42">
        <v>80</v>
      </c>
      <c r="AU42">
        <v>68</v>
      </c>
      <c r="AV42">
        <v>1</v>
      </c>
      <c r="AW42">
        <v>1</v>
      </c>
      <c r="AZ42">
        <v>6.56</v>
      </c>
      <c r="BA42">
        <v>6.56</v>
      </c>
      <c r="BB42">
        <v>6.56</v>
      </c>
      <c r="BC42">
        <v>6.56</v>
      </c>
      <c r="BD42" t="s">
        <v>6</v>
      </c>
      <c r="BE42" t="s">
        <v>6</v>
      </c>
      <c r="BF42" t="s">
        <v>6</v>
      </c>
      <c r="BG42" t="s">
        <v>6</v>
      </c>
      <c r="BH42">
        <v>0</v>
      </c>
      <c r="BI42">
        <v>1</v>
      </c>
      <c r="BJ42" t="s">
        <v>75</v>
      </c>
      <c r="BM42">
        <v>57001</v>
      </c>
      <c r="BN42">
        <v>0</v>
      </c>
      <c r="BO42" t="s">
        <v>6</v>
      </c>
      <c r="BP42">
        <v>0</v>
      </c>
      <c r="BQ42">
        <v>6</v>
      </c>
      <c r="BR42">
        <v>0</v>
      </c>
      <c r="BS42">
        <v>6.56</v>
      </c>
      <c r="BT42">
        <v>1</v>
      </c>
      <c r="BU42">
        <v>1</v>
      </c>
      <c r="BV42">
        <v>1</v>
      </c>
      <c r="BW42">
        <v>1</v>
      </c>
      <c r="BX42">
        <v>1</v>
      </c>
      <c r="BY42" t="s">
        <v>6</v>
      </c>
      <c r="BZ42">
        <v>80</v>
      </c>
      <c r="CA42">
        <v>68</v>
      </c>
      <c r="CF42">
        <v>0</v>
      </c>
      <c r="CG42">
        <v>0</v>
      </c>
      <c r="CM42">
        <v>0</v>
      </c>
      <c r="CN42" t="s">
        <v>6</v>
      </c>
      <c r="CO42">
        <v>0</v>
      </c>
      <c r="CP42">
        <f t="shared" si="48"/>
        <v>992.03</v>
      </c>
      <c r="CQ42">
        <f t="shared" si="49"/>
        <v>0</v>
      </c>
      <c r="CR42">
        <f t="shared" si="50"/>
        <v>0</v>
      </c>
      <c r="CS42">
        <f t="shared" si="51"/>
        <v>0</v>
      </c>
      <c r="CT42">
        <f t="shared" si="52"/>
        <v>892.35679999999991</v>
      </c>
      <c r="CU42">
        <f t="shared" si="53"/>
        <v>0</v>
      </c>
      <c r="CV42">
        <f t="shared" si="54"/>
        <v>17.440000000000001</v>
      </c>
      <c r="CW42">
        <f t="shared" si="55"/>
        <v>0</v>
      </c>
      <c r="CX42">
        <f t="shared" si="56"/>
        <v>0</v>
      </c>
      <c r="CY42">
        <f t="shared" si="57"/>
        <v>793.62399999999991</v>
      </c>
      <c r="CZ42">
        <f t="shared" si="58"/>
        <v>674.58039999999994</v>
      </c>
      <c r="DC42" t="s">
        <v>6</v>
      </c>
      <c r="DD42" t="s">
        <v>6</v>
      </c>
      <c r="DE42" t="s">
        <v>6</v>
      </c>
      <c r="DF42" t="s">
        <v>6</v>
      </c>
      <c r="DG42" t="s">
        <v>6</v>
      </c>
      <c r="DH42" t="s">
        <v>6</v>
      </c>
      <c r="DI42" t="s">
        <v>6</v>
      </c>
      <c r="DJ42" t="s">
        <v>6</v>
      </c>
      <c r="DK42" t="s">
        <v>6</v>
      </c>
      <c r="DL42" t="s">
        <v>6</v>
      </c>
      <c r="DM42" t="s">
        <v>6</v>
      </c>
      <c r="DN42">
        <v>0</v>
      </c>
      <c r="DO42">
        <v>0</v>
      </c>
      <c r="DP42">
        <v>1</v>
      </c>
      <c r="DQ42">
        <v>1</v>
      </c>
      <c r="DU42">
        <v>1005</v>
      </c>
      <c r="DV42" t="s">
        <v>20</v>
      </c>
      <c r="DW42" t="s">
        <v>20</v>
      </c>
      <c r="DX42">
        <v>100</v>
      </c>
      <c r="EE42">
        <v>16510566</v>
      </c>
      <c r="EF42">
        <v>6</v>
      </c>
      <c r="EG42" t="s">
        <v>36</v>
      </c>
      <c r="EH42">
        <v>0</v>
      </c>
      <c r="EI42" t="s">
        <v>6</v>
      </c>
      <c r="EJ42">
        <v>1</v>
      </c>
      <c r="EK42">
        <v>57001</v>
      </c>
      <c r="EL42" t="s">
        <v>62</v>
      </c>
      <c r="EM42" t="s">
        <v>63</v>
      </c>
      <c r="EO42" t="s">
        <v>6</v>
      </c>
      <c r="EQ42">
        <v>131072</v>
      </c>
      <c r="ER42">
        <v>136.03</v>
      </c>
      <c r="ES42">
        <v>0</v>
      </c>
      <c r="ET42">
        <v>0</v>
      </c>
      <c r="EU42">
        <v>0</v>
      </c>
      <c r="EV42">
        <v>136.03</v>
      </c>
      <c r="EW42">
        <v>17.440000000000001</v>
      </c>
      <c r="EX42">
        <v>0</v>
      </c>
      <c r="EY42">
        <v>0</v>
      </c>
      <c r="FQ42">
        <v>0</v>
      </c>
      <c r="FR42">
        <f t="shared" si="59"/>
        <v>0</v>
      </c>
      <c r="FS42">
        <v>0</v>
      </c>
      <c r="FX42">
        <v>80</v>
      </c>
      <c r="FY42">
        <v>68</v>
      </c>
      <c r="GA42" t="s">
        <v>6</v>
      </c>
      <c r="GD42">
        <v>0</v>
      </c>
      <c r="GF42">
        <v>66589638</v>
      </c>
      <c r="GG42">
        <v>1</v>
      </c>
      <c r="GH42">
        <v>1</v>
      </c>
      <c r="GI42">
        <v>4</v>
      </c>
      <c r="GJ42">
        <v>0</v>
      </c>
      <c r="GK42">
        <f>ROUND(R42*(R12)/100,2)</f>
        <v>0</v>
      </c>
      <c r="GL42">
        <f t="shared" si="60"/>
        <v>0</v>
      </c>
      <c r="GM42">
        <f t="shared" si="61"/>
        <v>2460.23</v>
      </c>
      <c r="GN42">
        <f t="shared" si="62"/>
        <v>2460.23</v>
      </c>
      <c r="GO42">
        <f t="shared" si="63"/>
        <v>0</v>
      </c>
      <c r="GP42">
        <f t="shared" si="64"/>
        <v>0</v>
      </c>
      <c r="GR42">
        <v>0</v>
      </c>
      <c r="GS42">
        <v>3</v>
      </c>
      <c r="GT42">
        <v>0</v>
      </c>
      <c r="GU42" t="s">
        <v>6</v>
      </c>
      <c r="GV42">
        <f t="shared" si="65"/>
        <v>0</v>
      </c>
      <c r="GW42">
        <v>1</v>
      </c>
      <c r="GX42">
        <f t="shared" si="66"/>
        <v>0</v>
      </c>
      <c r="HA42">
        <v>0</v>
      </c>
      <c r="HB42">
        <v>0</v>
      </c>
      <c r="IK42">
        <v>0</v>
      </c>
    </row>
    <row r="43" spans="1:245" x14ac:dyDescent="0.2">
      <c r="A43">
        <v>17</v>
      </c>
      <c r="B43">
        <v>1</v>
      </c>
      <c r="C43">
        <f>ROW(SmtRes!A16)</f>
        <v>16</v>
      </c>
      <c r="D43">
        <f>ROW(EtalonRes!A19)</f>
        <v>19</v>
      </c>
      <c r="E43" t="s">
        <v>76</v>
      </c>
      <c r="F43" t="s">
        <v>77</v>
      </c>
      <c r="G43" t="s">
        <v>78</v>
      </c>
      <c r="H43" t="s">
        <v>20</v>
      </c>
      <c r="I43">
        <f>ROUND(11.1/100,9)</f>
        <v>0.111</v>
      </c>
      <c r="J43">
        <v>0</v>
      </c>
      <c r="O43">
        <f t="shared" si="28"/>
        <v>466.75</v>
      </c>
      <c r="P43">
        <f t="shared" si="29"/>
        <v>0</v>
      </c>
      <c r="Q43">
        <f t="shared" si="30"/>
        <v>32.770000000000003</v>
      </c>
      <c r="R43">
        <f t="shared" si="31"/>
        <v>14.16</v>
      </c>
      <c r="S43">
        <f t="shared" si="32"/>
        <v>433.98</v>
      </c>
      <c r="T43">
        <f t="shared" si="33"/>
        <v>0</v>
      </c>
      <c r="U43">
        <f t="shared" si="34"/>
        <v>7.7555700000000005</v>
      </c>
      <c r="V43">
        <f t="shared" si="35"/>
        <v>0.15984000000000001</v>
      </c>
      <c r="W43">
        <f t="shared" si="36"/>
        <v>0</v>
      </c>
      <c r="X43">
        <f t="shared" si="37"/>
        <v>358.51</v>
      </c>
      <c r="Y43">
        <f t="shared" si="38"/>
        <v>304.74</v>
      </c>
      <c r="AA43">
        <v>16748969</v>
      </c>
      <c r="AB43">
        <f t="shared" si="39"/>
        <v>641</v>
      </c>
      <c r="AC43">
        <f t="shared" si="40"/>
        <v>0</v>
      </c>
      <c r="AD43">
        <f t="shared" si="41"/>
        <v>45.01</v>
      </c>
      <c r="AE43">
        <f t="shared" si="42"/>
        <v>19.440000000000001</v>
      </c>
      <c r="AF43">
        <f t="shared" si="43"/>
        <v>595.99</v>
      </c>
      <c r="AG43">
        <f t="shared" si="44"/>
        <v>0</v>
      </c>
      <c r="AH43">
        <f t="shared" si="45"/>
        <v>69.87</v>
      </c>
      <c r="AI43">
        <f t="shared" si="46"/>
        <v>1.44</v>
      </c>
      <c r="AJ43">
        <f t="shared" si="47"/>
        <v>0</v>
      </c>
      <c r="AK43">
        <v>641</v>
      </c>
      <c r="AL43">
        <v>0</v>
      </c>
      <c r="AM43">
        <v>45.01</v>
      </c>
      <c r="AN43">
        <v>19.440000000000001</v>
      </c>
      <c r="AO43">
        <v>595.99</v>
      </c>
      <c r="AP43">
        <v>0</v>
      </c>
      <c r="AQ43">
        <v>69.87</v>
      </c>
      <c r="AR43">
        <v>1.44</v>
      </c>
      <c r="AS43">
        <v>0</v>
      </c>
      <c r="AT43">
        <v>80</v>
      </c>
      <c r="AU43">
        <v>68</v>
      </c>
      <c r="AV43">
        <v>1</v>
      </c>
      <c r="AW43">
        <v>1</v>
      </c>
      <c r="AZ43">
        <v>6.56</v>
      </c>
      <c r="BA43">
        <v>6.56</v>
      </c>
      <c r="BB43">
        <v>6.56</v>
      </c>
      <c r="BC43">
        <v>6.56</v>
      </c>
      <c r="BD43" t="s">
        <v>6</v>
      </c>
      <c r="BE43" t="s">
        <v>6</v>
      </c>
      <c r="BF43" t="s">
        <v>6</v>
      </c>
      <c r="BG43" t="s">
        <v>6</v>
      </c>
      <c r="BH43">
        <v>0</v>
      </c>
      <c r="BI43">
        <v>1</v>
      </c>
      <c r="BJ43" t="s">
        <v>79</v>
      </c>
      <c r="BM43">
        <v>57001</v>
      </c>
      <c r="BN43">
        <v>0</v>
      </c>
      <c r="BO43" t="s">
        <v>6</v>
      </c>
      <c r="BP43">
        <v>0</v>
      </c>
      <c r="BQ43">
        <v>6</v>
      </c>
      <c r="BR43">
        <v>0</v>
      </c>
      <c r="BS43">
        <v>6.56</v>
      </c>
      <c r="BT43">
        <v>1</v>
      </c>
      <c r="BU43">
        <v>1</v>
      </c>
      <c r="BV43">
        <v>1</v>
      </c>
      <c r="BW43">
        <v>1</v>
      </c>
      <c r="BX43">
        <v>1</v>
      </c>
      <c r="BY43" t="s">
        <v>6</v>
      </c>
      <c r="BZ43">
        <v>80</v>
      </c>
      <c r="CA43">
        <v>68</v>
      </c>
      <c r="CF43">
        <v>0</v>
      </c>
      <c r="CG43">
        <v>0</v>
      </c>
      <c r="CM43">
        <v>0</v>
      </c>
      <c r="CN43" t="s">
        <v>6</v>
      </c>
      <c r="CO43">
        <v>0</v>
      </c>
      <c r="CP43">
        <f t="shared" si="48"/>
        <v>466.75</v>
      </c>
      <c r="CQ43">
        <f t="shared" si="49"/>
        <v>0</v>
      </c>
      <c r="CR43">
        <f t="shared" si="50"/>
        <v>295.26559999999995</v>
      </c>
      <c r="CS43">
        <f t="shared" si="51"/>
        <v>127.5264</v>
      </c>
      <c r="CT43">
        <f t="shared" si="52"/>
        <v>3909.6943999999999</v>
      </c>
      <c r="CU43">
        <f t="shared" si="53"/>
        <v>0</v>
      </c>
      <c r="CV43">
        <f t="shared" si="54"/>
        <v>69.87</v>
      </c>
      <c r="CW43">
        <f t="shared" si="55"/>
        <v>1.44</v>
      </c>
      <c r="CX43">
        <f t="shared" si="56"/>
        <v>0</v>
      </c>
      <c r="CY43">
        <f t="shared" si="57"/>
        <v>358.51200000000006</v>
      </c>
      <c r="CZ43">
        <f t="shared" si="58"/>
        <v>304.73520000000002</v>
      </c>
      <c r="DC43" t="s">
        <v>6</v>
      </c>
      <c r="DD43" t="s">
        <v>6</v>
      </c>
      <c r="DE43" t="s">
        <v>6</v>
      </c>
      <c r="DF43" t="s">
        <v>6</v>
      </c>
      <c r="DG43" t="s">
        <v>6</v>
      </c>
      <c r="DH43" t="s">
        <v>6</v>
      </c>
      <c r="DI43" t="s">
        <v>6</v>
      </c>
      <c r="DJ43" t="s">
        <v>6</v>
      </c>
      <c r="DK43" t="s">
        <v>6</v>
      </c>
      <c r="DL43" t="s">
        <v>6</v>
      </c>
      <c r="DM43" t="s">
        <v>6</v>
      </c>
      <c r="DN43">
        <v>0</v>
      </c>
      <c r="DO43">
        <v>0</v>
      </c>
      <c r="DP43">
        <v>1</v>
      </c>
      <c r="DQ43">
        <v>1</v>
      </c>
      <c r="DU43">
        <v>1005</v>
      </c>
      <c r="DV43" t="s">
        <v>20</v>
      </c>
      <c r="DW43" t="s">
        <v>20</v>
      </c>
      <c r="DX43">
        <v>100</v>
      </c>
      <c r="EE43">
        <v>16510566</v>
      </c>
      <c r="EF43">
        <v>6</v>
      </c>
      <c r="EG43" t="s">
        <v>36</v>
      </c>
      <c r="EH43">
        <v>0</v>
      </c>
      <c r="EI43" t="s">
        <v>6</v>
      </c>
      <c r="EJ43">
        <v>1</v>
      </c>
      <c r="EK43">
        <v>57001</v>
      </c>
      <c r="EL43" t="s">
        <v>62</v>
      </c>
      <c r="EM43" t="s">
        <v>63</v>
      </c>
      <c r="EO43" t="s">
        <v>6</v>
      </c>
      <c r="EQ43">
        <v>131072</v>
      </c>
      <c r="ER43">
        <v>641</v>
      </c>
      <c r="ES43">
        <v>0</v>
      </c>
      <c r="ET43">
        <v>45.01</v>
      </c>
      <c r="EU43">
        <v>19.440000000000001</v>
      </c>
      <c r="EV43">
        <v>595.99</v>
      </c>
      <c r="EW43">
        <v>69.87</v>
      </c>
      <c r="EX43">
        <v>1.44</v>
      </c>
      <c r="EY43">
        <v>0</v>
      </c>
      <c r="FQ43">
        <v>0</v>
      </c>
      <c r="FR43">
        <f t="shared" si="59"/>
        <v>0</v>
      </c>
      <c r="FS43">
        <v>0</v>
      </c>
      <c r="FX43">
        <v>80</v>
      </c>
      <c r="FY43">
        <v>68</v>
      </c>
      <c r="GA43" t="s">
        <v>6</v>
      </c>
      <c r="GD43">
        <v>0</v>
      </c>
      <c r="GF43">
        <v>-698441934</v>
      </c>
      <c r="GG43">
        <v>1</v>
      </c>
      <c r="GH43">
        <v>1</v>
      </c>
      <c r="GI43">
        <v>4</v>
      </c>
      <c r="GJ43">
        <v>0</v>
      </c>
      <c r="GK43">
        <f>ROUND(R43*(R12)/100,2)</f>
        <v>0</v>
      </c>
      <c r="GL43">
        <f t="shared" si="60"/>
        <v>0</v>
      </c>
      <c r="GM43">
        <f t="shared" si="61"/>
        <v>1130</v>
      </c>
      <c r="GN43">
        <f t="shared" si="62"/>
        <v>1130</v>
      </c>
      <c r="GO43">
        <f t="shared" si="63"/>
        <v>0</v>
      </c>
      <c r="GP43">
        <f t="shared" si="64"/>
        <v>0</v>
      </c>
      <c r="GR43">
        <v>0</v>
      </c>
      <c r="GS43">
        <v>3</v>
      </c>
      <c r="GT43">
        <v>0</v>
      </c>
      <c r="GU43" t="s">
        <v>6</v>
      </c>
      <c r="GV43">
        <f t="shared" si="65"/>
        <v>0</v>
      </c>
      <c r="GW43">
        <v>1</v>
      </c>
      <c r="GX43">
        <f t="shared" si="66"/>
        <v>0</v>
      </c>
      <c r="HA43">
        <v>0</v>
      </c>
      <c r="HB43">
        <v>0</v>
      </c>
      <c r="IK43">
        <v>0</v>
      </c>
    </row>
    <row r="44" spans="1:245" x14ac:dyDescent="0.2">
      <c r="A44">
        <v>17</v>
      </c>
      <c r="B44">
        <v>1</v>
      </c>
      <c r="C44">
        <f>ROW(SmtRes!A21)</f>
        <v>21</v>
      </c>
      <c r="D44">
        <f>ROW(EtalonRes!A24)</f>
        <v>24</v>
      </c>
      <c r="E44" t="s">
        <v>80</v>
      </c>
      <c r="F44" t="s">
        <v>81</v>
      </c>
      <c r="G44" t="s">
        <v>82</v>
      </c>
      <c r="H44" t="s">
        <v>20</v>
      </c>
      <c r="I44">
        <f>ROUND(50.6/100,9)</f>
        <v>0.50600000000000001</v>
      </c>
      <c r="J44">
        <v>0</v>
      </c>
      <c r="O44">
        <f t="shared" si="28"/>
        <v>2170.86</v>
      </c>
      <c r="P44">
        <f t="shared" si="29"/>
        <v>0</v>
      </c>
      <c r="Q44">
        <f t="shared" si="30"/>
        <v>229.9</v>
      </c>
      <c r="R44">
        <f t="shared" si="31"/>
        <v>15.7</v>
      </c>
      <c r="S44">
        <f t="shared" si="32"/>
        <v>1940.96</v>
      </c>
      <c r="T44">
        <f t="shared" si="33"/>
        <v>0</v>
      </c>
      <c r="U44">
        <f t="shared" si="34"/>
        <v>37.595799999999997</v>
      </c>
      <c r="V44">
        <f t="shared" si="35"/>
        <v>0.17709999999999998</v>
      </c>
      <c r="W44">
        <f t="shared" si="36"/>
        <v>0</v>
      </c>
      <c r="X44">
        <f t="shared" si="37"/>
        <v>1506.63</v>
      </c>
      <c r="Y44">
        <f t="shared" si="38"/>
        <v>978.33</v>
      </c>
      <c r="AA44">
        <v>16748969</v>
      </c>
      <c r="AB44">
        <f t="shared" si="39"/>
        <v>654</v>
      </c>
      <c r="AC44">
        <f t="shared" si="40"/>
        <v>0</v>
      </c>
      <c r="AD44">
        <f t="shared" si="41"/>
        <v>69.260000000000005</v>
      </c>
      <c r="AE44">
        <f t="shared" si="42"/>
        <v>4.7300000000000004</v>
      </c>
      <c r="AF44">
        <f t="shared" si="43"/>
        <v>584.74</v>
      </c>
      <c r="AG44">
        <f t="shared" si="44"/>
        <v>0</v>
      </c>
      <c r="AH44">
        <f t="shared" si="45"/>
        <v>74.3</v>
      </c>
      <c r="AI44">
        <f t="shared" si="46"/>
        <v>0.35</v>
      </c>
      <c r="AJ44">
        <f t="shared" si="47"/>
        <v>0</v>
      </c>
      <c r="AK44">
        <v>654</v>
      </c>
      <c r="AL44">
        <v>0</v>
      </c>
      <c r="AM44">
        <v>69.260000000000005</v>
      </c>
      <c r="AN44">
        <v>4.7300000000000004</v>
      </c>
      <c r="AO44">
        <v>584.74</v>
      </c>
      <c r="AP44">
        <v>0</v>
      </c>
      <c r="AQ44">
        <v>74.3</v>
      </c>
      <c r="AR44">
        <v>0.35</v>
      </c>
      <c r="AS44">
        <v>0</v>
      </c>
      <c r="AT44">
        <v>77</v>
      </c>
      <c r="AU44">
        <v>50</v>
      </c>
      <c r="AV44">
        <v>1</v>
      </c>
      <c r="AW44">
        <v>1</v>
      </c>
      <c r="AZ44">
        <v>6.56</v>
      </c>
      <c r="BA44">
        <v>6.56</v>
      </c>
      <c r="BB44">
        <v>6.56</v>
      </c>
      <c r="BC44">
        <v>6.56</v>
      </c>
      <c r="BD44" t="s">
        <v>6</v>
      </c>
      <c r="BE44" t="s">
        <v>6</v>
      </c>
      <c r="BF44" t="s">
        <v>6</v>
      </c>
      <c r="BG44" t="s">
        <v>6</v>
      </c>
      <c r="BH44">
        <v>0</v>
      </c>
      <c r="BI44">
        <v>1</v>
      </c>
      <c r="BJ44" t="s">
        <v>83</v>
      </c>
      <c r="BM44">
        <v>63001</v>
      </c>
      <c r="BN44">
        <v>0</v>
      </c>
      <c r="BO44" t="s">
        <v>6</v>
      </c>
      <c r="BP44">
        <v>0</v>
      </c>
      <c r="BQ44">
        <v>6</v>
      </c>
      <c r="BR44">
        <v>0</v>
      </c>
      <c r="BS44">
        <v>6.56</v>
      </c>
      <c r="BT44">
        <v>1</v>
      </c>
      <c r="BU44">
        <v>1</v>
      </c>
      <c r="BV44">
        <v>1</v>
      </c>
      <c r="BW44">
        <v>1</v>
      </c>
      <c r="BX44">
        <v>1</v>
      </c>
      <c r="BY44" t="s">
        <v>6</v>
      </c>
      <c r="BZ44">
        <v>77</v>
      </c>
      <c r="CA44">
        <v>50</v>
      </c>
      <c r="CF44">
        <v>0</v>
      </c>
      <c r="CG44">
        <v>0</v>
      </c>
      <c r="CM44">
        <v>0</v>
      </c>
      <c r="CN44" t="s">
        <v>6</v>
      </c>
      <c r="CO44">
        <v>0</v>
      </c>
      <c r="CP44">
        <f t="shared" si="48"/>
        <v>2170.86</v>
      </c>
      <c r="CQ44">
        <f t="shared" si="49"/>
        <v>0</v>
      </c>
      <c r="CR44">
        <f t="shared" si="50"/>
        <v>454.34559999999999</v>
      </c>
      <c r="CS44">
        <f t="shared" si="51"/>
        <v>31.0288</v>
      </c>
      <c r="CT44">
        <f t="shared" si="52"/>
        <v>3835.8943999999997</v>
      </c>
      <c r="CU44">
        <f t="shared" si="53"/>
        <v>0</v>
      </c>
      <c r="CV44">
        <f t="shared" si="54"/>
        <v>74.3</v>
      </c>
      <c r="CW44">
        <f t="shared" si="55"/>
        <v>0.35</v>
      </c>
      <c r="CX44">
        <f t="shared" si="56"/>
        <v>0</v>
      </c>
      <c r="CY44">
        <f t="shared" si="57"/>
        <v>1506.6282000000001</v>
      </c>
      <c r="CZ44">
        <f t="shared" si="58"/>
        <v>978.33</v>
      </c>
      <c r="DC44" t="s">
        <v>6</v>
      </c>
      <c r="DD44" t="s">
        <v>6</v>
      </c>
      <c r="DE44" t="s">
        <v>6</v>
      </c>
      <c r="DF44" t="s">
        <v>6</v>
      </c>
      <c r="DG44" t="s">
        <v>6</v>
      </c>
      <c r="DH44" t="s">
        <v>6</v>
      </c>
      <c r="DI44" t="s">
        <v>6</v>
      </c>
      <c r="DJ44" t="s">
        <v>6</v>
      </c>
      <c r="DK44" t="s">
        <v>6</v>
      </c>
      <c r="DL44" t="s">
        <v>6</v>
      </c>
      <c r="DM44" t="s">
        <v>6</v>
      </c>
      <c r="DN44">
        <v>0</v>
      </c>
      <c r="DO44">
        <v>0</v>
      </c>
      <c r="DP44">
        <v>1</v>
      </c>
      <c r="DQ44">
        <v>1</v>
      </c>
      <c r="DU44">
        <v>1005</v>
      </c>
      <c r="DV44" t="s">
        <v>20</v>
      </c>
      <c r="DW44" t="s">
        <v>20</v>
      </c>
      <c r="DX44">
        <v>100</v>
      </c>
      <c r="EE44">
        <v>16510572</v>
      </c>
      <c r="EF44">
        <v>6</v>
      </c>
      <c r="EG44" t="s">
        <v>36</v>
      </c>
      <c r="EH44">
        <v>0</v>
      </c>
      <c r="EI44" t="s">
        <v>6</v>
      </c>
      <c r="EJ44">
        <v>1</v>
      </c>
      <c r="EK44">
        <v>63001</v>
      </c>
      <c r="EL44" t="s">
        <v>84</v>
      </c>
      <c r="EM44" t="s">
        <v>85</v>
      </c>
      <c r="EO44" t="s">
        <v>6</v>
      </c>
      <c r="EQ44">
        <v>131072</v>
      </c>
      <c r="ER44">
        <v>654</v>
      </c>
      <c r="ES44">
        <v>0</v>
      </c>
      <c r="ET44">
        <v>69.260000000000005</v>
      </c>
      <c r="EU44">
        <v>4.7300000000000004</v>
      </c>
      <c r="EV44">
        <v>584.74</v>
      </c>
      <c r="EW44">
        <v>74.3</v>
      </c>
      <c r="EX44">
        <v>0.35</v>
      </c>
      <c r="EY44">
        <v>0</v>
      </c>
      <c r="FQ44">
        <v>0</v>
      </c>
      <c r="FR44">
        <f t="shared" si="59"/>
        <v>0</v>
      </c>
      <c r="FS44">
        <v>0</v>
      </c>
      <c r="FX44">
        <v>77</v>
      </c>
      <c r="FY44">
        <v>50</v>
      </c>
      <c r="GA44" t="s">
        <v>6</v>
      </c>
      <c r="GD44">
        <v>0</v>
      </c>
      <c r="GF44">
        <v>1410032296</v>
      </c>
      <c r="GG44">
        <v>1</v>
      </c>
      <c r="GH44">
        <v>1</v>
      </c>
      <c r="GI44">
        <v>4</v>
      </c>
      <c r="GJ44">
        <v>0</v>
      </c>
      <c r="GK44">
        <f>ROUND(R44*(R12)/100,2)</f>
        <v>0</v>
      </c>
      <c r="GL44">
        <f t="shared" si="60"/>
        <v>0</v>
      </c>
      <c r="GM44">
        <f t="shared" si="61"/>
        <v>4655.82</v>
      </c>
      <c r="GN44">
        <f t="shared" si="62"/>
        <v>4655.82</v>
      </c>
      <c r="GO44">
        <f t="shared" si="63"/>
        <v>0</v>
      </c>
      <c r="GP44">
        <f t="shared" si="64"/>
        <v>0</v>
      </c>
      <c r="GR44">
        <v>0</v>
      </c>
      <c r="GS44">
        <v>3</v>
      </c>
      <c r="GT44">
        <v>0</v>
      </c>
      <c r="GU44" t="s">
        <v>6</v>
      </c>
      <c r="GV44">
        <f t="shared" si="65"/>
        <v>0</v>
      </c>
      <c r="GW44">
        <v>1</v>
      </c>
      <c r="GX44">
        <f t="shared" si="66"/>
        <v>0</v>
      </c>
      <c r="HA44">
        <v>0</v>
      </c>
      <c r="HB44">
        <v>0</v>
      </c>
      <c r="IK44">
        <v>0</v>
      </c>
    </row>
    <row r="45" spans="1:245" x14ac:dyDescent="0.2">
      <c r="A45">
        <v>17</v>
      </c>
      <c r="B45">
        <v>1</v>
      </c>
      <c r="C45">
        <f>ROW(SmtRes!A28)</f>
        <v>28</v>
      </c>
      <c r="D45">
        <f>ROW(EtalonRes!A33)</f>
        <v>33</v>
      </c>
      <c r="E45" t="s">
        <v>86</v>
      </c>
      <c r="F45" t="s">
        <v>87</v>
      </c>
      <c r="G45" t="s">
        <v>88</v>
      </c>
      <c r="H45" t="s">
        <v>89</v>
      </c>
      <c r="I45">
        <v>9.2200000000000006</v>
      </c>
      <c r="J45">
        <v>0</v>
      </c>
      <c r="O45">
        <f t="shared" si="28"/>
        <v>1618.53</v>
      </c>
      <c r="P45">
        <f t="shared" si="29"/>
        <v>0</v>
      </c>
      <c r="Q45">
        <f t="shared" si="30"/>
        <v>610.28</v>
      </c>
      <c r="R45">
        <f t="shared" si="31"/>
        <v>83.47</v>
      </c>
      <c r="S45">
        <f t="shared" si="32"/>
        <v>1008.25</v>
      </c>
      <c r="T45">
        <f t="shared" si="33"/>
        <v>0</v>
      </c>
      <c r="U45">
        <f t="shared" si="34"/>
        <v>15.489600000000001</v>
      </c>
      <c r="V45">
        <f t="shared" si="35"/>
        <v>1.09718</v>
      </c>
      <c r="W45">
        <f t="shared" si="36"/>
        <v>0</v>
      </c>
      <c r="X45">
        <f t="shared" si="37"/>
        <v>884.29</v>
      </c>
      <c r="Y45">
        <f t="shared" si="38"/>
        <v>786.04</v>
      </c>
      <c r="AA45">
        <v>16748969</v>
      </c>
      <c r="AB45">
        <f t="shared" si="39"/>
        <v>26.76</v>
      </c>
      <c r="AC45">
        <f>ROUND(((ES45*0)),2)</f>
        <v>0</v>
      </c>
      <c r="AD45">
        <f>ROUND(((((ET45*0.7))-((EU45*0.7)))+AE45),2)</f>
        <v>10.09</v>
      </c>
      <c r="AE45">
        <f>ROUND(((EU45*0.7)),2)</f>
        <v>1.38</v>
      </c>
      <c r="AF45">
        <f>ROUND(((EV45*0.7)),2)</f>
        <v>16.670000000000002</v>
      </c>
      <c r="AG45">
        <f t="shared" si="44"/>
        <v>0</v>
      </c>
      <c r="AH45">
        <f>((EW45*0.7))</f>
        <v>1.68</v>
      </c>
      <c r="AI45">
        <f>((EX45*0.7))</f>
        <v>0.11899999999999999</v>
      </c>
      <c r="AJ45">
        <f t="shared" si="47"/>
        <v>0</v>
      </c>
      <c r="AK45">
        <v>63.94</v>
      </c>
      <c r="AL45">
        <v>25.72</v>
      </c>
      <c r="AM45">
        <v>14.41</v>
      </c>
      <c r="AN45">
        <v>1.97</v>
      </c>
      <c r="AO45">
        <v>23.81</v>
      </c>
      <c r="AP45">
        <v>0</v>
      </c>
      <c r="AQ45">
        <v>2.4</v>
      </c>
      <c r="AR45">
        <v>0.17</v>
      </c>
      <c r="AS45">
        <v>0</v>
      </c>
      <c r="AT45">
        <v>81</v>
      </c>
      <c r="AU45">
        <v>72</v>
      </c>
      <c r="AV45">
        <v>1</v>
      </c>
      <c r="AW45">
        <v>1</v>
      </c>
      <c r="AZ45">
        <v>6.56</v>
      </c>
      <c r="BA45">
        <v>6.56</v>
      </c>
      <c r="BB45">
        <v>6.56</v>
      </c>
      <c r="BC45">
        <v>6.56</v>
      </c>
      <c r="BD45" t="s">
        <v>6</v>
      </c>
      <c r="BE45" t="s">
        <v>6</v>
      </c>
      <c r="BF45" t="s">
        <v>6</v>
      </c>
      <c r="BG45" t="s">
        <v>6</v>
      </c>
      <c r="BH45">
        <v>0</v>
      </c>
      <c r="BI45">
        <v>1</v>
      </c>
      <c r="BJ45" t="s">
        <v>90</v>
      </c>
      <c r="BM45">
        <v>9001</v>
      </c>
      <c r="BN45">
        <v>0</v>
      </c>
      <c r="BO45" t="s">
        <v>6</v>
      </c>
      <c r="BP45">
        <v>0</v>
      </c>
      <c r="BQ45">
        <v>2</v>
      </c>
      <c r="BR45">
        <v>0</v>
      </c>
      <c r="BS45">
        <v>6.56</v>
      </c>
      <c r="BT45">
        <v>1</v>
      </c>
      <c r="BU45">
        <v>1</v>
      </c>
      <c r="BV45">
        <v>1</v>
      </c>
      <c r="BW45">
        <v>1</v>
      </c>
      <c r="BX45">
        <v>1</v>
      </c>
      <c r="BY45" t="s">
        <v>6</v>
      </c>
      <c r="BZ45">
        <v>90</v>
      </c>
      <c r="CA45">
        <v>85</v>
      </c>
      <c r="CF45">
        <v>0</v>
      </c>
      <c r="CG45">
        <v>0</v>
      </c>
      <c r="CM45">
        <v>0</v>
      </c>
      <c r="CN45" t="s">
        <v>91</v>
      </c>
      <c r="CO45">
        <v>0</v>
      </c>
      <c r="CP45">
        <f t="shared" si="48"/>
        <v>1618.53</v>
      </c>
      <c r="CQ45">
        <f t="shared" si="49"/>
        <v>0</v>
      </c>
      <c r="CR45">
        <f t="shared" si="50"/>
        <v>66.190399999999997</v>
      </c>
      <c r="CS45">
        <f t="shared" si="51"/>
        <v>9.0527999999999995</v>
      </c>
      <c r="CT45">
        <f t="shared" si="52"/>
        <v>109.35520000000001</v>
      </c>
      <c r="CU45">
        <f t="shared" si="53"/>
        <v>0</v>
      </c>
      <c r="CV45">
        <f t="shared" si="54"/>
        <v>1.68</v>
      </c>
      <c r="CW45">
        <f t="shared" si="55"/>
        <v>0.11899999999999999</v>
      </c>
      <c r="CX45">
        <f t="shared" si="56"/>
        <v>0</v>
      </c>
      <c r="CY45">
        <f t="shared" si="57"/>
        <v>884.29320000000007</v>
      </c>
      <c r="CZ45">
        <f t="shared" si="58"/>
        <v>786.03839999999991</v>
      </c>
      <c r="DC45" t="s">
        <v>6</v>
      </c>
      <c r="DD45" t="s">
        <v>92</v>
      </c>
      <c r="DE45" t="s">
        <v>93</v>
      </c>
      <c r="DF45" t="s">
        <v>93</v>
      </c>
      <c r="DG45" t="s">
        <v>93</v>
      </c>
      <c r="DH45" t="s">
        <v>6</v>
      </c>
      <c r="DI45" t="s">
        <v>93</v>
      </c>
      <c r="DJ45" t="s">
        <v>93</v>
      </c>
      <c r="DK45" t="s">
        <v>6</v>
      </c>
      <c r="DL45" t="s">
        <v>6</v>
      </c>
      <c r="DM45" t="s">
        <v>6</v>
      </c>
      <c r="DN45">
        <v>0</v>
      </c>
      <c r="DO45">
        <v>0</v>
      </c>
      <c r="DP45">
        <v>1</v>
      </c>
      <c r="DQ45">
        <v>1</v>
      </c>
      <c r="DU45">
        <v>1005</v>
      </c>
      <c r="DV45" t="s">
        <v>89</v>
      </c>
      <c r="DW45" t="s">
        <v>89</v>
      </c>
      <c r="DX45">
        <v>1</v>
      </c>
      <c r="EE45">
        <v>16510486</v>
      </c>
      <c r="EF45">
        <v>2</v>
      </c>
      <c r="EG45" t="s">
        <v>22</v>
      </c>
      <c r="EH45">
        <v>0</v>
      </c>
      <c r="EI45" t="s">
        <v>6</v>
      </c>
      <c r="EJ45">
        <v>1</v>
      </c>
      <c r="EK45">
        <v>9001</v>
      </c>
      <c r="EL45" t="s">
        <v>94</v>
      </c>
      <c r="EM45" t="s">
        <v>95</v>
      </c>
      <c r="EO45" t="s">
        <v>96</v>
      </c>
      <c r="EQ45">
        <v>0</v>
      </c>
      <c r="ER45">
        <v>63.94</v>
      </c>
      <c r="ES45">
        <v>25.72</v>
      </c>
      <c r="ET45">
        <v>14.41</v>
      </c>
      <c r="EU45">
        <v>1.97</v>
      </c>
      <c r="EV45">
        <v>23.81</v>
      </c>
      <c r="EW45">
        <v>2.4</v>
      </c>
      <c r="EX45">
        <v>0.17</v>
      </c>
      <c r="EY45">
        <v>0</v>
      </c>
      <c r="FQ45">
        <v>0</v>
      </c>
      <c r="FR45">
        <f t="shared" si="59"/>
        <v>0</v>
      </c>
      <c r="FS45">
        <v>0</v>
      </c>
      <c r="FT45" t="s">
        <v>25</v>
      </c>
      <c r="FU45" t="s">
        <v>26</v>
      </c>
      <c r="FX45">
        <v>81</v>
      </c>
      <c r="FY45">
        <v>72.25</v>
      </c>
      <c r="GA45" t="s">
        <v>6</v>
      </c>
      <c r="GD45">
        <v>0</v>
      </c>
      <c r="GF45">
        <v>-1162533564</v>
      </c>
      <c r="GG45">
        <v>1</v>
      </c>
      <c r="GH45">
        <v>1</v>
      </c>
      <c r="GI45">
        <v>4</v>
      </c>
      <c r="GJ45">
        <v>0</v>
      </c>
      <c r="GK45">
        <f>ROUND(R45*(R12)/100,2)</f>
        <v>0</v>
      </c>
      <c r="GL45">
        <f t="shared" si="60"/>
        <v>0</v>
      </c>
      <c r="GM45">
        <f t="shared" si="61"/>
        <v>3288.86</v>
      </c>
      <c r="GN45">
        <f t="shared" si="62"/>
        <v>3288.86</v>
      </c>
      <c r="GO45">
        <f t="shared" si="63"/>
        <v>0</v>
      </c>
      <c r="GP45">
        <f t="shared" si="64"/>
        <v>0</v>
      </c>
      <c r="GR45">
        <v>0</v>
      </c>
      <c r="GS45">
        <v>3</v>
      </c>
      <c r="GT45">
        <v>0</v>
      </c>
      <c r="GU45" t="s">
        <v>6</v>
      </c>
      <c r="GV45">
        <f t="shared" si="65"/>
        <v>0</v>
      </c>
      <c r="GW45">
        <v>1</v>
      </c>
      <c r="GX45">
        <f t="shared" si="66"/>
        <v>0</v>
      </c>
      <c r="HA45">
        <v>0</v>
      </c>
      <c r="HB45">
        <v>0</v>
      </c>
      <c r="IK45">
        <v>0</v>
      </c>
    </row>
    <row r="46" spans="1:245" x14ac:dyDescent="0.2">
      <c r="A46">
        <v>17</v>
      </c>
      <c r="B46">
        <v>1</v>
      </c>
      <c r="C46">
        <f>ROW(SmtRes!A35)</f>
        <v>35</v>
      </c>
      <c r="D46">
        <f>ROW(EtalonRes!A40)</f>
        <v>40</v>
      </c>
      <c r="E46" t="s">
        <v>97</v>
      </c>
      <c r="F46" t="s">
        <v>98</v>
      </c>
      <c r="G46" t="s">
        <v>99</v>
      </c>
      <c r="H46" t="s">
        <v>34</v>
      </c>
      <c r="I46">
        <f>ROUND(16.83/100,9)</f>
        <v>0.16830000000000001</v>
      </c>
      <c r="J46">
        <v>0</v>
      </c>
      <c r="O46">
        <f t="shared" si="28"/>
        <v>362.92</v>
      </c>
      <c r="P46">
        <f t="shared" si="29"/>
        <v>37.1</v>
      </c>
      <c r="Q46">
        <f t="shared" si="30"/>
        <v>7.83</v>
      </c>
      <c r="R46">
        <f t="shared" si="31"/>
        <v>1.49</v>
      </c>
      <c r="S46">
        <f t="shared" si="32"/>
        <v>317.99</v>
      </c>
      <c r="T46">
        <f t="shared" si="33"/>
        <v>0</v>
      </c>
      <c r="U46">
        <f t="shared" si="34"/>
        <v>5.833278</v>
      </c>
      <c r="V46">
        <f t="shared" si="35"/>
        <v>1.6830000000000001E-2</v>
      </c>
      <c r="W46">
        <f t="shared" si="36"/>
        <v>0</v>
      </c>
      <c r="X46">
        <f t="shared" si="37"/>
        <v>236.42</v>
      </c>
      <c r="Y46">
        <f t="shared" si="38"/>
        <v>159.74</v>
      </c>
      <c r="AA46">
        <v>16748969</v>
      </c>
      <c r="AB46">
        <f t="shared" si="39"/>
        <v>328.71</v>
      </c>
      <c r="AC46">
        <f>ROUND((ES46),2)</f>
        <v>33.6</v>
      </c>
      <c r="AD46">
        <f>ROUND((((ET46)-(EU46))+AE46),2)</f>
        <v>7.09</v>
      </c>
      <c r="AE46">
        <f t="shared" ref="AE46:AF50" si="67">ROUND((EU46),2)</f>
        <v>1.35</v>
      </c>
      <c r="AF46">
        <f t="shared" si="67"/>
        <v>288.02</v>
      </c>
      <c r="AG46">
        <f t="shared" si="44"/>
        <v>0</v>
      </c>
      <c r="AH46">
        <f t="shared" ref="AH46:AI50" si="68">(EW46)</f>
        <v>34.659999999999997</v>
      </c>
      <c r="AI46">
        <f t="shared" si="68"/>
        <v>0.1</v>
      </c>
      <c r="AJ46">
        <f t="shared" si="47"/>
        <v>0</v>
      </c>
      <c r="AK46">
        <v>328.71</v>
      </c>
      <c r="AL46">
        <v>33.6</v>
      </c>
      <c r="AM46">
        <v>7.09</v>
      </c>
      <c r="AN46">
        <v>1.35</v>
      </c>
      <c r="AO46">
        <v>288.02</v>
      </c>
      <c r="AP46">
        <v>0</v>
      </c>
      <c r="AQ46">
        <v>34.659999999999997</v>
      </c>
      <c r="AR46">
        <v>0.1</v>
      </c>
      <c r="AS46">
        <v>0</v>
      </c>
      <c r="AT46">
        <v>74</v>
      </c>
      <c r="AU46">
        <v>50</v>
      </c>
      <c r="AV46">
        <v>1</v>
      </c>
      <c r="AW46">
        <v>1</v>
      </c>
      <c r="AZ46">
        <v>6.56</v>
      </c>
      <c r="BA46">
        <v>6.56</v>
      </c>
      <c r="BB46">
        <v>6.56</v>
      </c>
      <c r="BC46">
        <v>6.56</v>
      </c>
      <c r="BD46" t="s">
        <v>6</v>
      </c>
      <c r="BE46" t="s">
        <v>6</v>
      </c>
      <c r="BF46" t="s">
        <v>6</v>
      </c>
      <c r="BG46" t="s">
        <v>6</v>
      </c>
      <c r="BH46">
        <v>0</v>
      </c>
      <c r="BI46">
        <v>1</v>
      </c>
      <c r="BJ46" t="s">
        <v>100</v>
      </c>
      <c r="BM46">
        <v>65001</v>
      </c>
      <c r="BN46">
        <v>0</v>
      </c>
      <c r="BO46" t="s">
        <v>6</v>
      </c>
      <c r="BP46">
        <v>0</v>
      </c>
      <c r="BQ46">
        <v>6</v>
      </c>
      <c r="BR46">
        <v>0</v>
      </c>
      <c r="BS46">
        <v>6.56</v>
      </c>
      <c r="BT46">
        <v>1</v>
      </c>
      <c r="BU46">
        <v>1</v>
      </c>
      <c r="BV46">
        <v>1</v>
      </c>
      <c r="BW46">
        <v>1</v>
      </c>
      <c r="BX46">
        <v>1</v>
      </c>
      <c r="BY46" t="s">
        <v>6</v>
      </c>
      <c r="BZ46">
        <v>74</v>
      </c>
      <c r="CA46">
        <v>50</v>
      </c>
      <c r="CF46">
        <v>0</v>
      </c>
      <c r="CG46">
        <v>0</v>
      </c>
      <c r="CM46">
        <v>0</v>
      </c>
      <c r="CN46" t="s">
        <v>6</v>
      </c>
      <c r="CO46">
        <v>0</v>
      </c>
      <c r="CP46">
        <f t="shared" si="48"/>
        <v>362.92</v>
      </c>
      <c r="CQ46">
        <f t="shared" si="49"/>
        <v>220.416</v>
      </c>
      <c r="CR46">
        <f t="shared" si="50"/>
        <v>46.510399999999997</v>
      </c>
      <c r="CS46">
        <f t="shared" si="51"/>
        <v>8.8559999999999999</v>
      </c>
      <c r="CT46">
        <f t="shared" si="52"/>
        <v>1889.4111999999998</v>
      </c>
      <c r="CU46">
        <f t="shared" si="53"/>
        <v>0</v>
      </c>
      <c r="CV46">
        <f t="shared" si="54"/>
        <v>34.659999999999997</v>
      </c>
      <c r="CW46">
        <f t="shared" si="55"/>
        <v>0.1</v>
      </c>
      <c r="CX46">
        <f t="shared" si="56"/>
        <v>0</v>
      </c>
      <c r="CY46">
        <f t="shared" si="57"/>
        <v>236.4152</v>
      </c>
      <c r="CZ46">
        <f t="shared" si="58"/>
        <v>159.74</v>
      </c>
      <c r="DC46" t="s">
        <v>6</v>
      </c>
      <c r="DD46" t="s">
        <v>6</v>
      </c>
      <c r="DE46" t="s">
        <v>6</v>
      </c>
      <c r="DF46" t="s">
        <v>6</v>
      </c>
      <c r="DG46" t="s">
        <v>6</v>
      </c>
      <c r="DH46" t="s">
        <v>6</v>
      </c>
      <c r="DI46" t="s">
        <v>6</v>
      </c>
      <c r="DJ46" t="s">
        <v>6</v>
      </c>
      <c r="DK46" t="s">
        <v>6</v>
      </c>
      <c r="DL46" t="s">
        <v>6</v>
      </c>
      <c r="DM46" t="s">
        <v>6</v>
      </c>
      <c r="DN46">
        <v>0</v>
      </c>
      <c r="DO46">
        <v>0</v>
      </c>
      <c r="DP46">
        <v>1</v>
      </c>
      <c r="DQ46">
        <v>1</v>
      </c>
      <c r="DU46">
        <v>1003</v>
      </c>
      <c r="DV46" t="s">
        <v>34</v>
      </c>
      <c r="DW46" t="s">
        <v>34</v>
      </c>
      <c r="DX46">
        <v>100</v>
      </c>
      <c r="EE46">
        <v>16510574</v>
      </c>
      <c r="EF46">
        <v>6</v>
      </c>
      <c r="EG46" t="s">
        <v>36</v>
      </c>
      <c r="EH46">
        <v>0</v>
      </c>
      <c r="EI46" t="s">
        <v>6</v>
      </c>
      <c r="EJ46">
        <v>1</v>
      </c>
      <c r="EK46">
        <v>65001</v>
      </c>
      <c r="EL46" t="s">
        <v>101</v>
      </c>
      <c r="EM46" t="s">
        <v>49</v>
      </c>
      <c r="EO46" t="s">
        <v>6</v>
      </c>
      <c r="EQ46">
        <v>0</v>
      </c>
      <c r="ER46">
        <v>328.71</v>
      </c>
      <c r="ES46">
        <v>33.6</v>
      </c>
      <c r="ET46">
        <v>7.09</v>
      </c>
      <c r="EU46">
        <v>1.35</v>
      </c>
      <c r="EV46">
        <v>288.02</v>
      </c>
      <c r="EW46">
        <v>34.659999999999997</v>
      </c>
      <c r="EX46">
        <v>0.1</v>
      </c>
      <c r="EY46">
        <v>0</v>
      </c>
      <c r="FQ46">
        <v>0</v>
      </c>
      <c r="FR46">
        <f t="shared" si="59"/>
        <v>0</v>
      </c>
      <c r="FS46">
        <v>0</v>
      </c>
      <c r="FX46">
        <v>74</v>
      </c>
      <c r="FY46">
        <v>50</v>
      </c>
      <c r="GA46" t="s">
        <v>6</v>
      </c>
      <c r="GD46">
        <v>0</v>
      </c>
      <c r="GF46">
        <v>1777556893</v>
      </c>
      <c r="GG46">
        <v>1</v>
      </c>
      <c r="GH46">
        <v>1</v>
      </c>
      <c r="GI46">
        <v>4</v>
      </c>
      <c r="GJ46">
        <v>0</v>
      </c>
      <c r="GK46">
        <f>ROUND(R46*(R12)/100,2)</f>
        <v>0</v>
      </c>
      <c r="GL46">
        <f t="shared" si="60"/>
        <v>0</v>
      </c>
      <c r="GM46">
        <f t="shared" si="61"/>
        <v>759.08</v>
      </c>
      <c r="GN46">
        <f t="shared" si="62"/>
        <v>759.08</v>
      </c>
      <c r="GO46">
        <f t="shared" si="63"/>
        <v>0</v>
      </c>
      <c r="GP46">
        <f t="shared" si="64"/>
        <v>0</v>
      </c>
      <c r="GR46">
        <v>0</v>
      </c>
      <c r="GS46">
        <v>3</v>
      </c>
      <c r="GT46">
        <v>0</v>
      </c>
      <c r="GU46" t="s">
        <v>6</v>
      </c>
      <c r="GV46">
        <f t="shared" si="65"/>
        <v>0</v>
      </c>
      <c r="GW46">
        <v>1</v>
      </c>
      <c r="GX46">
        <f t="shared" si="66"/>
        <v>0</v>
      </c>
      <c r="HA46">
        <v>0</v>
      </c>
      <c r="HB46">
        <v>0</v>
      </c>
      <c r="IK46">
        <v>0</v>
      </c>
    </row>
    <row r="47" spans="1:245" x14ac:dyDescent="0.2">
      <c r="A47">
        <v>18</v>
      </c>
      <c r="B47">
        <v>1</v>
      </c>
      <c r="C47">
        <v>35</v>
      </c>
      <c r="E47" t="s">
        <v>102</v>
      </c>
      <c r="F47" t="s">
        <v>69</v>
      </c>
      <c r="G47" t="s">
        <v>103</v>
      </c>
      <c r="H47" t="s">
        <v>71</v>
      </c>
      <c r="I47">
        <f>I46*J47</f>
        <v>3.7026000000000003E-2</v>
      </c>
      <c r="J47">
        <v>0.22</v>
      </c>
      <c r="O47">
        <f t="shared" si="28"/>
        <v>0</v>
      </c>
      <c r="P47">
        <f t="shared" si="29"/>
        <v>0</v>
      </c>
      <c r="Q47">
        <f t="shared" si="30"/>
        <v>0</v>
      </c>
      <c r="R47">
        <f t="shared" si="31"/>
        <v>0</v>
      </c>
      <c r="S47">
        <f t="shared" si="32"/>
        <v>0</v>
      </c>
      <c r="T47">
        <f t="shared" si="33"/>
        <v>0</v>
      </c>
      <c r="U47">
        <f t="shared" si="34"/>
        <v>0</v>
      </c>
      <c r="V47">
        <f t="shared" si="35"/>
        <v>0</v>
      </c>
      <c r="W47">
        <f t="shared" si="36"/>
        <v>0</v>
      </c>
      <c r="X47">
        <f t="shared" si="37"/>
        <v>0</v>
      </c>
      <c r="Y47">
        <f t="shared" si="38"/>
        <v>0</v>
      </c>
      <c r="AA47">
        <v>16748969</v>
      </c>
      <c r="AB47">
        <f t="shared" si="39"/>
        <v>0</v>
      </c>
      <c r="AC47">
        <f>ROUND((ES47),2)</f>
        <v>0</v>
      </c>
      <c r="AD47">
        <f>ROUND((((ET47)-(EU47))+AE47),2)</f>
        <v>0</v>
      </c>
      <c r="AE47">
        <f t="shared" si="67"/>
        <v>0</v>
      </c>
      <c r="AF47">
        <f t="shared" si="67"/>
        <v>0</v>
      </c>
      <c r="AG47">
        <f t="shared" si="44"/>
        <v>0</v>
      </c>
      <c r="AH47">
        <f t="shared" si="68"/>
        <v>0</v>
      </c>
      <c r="AI47">
        <f t="shared" si="68"/>
        <v>0</v>
      </c>
      <c r="AJ47">
        <f t="shared" si="47"/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74</v>
      </c>
      <c r="AU47">
        <v>50</v>
      </c>
      <c r="AV47">
        <v>1</v>
      </c>
      <c r="AW47">
        <v>1</v>
      </c>
      <c r="AZ47">
        <v>6.56</v>
      </c>
      <c r="BA47">
        <v>1</v>
      </c>
      <c r="BB47">
        <v>1</v>
      </c>
      <c r="BC47">
        <v>6.56</v>
      </c>
      <c r="BD47" t="s">
        <v>6</v>
      </c>
      <c r="BE47" t="s">
        <v>6</v>
      </c>
      <c r="BF47" t="s">
        <v>6</v>
      </c>
      <c r="BG47" t="s">
        <v>6</v>
      </c>
      <c r="BH47">
        <v>3</v>
      </c>
      <c r="BI47">
        <v>1</v>
      </c>
      <c r="BJ47" t="s">
        <v>6</v>
      </c>
      <c r="BM47">
        <v>65001</v>
      </c>
      <c r="BN47">
        <v>0</v>
      </c>
      <c r="BO47" t="s">
        <v>6</v>
      </c>
      <c r="BP47">
        <v>0</v>
      </c>
      <c r="BQ47">
        <v>6</v>
      </c>
      <c r="BR47">
        <v>0</v>
      </c>
      <c r="BS47">
        <v>1</v>
      </c>
      <c r="BT47">
        <v>1</v>
      </c>
      <c r="BU47">
        <v>1</v>
      </c>
      <c r="BV47">
        <v>1</v>
      </c>
      <c r="BW47">
        <v>1</v>
      </c>
      <c r="BX47">
        <v>1</v>
      </c>
      <c r="BY47" t="s">
        <v>6</v>
      </c>
      <c r="BZ47">
        <v>74</v>
      </c>
      <c r="CA47">
        <v>50</v>
      </c>
      <c r="CF47">
        <v>0</v>
      </c>
      <c r="CG47">
        <v>0</v>
      </c>
      <c r="CM47">
        <v>0</v>
      </c>
      <c r="CN47" t="s">
        <v>6</v>
      </c>
      <c r="CO47">
        <v>0</v>
      </c>
      <c r="CP47">
        <f t="shared" si="48"/>
        <v>0</v>
      </c>
      <c r="CQ47">
        <f t="shared" si="49"/>
        <v>0</v>
      </c>
      <c r="CR47">
        <f t="shared" si="50"/>
        <v>0</v>
      </c>
      <c r="CS47">
        <f t="shared" si="51"/>
        <v>0</v>
      </c>
      <c r="CT47">
        <f t="shared" si="52"/>
        <v>0</v>
      </c>
      <c r="CU47">
        <f t="shared" si="53"/>
        <v>0</v>
      </c>
      <c r="CV47">
        <f t="shared" si="54"/>
        <v>0</v>
      </c>
      <c r="CW47">
        <f t="shared" si="55"/>
        <v>0</v>
      </c>
      <c r="CX47">
        <f t="shared" si="56"/>
        <v>0</v>
      </c>
      <c r="CY47">
        <f t="shared" si="57"/>
        <v>0</v>
      </c>
      <c r="CZ47">
        <f t="shared" si="58"/>
        <v>0</v>
      </c>
      <c r="DC47" t="s">
        <v>6</v>
      </c>
      <c r="DD47" t="s">
        <v>6</v>
      </c>
      <c r="DE47" t="s">
        <v>6</v>
      </c>
      <c r="DF47" t="s">
        <v>6</v>
      </c>
      <c r="DG47" t="s">
        <v>6</v>
      </c>
      <c r="DH47" t="s">
        <v>6</v>
      </c>
      <c r="DI47" t="s">
        <v>6</v>
      </c>
      <c r="DJ47" t="s">
        <v>6</v>
      </c>
      <c r="DK47" t="s">
        <v>6</v>
      </c>
      <c r="DL47" t="s">
        <v>6</v>
      </c>
      <c r="DM47" t="s">
        <v>6</v>
      </c>
      <c r="DN47">
        <v>0</v>
      </c>
      <c r="DO47">
        <v>0</v>
      </c>
      <c r="DP47">
        <v>1</v>
      </c>
      <c r="DQ47">
        <v>1</v>
      </c>
      <c r="DU47">
        <v>1009</v>
      </c>
      <c r="DV47" t="s">
        <v>71</v>
      </c>
      <c r="DW47" t="s">
        <v>71</v>
      </c>
      <c r="DX47">
        <v>1000</v>
      </c>
      <c r="EE47">
        <v>16510574</v>
      </c>
      <c r="EF47">
        <v>6</v>
      </c>
      <c r="EG47" t="s">
        <v>36</v>
      </c>
      <c r="EH47">
        <v>0</v>
      </c>
      <c r="EI47" t="s">
        <v>6</v>
      </c>
      <c r="EJ47">
        <v>1</v>
      </c>
      <c r="EK47">
        <v>65001</v>
      </c>
      <c r="EL47" t="s">
        <v>101</v>
      </c>
      <c r="EM47" t="s">
        <v>49</v>
      </c>
      <c r="EO47" t="s">
        <v>6</v>
      </c>
      <c r="EQ47">
        <v>0</v>
      </c>
      <c r="ER47">
        <v>0</v>
      </c>
      <c r="ES47">
        <v>0</v>
      </c>
      <c r="ET47">
        <v>0</v>
      </c>
      <c r="EU47">
        <v>0</v>
      </c>
      <c r="EV47">
        <v>0</v>
      </c>
      <c r="EW47">
        <v>0</v>
      </c>
      <c r="EX47">
        <v>0</v>
      </c>
      <c r="FQ47">
        <v>0</v>
      </c>
      <c r="FR47">
        <f t="shared" si="59"/>
        <v>0</v>
      </c>
      <c r="FS47">
        <v>0</v>
      </c>
      <c r="FX47">
        <v>74</v>
      </c>
      <c r="FY47">
        <v>50</v>
      </c>
      <c r="GA47" t="s">
        <v>6</v>
      </c>
      <c r="GD47">
        <v>0</v>
      </c>
      <c r="GF47">
        <v>-66286256</v>
      </c>
      <c r="GG47">
        <v>1</v>
      </c>
      <c r="GH47">
        <v>1</v>
      </c>
      <c r="GI47">
        <v>4</v>
      </c>
      <c r="GJ47">
        <v>0</v>
      </c>
      <c r="GK47">
        <f>ROUND(R47*(R12)/100,2)</f>
        <v>0</v>
      </c>
      <c r="GL47">
        <f t="shared" si="60"/>
        <v>0</v>
      </c>
      <c r="GM47">
        <f t="shared" si="61"/>
        <v>0</v>
      </c>
      <c r="GN47">
        <f t="shared" si="62"/>
        <v>0</v>
      </c>
      <c r="GO47">
        <f t="shared" si="63"/>
        <v>0</v>
      </c>
      <c r="GP47">
        <f t="shared" si="64"/>
        <v>0</v>
      </c>
      <c r="GR47">
        <v>0</v>
      </c>
      <c r="GS47">
        <v>3</v>
      </c>
      <c r="GT47">
        <v>0</v>
      </c>
      <c r="GU47" t="s">
        <v>6</v>
      </c>
      <c r="GV47">
        <f t="shared" si="65"/>
        <v>0</v>
      </c>
      <c r="GW47">
        <v>1</v>
      </c>
      <c r="GX47">
        <f t="shared" si="66"/>
        <v>0</v>
      </c>
      <c r="HA47">
        <v>0</v>
      </c>
      <c r="HB47">
        <v>0</v>
      </c>
      <c r="IK47">
        <v>0</v>
      </c>
    </row>
    <row r="48" spans="1:245" x14ac:dyDescent="0.2">
      <c r="A48">
        <v>17</v>
      </c>
      <c r="B48">
        <v>1</v>
      </c>
      <c r="C48">
        <f>ROW(SmtRes!A39)</f>
        <v>39</v>
      </c>
      <c r="D48">
        <f>ROW(EtalonRes!A44)</f>
        <v>44</v>
      </c>
      <c r="E48" t="s">
        <v>104</v>
      </c>
      <c r="F48" t="s">
        <v>105</v>
      </c>
      <c r="G48" t="s">
        <v>106</v>
      </c>
      <c r="H48" t="s">
        <v>20</v>
      </c>
      <c r="I48">
        <f>ROUND(21.5/100,9)</f>
        <v>0.215</v>
      </c>
      <c r="J48">
        <v>0</v>
      </c>
      <c r="O48">
        <f t="shared" si="28"/>
        <v>2035.77</v>
      </c>
      <c r="P48">
        <f t="shared" si="29"/>
        <v>0</v>
      </c>
      <c r="Q48">
        <f t="shared" si="30"/>
        <v>337.03</v>
      </c>
      <c r="R48">
        <f t="shared" si="31"/>
        <v>0</v>
      </c>
      <c r="S48">
        <f t="shared" si="32"/>
        <v>1698.74</v>
      </c>
      <c r="T48">
        <f t="shared" si="33"/>
        <v>0</v>
      </c>
      <c r="U48">
        <f t="shared" si="34"/>
        <v>30.357999999999997</v>
      </c>
      <c r="V48">
        <f t="shared" si="35"/>
        <v>0</v>
      </c>
      <c r="W48">
        <f t="shared" si="36"/>
        <v>0</v>
      </c>
      <c r="X48">
        <f t="shared" si="37"/>
        <v>1511.88</v>
      </c>
      <c r="Y48">
        <f t="shared" si="38"/>
        <v>1104.18</v>
      </c>
      <c r="AA48">
        <v>16748969</v>
      </c>
      <c r="AB48">
        <f t="shared" si="39"/>
        <v>1443.4</v>
      </c>
      <c r="AC48">
        <f>ROUND((ES48),2)</f>
        <v>0</v>
      </c>
      <c r="AD48">
        <f>ROUND((((ET48)-(EU48))+AE48),2)</f>
        <v>238.96</v>
      </c>
      <c r="AE48">
        <f t="shared" si="67"/>
        <v>0</v>
      </c>
      <c r="AF48">
        <f t="shared" si="67"/>
        <v>1204.44</v>
      </c>
      <c r="AG48">
        <f t="shared" si="44"/>
        <v>0</v>
      </c>
      <c r="AH48">
        <f t="shared" si="68"/>
        <v>141.19999999999999</v>
      </c>
      <c r="AI48">
        <f t="shared" si="68"/>
        <v>0</v>
      </c>
      <c r="AJ48">
        <f t="shared" si="47"/>
        <v>0</v>
      </c>
      <c r="AK48">
        <v>1443.4</v>
      </c>
      <c r="AL48">
        <v>0</v>
      </c>
      <c r="AM48">
        <v>238.96</v>
      </c>
      <c r="AN48">
        <v>0</v>
      </c>
      <c r="AO48">
        <v>1204.44</v>
      </c>
      <c r="AP48">
        <v>0</v>
      </c>
      <c r="AQ48">
        <v>141.19999999999999</v>
      </c>
      <c r="AR48">
        <v>0</v>
      </c>
      <c r="AS48">
        <v>0</v>
      </c>
      <c r="AT48">
        <v>89</v>
      </c>
      <c r="AU48">
        <v>65</v>
      </c>
      <c r="AV48">
        <v>1</v>
      </c>
      <c r="AW48">
        <v>1</v>
      </c>
      <c r="AZ48">
        <v>6.56</v>
      </c>
      <c r="BA48">
        <v>6.56</v>
      </c>
      <c r="BB48">
        <v>6.56</v>
      </c>
      <c r="BC48">
        <v>6.56</v>
      </c>
      <c r="BD48" t="s">
        <v>6</v>
      </c>
      <c r="BE48" t="s">
        <v>6</v>
      </c>
      <c r="BF48" t="s">
        <v>6</v>
      </c>
      <c r="BG48" t="s">
        <v>6</v>
      </c>
      <c r="BH48">
        <v>0</v>
      </c>
      <c r="BI48">
        <v>1</v>
      </c>
      <c r="BJ48" t="s">
        <v>107</v>
      </c>
      <c r="BM48">
        <v>55001</v>
      </c>
      <c r="BN48">
        <v>0</v>
      </c>
      <c r="BO48" t="s">
        <v>6</v>
      </c>
      <c r="BP48">
        <v>0</v>
      </c>
      <c r="BQ48">
        <v>6</v>
      </c>
      <c r="BR48">
        <v>0</v>
      </c>
      <c r="BS48">
        <v>6.56</v>
      </c>
      <c r="BT48">
        <v>1</v>
      </c>
      <c r="BU48">
        <v>1</v>
      </c>
      <c r="BV48">
        <v>1</v>
      </c>
      <c r="BW48">
        <v>1</v>
      </c>
      <c r="BX48">
        <v>1</v>
      </c>
      <c r="BY48" t="s">
        <v>6</v>
      </c>
      <c r="BZ48">
        <v>89</v>
      </c>
      <c r="CA48">
        <v>65</v>
      </c>
      <c r="CF48">
        <v>0</v>
      </c>
      <c r="CG48">
        <v>0</v>
      </c>
      <c r="CM48">
        <v>0</v>
      </c>
      <c r="CN48" t="s">
        <v>6</v>
      </c>
      <c r="CO48">
        <v>0</v>
      </c>
      <c r="CP48">
        <f t="shared" si="48"/>
        <v>2035.77</v>
      </c>
      <c r="CQ48">
        <f t="shared" si="49"/>
        <v>0</v>
      </c>
      <c r="CR48">
        <f t="shared" si="50"/>
        <v>1567.5775999999998</v>
      </c>
      <c r="CS48">
        <f t="shared" si="51"/>
        <v>0</v>
      </c>
      <c r="CT48">
        <f t="shared" si="52"/>
        <v>7901.1264000000001</v>
      </c>
      <c r="CU48">
        <f t="shared" si="53"/>
        <v>0</v>
      </c>
      <c r="CV48">
        <f t="shared" si="54"/>
        <v>141.19999999999999</v>
      </c>
      <c r="CW48">
        <f t="shared" si="55"/>
        <v>0</v>
      </c>
      <c r="CX48">
        <f t="shared" si="56"/>
        <v>0</v>
      </c>
      <c r="CY48">
        <f t="shared" si="57"/>
        <v>1511.8786000000002</v>
      </c>
      <c r="CZ48">
        <f t="shared" si="58"/>
        <v>1104.181</v>
      </c>
      <c r="DC48" t="s">
        <v>6</v>
      </c>
      <c r="DD48" t="s">
        <v>6</v>
      </c>
      <c r="DE48" t="s">
        <v>6</v>
      </c>
      <c r="DF48" t="s">
        <v>6</v>
      </c>
      <c r="DG48" t="s">
        <v>6</v>
      </c>
      <c r="DH48" t="s">
        <v>6</v>
      </c>
      <c r="DI48" t="s">
        <v>6</v>
      </c>
      <c r="DJ48" t="s">
        <v>6</v>
      </c>
      <c r="DK48" t="s">
        <v>6</v>
      </c>
      <c r="DL48" t="s">
        <v>6</v>
      </c>
      <c r="DM48" t="s">
        <v>6</v>
      </c>
      <c r="DN48">
        <v>0</v>
      </c>
      <c r="DO48">
        <v>0</v>
      </c>
      <c r="DP48">
        <v>1</v>
      </c>
      <c r="DQ48">
        <v>1</v>
      </c>
      <c r="DU48">
        <v>1005</v>
      </c>
      <c r="DV48" t="s">
        <v>20</v>
      </c>
      <c r="DW48" t="s">
        <v>20</v>
      </c>
      <c r="DX48">
        <v>100</v>
      </c>
      <c r="EE48">
        <v>16510564</v>
      </c>
      <c r="EF48">
        <v>6</v>
      </c>
      <c r="EG48" t="s">
        <v>36</v>
      </c>
      <c r="EH48">
        <v>0</v>
      </c>
      <c r="EI48" t="s">
        <v>6</v>
      </c>
      <c r="EJ48">
        <v>1</v>
      </c>
      <c r="EK48">
        <v>55001</v>
      </c>
      <c r="EL48" t="s">
        <v>108</v>
      </c>
      <c r="EM48" t="s">
        <v>109</v>
      </c>
      <c r="EO48" t="s">
        <v>6</v>
      </c>
      <c r="EQ48">
        <v>0</v>
      </c>
      <c r="ER48">
        <v>1443.4</v>
      </c>
      <c r="ES48">
        <v>0</v>
      </c>
      <c r="ET48">
        <v>238.96</v>
      </c>
      <c r="EU48">
        <v>0</v>
      </c>
      <c r="EV48">
        <v>1204.44</v>
      </c>
      <c r="EW48">
        <v>141.19999999999999</v>
      </c>
      <c r="EX48">
        <v>0</v>
      </c>
      <c r="EY48">
        <v>0</v>
      </c>
      <c r="FQ48">
        <v>0</v>
      </c>
      <c r="FR48">
        <f t="shared" si="59"/>
        <v>0</v>
      </c>
      <c r="FS48">
        <v>0</v>
      </c>
      <c r="FX48">
        <v>89</v>
      </c>
      <c r="FY48">
        <v>65</v>
      </c>
      <c r="GA48" t="s">
        <v>6</v>
      </c>
      <c r="GD48">
        <v>0</v>
      </c>
      <c r="GF48">
        <v>-1515074980</v>
      </c>
      <c r="GG48">
        <v>1</v>
      </c>
      <c r="GH48">
        <v>1</v>
      </c>
      <c r="GI48">
        <v>4</v>
      </c>
      <c r="GJ48">
        <v>0</v>
      </c>
      <c r="GK48">
        <f>ROUND(R48*(R12)/100,2)</f>
        <v>0</v>
      </c>
      <c r="GL48">
        <f t="shared" si="60"/>
        <v>0</v>
      </c>
      <c r="GM48">
        <f t="shared" si="61"/>
        <v>4651.83</v>
      </c>
      <c r="GN48">
        <f t="shared" si="62"/>
        <v>4651.83</v>
      </c>
      <c r="GO48">
        <f t="shared" si="63"/>
        <v>0</v>
      </c>
      <c r="GP48">
        <f t="shared" si="64"/>
        <v>0</v>
      </c>
      <c r="GR48">
        <v>0</v>
      </c>
      <c r="GS48">
        <v>3</v>
      </c>
      <c r="GT48">
        <v>0</v>
      </c>
      <c r="GU48" t="s">
        <v>6</v>
      </c>
      <c r="GV48">
        <f t="shared" si="65"/>
        <v>0</v>
      </c>
      <c r="GW48">
        <v>1</v>
      </c>
      <c r="GX48">
        <f t="shared" si="66"/>
        <v>0</v>
      </c>
      <c r="HA48">
        <v>0</v>
      </c>
      <c r="HB48">
        <v>0</v>
      </c>
      <c r="IK48">
        <v>0</v>
      </c>
    </row>
    <row r="49" spans="1:245" x14ac:dyDescent="0.2">
      <c r="A49">
        <v>18</v>
      </c>
      <c r="B49">
        <v>1</v>
      </c>
      <c r="C49">
        <v>39</v>
      </c>
      <c r="E49" t="s">
        <v>110</v>
      </c>
      <c r="F49" t="s">
        <v>69</v>
      </c>
      <c r="G49" t="s">
        <v>103</v>
      </c>
      <c r="H49" t="s">
        <v>71</v>
      </c>
      <c r="I49">
        <f>I48*J49</f>
        <v>4.1710000000000003</v>
      </c>
      <c r="J49">
        <v>19.400000000000002</v>
      </c>
      <c r="O49">
        <f t="shared" si="28"/>
        <v>0</v>
      </c>
      <c r="P49">
        <f t="shared" si="29"/>
        <v>0</v>
      </c>
      <c r="Q49">
        <f t="shared" si="30"/>
        <v>0</v>
      </c>
      <c r="R49">
        <f t="shared" si="31"/>
        <v>0</v>
      </c>
      <c r="S49">
        <f t="shared" si="32"/>
        <v>0</v>
      </c>
      <c r="T49">
        <f t="shared" si="33"/>
        <v>0</v>
      </c>
      <c r="U49">
        <f t="shared" si="34"/>
        <v>0</v>
      </c>
      <c r="V49">
        <f t="shared" si="35"/>
        <v>0</v>
      </c>
      <c r="W49">
        <f t="shared" si="36"/>
        <v>0</v>
      </c>
      <c r="X49">
        <f t="shared" si="37"/>
        <v>0</v>
      </c>
      <c r="Y49">
        <f t="shared" si="38"/>
        <v>0</v>
      </c>
      <c r="AA49">
        <v>16748969</v>
      </c>
      <c r="AB49">
        <f t="shared" si="39"/>
        <v>0</v>
      </c>
      <c r="AC49">
        <f>ROUND((ES49),2)</f>
        <v>0</v>
      </c>
      <c r="AD49">
        <f>ROUND((((ET49)-(EU49))+AE49),2)</f>
        <v>0</v>
      </c>
      <c r="AE49">
        <f t="shared" si="67"/>
        <v>0</v>
      </c>
      <c r="AF49">
        <f t="shared" si="67"/>
        <v>0</v>
      </c>
      <c r="AG49">
        <f t="shared" si="44"/>
        <v>0</v>
      </c>
      <c r="AH49">
        <f t="shared" si="68"/>
        <v>0</v>
      </c>
      <c r="AI49">
        <f t="shared" si="68"/>
        <v>0</v>
      </c>
      <c r="AJ49">
        <f t="shared" si="47"/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89</v>
      </c>
      <c r="AU49">
        <v>65</v>
      </c>
      <c r="AV49">
        <v>1</v>
      </c>
      <c r="AW49">
        <v>1</v>
      </c>
      <c r="AZ49">
        <v>6.56</v>
      </c>
      <c r="BA49">
        <v>1</v>
      </c>
      <c r="BB49">
        <v>1</v>
      </c>
      <c r="BC49">
        <v>6.56</v>
      </c>
      <c r="BD49" t="s">
        <v>6</v>
      </c>
      <c r="BE49" t="s">
        <v>6</v>
      </c>
      <c r="BF49" t="s">
        <v>6</v>
      </c>
      <c r="BG49" t="s">
        <v>6</v>
      </c>
      <c r="BH49">
        <v>3</v>
      </c>
      <c r="BI49">
        <v>1</v>
      </c>
      <c r="BJ49" t="s">
        <v>6</v>
      </c>
      <c r="BM49">
        <v>55001</v>
      </c>
      <c r="BN49">
        <v>0</v>
      </c>
      <c r="BO49" t="s">
        <v>6</v>
      </c>
      <c r="BP49">
        <v>0</v>
      </c>
      <c r="BQ49">
        <v>6</v>
      </c>
      <c r="BR49">
        <v>0</v>
      </c>
      <c r="BS49">
        <v>1</v>
      </c>
      <c r="BT49">
        <v>1</v>
      </c>
      <c r="BU49">
        <v>1</v>
      </c>
      <c r="BV49">
        <v>1</v>
      </c>
      <c r="BW49">
        <v>1</v>
      </c>
      <c r="BX49">
        <v>1</v>
      </c>
      <c r="BY49" t="s">
        <v>6</v>
      </c>
      <c r="BZ49">
        <v>89</v>
      </c>
      <c r="CA49">
        <v>65</v>
      </c>
      <c r="CF49">
        <v>0</v>
      </c>
      <c r="CG49">
        <v>0</v>
      </c>
      <c r="CM49">
        <v>0</v>
      </c>
      <c r="CN49" t="s">
        <v>6</v>
      </c>
      <c r="CO49">
        <v>0</v>
      </c>
      <c r="CP49">
        <f t="shared" si="48"/>
        <v>0</v>
      </c>
      <c r="CQ49">
        <f t="shared" si="49"/>
        <v>0</v>
      </c>
      <c r="CR49">
        <f t="shared" si="50"/>
        <v>0</v>
      </c>
      <c r="CS49">
        <f t="shared" si="51"/>
        <v>0</v>
      </c>
      <c r="CT49">
        <f t="shared" si="52"/>
        <v>0</v>
      </c>
      <c r="CU49">
        <f t="shared" si="53"/>
        <v>0</v>
      </c>
      <c r="CV49">
        <f t="shared" si="54"/>
        <v>0</v>
      </c>
      <c r="CW49">
        <f t="shared" si="55"/>
        <v>0</v>
      </c>
      <c r="CX49">
        <f t="shared" si="56"/>
        <v>0</v>
      </c>
      <c r="CY49">
        <f t="shared" si="57"/>
        <v>0</v>
      </c>
      <c r="CZ49">
        <f t="shared" si="58"/>
        <v>0</v>
      </c>
      <c r="DC49" t="s">
        <v>6</v>
      </c>
      <c r="DD49" t="s">
        <v>6</v>
      </c>
      <c r="DE49" t="s">
        <v>6</v>
      </c>
      <c r="DF49" t="s">
        <v>6</v>
      </c>
      <c r="DG49" t="s">
        <v>6</v>
      </c>
      <c r="DH49" t="s">
        <v>6</v>
      </c>
      <c r="DI49" t="s">
        <v>6</v>
      </c>
      <c r="DJ49" t="s">
        <v>6</v>
      </c>
      <c r="DK49" t="s">
        <v>6</v>
      </c>
      <c r="DL49" t="s">
        <v>6</v>
      </c>
      <c r="DM49" t="s">
        <v>6</v>
      </c>
      <c r="DN49">
        <v>0</v>
      </c>
      <c r="DO49">
        <v>0</v>
      </c>
      <c r="DP49">
        <v>1</v>
      </c>
      <c r="DQ49">
        <v>1</v>
      </c>
      <c r="DU49">
        <v>1009</v>
      </c>
      <c r="DV49" t="s">
        <v>71</v>
      </c>
      <c r="DW49" t="s">
        <v>71</v>
      </c>
      <c r="DX49">
        <v>1000</v>
      </c>
      <c r="EE49">
        <v>16510564</v>
      </c>
      <c r="EF49">
        <v>6</v>
      </c>
      <c r="EG49" t="s">
        <v>36</v>
      </c>
      <c r="EH49">
        <v>0</v>
      </c>
      <c r="EI49" t="s">
        <v>6</v>
      </c>
      <c r="EJ49">
        <v>1</v>
      </c>
      <c r="EK49">
        <v>55001</v>
      </c>
      <c r="EL49" t="s">
        <v>108</v>
      </c>
      <c r="EM49" t="s">
        <v>109</v>
      </c>
      <c r="EO49" t="s">
        <v>6</v>
      </c>
      <c r="EQ49">
        <v>0</v>
      </c>
      <c r="ER49">
        <v>0</v>
      </c>
      <c r="ES49">
        <v>0</v>
      </c>
      <c r="ET49">
        <v>0</v>
      </c>
      <c r="EU49">
        <v>0</v>
      </c>
      <c r="EV49">
        <v>0</v>
      </c>
      <c r="EW49">
        <v>0</v>
      </c>
      <c r="EX49">
        <v>0</v>
      </c>
      <c r="FQ49">
        <v>0</v>
      </c>
      <c r="FR49">
        <f t="shared" si="59"/>
        <v>0</v>
      </c>
      <c r="FS49">
        <v>0</v>
      </c>
      <c r="FX49">
        <v>89</v>
      </c>
      <c r="FY49">
        <v>65</v>
      </c>
      <c r="GA49" t="s">
        <v>6</v>
      </c>
      <c r="GD49">
        <v>0</v>
      </c>
      <c r="GF49">
        <v>-66286256</v>
      </c>
      <c r="GG49">
        <v>1</v>
      </c>
      <c r="GH49">
        <v>1</v>
      </c>
      <c r="GI49">
        <v>4</v>
      </c>
      <c r="GJ49">
        <v>0</v>
      </c>
      <c r="GK49">
        <f>ROUND(R49*(R12)/100,2)</f>
        <v>0</v>
      </c>
      <c r="GL49">
        <f t="shared" si="60"/>
        <v>0</v>
      </c>
      <c r="GM49">
        <f t="shared" si="61"/>
        <v>0</v>
      </c>
      <c r="GN49">
        <f t="shared" si="62"/>
        <v>0</v>
      </c>
      <c r="GO49">
        <f t="shared" si="63"/>
        <v>0</v>
      </c>
      <c r="GP49">
        <f t="shared" si="64"/>
        <v>0</v>
      </c>
      <c r="GR49">
        <v>0</v>
      </c>
      <c r="GS49">
        <v>3</v>
      </c>
      <c r="GT49">
        <v>0</v>
      </c>
      <c r="GU49" t="s">
        <v>6</v>
      </c>
      <c r="GV49">
        <f t="shared" si="65"/>
        <v>0</v>
      </c>
      <c r="GW49">
        <v>1</v>
      </c>
      <c r="GX49">
        <f t="shared" si="66"/>
        <v>0</v>
      </c>
      <c r="HA49">
        <v>0</v>
      </c>
      <c r="HB49">
        <v>0</v>
      </c>
      <c r="IK49">
        <v>0</v>
      </c>
    </row>
    <row r="50" spans="1:245" x14ac:dyDescent="0.2">
      <c r="A50">
        <v>17</v>
      </c>
      <c r="B50">
        <v>1</v>
      </c>
      <c r="C50">
        <f>ROW(SmtRes!A40)</f>
        <v>40</v>
      </c>
      <c r="D50">
        <f>ROW(EtalonRes!A45)</f>
        <v>45</v>
      </c>
      <c r="E50" t="s">
        <v>111</v>
      </c>
      <c r="F50" t="s">
        <v>112</v>
      </c>
      <c r="G50" t="s">
        <v>113</v>
      </c>
      <c r="H50" t="s">
        <v>20</v>
      </c>
      <c r="I50">
        <f>ROUND(156.5/100,9)</f>
        <v>1.5649999999999999</v>
      </c>
      <c r="J50">
        <v>0</v>
      </c>
      <c r="O50">
        <f t="shared" si="28"/>
        <v>1827.42</v>
      </c>
      <c r="P50">
        <f t="shared" si="29"/>
        <v>0</v>
      </c>
      <c r="Q50">
        <f t="shared" si="30"/>
        <v>0</v>
      </c>
      <c r="R50">
        <f t="shared" si="31"/>
        <v>0</v>
      </c>
      <c r="S50">
        <f t="shared" si="32"/>
        <v>1827.42</v>
      </c>
      <c r="T50">
        <f t="shared" si="33"/>
        <v>0</v>
      </c>
      <c r="U50">
        <f t="shared" si="34"/>
        <v>35.713299999999997</v>
      </c>
      <c r="V50">
        <f t="shared" si="35"/>
        <v>0</v>
      </c>
      <c r="W50">
        <f t="shared" si="36"/>
        <v>0</v>
      </c>
      <c r="X50">
        <f t="shared" si="37"/>
        <v>1809.15</v>
      </c>
      <c r="Y50">
        <f t="shared" si="38"/>
        <v>1096.45</v>
      </c>
      <c r="AA50">
        <v>16748969</v>
      </c>
      <c r="AB50">
        <f t="shared" si="39"/>
        <v>178</v>
      </c>
      <c r="AC50">
        <f>ROUND((ES50),2)</f>
        <v>0</v>
      </c>
      <c r="AD50">
        <f>ROUND((((ET50)-(EU50))+AE50),2)</f>
        <v>0</v>
      </c>
      <c r="AE50">
        <f t="shared" si="67"/>
        <v>0</v>
      </c>
      <c r="AF50">
        <f t="shared" si="67"/>
        <v>178</v>
      </c>
      <c r="AG50">
        <f t="shared" si="44"/>
        <v>0</v>
      </c>
      <c r="AH50">
        <f t="shared" si="68"/>
        <v>22.82</v>
      </c>
      <c r="AI50">
        <f t="shared" si="68"/>
        <v>0</v>
      </c>
      <c r="AJ50">
        <f t="shared" si="47"/>
        <v>0</v>
      </c>
      <c r="AK50">
        <v>178</v>
      </c>
      <c r="AL50">
        <v>0</v>
      </c>
      <c r="AM50">
        <v>0</v>
      </c>
      <c r="AN50">
        <v>0</v>
      </c>
      <c r="AO50">
        <v>178</v>
      </c>
      <c r="AP50">
        <v>0</v>
      </c>
      <c r="AQ50">
        <v>22.82</v>
      </c>
      <c r="AR50">
        <v>0</v>
      </c>
      <c r="AS50">
        <v>0</v>
      </c>
      <c r="AT50">
        <v>99</v>
      </c>
      <c r="AU50">
        <v>60</v>
      </c>
      <c r="AV50">
        <v>1</v>
      </c>
      <c r="AW50">
        <v>1</v>
      </c>
      <c r="AZ50">
        <v>6.56</v>
      </c>
      <c r="BA50">
        <v>6.56</v>
      </c>
      <c r="BB50">
        <v>6.56</v>
      </c>
      <c r="BC50">
        <v>6.56</v>
      </c>
      <c r="BD50" t="s">
        <v>6</v>
      </c>
      <c r="BE50" t="s">
        <v>6</v>
      </c>
      <c r="BF50" t="s">
        <v>6</v>
      </c>
      <c r="BG50" t="s">
        <v>6</v>
      </c>
      <c r="BH50">
        <v>0</v>
      </c>
      <c r="BI50">
        <v>1</v>
      </c>
      <c r="BJ50" t="s">
        <v>114</v>
      </c>
      <c r="BM50">
        <v>46001</v>
      </c>
      <c r="BN50">
        <v>0</v>
      </c>
      <c r="BO50" t="s">
        <v>6</v>
      </c>
      <c r="BP50">
        <v>0</v>
      </c>
      <c r="BQ50">
        <v>2</v>
      </c>
      <c r="BR50">
        <v>0</v>
      </c>
      <c r="BS50">
        <v>6.56</v>
      </c>
      <c r="BT50">
        <v>1</v>
      </c>
      <c r="BU50">
        <v>1</v>
      </c>
      <c r="BV50">
        <v>1</v>
      </c>
      <c r="BW50">
        <v>1</v>
      </c>
      <c r="BX50">
        <v>1</v>
      </c>
      <c r="BY50" t="s">
        <v>6</v>
      </c>
      <c r="BZ50">
        <v>110</v>
      </c>
      <c r="CA50">
        <v>70</v>
      </c>
      <c r="CF50">
        <v>0</v>
      </c>
      <c r="CG50">
        <v>0</v>
      </c>
      <c r="CM50">
        <v>0</v>
      </c>
      <c r="CN50" t="s">
        <v>6</v>
      </c>
      <c r="CO50">
        <v>0</v>
      </c>
      <c r="CP50">
        <f t="shared" si="48"/>
        <v>1827.42</v>
      </c>
      <c r="CQ50">
        <f t="shared" si="49"/>
        <v>0</v>
      </c>
      <c r="CR50">
        <f t="shared" si="50"/>
        <v>0</v>
      </c>
      <c r="CS50">
        <f t="shared" si="51"/>
        <v>0</v>
      </c>
      <c r="CT50">
        <f t="shared" si="52"/>
        <v>1167.6799999999998</v>
      </c>
      <c r="CU50">
        <f t="shared" si="53"/>
        <v>0</v>
      </c>
      <c r="CV50">
        <f t="shared" si="54"/>
        <v>22.82</v>
      </c>
      <c r="CW50">
        <f t="shared" si="55"/>
        <v>0</v>
      </c>
      <c r="CX50">
        <f t="shared" si="56"/>
        <v>0</v>
      </c>
      <c r="CY50">
        <f t="shared" si="57"/>
        <v>1809.1458000000002</v>
      </c>
      <c r="CZ50">
        <f t="shared" si="58"/>
        <v>1096.4520000000002</v>
      </c>
      <c r="DC50" t="s">
        <v>6</v>
      </c>
      <c r="DD50" t="s">
        <v>6</v>
      </c>
      <c r="DE50" t="s">
        <v>6</v>
      </c>
      <c r="DF50" t="s">
        <v>6</v>
      </c>
      <c r="DG50" t="s">
        <v>6</v>
      </c>
      <c r="DH50" t="s">
        <v>6</v>
      </c>
      <c r="DI50" t="s">
        <v>6</v>
      </c>
      <c r="DJ50" t="s">
        <v>6</v>
      </c>
      <c r="DK50" t="s">
        <v>6</v>
      </c>
      <c r="DL50" t="s">
        <v>6</v>
      </c>
      <c r="DM50" t="s">
        <v>6</v>
      </c>
      <c r="DN50">
        <v>0</v>
      </c>
      <c r="DO50">
        <v>0</v>
      </c>
      <c r="DP50">
        <v>1</v>
      </c>
      <c r="DQ50">
        <v>1</v>
      </c>
      <c r="DU50">
        <v>1005</v>
      </c>
      <c r="DV50" t="s">
        <v>20</v>
      </c>
      <c r="DW50" t="s">
        <v>20</v>
      </c>
      <c r="DX50">
        <v>100</v>
      </c>
      <c r="EE50">
        <v>16510555</v>
      </c>
      <c r="EF50">
        <v>2</v>
      </c>
      <c r="EG50" t="s">
        <v>22</v>
      </c>
      <c r="EH50">
        <v>0</v>
      </c>
      <c r="EI50" t="s">
        <v>6</v>
      </c>
      <c r="EJ50">
        <v>1</v>
      </c>
      <c r="EK50">
        <v>46001</v>
      </c>
      <c r="EL50" t="s">
        <v>23</v>
      </c>
      <c r="EM50" t="s">
        <v>24</v>
      </c>
      <c r="EO50" t="s">
        <v>6</v>
      </c>
      <c r="EQ50">
        <v>0</v>
      </c>
      <c r="ER50">
        <v>178</v>
      </c>
      <c r="ES50">
        <v>0</v>
      </c>
      <c r="ET50">
        <v>0</v>
      </c>
      <c r="EU50">
        <v>0</v>
      </c>
      <c r="EV50">
        <v>178</v>
      </c>
      <c r="EW50">
        <v>22.82</v>
      </c>
      <c r="EX50">
        <v>0</v>
      </c>
      <c r="EY50">
        <v>0</v>
      </c>
      <c r="FQ50">
        <v>0</v>
      </c>
      <c r="FR50">
        <f t="shared" si="59"/>
        <v>0</v>
      </c>
      <c r="FS50">
        <v>0</v>
      </c>
      <c r="FT50" t="s">
        <v>25</v>
      </c>
      <c r="FU50" t="s">
        <v>26</v>
      </c>
      <c r="FX50">
        <v>99</v>
      </c>
      <c r="FY50">
        <v>59.5</v>
      </c>
      <c r="GA50" t="s">
        <v>6</v>
      </c>
      <c r="GD50">
        <v>0</v>
      </c>
      <c r="GF50">
        <v>-1151875074</v>
      </c>
      <c r="GG50">
        <v>1</v>
      </c>
      <c r="GH50">
        <v>1</v>
      </c>
      <c r="GI50">
        <v>4</v>
      </c>
      <c r="GJ50">
        <v>0</v>
      </c>
      <c r="GK50">
        <f>ROUND(R50*(R12)/100,2)</f>
        <v>0</v>
      </c>
      <c r="GL50">
        <f t="shared" si="60"/>
        <v>0</v>
      </c>
      <c r="GM50">
        <f t="shared" si="61"/>
        <v>4733.0200000000004</v>
      </c>
      <c r="GN50">
        <f t="shared" si="62"/>
        <v>4733.0200000000004</v>
      </c>
      <c r="GO50">
        <f t="shared" si="63"/>
        <v>0</v>
      </c>
      <c r="GP50">
        <f t="shared" si="64"/>
        <v>0</v>
      </c>
      <c r="GR50">
        <v>0</v>
      </c>
      <c r="GS50">
        <v>3</v>
      </c>
      <c r="GT50">
        <v>0</v>
      </c>
      <c r="GU50" t="s">
        <v>6</v>
      </c>
      <c r="GV50">
        <f t="shared" si="65"/>
        <v>0</v>
      </c>
      <c r="GW50">
        <v>1</v>
      </c>
      <c r="GX50">
        <f t="shared" si="66"/>
        <v>0</v>
      </c>
      <c r="HA50">
        <v>0</v>
      </c>
      <c r="HB50">
        <v>0</v>
      </c>
      <c r="IK50">
        <v>0</v>
      </c>
    </row>
    <row r="52" spans="1:245" x14ac:dyDescent="0.2">
      <c r="A52" s="2">
        <v>51</v>
      </c>
      <c r="B52" s="2">
        <f>B28</f>
        <v>1</v>
      </c>
      <c r="C52" s="2">
        <f>A28</f>
        <v>5</v>
      </c>
      <c r="D52" s="2">
        <f>ROW(A28)</f>
        <v>28</v>
      </c>
      <c r="E52" s="2"/>
      <c r="F52" s="2" t="str">
        <f>IF(F28&lt;&gt;"",F28,"")</f>
        <v>Новый подраздел</v>
      </c>
      <c r="G52" s="2" t="str">
        <f>IF(G28&lt;&gt;"",G28,"")</f>
        <v>1 Демонтаж</v>
      </c>
      <c r="H52" s="2">
        <v>0</v>
      </c>
      <c r="I52" s="2"/>
      <c r="J52" s="2"/>
      <c r="K52" s="2"/>
      <c r="L52" s="2"/>
      <c r="M52" s="2"/>
      <c r="N52" s="2"/>
      <c r="O52" s="2">
        <f t="shared" ref="O52:T52" si="69">ROUND(AB52,2)</f>
        <v>14619.33</v>
      </c>
      <c r="P52" s="2">
        <f t="shared" si="69"/>
        <v>786.34</v>
      </c>
      <c r="Q52" s="2">
        <f t="shared" si="69"/>
        <v>1767.66</v>
      </c>
      <c r="R52" s="2">
        <f t="shared" si="69"/>
        <v>352.27</v>
      </c>
      <c r="S52" s="2">
        <f t="shared" si="69"/>
        <v>12065.33</v>
      </c>
      <c r="T52" s="2">
        <f t="shared" si="69"/>
        <v>0</v>
      </c>
      <c r="U52" s="2">
        <f>AH52</f>
        <v>224.97086999999999</v>
      </c>
      <c r="V52" s="2">
        <f>AI52</f>
        <v>4.1317619999999993</v>
      </c>
      <c r="W52" s="2">
        <f>ROUND(AJ52,2)</f>
        <v>0</v>
      </c>
      <c r="X52" s="2">
        <f>ROUND(AK52,2)</f>
        <v>11007.77</v>
      </c>
      <c r="Y52" s="2">
        <f>ROUND(AL52,2)</f>
        <v>7612.87</v>
      </c>
      <c r="Z52" s="2"/>
      <c r="AA52" s="2"/>
      <c r="AB52" s="2">
        <f>ROUND(SUMIF(AA32:AA50,"=16748969",O32:O50),2)</f>
        <v>14619.33</v>
      </c>
      <c r="AC52" s="2">
        <f>ROUND(SUMIF(AA32:AA50,"=16748969",P32:P50),2)</f>
        <v>786.34</v>
      </c>
      <c r="AD52" s="2">
        <f>ROUND(SUMIF(AA32:AA50,"=16748969",Q32:Q50),2)</f>
        <v>1767.66</v>
      </c>
      <c r="AE52" s="2">
        <f>ROUND(SUMIF(AA32:AA50,"=16748969",R32:R50),2)</f>
        <v>352.27</v>
      </c>
      <c r="AF52" s="2">
        <f>ROUND(SUMIF(AA32:AA50,"=16748969",S32:S50),2)</f>
        <v>12065.33</v>
      </c>
      <c r="AG52" s="2">
        <f>ROUND(SUMIF(AA32:AA50,"=16748969",T32:T50),2)</f>
        <v>0</v>
      </c>
      <c r="AH52" s="2">
        <f>SUMIF(AA32:AA50,"=16748969",U32:U50)</f>
        <v>224.97086999999999</v>
      </c>
      <c r="AI52" s="2">
        <f>SUMIF(AA32:AA50,"=16748969",V32:V50)</f>
        <v>4.1317619999999993</v>
      </c>
      <c r="AJ52" s="2">
        <f>ROUND(SUMIF(AA32:AA50,"=16748969",W32:W50),2)</f>
        <v>0</v>
      </c>
      <c r="AK52" s="2">
        <f>ROUND(SUMIF(AA32:AA50,"=16748969",X32:X50),2)</f>
        <v>11007.77</v>
      </c>
      <c r="AL52" s="2">
        <f>ROUND(SUMIF(AA32:AA50,"=16748969",Y32:Y50),2)</f>
        <v>7612.87</v>
      </c>
      <c r="AM52" s="2"/>
      <c r="AN52" s="2"/>
      <c r="AO52" s="2">
        <f t="shared" ref="AO52:BC52" si="70">ROUND(BX52,2)</f>
        <v>0</v>
      </c>
      <c r="AP52" s="2">
        <f t="shared" si="70"/>
        <v>0</v>
      </c>
      <c r="AQ52" s="2">
        <f t="shared" si="70"/>
        <v>0</v>
      </c>
      <c r="AR52" s="2">
        <f t="shared" si="70"/>
        <v>33239.97</v>
      </c>
      <c r="AS52" s="2">
        <f t="shared" si="70"/>
        <v>33239.97</v>
      </c>
      <c r="AT52" s="2">
        <f t="shared" si="70"/>
        <v>0</v>
      </c>
      <c r="AU52" s="2">
        <f t="shared" si="70"/>
        <v>0</v>
      </c>
      <c r="AV52" s="2">
        <f t="shared" si="70"/>
        <v>786.34</v>
      </c>
      <c r="AW52" s="2">
        <f t="shared" si="70"/>
        <v>786.34</v>
      </c>
      <c r="AX52" s="2">
        <f t="shared" si="70"/>
        <v>0</v>
      </c>
      <c r="AY52" s="2">
        <f t="shared" si="70"/>
        <v>786.34</v>
      </c>
      <c r="AZ52" s="2">
        <f t="shared" si="70"/>
        <v>0</v>
      </c>
      <c r="BA52" s="2">
        <f t="shared" si="70"/>
        <v>0</v>
      </c>
      <c r="BB52" s="2">
        <f t="shared" si="70"/>
        <v>0</v>
      </c>
      <c r="BC52" s="2">
        <f t="shared" si="70"/>
        <v>0</v>
      </c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>
        <f>ROUND(SUMIF(AA32:AA50,"=16748969",FQ32:FQ50),2)</f>
        <v>0</v>
      </c>
      <c r="BY52" s="2">
        <f>ROUND(SUMIF(AA32:AA50,"=16748969",FR32:FR50),2)</f>
        <v>0</v>
      </c>
      <c r="BZ52" s="2">
        <f>ROUND(SUMIF(AA32:AA50,"=16748969",GL32:GL50),2)</f>
        <v>0</v>
      </c>
      <c r="CA52" s="2">
        <f>ROUND(SUMIF(AA32:AA50,"=16748969",GM32:GM50),2)</f>
        <v>33239.97</v>
      </c>
      <c r="CB52" s="2">
        <f>ROUND(SUMIF(AA32:AA50,"=16748969",GN32:GN50),2)</f>
        <v>33239.97</v>
      </c>
      <c r="CC52" s="2">
        <f>ROUND(SUMIF(AA32:AA50,"=16748969",GO32:GO50),2)</f>
        <v>0</v>
      </c>
      <c r="CD52" s="2">
        <f>ROUND(SUMIF(AA32:AA50,"=16748969",GP32:GP50),2)</f>
        <v>0</v>
      </c>
      <c r="CE52" s="2">
        <f>AC52-BX52</f>
        <v>786.34</v>
      </c>
      <c r="CF52" s="2">
        <f>AC52-BY52</f>
        <v>786.34</v>
      </c>
      <c r="CG52" s="2">
        <f>BX52-BZ52</f>
        <v>0</v>
      </c>
      <c r="CH52" s="2">
        <f>AC52-BX52-BY52+BZ52</f>
        <v>786.34</v>
      </c>
      <c r="CI52" s="2">
        <f>BY52-BZ52</f>
        <v>0</v>
      </c>
      <c r="CJ52" s="2">
        <f>ROUND(SUMIF(AA32:AA50,"=16748969",GX32:GX50),2)</f>
        <v>0</v>
      </c>
      <c r="CK52" s="2">
        <f>ROUND(SUMIF(AA32:AA50,"=16748969",GY32:GY50),2)</f>
        <v>0</v>
      </c>
      <c r="CL52" s="2">
        <f>ROUND(SUMIF(AA32:AA50,"=16748969",GZ32:GZ50),2)</f>
        <v>0</v>
      </c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3"/>
      <c r="DH52" s="3"/>
      <c r="DI52" s="3"/>
      <c r="DJ52" s="3"/>
      <c r="DK52" s="3"/>
      <c r="DL52" s="3"/>
      <c r="DM52" s="3"/>
      <c r="DN52" s="3"/>
      <c r="DO52" s="3"/>
      <c r="DP52" s="3"/>
      <c r="DQ52" s="3"/>
      <c r="DR52" s="3"/>
      <c r="DS52" s="3"/>
      <c r="DT52" s="3"/>
      <c r="DU52" s="3"/>
      <c r="DV52" s="3"/>
      <c r="DW52" s="3"/>
      <c r="DX52" s="3"/>
      <c r="DY52" s="3"/>
      <c r="DZ52" s="3"/>
      <c r="EA52" s="3"/>
      <c r="EB52" s="3"/>
      <c r="EC52" s="3"/>
      <c r="ED52" s="3"/>
      <c r="EE52" s="3"/>
      <c r="EF52" s="3"/>
      <c r="EG52" s="3"/>
      <c r="EH52" s="3"/>
      <c r="EI52" s="3"/>
      <c r="EJ52" s="3"/>
      <c r="EK52" s="3"/>
      <c r="EL52" s="3"/>
      <c r="EM52" s="3"/>
      <c r="EN52" s="3"/>
      <c r="EO52" s="3"/>
      <c r="EP52" s="3"/>
      <c r="EQ52" s="3"/>
      <c r="ER52" s="3"/>
      <c r="ES52" s="3"/>
      <c r="ET52" s="3"/>
      <c r="EU52" s="3"/>
      <c r="EV52" s="3"/>
      <c r="EW52" s="3"/>
      <c r="EX52" s="3"/>
      <c r="EY52" s="3"/>
      <c r="EZ52" s="3"/>
      <c r="FA52" s="3"/>
      <c r="FB52" s="3"/>
      <c r="FC52" s="3"/>
      <c r="FD52" s="3"/>
      <c r="FE52" s="3"/>
      <c r="FF52" s="3"/>
      <c r="FG52" s="3"/>
      <c r="FH52" s="3"/>
      <c r="FI52" s="3"/>
      <c r="FJ52" s="3"/>
      <c r="FK52" s="3"/>
      <c r="FL52" s="3"/>
      <c r="FM52" s="3"/>
      <c r="FN52" s="3"/>
      <c r="FO52" s="3"/>
      <c r="FP52" s="3"/>
      <c r="FQ52" s="3"/>
      <c r="FR52" s="3"/>
      <c r="FS52" s="3"/>
      <c r="FT52" s="3"/>
      <c r="FU52" s="3"/>
      <c r="FV52" s="3"/>
      <c r="FW52" s="3"/>
      <c r="FX52" s="3"/>
      <c r="FY52" s="3"/>
      <c r="FZ52" s="3"/>
      <c r="GA52" s="3"/>
      <c r="GB52" s="3"/>
      <c r="GC52" s="3"/>
      <c r="GD52" s="3"/>
      <c r="GE52" s="3"/>
      <c r="GF52" s="3"/>
      <c r="GG52" s="3"/>
      <c r="GH52" s="3"/>
      <c r="GI52" s="3"/>
      <c r="GJ52" s="3"/>
      <c r="GK52" s="3"/>
      <c r="GL52" s="3"/>
      <c r="GM52" s="3"/>
      <c r="GN52" s="3"/>
      <c r="GO52" s="3"/>
      <c r="GP52" s="3"/>
      <c r="GQ52" s="3"/>
      <c r="GR52" s="3"/>
      <c r="GS52" s="3"/>
      <c r="GT52" s="3"/>
      <c r="GU52" s="3"/>
      <c r="GV52" s="3"/>
      <c r="GW52" s="3"/>
      <c r="GX52" s="3">
        <v>0</v>
      </c>
    </row>
    <row r="54" spans="1:245" x14ac:dyDescent="0.2">
      <c r="A54" s="4">
        <v>50</v>
      </c>
      <c r="B54" s="4">
        <v>0</v>
      </c>
      <c r="C54" s="4">
        <v>0</v>
      </c>
      <c r="D54" s="4">
        <v>1</v>
      </c>
      <c r="E54" s="4">
        <v>201</v>
      </c>
      <c r="F54" s="4">
        <f>ROUND(Source!O52,O54)</f>
        <v>14619.33</v>
      </c>
      <c r="G54" s="4" t="s">
        <v>115</v>
      </c>
      <c r="H54" s="4" t="s">
        <v>116</v>
      </c>
      <c r="I54" s="4"/>
      <c r="J54" s="4"/>
      <c r="K54" s="4">
        <v>201</v>
      </c>
      <c r="L54" s="4">
        <v>1</v>
      </c>
      <c r="M54" s="4">
        <v>3</v>
      </c>
      <c r="N54" s="4" t="s">
        <v>6</v>
      </c>
      <c r="O54" s="4">
        <v>2</v>
      </c>
      <c r="P54" s="4"/>
      <c r="Q54" s="4"/>
      <c r="R54" s="4"/>
      <c r="S54" s="4"/>
      <c r="T54" s="4"/>
      <c r="U54" s="4"/>
      <c r="V54" s="4"/>
      <c r="W54" s="4"/>
    </row>
    <row r="55" spans="1:245" x14ac:dyDescent="0.2">
      <c r="A55" s="4">
        <v>50</v>
      </c>
      <c r="B55" s="4">
        <v>0</v>
      </c>
      <c r="C55" s="4">
        <v>0</v>
      </c>
      <c r="D55" s="4">
        <v>1</v>
      </c>
      <c r="E55" s="4">
        <v>202</v>
      </c>
      <c r="F55" s="4">
        <f>ROUND(Source!P52,O55)</f>
        <v>786.34</v>
      </c>
      <c r="G55" s="4" t="s">
        <v>117</v>
      </c>
      <c r="H55" s="4" t="s">
        <v>118</v>
      </c>
      <c r="I55" s="4"/>
      <c r="J55" s="4"/>
      <c r="K55" s="4">
        <v>202</v>
      </c>
      <c r="L55" s="4">
        <v>2</v>
      </c>
      <c r="M55" s="4">
        <v>3</v>
      </c>
      <c r="N55" s="4" t="s">
        <v>6</v>
      </c>
      <c r="O55" s="4">
        <v>2</v>
      </c>
      <c r="P55" s="4"/>
      <c r="Q55" s="4"/>
      <c r="R55" s="4"/>
      <c r="S55" s="4"/>
      <c r="T55" s="4"/>
      <c r="U55" s="4"/>
      <c r="V55" s="4"/>
      <c r="W55" s="4"/>
    </row>
    <row r="56" spans="1:245" x14ac:dyDescent="0.2">
      <c r="A56" s="4">
        <v>50</v>
      </c>
      <c r="B56" s="4">
        <v>0</v>
      </c>
      <c r="C56" s="4">
        <v>0</v>
      </c>
      <c r="D56" s="4">
        <v>1</v>
      </c>
      <c r="E56" s="4">
        <v>222</v>
      </c>
      <c r="F56" s="4">
        <f>ROUND(Source!AO52,O56)</f>
        <v>0</v>
      </c>
      <c r="G56" s="4" t="s">
        <v>119</v>
      </c>
      <c r="H56" s="4" t="s">
        <v>120</v>
      </c>
      <c r="I56" s="4"/>
      <c r="J56" s="4"/>
      <c r="K56" s="4">
        <v>222</v>
      </c>
      <c r="L56" s="4">
        <v>3</v>
      </c>
      <c r="M56" s="4">
        <v>3</v>
      </c>
      <c r="N56" s="4" t="s">
        <v>6</v>
      </c>
      <c r="O56" s="4">
        <v>2</v>
      </c>
      <c r="P56" s="4"/>
      <c r="Q56" s="4"/>
      <c r="R56" s="4"/>
      <c r="S56" s="4"/>
      <c r="T56" s="4"/>
      <c r="U56" s="4"/>
      <c r="V56" s="4"/>
      <c r="W56" s="4"/>
    </row>
    <row r="57" spans="1:245" x14ac:dyDescent="0.2">
      <c r="A57" s="4">
        <v>50</v>
      </c>
      <c r="B57" s="4">
        <v>0</v>
      </c>
      <c r="C57" s="4">
        <v>0</v>
      </c>
      <c r="D57" s="4">
        <v>1</v>
      </c>
      <c r="E57" s="4">
        <v>225</v>
      </c>
      <c r="F57" s="4">
        <f>ROUND(Source!AV52,O57)</f>
        <v>786.34</v>
      </c>
      <c r="G57" s="4" t="s">
        <v>121</v>
      </c>
      <c r="H57" s="4" t="s">
        <v>122</v>
      </c>
      <c r="I57" s="4"/>
      <c r="J57" s="4"/>
      <c r="K57" s="4">
        <v>225</v>
      </c>
      <c r="L57" s="4">
        <v>4</v>
      </c>
      <c r="M57" s="4">
        <v>3</v>
      </c>
      <c r="N57" s="4" t="s">
        <v>6</v>
      </c>
      <c r="O57" s="4">
        <v>2</v>
      </c>
      <c r="P57" s="4"/>
      <c r="Q57" s="4"/>
      <c r="R57" s="4"/>
      <c r="S57" s="4"/>
      <c r="T57" s="4"/>
      <c r="U57" s="4"/>
      <c r="V57" s="4"/>
      <c r="W57" s="4"/>
    </row>
    <row r="58" spans="1:245" x14ac:dyDescent="0.2">
      <c r="A58" s="4">
        <v>50</v>
      </c>
      <c r="B58" s="4">
        <v>0</v>
      </c>
      <c r="C58" s="4">
        <v>0</v>
      </c>
      <c r="D58" s="4">
        <v>1</v>
      </c>
      <c r="E58" s="4">
        <v>226</v>
      </c>
      <c r="F58" s="4">
        <f>ROUND(Source!AW52,O58)</f>
        <v>786.34</v>
      </c>
      <c r="G58" s="4" t="s">
        <v>123</v>
      </c>
      <c r="H58" s="4" t="s">
        <v>124</v>
      </c>
      <c r="I58" s="4"/>
      <c r="J58" s="4"/>
      <c r="K58" s="4">
        <v>226</v>
      </c>
      <c r="L58" s="4">
        <v>5</v>
      </c>
      <c r="M58" s="4">
        <v>3</v>
      </c>
      <c r="N58" s="4" t="s">
        <v>6</v>
      </c>
      <c r="O58" s="4">
        <v>2</v>
      </c>
      <c r="P58" s="4"/>
      <c r="Q58" s="4"/>
      <c r="R58" s="4"/>
      <c r="S58" s="4"/>
      <c r="T58" s="4"/>
      <c r="U58" s="4"/>
      <c r="V58" s="4"/>
      <c r="W58" s="4"/>
    </row>
    <row r="59" spans="1:245" x14ac:dyDescent="0.2">
      <c r="A59" s="4">
        <v>50</v>
      </c>
      <c r="B59" s="4">
        <v>0</v>
      </c>
      <c r="C59" s="4">
        <v>0</v>
      </c>
      <c r="D59" s="4">
        <v>1</v>
      </c>
      <c r="E59" s="4">
        <v>227</v>
      </c>
      <c r="F59" s="4">
        <f>ROUND(Source!AX52,O59)</f>
        <v>0</v>
      </c>
      <c r="G59" s="4" t="s">
        <v>125</v>
      </c>
      <c r="H59" s="4" t="s">
        <v>126</v>
      </c>
      <c r="I59" s="4"/>
      <c r="J59" s="4"/>
      <c r="K59" s="4">
        <v>227</v>
      </c>
      <c r="L59" s="4">
        <v>6</v>
      </c>
      <c r="M59" s="4">
        <v>3</v>
      </c>
      <c r="N59" s="4" t="s">
        <v>6</v>
      </c>
      <c r="O59" s="4">
        <v>2</v>
      </c>
      <c r="P59" s="4"/>
      <c r="Q59" s="4"/>
      <c r="R59" s="4"/>
      <c r="S59" s="4"/>
      <c r="T59" s="4"/>
      <c r="U59" s="4"/>
      <c r="V59" s="4"/>
      <c r="W59" s="4"/>
    </row>
    <row r="60" spans="1:245" x14ac:dyDescent="0.2">
      <c r="A60" s="4">
        <v>50</v>
      </c>
      <c r="B60" s="4">
        <v>0</v>
      </c>
      <c r="C60" s="4">
        <v>0</v>
      </c>
      <c r="D60" s="4">
        <v>1</v>
      </c>
      <c r="E60" s="4">
        <v>228</v>
      </c>
      <c r="F60" s="4">
        <f>ROUND(Source!AY52,O60)</f>
        <v>786.34</v>
      </c>
      <c r="G60" s="4" t="s">
        <v>127</v>
      </c>
      <c r="H60" s="4" t="s">
        <v>128</v>
      </c>
      <c r="I60" s="4"/>
      <c r="J60" s="4"/>
      <c r="K60" s="4">
        <v>228</v>
      </c>
      <c r="L60" s="4">
        <v>7</v>
      </c>
      <c r="M60" s="4">
        <v>3</v>
      </c>
      <c r="N60" s="4" t="s">
        <v>6</v>
      </c>
      <c r="O60" s="4">
        <v>2</v>
      </c>
      <c r="P60" s="4"/>
      <c r="Q60" s="4"/>
      <c r="R60" s="4"/>
      <c r="S60" s="4"/>
      <c r="T60" s="4"/>
      <c r="U60" s="4"/>
      <c r="V60" s="4"/>
      <c r="W60" s="4"/>
    </row>
    <row r="61" spans="1:245" x14ac:dyDescent="0.2">
      <c r="A61" s="4">
        <v>50</v>
      </c>
      <c r="B61" s="4">
        <v>0</v>
      </c>
      <c r="C61" s="4">
        <v>0</v>
      </c>
      <c r="D61" s="4">
        <v>1</v>
      </c>
      <c r="E61" s="4">
        <v>216</v>
      </c>
      <c r="F61" s="4">
        <f>ROUND(Source!AP52,O61)</f>
        <v>0</v>
      </c>
      <c r="G61" s="4" t="s">
        <v>129</v>
      </c>
      <c r="H61" s="4" t="s">
        <v>130</v>
      </c>
      <c r="I61" s="4"/>
      <c r="J61" s="4"/>
      <c r="K61" s="4">
        <v>216</v>
      </c>
      <c r="L61" s="4">
        <v>8</v>
      </c>
      <c r="M61" s="4">
        <v>3</v>
      </c>
      <c r="N61" s="4" t="s">
        <v>6</v>
      </c>
      <c r="O61" s="4">
        <v>2</v>
      </c>
      <c r="P61" s="4"/>
      <c r="Q61" s="4"/>
      <c r="R61" s="4"/>
      <c r="S61" s="4"/>
      <c r="T61" s="4"/>
      <c r="U61" s="4"/>
      <c r="V61" s="4"/>
      <c r="W61" s="4"/>
    </row>
    <row r="62" spans="1:245" x14ac:dyDescent="0.2">
      <c r="A62" s="4">
        <v>50</v>
      </c>
      <c r="B62" s="4">
        <v>0</v>
      </c>
      <c r="C62" s="4">
        <v>0</v>
      </c>
      <c r="D62" s="4">
        <v>1</v>
      </c>
      <c r="E62" s="4">
        <v>223</v>
      </c>
      <c r="F62" s="4">
        <f>ROUND(Source!AQ52,O62)</f>
        <v>0</v>
      </c>
      <c r="G62" s="4" t="s">
        <v>131</v>
      </c>
      <c r="H62" s="4" t="s">
        <v>132</v>
      </c>
      <c r="I62" s="4"/>
      <c r="J62" s="4"/>
      <c r="K62" s="4">
        <v>223</v>
      </c>
      <c r="L62" s="4">
        <v>9</v>
      </c>
      <c r="M62" s="4">
        <v>3</v>
      </c>
      <c r="N62" s="4" t="s">
        <v>6</v>
      </c>
      <c r="O62" s="4">
        <v>2</v>
      </c>
      <c r="P62" s="4"/>
      <c r="Q62" s="4"/>
      <c r="R62" s="4"/>
      <c r="S62" s="4"/>
      <c r="T62" s="4"/>
      <c r="U62" s="4"/>
      <c r="V62" s="4"/>
      <c r="W62" s="4"/>
    </row>
    <row r="63" spans="1:245" x14ac:dyDescent="0.2">
      <c r="A63" s="4">
        <v>50</v>
      </c>
      <c r="B63" s="4">
        <v>0</v>
      </c>
      <c r="C63" s="4">
        <v>0</v>
      </c>
      <c r="D63" s="4">
        <v>1</v>
      </c>
      <c r="E63" s="4">
        <v>229</v>
      </c>
      <c r="F63" s="4">
        <f>ROUND(Source!AZ52,O63)</f>
        <v>0</v>
      </c>
      <c r="G63" s="4" t="s">
        <v>133</v>
      </c>
      <c r="H63" s="4" t="s">
        <v>134</v>
      </c>
      <c r="I63" s="4"/>
      <c r="J63" s="4"/>
      <c r="K63" s="4">
        <v>229</v>
      </c>
      <c r="L63" s="4">
        <v>10</v>
      </c>
      <c r="M63" s="4">
        <v>3</v>
      </c>
      <c r="N63" s="4" t="s">
        <v>6</v>
      </c>
      <c r="O63" s="4">
        <v>2</v>
      </c>
      <c r="P63" s="4"/>
      <c r="Q63" s="4"/>
      <c r="R63" s="4"/>
      <c r="S63" s="4"/>
      <c r="T63" s="4"/>
      <c r="U63" s="4"/>
      <c r="V63" s="4"/>
      <c r="W63" s="4"/>
    </row>
    <row r="64" spans="1:245" x14ac:dyDescent="0.2">
      <c r="A64" s="4">
        <v>50</v>
      </c>
      <c r="B64" s="4">
        <v>0</v>
      </c>
      <c r="C64" s="4">
        <v>0</v>
      </c>
      <c r="D64" s="4">
        <v>1</v>
      </c>
      <c r="E64" s="4">
        <v>203</v>
      </c>
      <c r="F64" s="4">
        <f>ROUND(Source!Q52,O64)</f>
        <v>1767.66</v>
      </c>
      <c r="G64" s="4" t="s">
        <v>135</v>
      </c>
      <c r="H64" s="4" t="s">
        <v>136</v>
      </c>
      <c r="I64" s="4"/>
      <c r="J64" s="4"/>
      <c r="K64" s="4">
        <v>203</v>
      </c>
      <c r="L64" s="4">
        <v>11</v>
      </c>
      <c r="M64" s="4">
        <v>3</v>
      </c>
      <c r="N64" s="4" t="s">
        <v>6</v>
      </c>
      <c r="O64" s="4">
        <v>2</v>
      </c>
      <c r="P64" s="4"/>
      <c r="Q64" s="4"/>
      <c r="R64" s="4"/>
      <c r="S64" s="4"/>
      <c r="T64" s="4"/>
      <c r="U64" s="4"/>
      <c r="V64" s="4"/>
      <c r="W64" s="4"/>
    </row>
    <row r="65" spans="1:23" x14ac:dyDescent="0.2">
      <c r="A65" s="4">
        <v>50</v>
      </c>
      <c r="B65" s="4">
        <v>0</v>
      </c>
      <c r="C65" s="4">
        <v>0</v>
      </c>
      <c r="D65" s="4">
        <v>1</v>
      </c>
      <c r="E65" s="4">
        <v>231</v>
      </c>
      <c r="F65" s="4">
        <f>ROUND(Source!BB52,O65)</f>
        <v>0</v>
      </c>
      <c r="G65" s="4" t="s">
        <v>137</v>
      </c>
      <c r="H65" s="4" t="s">
        <v>138</v>
      </c>
      <c r="I65" s="4"/>
      <c r="J65" s="4"/>
      <c r="K65" s="4">
        <v>231</v>
      </c>
      <c r="L65" s="4">
        <v>12</v>
      </c>
      <c r="M65" s="4">
        <v>3</v>
      </c>
      <c r="N65" s="4" t="s">
        <v>6</v>
      </c>
      <c r="O65" s="4">
        <v>2</v>
      </c>
      <c r="P65" s="4"/>
      <c r="Q65" s="4"/>
      <c r="R65" s="4"/>
      <c r="S65" s="4"/>
      <c r="T65" s="4"/>
      <c r="U65" s="4"/>
      <c r="V65" s="4"/>
      <c r="W65" s="4"/>
    </row>
    <row r="66" spans="1:23" x14ac:dyDescent="0.2">
      <c r="A66" s="4">
        <v>50</v>
      </c>
      <c r="B66" s="4">
        <v>0</v>
      </c>
      <c r="C66" s="4">
        <v>0</v>
      </c>
      <c r="D66" s="4">
        <v>1</v>
      </c>
      <c r="E66" s="4">
        <v>204</v>
      </c>
      <c r="F66" s="4">
        <f>ROUND(Source!R52,O66)</f>
        <v>352.27</v>
      </c>
      <c r="G66" s="4" t="s">
        <v>139</v>
      </c>
      <c r="H66" s="4" t="s">
        <v>140</v>
      </c>
      <c r="I66" s="4"/>
      <c r="J66" s="4"/>
      <c r="K66" s="4">
        <v>204</v>
      </c>
      <c r="L66" s="4">
        <v>13</v>
      </c>
      <c r="M66" s="4">
        <v>3</v>
      </c>
      <c r="N66" s="4" t="s">
        <v>6</v>
      </c>
      <c r="O66" s="4">
        <v>2</v>
      </c>
      <c r="P66" s="4"/>
      <c r="Q66" s="4"/>
      <c r="R66" s="4"/>
      <c r="S66" s="4"/>
      <c r="T66" s="4"/>
      <c r="U66" s="4"/>
      <c r="V66" s="4"/>
      <c r="W66" s="4"/>
    </row>
    <row r="67" spans="1:23" x14ac:dyDescent="0.2">
      <c r="A67" s="4">
        <v>50</v>
      </c>
      <c r="B67" s="4">
        <v>0</v>
      </c>
      <c r="C67" s="4">
        <v>0</v>
      </c>
      <c r="D67" s="4">
        <v>1</v>
      </c>
      <c r="E67" s="4">
        <v>205</v>
      </c>
      <c r="F67" s="4">
        <f>ROUND(Source!S52,O67)</f>
        <v>12065.33</v>
      </c>
      <c r="G67" s="4" t="s">
        <v>141</v>
      </c>
      <c r="H67" s="4" t="s">
        <v>142</v>
      </c>
      <c r="I67" s="4"/>
      <c r="J67" s="4"/>
      <c r="K67" s="4">
        <v>205</v>
      </c>
      <c r="L67" s="4">
        <v>14</v>
      </c>
      <c r="M67" s="4">
        <v>3</v>
      </c>
      <c r="N67" s="4" t="s">
        <v>6</v>
      </c>
      <c r="O67" s="4">
        <v>2</v>
      </c>
      <c r="P67" s="4"/>
      <c r="Q67" s="4"/>
      <c r="R67" s="4"/>
      <c r="S67" s="4"/>
      <c r="T67" s="4"/>
      <c r="U67" s="4"/>
      <c r="V67" s="4"/>
      <c r="W67" s="4"/>
    </row>
    <row r="68" spans="1:23" x14ac:dyDescent="0.2">
      <c r="A68" s="4">
        <v>50</v>
      </c>
      <c r="B68" s="4">
        <v>0</v>
      </c>
      <c r="C68" s="4">
        <v>0</v>
      </c>
      <c r="D68" s="4">
        <v>1</v>
      </c>
      <c r="E68" s="4">
        <v>232</v>
      </c>
      <c r="F68" s="4">
        <f>ROUND(Source!BC52,O68)</f>
        <v>0</v>
      </c>
      <c r="G68" s="4" t="s">
        <v>143</v>
      </c>
      <c r="H68" s="4" t="s">
        <v>144</v>
      </c>
      <c r="I68" s="4"/>
      <c r="J68" s="4"/>
      <c r="K68" s="4">
        <v>232</v>
      </c>
      <c r="L68" s="4">
        <v>15</v>
      </c>
      <c r="M68" s="4">
        <v>3</v>
      </c>
      <c r="N68" s="4" t="s">
        <v>6</v>
      </c>
      <c r="O68" s="4">
        <v>2</v>
      </c>
      <c r="P68" s="4"/>
      <c r="Q68" s="4"/>
      <c r="R68" s="4"/>
      <c r="S68" s="4"/>
      <c r="T68" s="4"/>
      <c r="U68" s="4"/>
      <c r="V68" s="4"/>
      <c r="W68" s="4"/>
    </row>
    <row r="69" spans="1:23" x14ac:dyDescent="0.2">
      <c r="A69" s="4">
        <v>50</v>
      </c>
      <c r="B69" s="4">
        <v>0</v>
      </c>
      <c r="C69" s="4">
        <v>0</v>
      </c>
      <c r="D69" s="4">
        <v>1</v>
      </c>
      <c r="E69" s="4">
        <v>214</v>
      </c>
      <c r="F69" s="4">
        <f>ROUND(Source!AS52,O69)</f>
        <v>33239.97</v>
      </c>
      <c r="G69" s="4" t="s">
        <v>145</v>
      </c>
      <c r="H69" s="4" t="s">
        <v>146</v>
      </c>
      <c r="I69" s="4"/>
      <c r="J69" s="4"/>
      <c r="K69" s="4">
        <v>214</v>
      </c>
      <c r="L69" s="4">
        <v>16</v>
      </c>
      <c r="M69" s="4">
        <v>3</v>
      </c>
      <c r="N69" s="4" t="s">
        <v>6</v>
      </c>
      <c r="O69" s="4">
        <v>2</v>
      </c>
      <c r="P69" s="4"/>
      <c r="Q69" s="4"/>
      <c r="R69" s="4"/>
      <c r="S69" s="4"/>
      <c r="T69" s="4"/>
      <c r="U69" s="4"/>
      <c r="V69" s="4"/>
      <c r="W69" s="4"/>
    </row>
    <row r="70" spans="1:23" x14ac:dyDescent="0.2">
      <c r="A70" s="4">
        <v>50</v>
      </c>
      <c r="B70" s="4">
        <v>0</v>
      </c>
      <c r="C70" s="4">
        <v>0</v>
      </c>
      <c r="D70" s="4">
        <v>1</v>
      </c>
      <c r="E70" s="4">
        <v>215</v>
      </c>
      <c r="F70" s="4">
        <f>ROUND(Source!AT52,O70)</f>
        <v>0</v>
      </c>
      <c r="G70" s="4" t="s">
        <v>147</v>
      </c>
      <c r="H70" s="4" t="s">
        <v>148</v>
      </c>
      <c r="I70" s="4"/>
      <c r="J70" s="4"/>
      <c r="K70" s="4">
        <v>215</v>
      </c>
      <c r="L70" s="4">
        <v>17</v>
      </c>
      <c r="M70" s="4">
        <v>3</v>
      </c>
      <c r="N70" s="4" t="s">
        <v>6</v>
      </c>
      <c r="O70" s="4">
        <v>2</v>
      </c>
      <c r="P70" s="4"/>
      <c r="Q70" s="4"/>
      <c r="R70" s="4"/>
      <c r="S70" s="4"/>
      <c r="T70" s="4"/>
      <c r="U70" s="4"/>
      <c r="V70" s="4"/>
      <c r="W70" s="4"/>
    </row>
    <row r="71" spans="1:23" x14ac:dyDescent="0.2">
      <c r="A71" s="4">
        <v>50</v>
      </c>
      <c r="B71" s="4">
        <v>0</v>
      </c>
      <c r="C71" s="4">
        <v>0</v>
      </c>
      <c r="D71" s="4">
        <v>1</v>
      </c>
      <c r="E71" s="4">
        <v>217</v>
      </c>
      <c r="F71" s="4">
        <f>ROUND(Source!AU52,O71)</f>
        <v>0</v>
      </c>
      <c r="G71" s="4" t="s">
        <v>149</v>
      </c>
      <c r="H71" s="4" t="s">
        <v>150</v>
      </c>
      <c r="I71" s="4"/>
      <c r="J71" s="4"/>
      <c r="K71" s="4">
        <v>217</v>
      </c>
      <c r="L71" s="4">
        <v>18</v>
      </c>
      <c r="M71" s="4">
        <v>3</v>
      </c>
      <c r="N71" s="4" t="s">
        <v>6</v>
      </c>
      <c r="O71" s="4">
        <v>2</v>
      </c>
      <c r="P71" s="4"/>
      <c r="Q71" s="4"/>
      <c r="R71" s="4"/>
      <c r="S71" s="4"/>
      <c r="T71" s="4"/>
      <c r="U71" s="4"/>
      <c r="V71" s="4"/>
      <c r="W71" s="4"/>
    </row>
    <row r="72" spans="1:23" x14ac:dyDescent="0.2">
      <c r="A72" s="4">
        <v>50</v>
      </c>
      <c r="B72" s="4">
        <v>0</v>
      </c>
      <c r="C72" s="4">
        <v>0</v>
      </c>
      <c r="D72" s="4">
        <v>1</v>
      </c>
      <c r="E72" s="4">
        <v>230</v>
      </c>
      <c r="F72" s="4">
        <f>ROUND(Source!BA52,O72)</f>
        <v>0</v>
      </c>
      <c r="G72" s="4" t="s">
        <v>151</v>
      </c>
      <c r="H72" s="4" t="s">
        <v>152</v>
      </c>
      <c r="I72" s="4"/>
      <c r="J72" s="4"/>
      <c r="K72" s="4">
        <v>230</v>
      </c>
      <c r="L72" s="4">
        <v>19</v>
      </c>
      <c r="M72" s="4">
        <v>3</v>
      </c>
      <c r="N72" s="4" t="s">
        <v>6</v>
      </c>
      <c r="O72" s="4">
        <v>2</v>
      </c>
      <c r="P72" s="4"/>
      <c r="Q72" s="4"/>
      <c r="R72" s="4"/>
      <c r="S72" s="4"/>
      <c r="T72" s="4"/>
      <c r="U72" s="4"/>
      <c r="V72" s="4"/>
      <c r="W72" s="4"/>
    </row>
    <row r="73" spans="1:23" x14ac:dyDescent="0.2">
      <c r="A73" s="4">
        <v>50</v>
      </c>
      <c r="B73" s="4">
        <v>0</v>
      </c>
      <c r="C73" s="4">
        <v>0</v>
      </c>
      <c r="D73" s="4">
        <v>1</v>
      </c>
      <c r="E73" s="4">
        <v>206</v>
      </c>
      <c r="F73" s="4">
        <f>ROUND(Source!T52,O73)</f>
        <v>0</v>
      </c>
      <c r="G73" s="4" t="s">
        <v>153</v>
      </c>
      <c r="H73" s="4" t="s">
        <v>154</v>
      </c>
      <c r="I73" s="4"/>
      <c r="J73" s="4"/>
      <c r="K73" s="4">
        <v>206</v>
      </c>
      <c r="L73" s="4">
        <v>20</v>
      </c>
      <c r="M73" s="4">
        <v>3</v>
      </c>
      <c r="N73" s="4" t="s">
        <v>6</v>
      </c>
      <c r="O73" s="4">
        <v>2</v>
      </c>
      <c r="P73" s="4"/>
      <c r="Q73" s="4"/>
      <c r="R73" s="4"/>
      <c r="S73" s="4"/>
      <c r="T73" s="4"/>
      <c r="U73" s="4"/>
      <c r="V73" s="4"/>
      <c r="W73" s="4"/>
    </row>
    <row r="74" spans="1:23" x14ac:dyDescent="0.2">
      <c r="A74" s="4">
        <v>50</v>
      </c>
      <c r="B74" s="4">
        <v>0</v>
      </c>
      <c r="C74" s="4">
        <v>0</v>
      </c>
      <c r="D74" s="4">
        <v>1</v>
      </c>
      <c r="E74" s="4">
        <v>207</v>
      </c>
      <c r="F74" s="4">
        <f>Source!U52</f>
        <v>224.97086999999999</v>
      </c>
      <c r="G74" s="4" t="s">
        <v>155</v>
      </c>
      <c r="H74" s="4" t="s">
        <v>156</v>
      </c>
      <c r="I74" s="4"/>
      <c r="J74" s="4"/>
      <c r="K74" s="4">
        <v>207</v>
      </c>
      <c r="L74" s="4">
        <v>21</v>
      </c>
      <c r="M74" s="4">
        <v>3</v>
      </c>
      <c r="N74" s="4" t="s">
        <v>6</v>
      </c>
      <c r="O74" s="4">
        <v>-1</v>
      </c>
      <c r="P74" s="4"/>
      <c r="Q74" s="4"/>
      <c r="R74" s="4"/>
      <c r="S74" s="4"/>
      <c r="T74" s="4"/>
      <c r="U74" s="4"/>
      <c r="V74" s="4"/>
      <c r="W74" s="4"/>
    </row>
    <row r="75" spans="1:23" x14ac:dyDescent="0.2">
      <c r="A75" s="4">
        <v>50</v>
      </c>
      <c r="B75" s="4">
        <v>0</v>
      </c>
      <c r="C75" s="4">
        <v>0</v>
      </c>
      <c r="D75" s="4">
        <v>1</v>
      </c>
      <c r="E75" s="4">
        <v>208</v>
      </c>
      <c r="F75" s="4">
        <f>Source!V52</f>
        <v>4.1317619999999993</v>
      </c>
      <c r="G75" s="4" t="s">
        <v>157</v>
      </c>
      <c r="H75" s="4" t="s">
        <v>158</v>
      </c>
      <c r="I75" s="4"/>
      <c r="J75" s="4"/>
      <c r="K75" s="4">
        <v>208</v>
      </c>
      <c r="L75" s="4">
        <v>22</v>
      </c>
      <c r="M75" s="4">
        <v>3</v>
      </c>
      <c r="N75" s="4" t="s">
        <v>6</v>
      </c>
      <c r="O75" s="4">
        <v>-1</v>
      </c>
      <c r="P75" s="4"/>
      <c r="Q75" s="4"/>
      <c r="R75" s="4"/>
      <c r="S75" s="4"/>
      <c r="T75" s="4"/>
      <c r="U75" s="4"/>
      <c r="V75" s="4"/>
      <c r="W75" s="4"/>
    </row>
    <row r="76" spans="1:23" x14ac:dyDescent="0.2">
      <c r="A76" s="4">
        <v>50</v>
      </c>
      <c r="B76" s="4">
        <v>0</v>
      </c>
      <c r="C76" s="4">
        <v>0</v>
      </c>
      <c r="D76" s="4">
        <v>1</v>
      </c>
      <c r="E76" s="4">
        <v>209</v>
      </c>
      <c r="F76" s="4">
        <f>ROUND(Source!W52,O76)</f>
        <v>0</v>
      </c>
      <c r="G76" s="4" t="s">
        <v>159</v>
      </c>
      <c r="H76" s="4" t="s">
        <v>160</v>
      </c>
      <c r="I76" s="4"/>
      <c r="J76" s="4"/>
      <c r="K76" s="4">
        <v>209</v>
      </c>
      <c r="L76" s="4">
        <v>23</v>
      </c>
      <c r="M76" s="4">
        <v>3</v>
      </c>
      <c r="N76" s="4" t="s">
        <v>6</v>
      </c>
      <c r="O76" s="4">
        <v>2</v>
      </c>
      <c r="P76" s="4"/>
      <c r="Q76" s="4"/>
      <c r="R76" s="4"/>
      <c r="S76" s="4"/>
      <c r="T76" s="4"/>
      <c r="U76" s="4"/>
      <c r="V76" s="4"/>
      <c r="W76" s="4"/>
    </row>
    <row r="77" spans="1:23" x14ac:dyDescent="0.2">
      <c r="A77" s="4">
        <v>50</v>
      </c>
      <c r="B77" s="4">
        <v>0</v>
      </c>
      <c r="C77" s="4">
        <v>0</v>
      </c>
      <c r="D77" s="4">
        <v>1</v>
      </c>
      <c r="E77" s="4">
        <v>210</v>
      </c>
      <c r="F77" s="4">
        <f>ROUND(Source!X52,O77)</f>
        <v>11007.77</v>
      </c>
      <c r="G77" s="4" t="s">
        <v>161</v>
      </c>
      <c r="H77" s="4" t="s">
        <v>162</v>
      </c>
      <c r="I77" s="4"/>
      <c r="J77" s="4"/>
      <c r="K77" s="4">
        <v>210</v>
      </c>
      <c r="L77" s="4">
        <v>24</v>
      </c>
      <c r="M77" s="4">
        <v>3</v>
      </c>
      <c r="N77" s="4" t="s">
        <v>6</v>
      </c>
      <c r="O77" s="4">
        <v>2</v>
      </c>
      <c r="P77" s="4"/>
      <c r="Q77" s="4"/>
      <c r="R77" s="4"/>
      <c r="S77" s="4"/>
      <c r="T77" s="4"/>
      <c r="U77" s="4"/>
      <c r="V77" s="4"/>
      <c r="W77" s="4"/>
    </row>
    <row r="78" spans="1:23" x14ac:dyDescent="0.2">
      <c r="A78" s="4">
        <v>50</v>
      </c>
      <c r="B78" s="4">
        <v>0</v>
      </c>
      <c r="C78" s="4">
        <v>0</v>
      </c>
      <c r="D78" s="4">
        <v>1</v>
      </c>
      <c r="E78" s="4">
        <v>211</v>
      </c>
      <c r="F78" s="4">
        <f>ROUND(Source!Y52,O78)</f>
        <v>7612.87</v>
      </c>
      <c r="G78" s="4" t="s">
        <v>163</v>
      </c>
      <c r="H78" s="4" t="s">
        <v>164</v>
      </c>
      <c r="I78" s="4"/>
      <c r="J78" s="4"/>
      <c r="K78" s="4">
        <v>211</v>
      </c>
      <c r="L78" s="4">
        <v>25</v>
      </c>
      <c r="M78" s="4">
        <v>3</v>
      </c>
      <c r="N78" s="4" t="s">
        <v>6</v>
      </c>
      <c r="O78" s="4">
        <v>2</v>
      </c>
      <c r="P78" s="4"/>
      <c r="Q78" s="4"/>
      <c r="R78" s="4"/>
      <c r="S78" s="4"/>
      <c r="T78" s="4"/>
      <c r="U78" s="4"/>
      <c r="V78" s="4"/>
      <c r="W78" s="4"/>
    </row>
    <row r="79" spans="1:23" x14ac:dyDescent="0.2">
      <c r="A79" s="4">
        <v>50</v>
      </c>
      <c r="B79" s="4">
        <v>0</v>
      </c>
      <c r="C79" s="4">
        <v>0</v>
      </c>
      <c r="D79" s="4">
        <v>1</v>
      </c>
      <c r="E79" s="4">
        <v>224</v>
      </c>
      <c r="F79" s="4">
        <f>ROUND(Source!AR52,O79)</f>
        <v>33239.97</v>
      </c>
      <c r="G79" s="4" t="s">
        <v>165</v>
      </c>
      <c r="H79" s="4" t="s">
        <v>166</v>
      </c>
      <c r="I79" s="4"/>
      <c r="J79" s="4"/>
      <c r="K79" s="4">
        <v>224</v>
      </c>
      <c r="L79" s="4">
        <v>26</v>
      </c>
      <c r="M79" s="4">
        <v>3</v>
      </c>
      <c r="N79" s="4" t="s">
        <v>6</v>
      </c>
      <c r="O79" s="4">
        <v>2</v>
      </c>
      <c r="P79" s="4"/>
      <c r="Q79" s="4"/>
      <c r="R79" s="4"/>
      <c r="S79" s="4"/>
      <c r="T79" s="4"/>
      <c r="U79" s="4"/>
      <c r="V79" s="4"/>
      <c r="W79" s="4"/>
    </row>
    <row r="81" spans="1:245" x14ac:dyDescent="0.2">
      <c r="A81" s="1">
        <v>5</v>
      </c>
      <c r="B81" s="1">
        <v>1</v>
      </c>
      <c r="C81" s="1"/>
      <c r="D81" s="1">
        <f>ROW(A187)</f>
        <v>187</v>
      </c>
      <c r="E81" s="1"/>
      <c r="F81" s="1" t="s">
        <v>15</v>
      </c>
      <c r="G81" s="1" t="s">
        <v>167</v>
      </c>
      <c r="H81" s="1" t="s">
        <v>6</v>
      </c>
      <c r="I81" s="1">
        <v>0</v>
      </c>
      <c r="J81" s="1"/>
      <c r="K81" s="1">
        <v>0</v>
      </c>
      <c r="L81" s="1"/>
      <c r="M81" s="1"/>
      <c r="N81" s="1"/>
      <c r="O81" s="1"/>
      <c r="P81" s="1"/>
      <c r="Q81" s="1"/>
      <c r="R81" s="1"/>
      <c r="S81" s="1"/>
      <c r="T81" s="1"/>
      <c r="U81" s="1" t="s">
        <v>6</v>
      </c>
      <c r="V81" s="1">
        <v>0</v>
      </c>
      <c r="W81" s="1"/>
      <c r="X81" s="1"/>
      <c r="Y81" s="1"/>
      <c r="Z81" s="1"/>
      <c r="AA81" s="1"/>
      <c r="AB81" s="1" t="s">
        <v>6</v>
      </c>
      <c r="AC81" s="1" t="s">
        <v>6</v>
      </c>
      <c r="AD81" s="1" t="s">
        <v>6</v>
      </c>
      <c r="AE81" s="1" t="s">
        <v>6</v>
      </c>
      <c r="AF81" s="1" t="s">
        <v>6</v>
      </c>
      <c r="AG81" s="1" t="s">
        <v>6</v>
      </c>
      <c r="AH81" s="1"/>
      <c r="AI81" s="1"/>
      <c r="AJ81" s="1"/>
      <c r="AK81" s="1"/>
      <c r="AL81" s="1"/>
      <c r="AM81" s="1"/>
      <c r="AN81" s="1"/>
      <c r="AO81" s="1"/>
      <c r="AP81" s="1" t="s">
        <v>6</v>
      </c>
      <c r="AQ81" s="1" t="s">
        <v>6</v>
      </c>
      <c r="AR81" s="1" t="s">
        <v>6</v>
      </c>
      <c r="AS81" s="1"/>
      <c r="AT81" s="1"/>
      <c r="AU81" s="1"/>
      <c r="AV81" s="1"/>
      <c r="AW81" s="1"/>
      <c r="AX81" s="1"/>
      <c r="AY81" s="1"/>
      <c r="AZ81" s="1" t="s">
        <v>6</v>
      </c>
      <c r="BA81" s="1"/>
      <c r="BB81" s="1" t="s">
        <v>6</v>
      </c>
      <c r="BC81" s="1" t="s">
        <v>6</v>
      </c>
      <c r="BD81" s="1" t="s">
        <v>6</v>
      </c>
      <c r="BE81" s="1" t="s">
        <v>6</v>
      </c>
      <c r="BF81" s="1" t="s">
        <v>6</v>
      </c>
      <c r="BG81" s="1" t="s">
        <v>6</v>
      </c>
      <c r="BH81" s="1" t="s">
        <v>6</v>
      </c>
      <c r="BI81" s="1" t="s">
        <v>6</v>
      </c>
      <c r="BJ81" s="1" t="s">
        <v>6</v>
      </c>
      <c r="BK81" s="1" t="s">
        <v>6</v>
      </c>
      <c r="BL81" s="1" t="s">
        <v>6</v>
      </c>
      <c r="BM81" s="1" t="s">
        <v>6</v>
      </c>
      <c r="BN81" s="1" t="s">
        <v>6</v>
      </c>
      <c r="BO81" s="1" t="s">
        <v>6</v>
      </c>
      <c r="BP81" s="1" t="s">
        <v>6</v>
      </c>
      <c r="BQ81" s="1"/>
      <c r="BR81" s="1"/>
      <c r="BS81" s="1"/>
      <c r="BT81" s="1"/>
      <c r="BU81" s="1"/>
      <c r="BV81" s="1"/>
      <c r="BW81" s="1"/>
      <c r="BX81" s="1">
        <v>0</v>
      </c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>
        <v>0</v>
      </c>
    </row>
    <row r="83" spans="1:245" x14ac:dyDescent="0.2">
      <c r="A83" s="2">
        <v>52</v>
      </c>
      <c r="B83" s="2">
        <f t="shared" ref="B83:G83" si="71">B187</f>
        <v>1</v>
      </c>
      <c r="C83" s="2">
        <f t="shared" si="71"/>
        <v>5</v>
      </c>
      <c r="D83" s="2">
        <f t="shared" si="71"/>
        <v>81</v>
      </c>
      <c r="E83" s="2">
        <f t="shared" si="71"/>
        <v>0</v>
      </c>
      <c r="F83" s="2" t="str">
        <f t="shared" si="71"/>
        <v>Новый подраздел</v>
      </c>
      <c r="G83" s="2" t="str">
        <f t="shared" si="71"/>
        <v>2 Монтаж</v>
      </c>
      <c r="H83" s="2"/>
      <c r="I83" s="2"/>
      <c r="J83" s="2"/>
      <c r="K83" s="2"/>
      <c r="L83" s="2"/>
      <c r="M83" s="2"/>
      <c r="N83" s="2"/>
      <c r="O83" s="2">
        <f t="shared" ref="O83:AT83" si="72">O187</f>
        <v>1294106.8500000001</v>
      </c>
      <c r="P83" s="2">
        <f t="shared" si="72"/>
        <v>1225693.92</v>
      </c>
      <c r="Q83" s="2">
        <f t="shared" si="72"/>
        <v>9233.9599999999991</v>
      </c>
      <c r="R83" s="2">
        <f t="shared" si="72"/>
        <v>2095.52</v>
      </c>
      <c r="S83" s="2">
        <f t="shared" si="72"/>
        <v>59178.97</v>
      </c>
      <c r="T83" s="2">
        <f t="shared" si="72"/>
        <v>0</v>
      </c>
      <c r="U83" s="2">
        <f t="shared" si="72"/>
        <v>1008.9198497499999</v>
      </c>
      <c r="V83" s="2">
        <f t="shared" si="72"/>
        <v>27.476148749999997</v>
      </c>
      <c r="W83" s="2">
        <f t="shared" si="72"/>
        <v>0</v>
      </c>
      <c r="X83" s="2">
        <f t="shared" si="72"/>
        <v>59095.61</v>
      </c>
      <c r="Y83" s="2">
        <f t="shared" si="72"/>
        <v>32675.35</v>
      </c>
      <c r="Z83" s="2">
        <f t="shared" si="72"/>
        <v>0</v>
      </c>
      <c r="AA83" s="2">
        <f t="shared" si="72"/>
        <v>0</v>
      </c>
      <c r="AB83" s="2">
        <f t="shared" si="72"/>
        <v>1294106.8500000001</v>
      </c>
      <c r="AC83" s="2">
        <f t="shared" si="72"/>
        <v>1225693.92</v>
      </c>
      <c r="AD83" s="2">
        <f t="shared" si="72"/>
        <v>9233.9599999999991</v>
      </c>
      <c r="AE83" s="2">
        <f t="shared" si="72"/>
        <v>2095.52</v>
      </c>
      <c r="AF83" s="2">
        <f t="shared" si="72"/>
        <v>59178.97</v>
      </c>
      <c r="AG83" s="2">
        <f t="shared" si="72"/>
        <v>0</v>
      </c>
      <c r="AH83" s="2">
        <f t="shared" si="72"/>
        <v>1008.9198497499999</v>
      </c>
      <c r="AI83" s="2">
        <f t="shared" si="72"/>
        <v>27.476148749999997</v>
      </c>
      <c r="AJ83" s="2">
        <f t="shared" si="72"/>
        <v>0</v>
      </c>
      <c r="AK83" s="2">
        <f t="shared" si="72"/>
        <v>59095.61</v>
      </c>
      <c r="AL83" s="2">
        <f t="shared" si="72"/>
        <v>32675.35</v>
      </c>
      <c r="AM83" s="2">
        <f t="shared" si="72"/>
        <v>0</v>
      </c>
      <c r="AN83" s="2">
        <f t="shared" si="72"/>
        <v>0</v>
      </c>
      <c r="AO83" s="2">
        <f t="shared" si="72"/>
        <v>0</v>
      </c>
      <c r="AP83" s="2">
        <f t="shared" si="72"/>
        <v>0</v>
      </c>
      <c r="AQ83" s="2">
        <f t="shared" si="72"/>
        <v>0</v>
      </c>
      <c r="AR83" s="2">
        <f t="shared" si="72"/>
        <v>1393260.17</v>
      </c>
      <c r="AS83" s="2">
        <f t="shared" si="72"/>
        <v>1393260.17</v>
      </c>
      <c r="AT83" s="2">
        <f t="shared" si="72"/>
        <v>0</v>
      </c>
      <c r="AU83" s="2">
        <f t="shared" ref="AU83:BZ83" si="73">AU187</f>
        <v>0</v>
      </c>
      <c r="AV83" s="2">
        <f t="shared" si="73"/>
        <v>1225693.92</v>
      </c>
      <c r="AW83" s="2">
        <f t="shared" si="73"/>
        <v>1225693.92</v>
      </c>
      <c r="AX83" s="2">
        <f t="shared" si="73"/>
        <v>0</v>
      </c>
      <c r="AY83" s="2">
        <f t="shared" si="73"/>
        <v>1225693.92</v>
      </c>
      <c r="AZ83" s="2">
        <f t="shared" si="73"/>
        <v>0</v>
      </c>
      <c r="BA83" s="2">
        <f t="shared" si="73"/>
        <v>0</v>
      </c>
      <c r="BB83" s="2">
        <f t="shared" si="73"/>
        <v>0</v>
      </c>
      <c r="BC83" s="2">
        <f t="shared" si="73"/>
        <v>0</v>
      </c>
      <c r="BD83" s="2">
        <f t="shared" si="73"/>
        <v>0</v>
      </c>
      <c r="BE83" s="2">
        <f t="shared" si="73"/>
        <v>0</v>
      </c>
      <c r="BF83" s="2">
        <f t="shared" si="73"/>
        <v>0</v>
      </c>
      <c r="BG83" s="2">
        <f t="shared" si="73"/>
        <v>0</v>
      </c>
      <c r="BH83" s="2">
        <f t="shared" si="73"/>
        <v>0</v>
      </c>
      <c r="BI83" s="2">
        <f t="shared" si="73"/>
        <v>0</v>
      </c>
      <c r="BJ83" s="2">
        <f t="shared" si="73"/>
        <v>0</v>
      </c>
      <c r="BK83" s="2">
        <f t="shared" si="73"/>
        <v>0</v>
      </c>
      <c r="BL83" s="2">
        <f t="shared" si="73"/>
        <v>0</v>
      </c>
      <c r="BM83" s="2">
        <f t="shared" si="73"/>
        <v>0</v>
      </c>
      <c r="BN83" s="2">
        <f t="shared" si="73"/>
        <v>0</v>
      </c>
      <c r="BO83" s="2">
        <f t="shared" si="73"/>
        <v>0</v>
      </c>
      <c r="BP83" s="2">
        <f t="shared" si="73"/>
        <v>0</v>
      </c>
      <c r="BQ83" s="2">
        <f t="shared" si="73"/>
        <v>0</v>
      </c>
      <c r="BR83" s="2">
        <f t="shared" si="73"/>
        <v>0</v>
      </c>
      <c r="BS83" s="2">
        <f t="shared" si="73"/>
        <v>0</v>
      </c>
      <c r="BT83" s="2">
        <f t="shared" si="73"/>
        <v>0</v>
      </c>
      <c r="BU83" s="2">
        <f t="shared" si="73"/>
        <v>0</v>
      </c>
      <c r="BV83" s="2">
        <f t="shared" si="73"/>
        <v>0</v>
      </c>
      <c r="BW83" s="2">
        <f t="shared" si="73"/>
        <v>0</v>
      </c>
      <c r="BX83" s="2">
        <f t="shared" si="73"/>
        <v>0</v>
      </c>
      <c r="BY83" s="2">
        <f t="shared" si="73"/>
        <v>0</v>
      </c>
      <c r="BZ83" s="2">
        <f t="shared" si="73"/>
        <v>0</v>
      </c>
      <c r="CA83" s="2">
        <f t="shared" ref="CA83:DF83" si="74">CA187</f>
        <v>1393260.17</v>
      </c>
      <c r="CB83" s="2">
        <f t="shared" si="74"/>
        <v>1393260.17</v>
      </c>
      <c r="CC83" s="2">
        <f t="shared" si="74"/>
        <v>0</v>
      </c>
      <c r="CD83" s="2">
        <f t="shared" si="74"/>
        <v>0</v>
      </c>
      <c r="CE83" s="2">
        <f t="shared" si="74"/>
        <v>1225693.92</v>
      </c>
      <c r="CF83" s="2">
        <f t="shared" si="74"/>
        <v>1225693.92</v>
      </c>
      <c r="CG83" s="2">
        <f t="shared" si="74"/>
        <v>0</v>
      </c>
      <c r="CH83" s="2">
        <f t="shared" si="74"/>
        <v>1225693.92</v>
      </c>
      <c r="CI83" s="2">
        <f t="shared" si="74"/>
        <v>0</v>
      </c>
      <c r="CJ83" s="2">
        <f t="shared" si="74"/>
        <v>0</v>
      </c>
      <c r="CK83" s="2">
        <f t="shared" si="74"/>
        <v>0</v>
      </c>
      <c r="CL83" s="2">
        <f t="shared" si="74"/>
        <v>0</v>
      </c>
      <c r="CM83" s="2">
        <f t="shared" si="74"/>
        <v>0</v>
      </c>
      <c r="CN83" s="2">
        <f t="shared" si="74"/>
        <v>0</v>
      </c>
      <c r="CO83" s="2">
        <f t="shared" si="74"/>
        <v>0</v>
      </c>
      <c r="CP83" s="2">
        <f t="shared" si="74"/>
        <v>0</v>
      </c>
      <c r="CQ83" s="2">
        <f t="shared" si="74"/>
        <v>0</v>
      </c>
      <c r="CR83" s="2">
        <f t="shared" si="74"/>
        <v>0</v>
      </c>
      <c r="CS83" s="2">
        <f t="shared" si="74"/>
        <v>0</v>
      </c>
      <c r="CT83" s="2">
        <f t="shared" si="74"/>
        <v>0</v>
      </c>
      <c r="CU83" s="2">
        <f t="shared" si="74"/>
        <v>0</v>
      </c>
      <c r="CV83" s="2">
        <f t="shared" si="74"/>
        <v>0</v>
      </c>
      <c r="CW83" s="2">
        <f t="shared" si="74"/>
        <v>0</v>
      </c>
      <c r="CX83" s="2">
        <f t="shared" si="74"/>
        <v>0</v>
      </c>
      <c r="CY83" s="2">
        <f t="shared" si="74"/>
        <v>0</v>
      </c>
      <c r="CZ83" s="2">
        <f t="shared" si="74"/>
        <v>0</v>
      </c>
      <c r="DA83" s="2">
        <f t="shared" si="74"/>
        <v>0</v>
      </c>
      <c r="DB83" s="2">
        <f t="shared" si="74"/>
        <v>0</v>
      </c>
      <c r="DC83" s="2">
        <f t="shared" si="74"/>
        <v>0</v>
      </c>
      <c r="DD83" s="2">
        <f t="shared" si="74"/>
        <v>0</v>
      </c>
      <c r="DE83" s="2">
        <f t="shared" si="74"/>
        <v>0</v>
      </c>
      <c r="DF83" s="2">
        <f t="shared" si="74"/>
        <v>0</v>
      </c>
      <c r="DG83" s="3">
        <f t="shared" ref="DG83:EL83" si="75">DG187</f>
        <v>0</v>
      </c>
      <c r="DH83" s="3">
        <f t="shared" si="75"/>
        <v>0</v>
      </c>
      <c r="DI83" s="3">
        <f t="shared" si="75"/>
        <v>0</v>
      </c>
      <c r="DJ83" s="3">
        <f t="shared" si="75"/>
        <v>0</v>
      </c>
      <c r="DK83" s="3">
        <f t="shared" si="75"/>
        <v>0</v>
      </c>
      <c r="DL83" s="3">
        <f t="shared" si="75"/>
        <v>0</v>
      </c>
      <c r="DM83" s="3">
        <f t="shared" si="75"/>
        <v>0</v>
      </c>
      <c r="DN83" s="3">
        <f t="shared" si="75"/>
        <v>0</v>
      </c>
      <c r="DO83" s="3">
        <f t="shared" si="75"/>
        <v>0</v>
      </c>
      <c r="DP83" s="3">
        <f t="shared" si="75"/>
        <v>0</v>
      </c>
      <c r="DQ83" s="3">
        <f t="shared" si="75"/>
        <v>0</v>
      </c>
      <c r="DR83" s="3">
        <f t="shared" si="75"/>
        <v>0</v>
      </c>
      <c r="DS83" s="3">
        <f t="shared" si="75"/>
        <v>0</v>
      </c>
      <c r="DT83" s="3">
        <f t="shared" si="75"/>
        <v>0</v>
      </c>
      <c r="DU83" s="3">
        <f t="shared" si="75"/>
        <v>0</v>
      </c>
      <c r="DV83" s="3">
        <f t="shared" si="75"/>
        <v>0</v>
      </c>
      <c r="DW83" s="3">
        <f t="shared" si="75"/>
        <v>0</v>
      </c>
      <c r="DX83" s="3">
        <f t="shared" si="75"/>
        <v>0</v>
      </c>
      <c r="DY83" s="3">
        <f t="shared" si="75"/>
        <v>0</v>
      </c>
      <c r="DZ83" s="3">
        <f t="shared" si="75"/>
        <v>0</v>
      </c>
      <c r="EA83" s="3">
        <f t="shared" si="75"/>
        <v>0</v>
      </c>
      <c r="EB83" s="3">
        <f t="shared" si="75"/>
        <v>0</v>
      </c>
      <c r="EC83" s="3">
        <f t="shared" si="75"/>
        <v>0</v>
      </c>
      <c r="ED83" s="3">
        <f t="shared" si="75"/>
        <v>0</v>
      </c>
      <c r="EE83" s="3">
        <f t="shared" si="75"/>
        <v>0</v>
      </c>
      <c r="EF83" s="3">
        <f t="shared" si="75"/>
        <v>0</v>
      </c>
      <c r="EG83" s="3">
        <f t="shared" si="75"/>
        <v>0</v>
      </c>
      <c r="EH83" s="3">
        <f t="shared" si="75"/>
        <v>0</v>
      </c>
      <c r="EI83" s="3">
        <f t="shared" si="75"/>
        <v>0</v>
      </c>
      <c r="EJ83" s="3">
        <f t="shared" si="75"/>
        <v>0</v>
      </c>
      <c r="EK83" s="3">
        <f t="shared" si="75"/>
        <v>0</v>
      </c>
      <c r="EL83" s="3">
        <f t="shared" si="75"/>
        <v>0</v>
      </c>
      <c r="EM83" s="3">
        <f t="shared" ref="EM83:FR83" si="76">EM187</f>
        <v>0</v>
      </c>
      <c r="EN83" s="3">
        <f t="shared" si="76"/>
        <v>0</v>
      </c>
      <c r="EO83" s="3">
        <f t="shared" si="76"/>
        <v>0</v>
      </c>
      <c r="EP83" s="3">
        <f t="shared" si="76"/>
        <v>0</v>
      </c>
      <c r="EQ83" s="3">
        <f t="shared" si="76"/>
        <v>0</v>
      </c>
      <c r="ER83" s="3">
        <f t="shared" si="76"/>
        <v>0</v>
      </c>
      <c r="ES83" s="3">
        <f t="shared" si="76"/>
        <v>0</v>
      </c>
      <c r="ET83" s="3">
        <f t="shared" si="76"/>
        <v>0</v>
      </c>
      <c r="EU83" s="3">
        <f t="shared" si="76"/>
        <v>0</v>
      </c>
      <c r="EV83" s="3">
        <f t="shared" si="76"/>
        <v>0</v>
      </c>
      <c r="EW83" s="3">
        <f t="shared" si="76"/>
        <v>0</v>
      </c>
      <c r="EX83" s="3">
        <f t="shared" si="76"/>
        <v>0</v>
      </c>
      <c r="EY83" s="3">
        <f t="shared" si="76"/>
        <v>0</v>
      </c>
      <c r="EZ83" s="3">
        <f t="shared" si="76"/>
        <v>0</v>
      </c>
      <c r="FA83" s="3">
        <f t="shared" si="76"/>
        <v>0</v>
      </c>
      <c r="FB83" s="3">
        <f t="shared" si="76"/>
        <v>0</v>
      </c>
      <c r="FC83" s="3">
        <f t="shared" si="76"/>
        <v>0</v>
      </c>
      <c r="FD83" s="3">
        <f t="shared" si="76"/>
        <v>0</v>
      </c>
      <c r="FE83" s="3">
        <f t="shared" si="76"/>
        <v>0</v>
      </c>
      <c r="FF83" s="3">
        <f t="shared" si="76"/>
        <v>0</v>
      </c>
      <c r="FG83" s="3">
        <f t="shared" si="76"/>
        <v>0</v>
      </c>
      <c r="FH83" s="3">
        <f t="shared" si="76"/>
        <v>0</v>
      </c>
      <c r="FI83" s="3">
        <f t="shared" si="76"/>
        <v>0</v>
      </c>
      <c r="FJ83" s="3">
        <f t="shared" si="76"/>
        <v>0</v>
      </c>
      <c r="FK83" s="3">
        <f t="shared" si="76"/>
        <v>0</v>
      </c>
      <c r="FL83" s="3">
        <f t="shared" si="76"/>
        <v>0</v>
      </c>
      <c r="FM83" s="3">
        <f t="shared" si="76"/>
        <v>0</v>
      </c>
      <c r="FN83" s="3">
        <f t="shared" si="76"/>
        <v>0</v>
      </c>
      <c r="FO83" s="3">
        <f t="shared" si="76"/>
        <v>0</v>
      </c>
      <c r="FP83" s="3">
        <f t="shared" si="76"/>
        <v>0</v>
      </c>
      <c r="FQ83" s="3">
        <f t="shared" si="76"/>
        <v>0</v>
      </c>
      <c r="FR83" s="3">
        <f t="shared" si="76"/>
        <v>0</v>
      </c>
      <c r="FS83" s="3">
        <f t="shared" ref="FS83:GX83" si="77">FS187</f>
        <v>0</v>
      </c>
      <c r="FT83" s="3">
        <f t="shared" si="77"/>
        <v>0</v>
      </c>
      <c r="FU83" s="3">
        <f t="shared" si="77"/>
        <v>0</v>
      </c>
      <c r="FV83" s="3">
        <f t="shared" si="77"/>
        <v>0</v>
      </c>
      <c r="FW83" s="3">
        <f t="shared" si="77"/>
        <v>0</v>
      </c>
      <c r="FX83" s="3">
        <f t="shared" si="77"/>
        <v>0</v>
      </c>
      <c r="FY83" s="3">
        <f t="shared" si="77"/>
        <v>0</v>
      </c>
      <c r="FZ83" s="3">
        <f t="shared" si="77"/>
        <v>0</v>
      </c>
      <c r="GA83" s="3">
        <f t="shared" si="77"/>
        <v>0</v>
      </c>
      <c r="GB83" s="3">
        <f t="shared" si="77"/>
        <v>0</v>
      </c>
      <c r="GC83" s="3">
        <f t="shared" si="77"/>
        <v>0</v>
      </c>
      <c r="GD83" s="3">
        <f t="shared" si="77"/>
        <v>0</v>
      </c>
      <c r="GE83" s="3">
        <f t="shared" si="77"/>
        <v>0</v>
      </c>
      <c r="GF83" s="3">
        <f t="shared" si="77"/>
        <v>0</v>
      </c>
      <c r="GG83" s="3">
        <f t="shared" si="77"/>
        <v>0</v>
      </c>
      <c r="GH83" s="3">
        <f t="shared" si="77"/>
        <v>0</v>
      </c>
      <c r="GI83" s="3">
        <f t="shared" si="77"/>
        <v>0</v>
      </c>
      <c r="GJ83" s="3">
        <f t="shared" si="77"/>
        <v>0</v>
      </c>
      <c r="GK83" s="3">
        <f t="shared" si="77"/>
        <v>0</v>
      </c>
      <c r="GL83" s="3">
        <f t="shared" si="77"/>
        <v>0</v>
      </c>
      <c r="GM83" s="3">
        <f t="shared" si="77"/>
        <v>0</v>
      </c>
      <c r="GN83" s="3">
        <f t="shared" si="77"/>
        <v>0</v>
      </c>
      <c r="GO83" s="3">
        <f t="shared" si="77"/>
        <v>0</v>
      </c>
      <c r="GP83" s="3">
        <f t="shared" si="77"/>
        <v>0</v>
      </c>
      <c r="GQ83" s="3">
        <f t="shared" si="77"/>
        <v>0</v>
      </c>
      <c r="GR83" s="3">
        <f t="shared" si="77"/>
        <v>0</v>
      </c>
      <c r="GS83" s="3">
        <f t="shared" si="77"/>
        <v>0</v>
      </c>
      <c r="GT83" s="3">
        <f t="shared" si="77"/>
        <v>0</v>
      </c>
      <c r="GU83" s="3">
        <f t="shared" si="77"/>
        <v>0</v>
      </c>
      <c r="GV83" s="3">
        <f t="shared" si="77"/>
        <v>0</v>
      </c>
      <c r="GW83" s="3">
        <f t="shared" si="77"/>
        <v>0</v>
      </c>
      <c r="GX83" s="3">
        <f t="shared" si="77"/>
        <v>0</v>
      </c>
    </row>
    <row r="85" spans="1:245" x14ac:dyDescent="0.2">
      <c r="A85">
        <v>17</v>
      </c>
      <c r="B85">
        <v>1</v>
      </c>
      <c r="C85">
        <f>ROW(SmtRes!A52)</f>
        <v>52</v>
      </c>
      <c r="D85">
        <f>ROW(EtalonRes!A56)</f>
        <v>56</v>
      </c>
      <c r="E85" t="s">
        <v>168</v>
      </c>
      <c r="F85" t="s">
        <v>169</v>
      </c>
      <c r="G85" t="s">
        <v>170</v>
      </c>
      <c r="H85" t="s">
        <v>20</v>
      </c>
      <c r="I85">
        <f>ROUND(23.7/100,9)</f>
        <v>0.23699999999999999</v>
      </c>
      <c r="J85">
        <v>0</v>
      </c>
      <c r="O85">
        <f t="shared" ref="O85:O116" si="78">ROUND(CP85,2)</f>
        <v>15674.67</v>
      </c>
      <c r="P85">
        <f t="shared" ref="P85:P116" si="79">ROUND(CQ85*I85,2)</f>
        <v>12901.61</v>
      </c>
      <c r="Q85">
        <f t="shared" ref="Q85:Q116" si="80">ROUND(CR85*I85,2)</f>
        <v>495.97</v>
      </c>
      <c r="R85">
        <f t="shared" ref="R85:R116" si="81">ROUND(CS85*I85,2)</f>
        <v>97.79</v>
      </c>
      <c r="S85">
        <f t="shared" ref="S85:S116" si="82">ROUND(CT85*I85,2)</f>
        <v>2277.09</v>
      </c>
      <c r="T85">
        <f t="shared" ref="T85:T116" si="83">ROUND(CU85*I85,2)</f>
        <v>0</v>
      </c>
      <c r="U85">
        <f t="shared" ref="U85:U116" si="84">CV85*I85</f>
        <v>39.715985999999994</v>
      </c>
      <c r="V85">
        <f t="shared" ref="V85:V116" si="85">CW85*I85</f>
        <v>1.2531375</v>
      </c>
      <c r="W85">
        <f t="shared" ref="W85:W116" si="86">ROUND(CX85*I85,2)</f>
        <v>0</v>
      </c>
      <c r="X85">
        <f t="shared" ref="X85:X116" si="87">ROUND(CY85,2)</f>
        <v>2517.37</v>
      </c>
      <c r="Y85">
        <f t="shared" ref="Y85:Y116" si="88">ROUND(CZ85,2)</f>
        <v>1282.44</v>
      </c>
      <c r="AA85">
        <v>16748969</v>
      </c>
      <c r="AB85">
        <f t="shared" ref="AB85:AB116" si="89">ROUND((AC85+AD85+AF85),2)</f>
        <v>10081.99</v>
      </c>
      <c r="AC85">
        <f t="shared" ref="AC85:AC116" si="90">ROUND((ES85),2)</f>
        <v>8298.35</v>
      </c>
      <c r="AD85">
        <f>ROUND(((((ET85*1.25))-((EU85*1.25)))+AE85),2)</f>
        <v>319.01</v>
      </c>
      <c r="AE85">
        <f>ROUND(((EU85*1.25)),2)</f>
        <v>62.9</v>
      </c>
      <c r="AF85">
        <f>ROUND(((EV85*1.15)),2)</f>
        <v>1464.63</v>
      </c>
      <c r="AG85">
        <f t="shared" ref="AG85:AG116" si="91">ROUND((AP85),2)</f>
        <v>0</v>
      </c>
      <c r="AH85">
        <f>((EW85*1.15))</f>
        <v>167.57799999999997</v>
      </c>
      <c r="AI85">
        <f>((EX85*1.25))</f>
        <v>5.2875000000000005</v>
      </c>
      <c r="AJ85">
        <f t="shared" ref="AJ85:AJ116" si="92">ROUND((AS85),2)</f>
        <v>0</v>
      </c>
      <c r="AK85">
        <v>9827.15</v>
      </c>
      <c r="AL85">
        <v>8298.35</v>
      </c>
      <c r="AM85">
        <v>255.21</v>
      </c>
      <c r="AN85">
        <v>50.32</v>
      </c>
      <c r="AO85">
        <v>1273.5899999999999</v>
      </c>
      <c r="AP85">
        <v>0</v>
      </c>
      <c r="AQ85">
        <v>145.72</v>
      </c>
      <c r="AR85">
        <v>4.2300000000000004</v>
      </c>
      <c r="AS85">
        <v>0</v>
      </c>
      <c r="AT85">
        <v>106</v>
      </c>
      <c r="AU85">
        <v>54</v>
      </c>
      <c r="AV85">
        <v>1</v>
      </c>
      <c r="AW85">
        <v>1</v>
      </c>
      <c r="AZ85">
        <v>6.56</v>
      </c>
      <c r="BA85">
        <v>6.56</v>
      </c>
      <c r="BB85">
        <v>6.56</v>
      </c>
      <c r="BC85">
        <v>6.56</v>
      </c>
      <c r="BD85" t="s">
        <v>6</v>
      </c>
      <c r="BE85" t="s">
        <v>6</v>
      </c>
      <c r="BF85" t="s">
        <v>6</v>
      </c>
      <c r="BG85" t="s">
        <v>6</v>
      </c>
      <c r="BH85">
        <v>0</v>
      </c>
      <c r="BI85">
        <v>1</v>
      </c>
      <c r="BJ85" t="s">
        <v>171</v>
      </c>
      <c r="BM85">
        <v>10001</v>
      </c>
      <c r="BN85">
        <v>0</v>
      </c>
      <c r="BO85" t="s">
        <v>6</v>
      </c>
      <c r="BP85">
        <v>0</v>
      </c>
      <c r="BQ85">
        <v>2</v>
      </c>
      <c r="BR85">
        <v>0</v>
      </c>
      <c r="BS85">
        <v>6.56</v>
      </c>
      <c r="BT85">
        <v>1</v>
      </c>
      <c r="BU85">
        <v>1</v>
      </c>
      <c r="BV85">
        <v>1</v>
      </c>
      <c r="BW85">
        <v>1</v>
      </c>
      <c r="BX85">
        <v>1</v>
      </c>
      <c r="BY85" t="s">
        <v>6</v>
      </c>
      <c r="BZ85">
        <v>118</v>
      </c>
      <c r="CA85">
        <v>63</v>
      </c>
      <c r="CF85">
        <v>0</v>
      </c>
      <c r="CG85">
        <v>0</v>
      </c>
      <c r="CM85">
        <v>0</v>
      </c>
      <c r="CN85" t="s">
        <v>1609</v>
      </c>
      <c r="CO85">
        <v>0</v>
      </c>
      <c r="CP85">
        <f t="shared" ref="CP85:CP116" si="93">(P85+Q85+S85)</f>
        <v>15674.67</v>
      </c>
      <c r="CQ85">
        <f t="shared" ref="CQ85:CQ116" si="94">AC85*BC85</f>
        <v>54437.175999999999</v>
      </c>
      <c r="CR85">
        <f t="shared" ref="CR85:CR116" si="95">AD85*BB85</f>
        <v>2092.7055999999998</v>
      </c>
      <c r="CS85">
        <f t="shared" ref="CS85:CS116" si="96">AE85*BS85</f>
        <v>412.62399999999997</v>
      </c>
      <c r="CT85">
        <f t="shared" ref="CT85:CT116" si="97">AF85*BA85</f>
        <v>9607.9727999999996</v>
      </c>
      <c r="CU85">
        <f t="shared" ref="CU85:CU116" si="98">AG85</f>
        <v>0</v>
      </c>
      <c r="CV85">
        <f t="shared" ref="CV85:CV116" si="99">AH85</f>
        <v>167.57799999999997</v>
      </c>
      <c r="CW85">
        <f t="shared" ref="CW85:CW116" si="100">AI85</f>
        <v>5.2875000000000005</v>
      </c>
      <c r="CX85">
        <f t="shared" ref="CX85:CX116" si="101">AJ85</f>
        <v>0</v>
      </c>
      <c r="CY85">
        <f t="shared" ref="CY85:CY116" si="102">(((S85+R85)*AT85)/100)</f>
        <v>2517.3728000000001</v>
      </c>
      <c r="CZ85">
        <f t="shared" ref="CZ85:CZ116" si="103">(((S85+R85)*AU85)/100)</f>
        <v>1282.4352000000001</v>
      </c>
      <c r="DC85" t="s">
        <v>6</v>
      </c>
      <c r="DD85" t="s">
        <v>6</v>
      </c>
      <c r="DE85" t="s">
        <v>172</v>
      </c>
      <c r="DF85" t="s">
        <v>172</v>
      </c>
      <c r="DG85" t="s">
        <v>173</v>
      </c>
      <c r="DH85" t="s">
        <v>6</v>
      </c>
      <c r="DI85" t="s">
        <v>173</v>
      </c>
      <c r="DJ85" t="s">
        <v>172</v>
      </c>
      <c r="DK85" t="s">
        <v>6</v>
      </c>
      <c r="DL85" t="s">
        <v>6</v>
      </c>
      <c r="DM85" t="s">
        <v>6</v>
      </c>
      <c r="DN85">
        <v>0</v>
      </c>
      <c r="DO85">
        <v>0</v>
      </c>
      <c r="DP85">
        <v>1</v>
      </c>
      <c r="DQ85">
        <v>1</v>
      </c>
      <c r="DU85">
        <v>1005</v>
      </c>
      <c r="DV85" t="s">
        <v>20</v>
      </c>
      <c r="DW85" t="s">
        <v>20</v>
      </c>
      <c r="DX85">
        <v>100</v>
      </c>
      <c r="EE85">
        <v>16510487</v>
      </c>
      <c r="EF85">
        <v>2</v>
      </c>
      <c r="EG85" t="s">
        <v>22</v>
      </c>
      <c r="EH85">
        <v>0</v>
      </c>
      <c r="EI85" t="s">
        <v>6</v>
      </c>
      <c r="EJ85">
        <v>1</v>
      </c>
      <c r="EK85">
        <v>10001</v>
      </c>
      <c r="EL85" t="s">
        <v>174</v>
      </c>
      <c r="EM85" t="s">
        <v>175</v>
      </c>
      <c r="EO85" t="s">
        <v>176</v>
      </c>
      <c r="EQ85">
        <v>131072</v>
      </c>
      <c r="ER85">
        <v>9827.15</v>
      </c>
      <c r="ES85">
        <v>8298.35</v>
      </c>
      <c r="ET85">
        <v>255.21</v>
      </c>
      <c r="EU85">
        <v>50.32</v>
      </c>
      <c r="EV85">
        <v>1273.5899999999999</v>
      </c>
      <c r="EW85">
        <v>145.72</v>
      </c>
      <c r="EX85">
        <v>4.2300000000000004</v>
      </c>
      <c r="EY85">
        <v>0</v>
      </c>
      <c r="FQ85">
        <v>0</v>
      </c>
      <c r="FR85">
        <f t="shared" ref="FR85:FR116" si="104">ROUND(IF(AND(BH85=3,BI85=3),P85,0),2)</f>
        <v>0</v>
      </c>
      <c r="FS85">
        <v>0</v>
      </c>
      <c r="FT85" t="s">
        <v>25</v>
      </c>
      <c r="FU85" t="s">
        <v>26</v>
      </c>
      <c r="FX85">
        <v>106.2</v>
      </c>
      <c r="FY85">
        <v>53.55</v>
      </c>
      <c r="GA85" t="s">
        <v>6</v>
      </c>
      <c r="GD85">
        <v>0</v>
      </c>
      <c r="GF85">
        <v>1452579699</v>
      </c>
      <c r="GG85">
        <v>1</v>
      </c>
      <c r="GH85">
        <v>1</v>
      </c>
      <c r="GI85">
        <v>4</v>
      </c>
      <c r="GJ85">
        <v>0</v>
      </c>
      <c r="GK85">
        <f>ROUND(R85*(R12)/100,2)</f>
        <v>0</v>
      </c>
      <c r="GL85">
        <f t="shared" ref="GL85:GL116" si="105">ROUND(IF(AND(BH85=3,BI85=3,FS85&lt;&gt;0),P85,0),2)</f>
        <v>0</v>
      </c>
      <c r="GM85">
        <f t="shared" ref="GM85:GM116" si="106">ROUND(O85+X85+Y85+GK85,2)+GX85</f>
        <v>19474.48</v>
      </c>
      <c r="GN85">
        <f t="shared" ref="GN85:GN116" si="107">IF(OR(BI85=0,BI85=1),ROUND(O85+X85+Y85+GK85,2),0)</f>
        <v>19474.48</v>
      </c>
      <c r="GO85">
        <f t="shared" ref="GO85:GO116" si="108">IF(BI85=2,ROUND(O85+X85+Y85+GK85,2),0)</f>
        <v>0</v>
      </c>
      <c r="GP85">
        <f t="shared" ref="GP85:GP116" si="109">IF(BI85=4,ROUND(O85+X85+Y85+GK85,2)+GX85,0)</f>
        <v>0</v>
      </c>
      <c r="GR85">
        <v>0</v>
      </c>
      <c r="GS85">
        <v>3</v>
      </c>
      <c r="GT85">
        <v>0</v>
      </c>
      <c r="GU85" t="s">
        <v>6</v>
      </c>
      <c r="GV85">
        <f t="shared" ref="GV85:GV116" si="110">ROUND(GT85,2)</f>
        <v>0</v>
      </c>
      <c r="GW85">
        <v>1</v>
      </c>
      <c r="GX85">
        <f t="shared" ref="GX85:GX116" si="111">ROUND(GV85*GW85*I85,2)</f>
        <v>0</v>
      </c>
      <c r="HA85">
        <v>0</v>
      </c>
      <c r="HB85">
        <v>0</v>
      </c>
      <c r="IK85">
        <v>0</v>
      </c>
    </row>
    <row r="86" spans="1:245" x14ac:dyDescent="0.2">
      <c r="A86">
        <v>18</v>
      </c>
      <c r="B86">
        <v>1</v>
      </c>
      <c r="C86">
        <v>49</v>
      </c>
      <c r="E86" t="s">
        <v>177</v>
      </c>
      <c r="F86" t="s">
        <v>178</v>
      </c>
      <c r="G86" t="s">
        <v>1731</v>
      </c>
      <c r="H86" t="s">
        <v>89</v>
      </c>
      <c r="I86">
        <f>I85*J86</f>
        <v>23.7</v>
      </c>
      <c r="J86">
        <v>100</v>
      </c>
      <c r="O86">
        <f t="shared" si="78"/>
        <v>397188.98</v>
      </c>
      <c r="P86">
        <f t="shared" si="79"/>
        <v>397188.98</v>
      </c>
      <c r="Q86">
        <f t="shared" si="80"/>
        <v>0</v>
      </c>
      <c r="R86">
        <f t="shared" si="81"/>
        <v>0</v>
      </c>
      <c r="S86">
        <f t="shared" si="82"/>
        <v>0</v>
      </c>
      <c r="T86">
        <f t="shared" si="83"/>
        <v>0</v>
      </c>
      <c r="U86">
        <f t="shared" si="84"/>
        <v>0</v>
      </c>
      <c r="V86">
        <f t="shared" si="85"/>
        <v>0</v>
      </c>
      <c r="W86">
        <f t="shared" si="86"/>
        <v>0</v>
      </c>
      <c r="X86">
        <f t="shared" si="87"/>
        <v>0</v>
      </c>
      <c r="Y86">
        <f t="shared" si="88"/>
        <v>0</v>
      </c>
      <c r="AA86">
        <v>16748969</v>
      </c>
      <c r="AB86">
        <f t="shared" si="89"/>
        <v>2554.73</v>
      </c>
      <c r="AC86">
        <f t="shared" si="90"/>
        <v>2554.73</v>
      </c>
      <c r="AD86">
        <f>ROUND((((ET86)-(EU86))+AE86),2)</f>
        <v>0</v>
      </c>
      <c r="AE86">
        <f>ROUND((EU86),2)</f>
        <v>0</v>
      </c>
      <c r="AF86">
        <f>ROUND((EV86),2)</f>
        <v>0</v>
      </c>
      <c r="AG86">
        <f t="shared" si="91"/>
        <v>0</v>
      </c>
      <c r="AH86">
        <f>(EW86)</f>
        <v>0</v>
      </c>
      <c r="AI86">
        <f>(EX86)</f>
        <v>0</v>
      </c>
      <c r="AJ86">
        <f t="shared" si="92"/>
        <v>0</v>
      </c>
      <c r="AK86">
        <v>2554.73</v>
      </c>
      <c r="AL86">
        <v>2554.73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106</v>
      </c>
      <c r="AU86">
        <v>54</v>
      </c>
      <c r="AV86">
        <v>1</v>
      </c>
      <c r="AW86">
        <v>1</v>
      </c>
      <c r="AZ86">
        <v>6.56</v>
      </c>
      <c r="BA86">
        <v>1</v>
      </c>
      <c r="BB86">
        <v>1</v>
      </c>
      <c r="BC86">
        <v>6.56</v>
      </c>
      <c r="BD86" t="s">
        <v>6</v>
      </c>
      <c r="BE86" t="s">
        <v>6</v>
      </c>
      <c r="BF86" t="s">
        <v>6</v>
      </c>
      <c r="BG86" t="s">
        <v>6</v>
      </c>
      <c r="BH86">
        <v>3</v>
      </c>
      <c r="BI86">
        <v>1</v>
      </c>
      <c r="BJ86" t="s">
        <v>180</v>
      </c>
      <c r="BM86">
        <v>10001</v>
      </c>
      <c r="BN86">
        <v>0</v>
      </c>
      <c r="BO86" t="s">
        <v>6</v>
      </c>
      <c r="BP86">
        <v>0</v>
      </c>
      <c r="BQ86">
        <v>2</v>
      </c>
      <c r="BR86">
        <v>0</v>
      </c>
      <c r="BS86">
        <v>1</v>
      </c>
      <c r="BT86">
        <v>1</v>
      </c>
      <c r="BU86">
        <v>1</v>
      </c>
      <c r="BV86">
        <v>1</v>
      </c>
      <c r="BW86">
        <v>1</v>
      </c>
      <c r="BX86">
        <v>1</v>
      </c>
      <c r="BY86" t="s">
        <v>6</v>
      </c>
      <c r="BZ86">
        <v>118</v>
      </c>
      <c r="CA86">
        <v>63</v>
      </c>
      <c r="CF86">
        <v>0</v>
      </c>
      <c r="CG86">
        <v>0</v>
      </c>
      <c r="CM86">
        <v>0</v>
      </c>
      <c r="CN86" t="s">
        <v>6</v>
      </c>
      <c r="CO86">
        <v>0</v>
      </c>
      <c r="CP86">
        <f t="shared" si="93"/>
        <v>397188.98</v>
      </c>
      <c r="CQ86">
        <f t="shared" si="94"/>
        <v>16759.0288</v>
      </c>
      <c r="CR86">
        <f t="shared" si="95"/>
        <v>0</v>
      </c>
      <c r="CS86">
        <f t="shared" si="96"/>
        <v>0</v>
      </c>
      <c r="CT86">
        <f t="shared" si="97"/>
        <v>0</v>
      </c>
      <c r="CU86">
        <f t="shared" si="98"/>
        <v>0</v>
      </c>
      <c r="CV86">
        <f t="shared" si="99"/>
        <v>0</v>
      </c>
      <c r="CW86">
        <f t="shared" si="100"/>
        <v>0</v>
      </c>
      <c r="CX86">
        <f t="shared" si="101"/>
        <v>0</v>
      </c>
      <c r="CY86">
        <f t="shared" si="102"/>
        <v>0</v>
      </c>
      <c r="CZ86">
        <f t="shared" si="103"/>
        <v>0</v>
      </c>
      <c r="DC86" t="s">
        <v>6</v>
      </c>
      <c r="DD86" t="s">
        <v>6</v>
      </c>
      <c r="DE86" t="s">
        <v>6</v>
      </c>
      <c r="DF86" t="s">
        <v>6</v>
      </c>
      <c r="DG86" t="s">
        <v>6</v>
      </c>
      <c r="DH86" t="s">
        <v>6</v>
      </c>
      <c r="DI86" t="s">
        <v>6</v>
      </c>
      <c r="DJ86" t="s">
        <v>6</v>
      </c>
      <c r="DK86" t="s">
        <v>6</v>
      </c>
      <c r="DL86" t="s">
        <v>6</v>
      </c>
      <c r="DM86" t="s">
        <v>6</v>
      </c>
      <c r="DN86">
        <v>0</v>
      </c>
      <c r="DO86">
        <v>0</v>
      </c>
      <c r="DP86">
        <v>1</v>
      </c>
      <c r="DQ86">
        <v>1</v>
      </c>
      <c r="DU86">
        <v>1005</v>
      </c>
      <c r="DV86" t="s">
        <v>89</v>
      </c>
      <c r="DW86" t="s">
        <v>89</v>
      </c>
      <c r="DX86">
        <v>1</v>
      </c>
      <c r="EE86">
        <v>16510487</v>
      </c>
      <c r="EF86">
        <v>2</v>
      </c>
      <c r="EG86" t="s">
        <v>22</v>
      </c>
      <c r="EH86">
        <v>0</v>
      </c>
      <c r="EI86" t="s">
        <v>6</v>
      </c>
      <c r="EJ86">
        <v>1</v>
      </c>
      <c r="EK86">
        <v>10001</v>
      </c>
      <c r="EL86" t="s">
        <v>174</v>
      </c>
      <c r="EM86" t="s">
        <v>175</v>
      </c>
      <c r="EO86" t="s">
        <v>6</v>
      </c>
      <c r="EQ86">
        <v>0</v>
      </c>
      <c r="ER86">
        <v>2554.73</v>
      </c>
      <c r="ES86">
        <v>2554.73</v>
      </c>
      <c r="ET86">
        <v>0</v>
      </c>
      <c r="EU86">
        <v>0</v>
      </c>
      <c r="EV86">
        <v>0</v>
      </c>
      <c r="EW86">
        <v>0</v>
      </c>
      <c r="EX86">
        <v>0</v>
      </c>
      <c r="FQ86">
        <v>0</v>
      </c>
      <c r="FR86">
        <f t="shared" si="104"/>
        <v>0</v>
      </c>
      <c r="FS86">
        <v>0</v>
      </c>
      <c r="FT86" t="s">
        <v>25</v>
      </c>
      <c r="FU86" t="s">
        <v>26</v>
      </c>
      <c r="FX86">
        <v>106.2</v>
      </c>
      <c r="FY86">
        <v>53.55</v>
      </c>
      <c r="GA86" t="s">
        <v>6</v>
      </c>
      <c r="GD86">
        <v>0</v>
      </c>
      <c r="GF86">
        <v>-565097724</v>
      </c>
      <c r="GG86">
        <v>1</v>
      </c>
      <c r="GH86">
        <v>1</v>
      </c>
      <c r="GI86">
        <v>4</v>
      </c>
      <c r="GJ86">
        <v>0</v>
      </c>
      <c r="GK86">
        <f>ROUND(R86*(R12)/100,2)</f>
        <v>0</v>
      </c>
      <c r="GL86">
        <f t="shared" si="105"/>
        <v>0</v>
      </c>
      <c r="GM86">
        <f t="shared" si="106"/>
        <v>397188.98</v>
      </c>
      <c r="GN86">
        <f t="shared" si="107"/>
        <v>397188.98</v>
      </c>
      <c r="GO86">
        <f t="shared" si="108"/>
        <v>0</v>
      </c>
      <c r="GP86">
        <f t="shared" si="109"/>
        <v>0</v>
      </c>
      <c r="GR86">
        <v>0</v>
      </c>
      <c r="GS86">
        <v>3</v>
      </c>
      <c r="GT86">
        <v>0</v>
      </c>
      <c r="GU86" t="s">
        <v>6</v>
      </c>
      <c r="GV86">
        <f t="shared" si="110"/>
        <v>0</v>
      </c>
      <c r="GW86">
        <v>1</v>
      </c>
      <c r="GX86">
        <f t="shared" si="111"/>
        <v>0</v>
      </c>
      <c r="HA86">
        <v>0</v>
      </c>
      <c r="HB86">
        <v>0</v>
      </c>
      <c r="IK86">
        <v>0</v>
      </c>
    </row>
    <row r="87" spans="1:245" x14ac:dyDescent="0.2">
      <c r="A87">
        <v>18</v>
      </c>
      <c r="B87">
        <v>1</v>
      </c>
      <c r="C87">
        <v>50</v>
      </c>
      <c r="E87" t="s">
        <v>181</v>
      </c>
      <c r="F87" t="s">
        <v>182</v>
      </c>
      <c r="G87" t="s">
        <v>183</v>
      </c>
      <c r="H87" t="s">
        <v>89</v>
      </c>
      <c r="I87">
        <f>I85*J87</f>
        <v>23.7</v>
      </c>
      <c r="J87">
        <v>100</v>
      </c>
      <c r="O87">
        <f t="shared" si="78"/>
        <v>0</v>
      </c>
      <c r="P87">
        <f t="shared" si="79"/>
        <v>0</v>
      </c>
      <c r="Q87">
        <f t="shared" si="80"/>
        <v>0</v>
      </c>
      <c r="R87">
        <f t="shared" si="81"/>
        <v>0</v>
      </c>
      <c r="S87">
        <f t="shared" si="82"/>
        <v>0</v>
      </c>
      <c r="T87">
        <f t="shared" si="83"/>
        <v>0</v>
      </c>
      <c r="U87">
        <f t="shared" si="84"/>
        <v>0</v>
      </c>
      <c r="V87">
        <f t="shared" si="85"/>
        <v>0</v>
      </c>
      <c r="W87">
        <f t="shared" si="86"/>
        <v>0</v>
      </c>
      <c r="X87">
        <f t="shared" si="87"/>
        <v>0</v>
      </c>
      <c r="Y87">
        <f t="shared" si="88"/>
        <v>0</v>
      </c>
      <c r="AA87">
        <v>16748969</v>
      </c>
      <c r="AB87">
        <f t="shared" si="89"/>
        <v>0</v>
      </c>
      <c r="AC87">
        <f t="shared" si="90"/>
        <v>0</v>
      </c>
      <c r="AD87">
        <f>ROUND((((ET87)-(EU87))+AE87),2)</f>
        <v>0</v>
      </c>
      <c r="AE87">
        <f>ROUND((EU87),2)</f>
        <v>0</v>
      </c>
      <c r="AF87">
        <f>ROUND((EV87),2)</f>
        <v>0</v>
      </c>
      <c r="AG87">
        <f t="shared" si="91"/>
        <v>0</v>
      </c>
      <c r="AH87">
        <f>(EW87)</f>
        <v>0</v>
      </c>
      <c r="AI87">
        <f>(EX87)</f>
        <v>0</v>
      </c>
      <c r="AJ87">
        <f t="shared" si="92"/>
        <v>0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106</v>
      </c>
      <c r="AU87">
        <v>54</v>
      </c>
      <c r="AV87">
        <v>1</v>
      </c>
      <c r="AW87">
        <v>1</v>
      </c>
      <c r="AZ87">
        <v>6.56</v>
      </c>
      <c r="BA87">
        <v>1</v>
      </c>
      <c r="BB87">
        <v>1</v>
      </c>
      <c r="BC87">
        <v>6.56</v>
      </c>
      <c r="BD87" t="s">
        <v>6</v>
      </c>
      <c r="BE87" t="s">
        <v>6</v>
      </c>
      <c r="BF87" t="s">
        <v>6</v>
      </c>
      <c r="BG87" t="s">
        <v>6</v>
      </c>
      <c r="BH87">
        <v>3</v>
      </c>
      <c r="BI87">
        <v>1</v>
      </c>
      <c r="BJ87" t="s">
        <v>6</v>
      </c>
      <c r="BM87">
        <v>10001</v>
      </c>
      <c r="BN87">
        <v>0</v>
      </c>
      <c r="BO87" t="s">
        <v>6</v>
      </c>
      <c r="BP87">
        <v>0</v>
      </c>
      <c r="BQ87">
        <v>2</v>
      </c>
      <c r="BR87">
        <v>0</v>
      </c>
      <c r="BS87">
        <v>1</v>
      </c>
      <c r="BT87">
        <v>1</v>
      </c>
      <c r="BU87">
        <v>1</v>
      </c>
      <c r="BV87">
        <v>1</v>
      </c>
      <c r="BW87">
        <v>1</v>
      </c>
      <c r="BX87">
        <v>1</v>
      </c>
      <c r="BY87" t="s">
        <v>6</v>
      </c>
      <c r="BZ87">
        <v>118</v>
      </c>
      <c r="CA87">
        <v>63</v>
      </c>
      <c r="CF87">
        <v>0</v>
      </c>
      <c r="CG87">
        <v>0</v>
      </c>
      <c r="CM87">
        <v>0</v>
      </c>
      <c r="CN87" t="s">
        <v>6</v>
      </c>
      <c r="CO87">
        <v>0</v>
      </c>
      <c r="CP87">
        <f t="shared" si="93"/>
        <v>0</v>
      </c>
      <c r="CQ87">
        <f t="shared" si="94"/>
        <v>0</v>
      </c>
      <c r="CR87">
        <f t="shared" si="95"/>
        <v>0</v>
      </c>
      <c r="CS87">
        <f t="shared" si="96"/>
        <v>0</v>
      </c>
      <c r="CT87">
        <f t="shared" si="97"/>
        <v>0</v>
      </c>
      <c r="CU87">
        <f t="shared" si="98"/>
        <v>0</v>
      </c>
      <c r="CV87">
        <f t="shared" si="99"/>
        <v>0</v>
      </c>
      <c r="CW87">
        <f t="shared" si="100"/>
        <v>0</v>
      </c>
      <c r="CX87">
        <f t="shared" si="101"/>
        <v>0</v>
      </c>
      <c r="CY87">
        <f t="shared" si="102"/>
        <v>0</v>
      </c>
      <c r="CZ87">
        <f t="shared" si="103"/>
        <v>0</v>
      </c>
      <c r="DC87" t="s">
        <v>6</v>
      </c>
      <c r="DD87" t="s">
        <v>6</v>
      </c>
      <c r="DE87" t="s">
        <v>6</v>
      </c>
      <c r="DF87" t="s">
        <v>6</v>
      </c>
      <c r="DG87" t="s">
        <v>6</v>
      </c>
      <c r="DH87" t="s">
        <v>6</v>
      </c>
      <c r="DI87" t="s">
        <v>6</v>
      </c>
      <c r="DJ87" t="s">
        <v>6</v>
      </c>
      <c r="DK87" t="s">
        <v>6</v>
      </c>
      <c r="DL87" t="s">
        <v>6</v>
      </c>
      <c r="DM87" t="s">
        <v>6</v>
      </c>
      <c r="DN87">
        <v>0</v>
      </c>
      <c r="DO87">
        <v>0</v>
      </c>
      <c r="DP87">
        <v>1</v>
      </c>
      <c r="DQ87">
        <v>1</v>
      </c>
      <c r="DU87">
        <v>1005</v>
      </c>
      <c r="DV87" t="s">
        <v>89</v>
      </c>
      <c r="DW87" t="s">
        <v>89</v>
      </c>
      <c r="DX87">
        <v>1</v>
      </c>
      <c r="EE87">
        <v>16510487</v>
      </c>
      <c r="EF87">
        <v>2</v>
      </c>
      <c r="EG87" t="s">
        <v>22</v>
      </c>
      <c r="EH87">
        <v>0</v>
      </c>
      <c r="EI87" t="s">
        <v>6</v>
      </c>
      <c r="EJ87">
        <v>1</v>
      </c>
      <c r="EK87">
        <v>10001</v>
      </c>
      <c r="EL87" t="s">
        <v>174</v>
      </c>
      <c r="EM87" t="s">
        <v>175</v>
      </c>
      <c r="EO87" t="s">
        <v>6</v>
      </c>
      <c r="EQ87">
        <v>0</v>
      </c>
      <c r="ER87">
        <v>0</v>
      </c>
      <c r="ES87">
        <v>0</v>
      </c>
      <c r="ET87">
        <v>0</v>
      </c>
      <c r="EU87">
        <v>0</v>
      </c>
      <c r="EV87">
        <v>0</v>
      </c>
      <c r="EW87">
        <v>0</v>
      </c>
      <c r="EX87">
        <v>0</v>
      </c>
      <c r="FQ87">
        <v>0</v>
      </c>
      <c r="FR87">
        <f t="shared" si="104"/>
        <v>0</v>
      </c>
      <c r="FS87">
        <v>0</v>
      </c>
      <c r="FT87" t="s">
        <v>25</v>
      </c>
      <c r="FU87" t="s">
        <v>26</v>
      </c>
      <c r="FX87">
        <v>106.2</v>
      </c>
      <c r="FY87">
        <v>53.55</v>
      </c>
      <c r="GA87" t="s">
        <v>6</v>
      </c>
      <c r="GD87">
        <v>0</v>
      </c>
      <c r="GF87">
        <v>1219964505</v>
      </c>
      <c r="GG87">
        <v>1</v>
      </c>
      <c r="GH87">
        <v>1</v>
      </c>
      <c r="GI87">
        <v>4</v>
      </c>
      <c r="GJ87">
        <v>0</v>
      </c>
      <c r="GK87">
        <f>ROUND(R87*(R12)/100,2)</f>
        <v>0</v>
      </c>
      <c r="GL87">
        <f t="shared" si="105"/>
        <v>0</v>
      </c>
      <c r="GM87">
        <f t="shared" si="106"/>
        <v>0</v>
      </c>
      <c r="GN87">
        <f t="shared" si="107"/>
        <v>0</v>
      </c>
      <c r="GO87">
        <f t="shared" si="108"/>
        <v>0</v>
      </c>
      <c r="GP87">
        <f t="shared" si="109"/>
        <v>0</v>
      </c>
      <c r="GR87">
        <v>0</v>
      </c>
      <c r="GS87">
        <v>3</v>
      </c>
      <c r="GT87">
        <v>0</v>
      </c>
      <c r="GU87" t="s">
        <v>6</v>
      </c>
      <c r="GV87">
        <f t="shared" si="110"/>
        <v>0</v>
      </c>
      <c r="GW87">
        <v>1</v>
      </c>
      <c r="GX87">
        <f t="shared" si="111"/>
        <v>0</v>
      </c>
      <c r="HA87">
        <v>0</v>
      </c>
      <c r="HB87">
        <v>0</v>
      </c>
      <c r="IK87">
        <v>0</v>
      </c>
    </row>
    <row r="88" spans="1:245" x14ac:dyDescent="0.2">
      <c r="A88">
        <v>17</v>
      </c>
      <c r="B88">
        <v>1</v>
      </c>
      <c r="C88">
        <f>ROW(SmtRes!A64)</f>
        <v>64</v>
      </c>
      <c r="D88">
        <f>ROW(EtalonRes!A67)</f>
        <v>67</v>
      </c>
      <c r="E88" t="s">
        <v>184</v>
      </c>
      <c r="F88" t="s">
        <v>185</v>
      </c>
      <c r="G88" t="s">
        <v>186</v>
      </c>
      <c r="H88" t="s">
        <v>20</v>
      </c>
      <c r="I88">
        <f>ROUND(0.9/100,9)</f>
        <v>8.9999999999999993E-3</v>
      </c>
      <c r="J88">
        <v>0</v>
      </c>
      <c r="O88">
        <f t="shared" si="78"/>
        <v>951.27</v>
      </c>
      <c r="P88">
        <f t="shared" si="79"/>
        <v>801.68</v>
      </c>
      <c r="Q88">
        <f t="shared" si="80"/>
        <v>21.37</v>
      </c>
      <c r="R88">
        <f t="shared" si="81"/>
        <v>4.8099999999999996</v>
      </c>
      <c r="S88">
        <f t="shared" si="82"/>
        <v>128.22</v>
      </c>
      <c r="T88">
        <f t="shared" si="83"/>
        <v>0</v>
      </c>
      <c r="U88">
        <f t="shared" si="84"/>
        <v>2.2364279999999996</v>
      </c>
      <c r="V88">
        <f t="shared" si="85"/>
        <v>5.9962499999999995E-2</v>
      </c>
      <c r="W88">
        <f t="shared" si="86"/>
        <v>0</v>
      </c>
      <c r="X88">
        <f t="shared" si="87"/>
        <v>141.01</v>
      </c>
      <c r="Y88">
        <f t="shared" si="88"/>
        <v>71.84</v>
      </c>
      <c r="AA88">
        <v>16748969</v>
      </c>
      <c r="AB88">
        <f t="shared" si="89"/>
        <v>16112.34</v>
      </c>
      <c r="AC88">
        <f t="shared" si="90"/>
        <v>13578.52</v>
      </c>
      <c r="AD88">
        <f>ROUND(((((ET88*1.25))-((EU88*1.25)))+AE88),2)</f>
        <v>362</v>
      </c>
      <c r="AE88">
        <f>ROUND(((EU88*1.25)),2)</f>
        <v>81.459999999999994</v>
      </c>
      <c r="AF88">
        <f>ROUND(((EV88*1.15)),2)</f>
        <v>2171.8200000000002</v>
      </c>
      <c r="AG88">
        <f t="shared" si="91"/>
        <v>0</v>
      </c>
      <c r="AH88">
        <f>((EW88*1.15))</f>
        <v>248.49199999999999</v>
      </c>
      <c r="AI88">
        <f>((EX88*1.25))</f>
        <v>6.6624999999999996</v>
      </c>
      <c r="AJ88">
        <f t="shared" si="92"/>
        <v>0</v>
      </c>
      <c r="AK88">
        <v>15756.66</v>
      </c>
      <c r="AL88">
        <v>13578.52</v>
      </c>
      <c r="AM88">
        <v>289.60000000000002</v>
      </c>
      <c r="AN88">
        <v>65.17</v>
      </c>
      <c r="AO88">
        <v>1888.54</v>
      </c>
      <c r="AP88">
        <v>0</v>
      </c>
      <c r="AQ88">
        <v>216.08</v>
      </c>
      <c r="AR88">
        <v>5.33</v>
      </c>
      <c r="AS88">
        <v>0</v>
      </c>
      <c r="AT88">
        <v>106</v>
      </c>
      <c r="AU88">
        <v>54</v>
      </c>
      <c r="AV88">
        <v>1</v>
      </c>
      <c r="AW88">
        <v>1</v>
      </c>
      <c r="AZ88">
        <v>6.56</v>
      </c>
      <c r="BA88">
        <v>6.56</v>
      </c>
      <c r="BB88">
        <v>6.56</v>
      </c>
      <c r="BC88">
        <v>6.56</v>
      </c>
      <c r="BD88" t="s">
        <v>6</v>
      </c>
      <c r="BE88" t="s">
        <v>6</v>
      </c>
      <c r="BF88" t="s">
        <v>6</v>
      </c>
      <c r="BG88" t="s">
        <v>6</v>
      </c>
      <c r="BH88">
        <v>0</v>
      </c>
      <c r="BI88">
        <v>1</v>
      </c>
      <c r="BJ88" t="s">
        <v>187</v>
      </c>
      <c r="BM88">
        <v>10001</v>
      </c>
      <c r="BN88">
        <v>0</v>
      </c>
      <c r="BO88" t="s">
        <v>6</v>
      </c>
      <c r="BP88">
        <v>0</v>
      </c>
      <c r="BQ88">
        <v>2</v>
      </c>
      <c r="BR88">
        <v>0</v>
      </c>
      <c r="BS88">
        <v>6.56</v>
      </c>
      <c r="BT88">
        <v>1</v>
      </c>
      <c r="BU88">
        <v>1</v>
      </c>
      <c r="BV88">
        <v>1</v>
      </c>
      <c r="BW88">
        <v>1</v>
      </c>
      <c r="BX88">
        <v>1</v>
      </c>
      <c r="BY88" t="s">
        <v>6</v>
      </c>
      <c r="BZ88">
        <v>118</v>
      </c>
      <c r="CA88">
        <v>63</v>
      </c>
      <c r="CF88">
        <v>0</v>
      </c>
      <c r="CG88">
        <v>0</v>
      </c>
      <c r="CM88">
        <v>0</v>
      </c>
      <c r="CN88" t="s">
        <v>1609</v>
      </c>
      <c r="CO88">
        <v>0</v>
      </c>
      <c r="CP88">
        <f t="shared" si="93"/>
        <v>951.27</v>
      </c>
      <c r="CQ88">
        <f t="shared" si="94"/>
        <v>89075.091199999995</v>
      </c>
      <c r="CR88">
        <f t="shared" si="95"/>
        <v>2374.7199999999998</v>
      </c>
      <c r="CS88">
        <f t="shared" si="96"/>
        <v>534.37759999999992</v>
      </c>
      <c r="CT88">
        <f t="shared" si="97"/>
        <v>14247.1392</v>
      </c>
      <c r="CU88">
        <f t="shared" si="98"/>
        <v>0</v>
      </c>
      <c r="CV88">
        <f t="shared" si="99"/>
        <v>248.49199999999999</v>
      </c>
      <c r="CW88">
        <f t="shared" si="100"/>
        <v>6.6624999999999996</v>
      </c>
      <c r="CX88">
        <f t="shared" si="101"/>
        <v>0</v>
      </c>
      <c r="CY88">
        <f t="shared" si="102"/>
        <v>141.01179999999999</v>
      </c>
      <c r="CZ88">
        <f t="shared" si="103"/>
        <v>71.836200000000005</v>
      </c>
      <c r="DC88" t="s">
        <v>6</v>
      </c>
      <c r="DD88" t="s">
        <v>6</v>
      </c>
      <c r="DE88" t="s">
        <v>172</v>
      </c>
      <c r="DF88" t="s">
        <v>172</v>
      </c>
      <c r="DG88" t="s">
        <v>173</v>
      </c>
      <c r="DH88" t="s">
        <v>6</v>
      </c>
      <c r="DI88" t="s">
        <v>173</v>
      </c>
      <c r="DJ88" t="s">
        <v>172</v>
      </c>
      <c r="DK88" t="s">
        <v>6</v>
      </c>
      <c r="DL88" t="s">
        <v>6</v>
      </c>
      <c r="DM88" t="s">
        <v>6</v>
      </c>
      <c r="DN88">
        <v>0</v>
      </c>
      <c r="DO88">
        <v>0</v>
      </c>
      <c r="DP88">
        <v>1</v>
      </c>
      <c r="DQ88">
        <v>1</v>
      </c>
      <c r="DU88">
        <v>1005</v>
      </c>
      <c r="DV88" t="s">
        <v>20</v>
      </c>
      <c r="DW88" t="s">
        <v>20</v>
      </c>
      <c r="DX88">
        <v>100</v>
      </c>
      <c r="EE88">
        <v>16510487</v>
      </c>
      <c r="EF88">
        <v>2</v>
      </c>
      <c r="EG88" t="s">
        <v>22</v>
      </c>
      <c r="EH88">
        <v>0</v>
      </c>
      <c r="EI88" t="s">
        <v>6</v>
      </c>
      <c r="EJ88">
        <v>1</v>
      </c>
      <c r="EK88">
        <v>10001</v>
      </c>
      <c r="EL88" t="s">
        <v>174</v>
      </c>
      <c r="EM88" t="s">
        <v>175</v>
      </c>
      <c r="EO88" t="s">
        <v>176</v>
      </c>
      <c r="EQ88">
        <v>131072</v>
      </c>
      <c r="ER88">
        <v>15756.66</v>
      </c>
      <c r="ES88">
        <v>13578.52</v>
      </c>
      <c r="ET88">
        <v>289.60000000000002</v>
      </c>
      <c r="EU88">
        <v>65.17</v>
      </c>
      <c r="EV88">
        <v>1888.54</v>
      </c>
      <c r="EW88">
        <v>216.08</v>
      </c>
      <c r="EX88">
        <v>5.33</v>
      </c>
      <c r="EY88">
        <v>0</v>
      </c>
      <c r="FQ88">
        <v>0</v>
      </c>
      <c r="FR88">
        <f t="shared" si="104"/>
        <v>0</v>
      </c>
      <c r="FS88">
        <v>0</v>
      </c>
      <c r="FT88" t="s">
        <v>25</v>
      </c>
      <c r="FU88" t="s">
        <v>26</v>
      </c>
      <c r="FX88">
        <v>106.2</v>
      </c>
      <c r="FY88">
        <v>53.55</v>
      </c>
      <c r="GA88" t="s">
        <v>6</v>
      </c>
      <c r="GD88">
        <v>0</v>
      </c>
      <c r="GF88">
        <v>189790648</v>
      </c>
      <c r="GG88">
        <v>1</v>
      </c>
      <c r="GH88">
        <v>1</v>
      </c>
      <c r="GI88">
        <v>4</v>
      </c>
      <c r="GJ88">
        <v>0</v>
      </c>
      <c r="GK88">
        <f>ROUND(R88*(R12)/100,2)</f>
        <v>0</v>
      </c>
      <c r="GL88">
        <f t="shared" si="105"/>
        <v>0</v>
      </c>
      <c r="GM88">
        <f t="shared" si="106"/>
        <v>1164.1199999999999</v>
      </c>
      <c r="GN88">
        <f t="shared" si="107"/>
        <v>1164.1199999999999</v>
      </c>
      <c r="GO88">
        <f t="shared" si="108"/>
        <v>0</v>
      </c>
      <c r="GP88">
        <f t="shared" si="109"/>
        <v>0</v>
      </c>
      <c r="GR88">
        <v>0</v>
      </c>
      <c r="GS88">
        <v>3</v>
      </c>
      <c r="GT88">
        <v>0</v>
      </c>
      <c r="GU88" t="s">
        <v>6</v>
      </c>
      <c r="GV88">
        <f t="shared" si="110"/>
        <v>0</v>
      </c>
      <c r="GW88">
        <v>1</v>
      </c>
      <c r="GX88">
        <f t="shared" si="111"/>
        <v>0</v>
      </c>
      <c r="HA88">
        <v>0</v>
      </c>
      <c r="HB88">
        <v>0</v>
      </c>
      <c r="IK88">
        <v>0</v>
      </c>
    </row>
    <row r="89" spans="1:245" x14ac:dyDescent="0.2">
      <c r="A89">
        <v>18</v>
      </c>
      <c r="B89">
        <v>1</v>
      </c>
      <c r="C89">
        <v>61</v>
      </c>
      <c r="E89" t="s">
        <v>188</v>
      </c>
      <c r="F89" t="s">
        <v>189</v>
      </c>
      <c r="G89" t="s">
        <v>1732</v>
      </c>
      <c r="H89" t="s">
        <v>89</v>
      </c>
      <c r="I89">
        <f>I88*J89</f>
        <v>0.9</v>
      </c>
      <c r="J89">
        <v>100.00000000000001</v>
      </c>
      <c r="O89">
        <f t="shared" si="78"/>
        <v>27051.3</v>
      </c>
      <c r="P89">
        <f t="shared" si="79"/>
        <v>27051.3</v>
      </c>
      <c r="Q89">
        <f t="shared" si="80"/>
        <v>0</v>
      </c>
      <c r="R89">
        <f t="shared" si="81"/>
        <v>0</v>
      </c>
      <c r="S89">
        <f t="shared" si="82"/>
        <v>0</v>
      </c>
      <c r="T89">
        <f t="shared" si="83"/>
        <v>0</v>
      </c>
      <c r="U89">
        <f t="shared" si="84"/>
        <v>0</v>
      </c>
      <c r="V89">
        <f t="shared" si="85"/>
        <v>0</v>
      </c>
      <c r="W89">
        <f t="shared" si="86"/>
        <v>0</v>
      </c>
      <c r="X89">
        <f t="shared" si="87"/>
        <v>0</v>
      </c>
      <c r="Y89">
        <f t="shared" si="88"/>
        <v>0</v>
      </c>
      <c r="AA89">
        <v>16748969</v>
      </c>
      <c r="AB89">
        <f t="shared" si="89"/>
        <v>4581.8599999999997</v>
      </c>
      <c r="AC89">
        <f t="shared" si="90"/>
        <v>4581.8599999999997</v>
      </c>
      <c r="AD89">
        <f>ROUND((((ET89)-(EU89))+AE89),2)</f>
        <v>0</v>
      </c>
      <c r="AE89">
        <f>ROUND((EU89),2)</f>
        <v>0</v>
      </c>
      <c r="AF89">
        <f>ROUND((EV89),2)</f>
        <v>0</v>
      </c>
      <c r="AG89">
        <f t="shared" si="91"/>
        <v>0</v>
      </c>
      <c r="AH89">
        <f>(EW89)</f>
        <v>0</v>
      </c>
      <c r="AI89">
        <f>(EX89)</f>
        <v>0</v>
      </c>
      <c r="AJ89">
        <f t="shared" si="92"/>
        <v>0</v>
      </c>
      <c r="AK89">
        <v>4581.8599999999997</v>
      </c>
      <c r="AL89">
        <v>4581.8599999999997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106</v>
      </c>
      <c r="AU89">
        <v>54</v>
      </c>
      <c r="AV89">
        <v>1</v>
      </c>
      <c r="AW89">
        <v>1</v>
      </c>
      <c r="AZ89">
        <v>6.56</v>
      </c>
      <c r="BA89">
        <v>1</v>
      </c>
      <c r="BB89">
        <v>1</v>
      </c>
      <c r="BC89">
        <v>6.56</v>
      </c>
      <c r="BD89" t="s">
        <v>6</v>
      </c>
      <c r="BE89" t="s">
        <v>6</v>
      </c>
      <c r="BF89" t="s">
        <v>6</v>
      </c>
      <c r="BG89" t="s">
        <v>6</v>
      </c>
      <c r="BH89">
        <v>3</v>
      </c>
      <c r="BI89">
        <v>1</v>
      </c>
      <c r="BJ89" t="s">
        <v>191</v>
      </c>
      <c r="BM89">
        <v>10001</v>
      </c>
      <c r="BN89">
        <v>0</v>
      </c>
      <c r="BO89" t="s">
        <v>6</v>
      </c>
      <c r="BP89">
        <v>0</v>
      </c>
      <c r="BQ89">
        <v>2</v>
      </c>
      <c r="BR89">
        <v>0</v>
      </c>
      <c r="BS89">
        <v>1</v>
      </c>
      <c r="BT89">
        <v>1</v>
      </c>
      <c r="BU89">
        <v>1</v>
      </c>
      <c r="BV89">
        <v>1</v>
      </c>
      <c r="BW89">
        <v>1</v>
      </c>
      <c r="BX89">
        <v>1</v>
      </c>
      <c r="BY89" t="s">
        <v>6</v>
      </c>
      <c r="BZ89">
        <v>118</v>
      </c>
      <c r="CA89">
        <v>63</v>
      </c>
      <c r="CF89">
        <v>0</v>
      </c>
      <c r="CG89">
        <v>0</v>
      </c>
      <c r="CM89">
        <v>0</v>
      </c>
      <c r="CN89" t="s">
        <v>6</v>
      </c>
      <c r="CO89">
        <v>0</v>
      </c>
      <c r="CP89">
        <f t="shared" si="93"/>
        <v>27051.3</v>
      </c>
      <c r="CQ89">
        <f t="shared" si="94"/>
        <v>30057.001599999996</v>
      </c>
      <c r="CR89">
        <f t="shared" si="95"/>
        <v>0</v>
      </c>
      <c r="CS89">
        <f t="shared" si="96"/>
        <v>0</v>
      </c>
      <c r="CT89">
        <f t="shared" si="97"/>
        <v>0</v>
      </c>
      <c r="CU89">
        <f t="shared" si="98"/>
        <v>0</v>
      </c>
      <c r="CV89">
        <f t="shared" si="99"/>
        <v>0</v>
      </c>
      <c r="CW89">
        <f t="shared" si="100"/>
        <v>0</v>
      </c>
      <c r="CX89">
        <f t="shared" si="101"/>
        <v>0</v>
      </c>
      <c r="CY89">
        <f t="shared" si="102"/>
        <v>0</v>
      </c>
      <c r="CZ89">
        <f t="shared" si="103"/>
        <v>0</v>
      </c>
      <c r="DC89" t="s">
        <v>6</v>
      </c>
      <c r="DD89" t="s">
        <v>6</v>
      </c>
      <c r="DE89" t="s">
        <v>6</v>
      </c>
      <c r="DF89" t="s">
        <v>6</v>
      </c>
      <c r="DG89" t="s">
        <v>6</v>
      </c>
      <c r="DH89" t="s">
        <v>6</v>
      </c>
      <c r="DI89" t="s">
        <v>6</v>
      </c>
      <c r="DJ89" t="s">
        <v>6</v>
      </c>
      <c r="DK89" t="s">
        <v>6</v>
      </c>
      <c r="DL89" t="s">
        <v>6</v>
      </c>
      <c r="DM89" t="s">
        <v>6</v>
      </c>
      <c r="DN89">
        <v>0</v>
      </c>
      <c r="DO89">
        <v>0</v>
      </c>
      <c r="DP89">
        <v>1</v>
      </c>
      <c r="DQ89">
        <v>1</v>
      </c>
      <c r="DU89">
        <v>1005</v>
      </c>
      <c r="DV89" t="s">
        <v>89</v>
      </c>
      <c r="DW89" t="s">
        <v>89</v>
      </c>
      <c r="DX89">
        <v>1</v>
      </c>
      <c r="EE89">
        <v>16510487</v>
      </c>
      <c r="EF89">
        <v>2</v>
      </c>
      <c r="EG89" t="s">
        <v>22</v>
      </c>
      <c r="EH89">
        <v>0</v>
      </c>
      <c r="EI89" t="s">
        <v>6</v>
      </c>
      <c r="EJ89">
        <v>1</v>
      </c>
      <c r="EK89">
        <v>10001</v>
      </c>
      <c r="EL89" t="s">
        <v>174</v>
      </c>
      <c r="EM89" t="s">
        <v>175</v>
      </c>
      <c r="EO89" t="s">
        <v>6</v>
      </c>
      <c r="EQ89">
        <v>0</v>
      </c>
      <c r="ER89">
        <v>4581.8599999999997</v>
      </c>
      <c r="ES89">
        <v>4581.8599999999997</v>
      </c>
      <c r="ET89">
        <v>0</v>
      </c>
      <c r="EU89">
        <v>0</v>
      </c>
      <c r="EV89">
        <v>0</v>
      </c>
      <c r="EW89">
        <v>0</v>
      </c>
      <c r="EX89">
        <v>0</v>
      </c>
      <c r="FQ89">
        <v>0</v>
      </c>
      <c r="FR89">
        <f t="shared" si="104"/>
        <v>0</v>
      </c>
      <c r="FS89">
        <v>0</v>
      </c>
      <c r="FT89" t="s">
        <v>25</v>
      </c>
      <c r="FU89" t="s">
        <v>26</v>
      </c>
      <c r="FX89">
        <v>106.2</v>
      </c>
      <c r="FY89">
        <v>53.55</v>
      </c>
      <c r="GA89" t="s">
        <v>6</v>
      </c>
      <c r="GD89">
        <v>0</v>
      </c>
      <c r="GF89">
        <v>-409793117</v>
      </c>
      <c r="GG89">
        <v>1</v>
      </c>
      <c r="GH89">
        <v>1</v>
      </c>
      <c r="GI89">
        <v>4</v>
      </c>
      <c r="GJ89">
        <v>0</v>
      </c>
      <c r="GK89">
        <f>ROUND(R89*(R12)/100,2)</f>
        <v>0</v>
      </c>
      <c r="GL89">
        <f t="shared" si="105"/>
        <v>0</v>
      </c>
      <c r="GM89">
        <f t="shared" si="106"/>
        <v>27051.3</v>
      </c>
      <c r="GN89">
        <f t="shared" si="107"/>
        <v>27051.3</v>
      </c>
      <c r="GO89">
        <f t="shared" si="108"/>
        <v>0</v>
      </c>
      <c r="GP89">
        <f t="shared" si="109"/>
        <v>0</v>
      </c>
      <c r="GR89">
        <v>0</v>
      </c>
      <c r="GS89">
        <v>3</v>
      </c>
      <c r="GT89">
        <v>0</v>
      </c>
      <c r="GU89" t="s">
        <v>6</v>
      </c>
      <c r="GV89">
        <f t="shared" si="110"/>
        <v>0</v>
      </c>
      <c r="GW89">
        <v>1</v>
      </c>
      <c r="GX89">
        <f t="shared" si="111"/>
        <v>0</v>
      </c>
      <c r="HA89">
        <v>0</v>
      </c>
      <c r="HB89">
        <v>0</v>
      </c>
      <c r="IK89">
        <v>0</v>
      </c>
    </row>
    <row r="90" spans="1:245" x14ac:dyDescent="0.2">
      <c r="A90">
        <v>18</v>
      </c>
      <c r="B90">
        <v>1</v>
      </c>
      <c r="C90">
        <v>62</v>
      </c>
      <c r="E90" t="s">
        <v>192</v>
      </c>
      <c r="F90" t="s">
        <v>182</v>
      </c>
      <c r="G90" t="s">
        <v>183</v>
      </c>
      <c r="H90" t="s">
        <v>89</v>
      </c>
      <c r="I90">
        <f>I88*J90</f>
        <v>0.9</v>
      </c>
      <c r="J90">
        <v>100.00000000000001</v>
      </c>
      <c r="O90">
        <f t="shared" si="78"/>
        <v>0</v>
      </c>
      <c r="P90">
        <f t="shared" si="79"/>
        <v>0</v>
      </c>
      <c r="Q90">
        <f t="shared" si="80"/>
        <v>0</v>
      </c>
      <c r="R90">
        <f t="shared" si="81"/>
        <v>0</v>
      </c>
      <c r="S90">
        <f t="shared" si="82"/>
        <v>0</v>
      </c>
      <c r="T90">
        <f t="shared" si="83"/>
        <v>0</v>
      </c>
      <c r="U90">
        <f t="shared" si="84"/>
        <v>0</v>
      </c>
      <c r="V90">
        <f t="shared" si="85"/>
        <v>0</v>
      </c>
      <c r="W90">
        <f t="shared" si="86"/>
        <v>0</v>
      </c>
      <c r="X90">
        <f t="shared" si="87"/>
        <v>0</v>
      </c>
      <c r="Y90">
        <f t="shared" si="88"/>
        <v>0</v>
      </c>
      <c r="AA90">
        <v>16748969</v>
      </c>
      <c r="AB90">
        <f t="shared" si="89"/>
        <v>0</v>
      </c>
      <c r="AC90">
        <f t="shared" si="90"/>
        <v>0</v>
      </c>
      <c r="AD90">
        <f>ROUND((((ET90)-(EU90))+AE90),2)</f>
        <v>0</v>
      </c>
      <c r="AE90">
        <f>ROUND((EU90),2)</f>
        <v>0</v>
      </c>
      <c r="AF90">
        <f>ROUND((EV90),2)</f>
        <v>0</v>
      </c>
      <c r="AG90">
        <f t="shared" si="91"/>
        <v>0</v>
      </c>
      <c r="AH90">
        <f>(EW90)</f>
        <v>0</v>
      </c>
      <c r="AI90">
        <f>(EX90)</f>
        <v>0</v>
      </c>
      <c r="AJ90">
        <f t="shared" si="92"/>
        <v>0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106</v>
      </c>
      <c r="AU90">
        <v>54</v>
      </c>
      <c r="AV90">
        <v>1</v>
      </c>
      <c r="AW90">
        <v>1</v>
      </c>
      <c r="AZ90">
        <v>6.56</v>
      </c>
      <c r="BA90">
        <v>1</v>
      </c>
      <c r="BB90">
        <v>1</v>
      </c>
      <c r="BC90">
        <v>6.56</v>
      </c>
      <c r="BD90" t="s">
        <v>6</v>
      </c>
      <c r="BE90" t="s">
        <v>6</v>
      </c>
      <c r="BF90" t="s">
        <v>6</v>
      </c>
      <c r="BG90" t="s">
        <v>6</v>
      </c>
      <c r="BH90">
        <v>3</v>
      </c>
      <c r="BI90">
        <v>1</v>
      </c>
      <c r="BJ90" t="s">
        <v>6</v>
      </c>
      <c r="BM90">
        <v>10001</v>
      </c>
      <c r="BN90">
        <v>0</v>
      </c>
      <c r="BO90" t="s">
        <v>6</v>
      </c>
      <c r="BP90">
        <v>0</v>
      </c>
      <c r="BQ90">
        <v>2</v>
      </c>
      <c r="BR90">
        <v>0</v>
      </c>
      <c r="BS90">
        <v>1</v>
      </c>
      <c r="BT90">
        <v>1</v>
      </c>
      <c r="BU90">
        <v>1</v>
      </c>
      <c r="BV90">
        <v>1</v>
      </c>
      <c r="BW90">
        <v>1</v>
      </c>
      <c r="BX90">
        <v>1</v>
      </c>
      <c r="BY90" t="s">
        <v>6</v>
      </c>
      <c r="BZ90">
        <v>118</v>
      </c>
      <c r="CA90">
        <v>63</v>
      </c>
      <c r="CF90">
        <v>0</v>
      </c>
      <c r="CG90">
        <v>0</v>
      </c>
      <c r="CM90">
        <v>0</v>
      </c>
      <c r="CN90" t="s">
        <v>6</v>
      </c>
      <c r="CO90">
        <v>0</v>
      </c>
      <c r="CP90">
        <f t="shared" si="93"/>
        <v>0</v>
      </c>
      <c r="CQ90">
        <f t="shared" si="94"/>
        <v>0</v>
      </c>
      <c r="CR90">
        <f t="shared" si="95"/>
        <v>0</v>
      </c>
      <c r="CS90">
        <f t="shared" si="96"/>
        <v>0</v>
      </c>
      <c r="CT90">
        <f t="shared" si="97"/>
        <v>0</v>
      </c>
      <c r="CU90">
        <f t="shared" si="98"/>
        <v>0</v>
      </c>
      <c r="CV90">
        <f t="shared" si="99"/>
        <v>0</v>
      </c>
      <c r="CW90">
        <f t="shared" si="100"/>
        <v>0</v>
      </c>
      <c r="CX90">
        <f t="shared" si="101"/>
        <v>0</v>
      </c>
      <c r="CY90">
        <f t="shared" si="102"/>
        <v>0</v>
      </c>
      <c r="CZ90">
        <f t="shared" si="103"/>
        <v>0</v>
      </c>
      <c r="DC90" t="s">
        <v>6</v>
      </c>
      <c r="DD90" t="s">
        <v>6</v>
      </c>
      <c r="DE90" t="s">
        <v>6</v>
      </c>
      <c r="DF90" t="s">
        <v>6</v>
      </c>
      <c r="DG90" t="s">
        <v>6</v>
      </c>
      <c r="DH90" t="s">
        <v>6</v>
      </c>
      <c r="DI90" t="s">
        <v>6</v>
      </c>
      <c r="DJ90" t="s">
        <v>6</v>
      </c>
      <c r="DK90" t="s">
        <v>6</v>
      </c>
      <c r="DL90" t="s">
        <v>6</v>
      </c>
      <c r="DM90" t="s">
        <v>6</v>
      </c>
      <c r="DN90">
        <v>0</v>
      </c>
      <c r="DO90">
        <v>0</v>
      </c>
      <c r="DP90">
        <v>1</v>
      </c>
      <c r="DQ90">
        <v>1</v>
      </c>
      <c r="DU90">
        <v>1005</v>
      </c>
      <c r="DV90" t="s">
        <v>89</v>
      </c>
      <c r="DW90" t="s">
        <v>89</v>
      </c>
      <c r="DX90">
        <v>1</v>
      </c>
      <c r="EE90">
        <v>16510487</v>
      </c>
      <c r="EF90">
        <v>2</v>
      </c>
      <c r="EG90" t="s">
        <v>22</v>
      </c>
      <c r="EH90">
        <v>0</v>
      </c>
      <c r="EI90" t="s">
        <v>6</v>
      </c>
      <c r="EJ90">
        <v>1</v>
      </c>
      <c r="EK90">
        <v>10001</v>
      </c>
      <c r="EL90" t="s">
        <v>174</v>
      </c>
      <c r="EM90" t="s">
        <v>175</v>
      </c>
      <c r="EO90" t="s">
        <v>6</v>
      </c>
      <c r="EQ90">
        <v>0</v>
      </c>
      <c r="ER90">
        <v>0</v>
      </c>
      <c r="ES90">
        <v>0</v>
      </c>
      <c r="ET90">
        <v>0</v>
      </c>
      <c r="EU90">
        <v>0</v>
      </c>
      <c r="EV90">
        <v>0</v>
      </c>
      <c r="EW90">
        <v>0</v>
      </c>
      <c r="EX90">
        <v>0</v>
      </c>
      <c r="FQ90">
        <v>0</v>
      </c>
      <c r="FR90">
        <f t="shared" si="104"/>
        <v>0</v>
      </c>
      <c r="FS90">
        <v>0</v>
      </c>
      <c r="FT90" t="s">
        <v>25</v>
      </c>
      <c r="FU90" t="s">
        <v>26</v>
      </c>
      <c r="FX90">
        <v>106.2</v>
      </c>
      <c r="FY90">
        <v>53.55</v>
      </c>
      <c r="GA90" t="s">
        <v>6</v>
      </c>
      <c r="GD90">
        <v>0</v>
      </c>
      <c r="GF90">
        <v>1219964505</v>
      </c>
      <c r="GG90">
        <v>1</v>
      </c>
      <c r="GH90">
        <v>1</v>
      </c>
      <c r="GI90">
        <v>4</v>
      </c>
      <c r="GJ90">
        <v>0</v>
      </c>
      <c r="GK90">
        <f>ROUND(R90*(R12)/100,2)</f>
        <v>0</v>
      </c>
      <c r="GL90">
        <f t="shared" si="105"/>
        <v>0</v>
      </c>
      <c r="GM90">
        <f t="shared" si="106"/>
        <v>0</v>
      </c>
      <c r="GN90">
        <f t="shared" si="107"/>
        <v>0</v>
      </c>
      <c r="GO90">
        <f t="shared" si="108"/>
        <v>0</v>
      </c>
      <c r="GP90">
        <f t="shared" si="109"/>
        <v>0</v>
      </c>
      <c r="GR90">
        <v>0</v>
      </c>
      <c r="GS90">
        <v>3</v>
      </c>
      <c r="GT90">
        <v>0</v>
      </c>
      <c r="GU90" t="s">
        <v>6</v>
      </c>
      <c r="GV90">
        <f t="shared" si="110"/>
        <v>0</v>
      </c>
      <c r="GW90">
        <v>1</v>
      </c>
      <c r="GX90">
        <f t="shared" si="111"/>
        <v>0</v>
      </c>
      <c r="HA90">
        <v>0</v>
      </c>
      <c r="HB90">
        <v>0</v>
      </c>
      <c r="IK90">
        <v>0</v>
      </c>
    </row>
    <row r="91" spans="1:245" x14ac:dyDescent="0.2">
      <c r="A91">
        <v>17</v>
      </c>
      <c r="B91">
        <v>1</v>
      </c>
      <c r="C91">
        <f>ROW(SmtRes!A71)</f>
        <v>71</v>
      </c>
      <c r="D91">
        <f>ROW(EtalonRes!A74)</f>
        <v>74</v>
      </c>
      <c r="E91" t="s">
        <v>193</v>
      </c>
      <c r="F91" t="s">
        <v>194</v>
      </c>
      <c r="G91" t="s">
        <v>195</v>
      </c>
      <c r="H91" t="s">
        <v>20</v>
      </c>
      <c r="I91">
        <f>ROUND(2.65/100,9)</f>
        <v>2.6499999999999999E-2</v>
      </c>
      <c r="J91">
        <v>0</v>
      </c>
      <c r="O91">
        <f t="shared" si="78"/>
        <v>1742.56</v>
      </c>
      <c r="P91">
        <f t="shared" si="79"/>
        <v>1545.54</v>
      </c>
      <c r="Q91">
        <f t="shared" si="80"/>
        <v>4.75</v>
      </c>
      <c r="R91">
        <f t="shared" si="81"/>
        <v>0.76</v>
      </c>
      <c r="S91">
        <f t="shared" si="82"/>
        <v>192.27</v>
      </c>
      <c r="T91">
        <f t="shared" si="83"/>
        <v>0</v>
      </c>
      <c r="U91">
        <f t="shared" si="84"/>
        <v>3.4360562499999996</v>
      </c>
      <c r="V91">
        <f t="shared" si="85"/>
        <v>8.9437500000000003E-3</v>
      </c>
      <c r="W91">
        <f t="shared" si="86"/>
        <v>0</v>
      </c>
      <c r="X91">
        <f t="shared" si="87"/>
        <v>208.47</v>
      </c>
      <c r="Y91">
        <f t="shared" si="88"/>
        <v>106.17</v>
      </c>
      <c r="AA91">
        <v>16748969</v>
      </c>
      <c r="AB91">
        <f t="shared" si="89"/>
        <v>10023.950000000001</v>
      </c>
      <c r="AC91">
        <f t="shared" si="90"/>
        <v>8890.58</v>
      </c>
      <c r="AD91">
        <f>ROUND(((((ET91*1.25))-((EU91*1.25)))+AE91),2)</f>
        <v>27.35</v>
      </c>
      <c r="AE91">
        <f>ROUND(((EU91*1.25)),2)</f>
        <v>4.3899999999999997</v>
      </c>
      <c r="AF91">
        <f>ROUND(((EV91*1.15)),2)</f>
        <v>1106.02</v>
      </c>
      <c r="AG91">
        <f t="shared" si="91"/>
        <v>0</v>
      </c>
      <c r="AH91">
        <f>((EW91*1.15))</f>
        <v>129.66249999999999</v>
      </c>
      <c r="AI91">
        <f>((EX91*1.25))</f>
        <v>0.33750000000000002</v>
      </c>
      <c r="AJ91">
        <f t="shared" si="92"/>
        <v>0</v>
      </c>
      <c r="AK91">
        <v>9874.2199999999993</v>
      </c>
      <c r="AL91">
        <v>8890.58</v>
      </c>
      <c r="AM91">
        <v>21.88</v>
      </c>
      <c r="AN91">
        <v>3.51</v>
      </c>
      <c r="AO91">
        <v>961.76</v>
      </c>
      <c r="AP91">
        <v>0</v>
      </c>
      <c r="AQ91">
        <v>112.75</v>
      </c>
      <c r="AR91">
        <v>0.27</v>
      </c>
      <c r="AS91">
        <v>0</v>
      </c>
      <c r="AT91">
        <v>108</v>
      </c>
      <c r="AU91">
        <v>55</v>
      </c>
      <c r="AV91">
        <v>1</v>
      </c>
      <c r="AW91">
        <v>1</v>
      </c>
      <c r="AZ91">
        <v>6.56</v>
      </c>
      <c r="BA91">
        <v>6.56</v>
      </c>
      <c r="BB91">
        <v>6.56</v>
      </c>
      <c r="BC91">
        <v>6.56</v>
      </c>
      <c r="BD91" t="s">
        <v>6</v>
      </c>
      <c r="BE91" t="s">
        <v>6</v>
      </c>
      <c r="BF91" t="s">
        <v>6</v>
      </c>
      <c r="BG91" t="s">
        <v>6</v>
      </c>
      <c r="BH91">
        <v>0</v>
      </c>
      <c r="BI91">
        <v>1</v>
      </c>
      <c r="BJ91" t="s">
        <v>196</v>
      </c>
      <c r="BM91">
        <v>12001</v>
      </c>
      <c r="BN91">
        <v>0</v>
      </c>
      <c r="BO91" t="s">
        <v>6</v>
      </c>
      <c r="BP91">
        <v>0</v>
      </c>
      <c r="BQ91">
        <v>2</v>
      </c>
      <c r="BR91">
        <v>0</v>
      </c>
      <c r="BS91">
        <v>6.56</v>
      </c>
      <c r="BT91">
        <v>1</v>
      </c>
      <c r="BU91">
        <v>1</v>
      </c>
      <c r="BV91">
        <v>1</v>
      </c>
      <c r="BW91">
        <v>1</v>
      </c>
      <c r="BX91">
        <v>1</v>
      </c>
      <c r="BY91" t="s">
        <v>6</v>
      </c>
      <c r="BZ91">
        <v>120</v>
      </c>
      <c r="CA91">
        <v>65</v>
      </c>
      <c r="CF91">
        <v>0</v>
      </c>
      <c r="CG91">
        <v>0</v>
      </c>
      <c r="CM91">
        <v>0</v>
      </c>
      <c r="CN91" t="s">
        <v>1609</v>
      </c>
      <c r="CO91">
        <v>0</v>
      </c>
      <c r="CP91">
        <f t="shared" si="93"/>
        <v>1742.56</v>
      </c>
      <c r="CQ91">
        <f t="shared" si="94"/>
        <v>58322.2048</v>
      </c>
      <c r="CR91">
        <f t="shared" si="95"/>
        <v>179.416</v>
      </c>
      <c r="CS91">
        <f t="shared" si="96"/>
        <v>28.798399999999997</v>
      </c>
      <c r="CT91">
        <f t="shared" si="97"/>
        <v>7255.4911999999995</v>
      </c>
      <c r="CU91">
        <f t="shared" si="98"/>
        <v>0</v>
      </c>
      <c r="CV91">
        <f t="shared" si="99"/>
        <v>129.66249999999999</v>
      </c>
      <c r="CW91">
        <f t="shared" si="100"/>
        <v>0.33750000000000002</v>
      </c>
      <c r="CX91">
        <f t="shared" si="101"/>
        <v>0</v>
      </c>
      <c r="CY91">
        <f t="shared" si="102"/>
        <v>208.47240000000002</v>
      </c>
      <c r="CZ91">
        <f t="shared" si="103"/>
        <v>106.1665</v>
      </c>
      <c r="DC91" t="s">
        <v>6</v>
      </c>
      <c r="DD91" t="s">
        <v>6</v>
      </c>
      <c r="DE91" t="s">
        <v>172</v>
      </c>
      <c r="DF91" t="s">
        <v>172</v>
      </c>
      <c r="DG91" t="s">
        <v>173</v>
      </c>
      <c r="DH91" t="s">
        <v>6</v>
      </c>
      <c r="DI91" t="s">
        <v>173</v>
      </c>
      <c r="DJ91" t="s">
        <v>172</v>
      </c>
      <c r="DK91" t="s">
        <v>6</v>
      </c>
      <c r="DL91" t="s">
        <v>6</v>
      </c>
      <c r="DM91" t="s">
        <v>6</v>
      </c>
      <c r="DN91">
        <v>0</v>
      </c>
      <c r="DO91">
        <v>0</v>
      </c>
      <c r="DP91">
        <v>1</v>
      </c>
      <c r="DQ91">
        <v>1</v>
      </c>
      <c r="DU91">
        <v>1005</v>
      </c>
      <c r="DV91" t="s">
        <v>20</v>
      </c>
      <c r="DW91" t="s">
        <v>20</v>
      </c>
      <c r="DX91">
        <v>100</v>
      </c>
      <c r="EE91">
        <v>16510489</v>
      </c>
      <c r="EF91">
        <v>2</v>
      </c>
      <c r="EG91" t="s">
        <v>22</v>
      </c>
      <c r="EH91">
        <v>0</v>
      </c>
      <c r="EI91" t="s">
        <v>6</v>
      </c>
      <c r="EJ91">
        <v>1</v>
      </c>
      <c r="EK91">
        <v>12001</v>
      </c>
      <c r="EL91" t="s">
        <v>197</v>
      </c>
      <c r="EM91" t="s">
        <v>198</v>
      </c>
      <c r="EO91" t="s">
        <v>176</v>
      </c>
      <c r="EQ91">
        <v>131072</v>
      </c>
      <c r="ER91">
        <v>9874.2199999999993</v>
      </c>
      <c r="ES91">
        <v>8890.58</v>
      </c>
      <c r="ET91">
        <v>21.88</v>
      </c>
      <c r="EU91">
        <v>3.51</v>
      </c>
      <c r="EV91">
        <v>961.76</v>
      </c>
      <c r="EW91">
        <v>112.75</v>
      </c>
      <c r="EX91">
        <v>0.27</v>
      </c>
      <c r="EY91">
        <v>0</v>
      </c>
      <c r="FQ91">
        <v>0</v>
      </c>
      <c r="FR91">
        <f t="shared" si="104"/>
        <v>0</v>
      </c>
      <c r="FS91">
        <v>0</v>
      </c>
      <c r="FT91" t="s">
        <v>25</v>
      </c>
      <c r="FU91" t="s">
        <v>26</v>
      </c>
      <c r="FX91">
        <v>108</v>
      </c>
      <c r="FY91">
        <v>55.25</v>
      </c>
      <c r="GA91" t="s">
        <v>6</v>
      </c>
      <c r="GD91">
        <v>0</v>
      </c>
      <c r="GF91">
        <v>-1197977700</v>
      </c>
      <c r="GG91">
        <v>1</v>
      </c>
      <c r="GH91">
        <v>1</v>
      </c>
      <c r="GI91">
        <v>4</v>
      </c>
      <c r="GJ91">
        <v>0</v>
      </c>
      <c r="GK91">
        <f>ROUND(R91*(R12)/100,2)</f>
        <v>0</v>
      </c>
      <c r="GL91">
        <f t="shared" si="105"/>
        <v>0</v>
      </c>
      <c r="GM91">
        <f t="shared" si="106"/>
        <v>2057.1999999999998</v>
      </c>
      <c r="GN91">
        <f t="shared" si="107"/>
        <v>2057.1999999999998</v>
      </c>
      <c r="GO91">
        <f t="shared" si="108"/>
        <v>0</v>
      </c>
      <c r="GP91">
        <f t="shared" si="109"/>
        <v>0</v>
      </c>
      <c r="GR91">
        <v>0</v>
      </c>
      <c r="GS91">
        <v>3</v>
      </c>
      <c r="GT91">
        <v>0</v>
      </c>
      <c r="GU91" t="s">
        <v>6</v>
      </c>
      <c r="GV91">
        <f t="shared" si="110"/>
        <v>0</v>
      </c>
      <c r="GW91">
        <v>1</v>
      </c>
      <c r="GX91">
        <f t="shared" si="111"/>
        <v>0</v>
      </c>
      <c r="HA91">
        <v>0</v>
      </c>
      <c r="HB91">
        <v>0</v>
      </c>
      <c r="IK91">
        <v>0</v>
      </c>
    </row>
    <row r="92" spans="1:245" x14ac:dyDescent="0.2">
      <c r="A92">
        <v>17</v>
      </c>
      <c r="B92">
        <v>1</v>
      </c>
      <c r="C92">
        <f>ROW(SmtRes!A78)</f>
        <v>78</v>
      </c>
      <c r="D92">
        <f>ROW(EtalonRes!A81)</f>
        <v>81</v>
      </c>
      <c r="E92" t="s">
        <v>199</v>
      </c>
      <c r="F92" t="s">
        <v>200</v>
      </c>
      <c r="G92" t="s">
        <v>201</v>
      </c>
      <c r="H92" t="s">
        <v>34</v>
      </c>
      <c r="I92">
        <f>ROUND(5.3/100,9)</f>
        <v>5.2999999999999999E-2</v>
      </c>
      <c r="J92">
        <v>0</v>
      </c>
      <c r="O92">
        <f t="shared" si="78"/>
        <v>1465.11</v>
      </c>
      <c r="P92">
        <f t="shared" si="79"/>
        <v>1388.01</v>
      </c>
      <c r="Q92">
        <f t="shared" si="80"/>
        <v>4.83</v>
      </c>
      <c r="R92">
        <f t="shared" si="81"/>
        <v>0.99</v>
      </c>
      <c r="S92">
        <f t="shared" si="82"/>
        <v>72.27</v>
      </c>
      <c r="T92">
        <f t="shared" si="83"/>
        <v>0</v>
      </c>
      <c r="U92">
        <f t="shared" si="84"/>
        <v>1.2915304999999999</v>
      </c>
      <c r="V92">
        <f t="shared" si="85"/>
        <v>1.25875E-2</v>
      </c>
      <c r="W92">
        <f t="shared" si="86"/>
        <v>0</v>
      </c>
      <c r="X92">
        <f t="shared" si="87"/>
        <v>77.66</v>
      </c>
      <c r="Y92">
        <f t="shared" si="88"/>
        <v>39.56</v>
      </c>
      <c r="AA92">
        <v>16748969</v>
      </c>
      <c r="AB92">
        <f t="shared" si="89"/>
        <v>4213.95</v>
      </c>
      <c r="AC92">
        <f t="shared" si="90"/>
        <v>3992.2</v>
      </c>
      <c r="AD92">
        <f>ROUND(((((ET92*1.25))-((EU92*1.25)))+AE92),2)</f>
        <v>13.89</v>
      </c>
      <c r="AE92">
        <f>ROUND(((EU92*1.25)),2)</f>
        <v>2.85</v>
      </c>
      <c r="AF92">
        <f>ROUND(((EV92*1.15)),2)</f>
        <v>207.86</v>
      </c>
      <c r="AG92">
        <f t="shared" si="91"/>
        <v>0</v>
      </c>
      <c r="AH92">
        <f>((EW92*1.15))</f>
        <v>24.368500000000001</v>
      </c>
      <c r="AI92">
        <f>((EX92*1.25))</f>
        <v>0.23749999999999999</v>
      </c>
      <c r="AJ92">
        <f t="shared" si="92"/>
        <v>0</v>
      </c>
      <c r="AK92">
        <v>4184.0600000000004</v>
      </c>
      <c r="AL92">
        <v>3992.2</v>
      </c>
      <c r="AM92">
        <v>11.11</v>
      </c>
      <c r="AN92">
        <v>2.2799999999999998</v>
      </c>
      <c r="AO92">
        <v>180.75</v>
      </c>
      <c r="AP92">
        <v>0</v>
      </c>
      <c r="AQ92">
        <v>21.19</v>
      </c>
      <c r="AR92">
        <v>0.19</v>
      </c>
      <c r="AS92">
        <v>0</v>
      </c>
      <c r="AT92">
        <v>106</v>
      </c>
      <c r="AU92">
        <v>54</v>
      </c>
      <c r="AV92">
        <v>1</v>
      </c>
      <c r="AW92">
        <v>1</v>
      </c>
      <c r="AZ92">
        <v>6.56</v>
      </c>
      <c r="BA92">
        <v>6.56</v>
      </c>
      <c r="BB92">
        <v>6.56</v>
      </c>
      <c r="BC92">
        <v>6.56</v>
      </c>
      <c r="BD92" t="s">
        <v>6</v>
      </c>
      <c r="BE92" t="s">
        <v>6</v>
      </c>
      <c r="BF92" t="s">
        <v>6</v>
      </c>
      <c r="BG92" t="s">
        <v>6</v>
      </c>
      <c r="BH92">
        <v>0</v>
      </c>
      <c r="BI92">
        <v>1</v>
      </c>
      <c r="BJ92" t="s">
        <v>202</v>
      </c>
      <c r="BM92">
        <v>10001</v>
      </c>
      <c r="BN92">
        <v>0</v>
      </c>
      <c r="BO92" t="s">
        <v>6</v>
      </c>
      <c r="BP92">
        <v>0</v>
      </c>
      <c r="BQ92">
        <v>2</v>
      </c>
      <c r="BR92">
        <v>0</v>
      </c>
      <c r="BS92">
        <v>6.56</v>
      </c>
      <c r="BT92">
        <v>1</v>
      </c>
      <c r="BU92">
        <v>1</v>
      </c>
      <c r="BV92">
        <v>1</v>
      </c>
      <c r="BW92">
        <v>1</v>
      </c>
      <c r="BX92">
        <v>1</v>
      </c>
      <c r="BY92" t="s">
        <v>6</v>
      </c>
      <c r="BZ92">
        <v>118</v>
      </c>
      <c r="CA92">
        <v>63</v>
      </c>
      <c r="CF92">
        <v>0</v>
      </c>
      <c r="CG92">
        <v>0</v>
      </c>
      <c r="CM92">
        <v>0</v>
      </c>
      <c r="CN92" t="s">
        <v>1609</v>
      </c>
      <c r="CO92">
        <v>0</v>
      </c>
      <c r="CP92">
        <f t="shared" si="93"/>
        <v>1465.11</v>
      </c>
      <c r="CQ92">
        <f t="shared" si="94"/>
        <v>26188.831999999999</v>
      </c>
      <c r="CR92">
        <f t="shared" si="95"/>
        <v>91.118399999999994</v>
      </c>
      <c r="CS92">
        <f t="shared" si="96"/>
        <v>18.695999999999998</v>
      </c>
      <c r="CT92">
        <f t="shared" si="97"/>
        <v>1363.5616</v>
      </c>
      <c r="CU92">
        <f t="shared" si="98"/>
        <v>0</v>
      </c>
      <c r="CV92">
        <f t="shared" si="99"/>
        <v>24.368500000000001</v>
      </c>
      <c r="CW92">
        <f t="shared" si="100"/>
        <v>0.23749999999999999</v>
      </c>
      <c r="CX92">
        <f t="shared" si="101"/>
        <v>0</v>
      </c>
      <c r="CY92">
        <f t="shared" si="102"/>
        <v>77.655599999999993</v>
      </c>
      <c r="CZ92">
        <f t="shared" si="103"/>
        <v>39.560399999999994</v>
      </c>
      <c r="DC92" t="s">
        <v>6</v>
      </c>
      <c r="DD92" t="s">
        <v>6</v>
      </c>
      <c r="DE92" t="s">
        <v>172</v>
      </c>
      <c r="DF92" t="s">
        <v>172</v>
      </c>
      <c r="DG92" t="s">
        <v>173</v>
      </c>
      <c r="DH92" t="s">
        <v>6</v>
      </c>
      <c r="DI92" t="s">
        <v>173</v>
      </c>
      <c r="DJ92" t="s">
        <v>172</v>
      </c>
      <c r="DK92" t="s">
        <v>6</v>
      </c>
      <c r="DL92" t="s">
        <v>6</v>
      </c>
      <c r="DM92" t="s">
        <v>6</v>
      </c>
      <c r="DN92">
        <v>0</v>
      </c>
      <c r="DO92">
        <v>0</v>
      </c>
      <c r="DP92">
        <v>1</v>
      </c>
      <c r="DQ92">
        <v>1</v>
      </c>
      <c r="DU92">
        <v>1003</v>
      </c>
      <c r="DV92" t="s">
        <v>34</v>
      </c>
      <c r="DW92" t="s">
        <v>34</v>
      </c>
      <c r="DX92">
        <v>100</v>
      </c>
      <c r="EE92">
        <v>16510487</v>
      </c>
      <c r="EF92">
        <v>2</v>
      </c>
      <c r="EG92" t="s">
        <v>22</v>
      </c>
      <c r="EH92">
        <v>0</v>
      </c>
      <c r="EI92" t="s">
        <v>6</v>
      </c>
      <c r="EJ92">
        <v>1</v>
      </c>
      <c r="EK92">
        <v>10001</v>
      </c>
      <c r="EL92" t="s">
        <v>174</v>
      </c>
      <c r="EM92" t="s">
        <v>175</v>
      </c>
      <c r="EO92" t="s">
        <v>176</v>
      </c>
      <c r="EQ92">
        <v>131072</v>
      </c>
      <c r="ER92">
        <v>4184.0600000000004</v>
      </c>
      <c r="ES92">
        <v>3992.2</v>
      </c>
      <c r="ET92">
        <v>11.11</v>
      </c>
      <c r="EU92">
        <v>2.2799999999999998</v>
      </c>
      <c r="EV92">
        <v>180.75</v>
      </c>
      <c r="EW92">
        <v>21.19</v>
      </c>
      <c r="EX92">
        <v>0.19</v>
      </c>
      <c r="EY92">
        <v>0</v>
      </c>
      <c r="FQ92">
        <v>0</v>
      </c>
      <c r="FR92">
        <f t="shared" si="104"/>
        <v>0</v>
      </c>
      <c r="FS92">
        <v>0</v>
      </c>
      <c r="FT92" t="s">
        <v>25</v>
      </c>
      <c r="FU92" t="s">
        <v>26</v>
      </c>
      <c r="FX92">
        <v>106.2</v>
      </c>
      <c r="FY92">
        <v>53.55</v>
      </c>
      <c r="GA92" t="s">
        <v>6</v>
      </c>
      <c r="GD92">
        <v>0</v>
      </c>
      <c r="GF92">
        <v>756108961</v>
      </c>
      <c r="GG92">
        <v>1</v>
      </c>
      <c r="GH92">
        <v>1</v>
      </c>
      <c r="GI92">
        <v>4</v>
      </c>
      <c r="GJ92">
        <v>0</v>
      </c>
      <c r="GK92">
        <f>ROUND(R92*(R12)/100,2)</f>
        <v>0</v>
      </c>
      <c r="GL92">
        <f t="shared" si="105"/>
        <v>0</v>
      </c>
      <c r="GM92">
        <f t="shared" si="106"/>
        <v>1582.33</v>
      </c>
      <c r="GN92">
        <f t="shared" si="107"/>
        <v>1582.33</v>
      </c>
      <c r="GO92">
        <f t="shared" si="108"/>
        <v>0</v>
      </c>
      <c r="GP92">
        <f t="shared" si="109"/>
        <v>0</v>
      </c>
      <c r="GR92">
        <v>0</v>
      </c>
      <c r="GS92">
        <v>3</v>
      </c>
      <c r="GT92">
        <v>0</v>
      </c>
      <c r="GU92" t="s">
        <v>6</v>
      </c>
      <c r="GV92">
        <f t="shared" si="110"/>
        <v>0</v>
      </c>
      <c r="GW92">
        <v>1</v>
      </c>
      <c r="GX92">
        <f t="shared" si="111"/>
        <v>0</v>
      </c>
      <c r="HA92">
        <v>0</v>
      </c>
      <c r="HB92">
        <v>0</v>
      </c>
      <c r="IK92">
        <v>0</v>
      </c>
    </row>
    <row r="93" spans="1:245" x14ac:dyDescent="0.2">
      <c r="A93">
        <v>18</v>
      </c>
      <c r="B93">
        <v>1</v>
      </c>
      <c r="C93">
        <v>76</v>
      </c>
      <c r="E93" t="s">
        <v>203</v>
      </c>
      <c r="F93" t="s">
        <v>204</v>
      </c>
      <c r="G93" t="s">
        <v>205</v>
      </c>
      <c r="H93" t="s">
        <v>206</v>
      </c>
      <c r="I93">
        <f>I92*J93</f>
        <v>5.3</v>
      </c>
      <c r="J93">
        <v>100</v>
      </c>
      <c r="O93">
        <f t="shared" si="78"/>
        <v>2237.3200000000002</v>
      </c>
      <c r="P93">
        <f t="shared" si="79"/>
        <v>2237.3200000000002</v>
      </c>
      <c r="Q93">
        <f t="shared" si="80"/>
        <v>0</v>
      </c>
      <c r="R93">
        <f t="shared" si="81"/>
        <v>0</v>
      </c>
      <c r="S93">
        <f t="shared" si="82"/>
        <v>0</v>
      </c>
      <c r="T93">
        <f t="shared" si="83"/>
        <v>0</v>
      </c>
      <c r="U93">
        <f t="shared" si="84"/>
        <v>0</v>
      </c>
      <c r="V93">
        <f t="shared" si="85"/>
        <v>0</v>
      </c>
      <c r="W93">
        <f t="shared" si="86"/>
        <v>0</v>
      </c>
      <c r="X93">
        <f t="shared" si="87"/>
        <v>0</v>
      </c>
      <c r="Y93">
        <f t="shared" si="88"/>
        <v>0</v>
      </c>
      <c r="AA93">
        <v>16748969</v>
      </c>
      <c r="AB93">
        <f t="shared" si="89"/>
        <v>64.349999999999994</v>
      </c>
      <c r="AC93">
        <f t="shared" si="90"/>
        <v>64.349999999999994</v>
      </c>
      <c r="AD93">
        <f>ROUND((((ET93)-(EU93))+AE93),2)</f>
        <v>0</v>
      </c>
      <c r="AE93">
        <f>ROUND((EU93),2)</f>
        <v>0</v>
      </c>
      <c r="AF93">
        <f>ROUND((EV93),2)</f>
        <v>0</v>
      </c>
      <c r="AG93">
        <f t="shared" si="91"/>
        <v>0</v>
      </c>
      <c r="AH93">
        <f>(EW93)</f>
        <v>0</v>
      </c>
      <c r="AI93">
        <f>(EX93)</f>
        <v>0</v>
      </c>
      <c r="AJ93">
        <f t="shared" si="92"/>
        <v>0</v>
      </c>
      <c r="AK93">
        <v>64.349999999999994</v>
      </c>
      <c r="AL93">
        <v>64.349999999999994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106</v>
      </c>
      <c r="AU93">
        <v>54</v>
      </c>
      <c r="AV93">
        <v>1</v>
      </c>
      <c r="AW93">
        <v>1</v>
      </c>
      <c r="AZ93">
        <v>6.56</v>
      </c>
      <c r="BA93">
        <v>1</v>
      </c>
      <c r="BB93">
        <v>1</v>
      </c>
      <c r="BC93">
        <v>6.56</v>
      </c>
      <c r="BD93" t="s">
        <v>6</v>
      </c>
      <c r="BE93" t="s">
        <v>6</v>
      </c>
      <c r="BF93" t="s">
        <v>6</v>
      </c>
      <c r="BG93" t="s">
        <v>6</v>
      </c>
      <c r="BH93">
        <v>3</v>
      </c>
      <c r="BI93">
        <v>1</v>
      </c>
      <c r="BJ93" t="s">
        <v>207</v>
      </c>
      <c r="BM93">
        <v>10001</v>
      </c>
      <c r="BN93">
        <v>0</v>
      </c>
      <c r="BO93" t="s">
        <v>6</v>
      </c>
      <c r="BP93">
        <v>0</v>
      </c>
      <c r="BQ93">
        <v>2</v>
      </c>
      <c r="BR93">
        <v>0</v>
      </c>
      <c r="BS93">
        <v>1</v>
      </c>
      <c r="BT93">
        <v>1</v>
      </c>
      <c r="BU93">
        <v>1</v>
      </c>
      <c r="BV93">
        <v>1</v>
      </c>
      <c r="BW93">
        <v>1</v>
      </c>
      <c r="BX93">
        <v>1</v>
      </c>
      <c r="BY93" t="s">
        <v>6</v>
      </c>
      <c r="BZ93">
        <v>118</v>
      </c>
      <c r="CA93">
        <v>63</v>
      </c>
      <c r="CF93">
        <v>0</v>
      </c>
      <c r="CG93">
        <v>0</v>
      </c>
      <c r="CM93">
        <v>0</v>
      </c>
      <c r="CN93" t="s">
        <v>6</v>
      </c>
      <c r="CO93">
        <v>0</v>
      </c>
      <c r="CP93">
        <f t="shared" si="93"/>
        <v>2237.3200000000002</v>
      </c>
      <c r="CQ93">
        <f t="shared" si="94"/>
        <v>422.13599999999991</v>
      </c>
      <c r="CR93">
        <f t="shared" si="95"/>
        <v>0</v>
      </c>
      <c r="CS93">
        <f t="shared" si="96"/>
        <v>0</v>
      </c>
      <c r="CT93">
        <f t="shared" si="97"/>
        <v>0</v>
      </c>
      <c r="CU93">
        <f t="shared" si="98"/>
        <v>0</v>
      </c>
      <c r="CV93">
        <f t="shared" si="99"/>
        <v>0</v>
      </c>
      <c r="CW93">
        <f t="shared" si="100"/>
        <v>0</v>
      </c>
      <c r="CX93">
        <f t="shared" si="101"/>
        <v>0</v>
      </c>
      <c r="CY93">
        <f t="shared" si="102"/>
        <v>0</v>
      </c>
      <c r="CZ93">
        <f t="shared" si="103"/>
        <v>0</v>
      </c>
      <c r="DC93" t="s">
        <v>6</v>
      </c>
      <c r="DD93" t="s">
        <v>6</v>
      </c>
      <c r="DE93" t="s">
        <v>6</v>
      </c>
      <c r="DF93" t="s">
        <v>6</v>
      </c>
      <c r="DG93" t="s">
        <v>6</v>
      </c>
      <c r="DH93" t="s">
        <v>6</v>
      </c>
      <c r="DI93" t="s">
        <v>6</v>
      </c>
      <c r="DJ93" t="s">
        <v>6</v>
      </c>
      <c r="DK93" t="s">
        <v>6</v>
      </c>
      <c r="DL93" t="s">
        <v>6</v>
      </c>
      <c r="DM93" t="s">
        <v>6</v>
      </c>
      <c r="DN93">
        <v>0</v>
      </c>
      <c r="DO93">
        <v>0</v>
      </c>
      <c r="DP93">
        <v>1</v>
      </c>
      <c r="DQ93">
        <v>1</v>
      </c>
      <c r="DU93">
        <v>1003</v>
      </c>
      <c r="DV93" t="s">
        <v>206</v>
      </c>
      <c r="DW93" t="s">
        <v>206</v>
      </c>
      <c r="DX93">
        <v>1</v>
      </c>
      <c r="EE93">
        <v>16510487</v>
      </c>
      <c r="EF93">
        <v>2</v>
      </c>
      <c r="EG93" t="s">
        <v>22</v>
      </c>
      <c r="EH93">
        <v>0</v>
      </c>
      <c r="EI93" t="s">
        <v>6</v>
      </c>
      <c r="EJ93">
        <v>1</v>
      </c>
      <c r="EK93">
        <v>10001</v>
      </c>
      <c r="EL93" t="s">
        <v>174</v>
      </c>
      <c r="EM93" t="s">
        <v>175</v>
      </c>
      <c r="EO93" t="s">
        <v>6</v>
      </c>
      <c r="EQ93">
        <v>0</v>
      </c>
      <c r="ER93">
        <v>64.349999999999994</v>
      </c>
      <c r="ES93">
        <v>64.349999999999994</v>
      </c>
      <c r="ET93">
        <v>0</v>
      </c>
      <c r="EU93">
        <v>0</v>
      </c>
      <c r="EV93">
        <v>0</v>
      </c>
      <c r="EW93">
        <v>0</v>
      </c>
      <c r="EX93">
        <v>0</v>
      </c>
      <c r="FQ93">
        <v>0</v>
      </c>
      <c r="FR93">
        <f t="shared" si="104"/>
        <v>0</v>
      </c>
      <c r="FS93">
        <v>0</v>
      </c>
      <c r="FT93" t="s">
        <v>25</v>
      </c>
      <c r="FU93" t="s">
        <v>26</v>
      </c>
      <c r="FX93">
        <v>106.2</v>
      </c>
      <c r="FY93">
        <v>53.55</v>
      </c>
      <c r="GA93" t="s">
        <v>6</v>
      </c>
      <c r="GD93">
        <v>0</v>
      </c>
      <c r="GF93">
        <v>1369221803</v>
      </c>
      <c r="GG93">
        <v>1</v>
      </c>
      <c r="GH93">
        <v>1</v>
      </c>
      <c r="GI93">
        <v>4</v>
      </c>
      <c r="GJ93">
        <v>0</v>
      </c>
      <c r="GK93">
        <f>ROUND(R93*(R12)/100,2)</f>
        <v>0</v>
      </c>
      <c r="GL93">
        <f t="shared" si="105"/>
        <v>0</v>
      </c>
      <c r="GM93">
        <f t="shared" si="106"/>
        <v>2237.3200000000002</v>
      </c>
      <c r="GN93">
        <f t="shared" si="107"/>
        <v>2237.3200000000002</v>
      </c>
      <c r="GO93">
        <f t="shared" si="108"/>
        <v>0</v>
      </c>
      <c r="GP93">
        <f t="shared" si="109"/>
        <v>0</v>
      </c>
      <c r="GR93">
        <v>0</v>
      </c>
      <c r="GS93">
        <v>3</v>
      </c>
      <c r="GT93">
        <v>0</v>
      </c>
      <c r="GU93" t="s">
        <v>6</v>
      </c>
      <c r="GV93">
        <f t="shared" si="110"/>
        <v>0</v>
      </c>
      <c r="GW93">
        <v>1</v>
      </c>
      <c r="GX93">
        <f t="shared" si="111"/>
        <v>0</v>
      </c>
      <c r="HA93">
        <v>0</v>
      </c>
      <c r="HB93">
        <v>0</v>
      </c>
      <c r="IK93">
        <v>0</v>
      </c>
    </row>
    <row r="94" spans="1:245" x14ac:dyDescent="0.2">
      <c r="A94">
        <v>17</v>
      </c>
      <c r="B94">
        <v>1</v>
      </c>
      <c r="C94">
        <f>ROW(SmtRes!A83)</f>
        <v>83</v>
      </c>
      <c r="D94">
        <f>ROW(EtalonRes!A86)</f>
        <v>86</v>
      </c>
      <c r="E94" t="s">
        <v>208</v>
      </c>
      <c r="F94" t="s">
        <v>209</v>
      </c>
      <c r="G94" t="s">
        <v>210</v>
      </c>
      <c r="H94" t="s">
        <v>20</v>
      </c>
      <c r="I94">
        <f>ROUND(21.14/100,9)</f>
        <v>0.2114</v>
      </c>
      <c r="J94">
        <v>0</v>
      </c>
      <c r="O94">
        <f t="shared" si="78"/>
        <v>6250.36</v>
      </c>
      <c r="P94">
        <f t="shared" si="79"/>
        <v>3115.42</v>
      </c>
      <c r="Q94">
        <f t="shared" si="80"/>
        <v>111.64</v>
      </c>
      <c r="R94">
        <f t="shared" si="81"/>
        <v>48.2</v>
      </c>
      <c r="S94">
        <f t="shared" si="82"/>
        <v>3023.3</v>
      </c>
      <c r="T94">
        <f t="shared" si="83"/>
        <v>0</v>
      </c>
      <c r="U94">
        <f t="shared" si="84"/>
        <v>49.6090266</v>
      </c>
      <c r="V94">
        <f t="shared" si="85"/>
        <v>0.54435500000000003</v>
      </c>
      <c r="W94">
        <f t="shared" si="86"/>
        <v>0</v>
      </c>
      <c r="X94">
        <f t="shared" si="87"/>
        <v>2917.93</v>
      </c>
      <c r="Y94">
        <f t="shared" si="88"/>
        <v>1443.61</v>
      </c>
      <c r="AA94">
        <v>16748969</v>
      </c>
      <c r="AB94">
        <f t="shared" si="89"/>
        <v>4507.09</v>
      </c>
      <c r="AC94">
        <f t="shared" si="90"/>
        <v>2246.5100000000002</v>
      </c>
      <c r="AD94">
        <f>ROUND(((((ET94*1.25))-((EU94*1.25)))+AE94),2)</f>
        <v>80.5</v>
      </c>
      <c r="AE94">
        <f>ROUND(((EU94*1.25)),2)</f>
        <v>34.76</v>
      </c>
      <c r="AF94">
        <f>ROUND(((EV94*1.15)),2)</f>
        <v>2180.08</v>
      </c>
      <c r="AG94">
        <f t="shared" si="91"/>
        <v>0</v>
      </c>
      <c r="AH94">
        <f>((EW94*1.15))</f>
        <v>234.66899999999998</v>
      </c>
      <c r="AI94">
        <f>((EX94*1.25))</f>
        <v>2.5750000000000002</v>
      </c>
      <c r="AJ94">
        <f t="shared" si="92"/>
        <v>0</v>
      </c>
      <c r="AK94">
        <v>4206.63</v>
      </c>
      <c r="AL94">
        <v>2246.5100000000002</v>
      </c>
      <c r="AM94">
        <v>64.400000000000006</v>
      </c>
      <c r="AN94">
        <v>27.81</v>
      </c>
      <c r="AO94">
        <v>1895.72</v>
      </c>
      <c r="AP94">
        <v>0</v>
      </c>
      <c r="AQ94">
        <v>204.06</v>
      </c>
      <c r="AR94">
        <v>2.06</v>
      </c>
      <c r="AS94">
        <v>0</v>
      </c>
      <c r="AT94">
        <v>95</v>
      </c>
      <c r="AU94">
        <v>47</v>
      </c>
      <c r="AV94">
        <v>1</v>
      </c>
      <c r="AW94">
        <v>1</v>
      </c>
      <c r="AZ94">
        <v>6.56</v>
      </c>
      <c r="BA94">
        <v>6.56</v>
      </c>
      <c r="BB94">
        <v>6.56</v>
      </c>
      <c r="BC94">
        <v>6.56</v>
      </c>
      <c r="BD94" t="s">
        <v>6</v>
      </c>
      <c r="BE94" t="s">
        <v>6</v>
      </c>
      <c r="BF94" t="s">
        <v>6</v>
      </c>
      <c r="BG94" t="s">
        <v>6</v>
      </c>
      <c r="BH94">
        <v>0</v>
      </c>
      <c r="BI94">
        <v>1</v>
      </c>
      <c r="BJ94" t="s">
        <v>211</v>
      </c>
      <c r="BM94">
        <v>15001</v>
      </c>
      <c r="BN94">
        <v>0</v>
      </c>
      <c r="BO94" t="s">
        <v>6</v>
      </c>
      <c r="BP94">
        <v>0</v>
      </c>
      <c r="BQ94">
        <v>2</v>
      </c>
      <c r="BR94">
        <v>0</v>
      </c>
      <c r="BS94">
        <v>6.56</v>
      </c>
      <c r="BT94">
        <v>1</v>
      </c>
      <c r="BU94">
        <v>1</v>
      </c>
      <c r="BV94">
        <v>1</v>
      </c>
      <c r="BW94">
        <v>1</v>
      </c>
      <c r="BX94">
        <v>1</v>
      </c>
      <c r="BY94" t="s">
        <v>6</v>
      </c>
      <c r="BZ94">
        <v>105</v>
      </c>
      <c r="CA94">
        <v>55</v>
      </c>
      <c r="CF94">
        <v>0</v>
      </c>
      <c r="CG94">
        <v>0</v>
      </c>
      <c r="CM94">
        <v>0</v>
      </c>
      <c r="CN94" t="s">
        <v>1609</v>
      </c>
      <c r="CO94">
        <v>0</v>
      </c>
      <c r="CP94">
        <f t="shared" si="93"/>
        <v>6250.3600000000006</v>
      </c>
      <c r="CQ94">
        <f t="shared" si="94"/>
        <v>14737.105600000001</v>
      </c>
      <c r="CR94">
        <f t="shared" si="95"/>
        <v>528.07999999999993</v>
      </c>
      <c r="CS94">
        <f t="shared" si="96"/>
        <v>228.02559999999997</v>
      </c>
      <c r="CT94">
        <f t="shared" si="97"/>
        <v>14301.324799999999</v>
      </c>
      <c r="CU94">
        <f t="shared" si="98"/>
        <v>0</v>
      </c>
      <c r="CV94">
        <f t="shared" si="99"/>
        <v>234.66899999999998</v>
      </c>
      <c r="CW94">
        <f t="shared" si="100"/>
        <v>2.5750000000000002</v>
      </c>
      <c r="CX94">
        <f t="shared" si="101"/>
        <v>0</v>
      </c>
      <c r="CY94">
        <f t="shared" si="102"/>
        <v>2917.9250000000002</v>
      </c>
      <c r="CZ94">
        <f t="shared" si="103"/>
        <v>1443.605</v>
      </c>
      <c r="DC94" t="s">
        <v>6</v>
      </c>
      <c r="DD94" t="s">
        <v>6</v>
      </c>
      <c r="DE94" t="s">
        <v>172</v>
      </c>
      <c r="DF94" t="s">
        <v>172</v>
      </c>
      <c r="DG94" t="s">
        <v>173</v>
      </c>
      <c r="DH94" t="s">
        <v>6</v>
      </c>
      <c r="DI94" t="s">
        <v>173</v>
      </c>
      <c r="DJ94" t="s">
        <v>172</v>
      </c>
      <c r="DK94" t="s">
        <v>6</v>
      </c>
      <c r="DL94" t="s">
        <v>6</v>
      </c>
      <c r="DM94" t="s">
        <v>6</v>
      </c>
      <c r="DN94">
        <v>0</v>
      </c>
      <c r="DO94">
        <v>0</v>
      </c>
      <c r="DP94">
        <v>1</v>
      </c>
      <c r="DQ94">
        <v>1</v>
      </c>
      <c r="DU94">
        <v>1005</v>
      </c>
      <c r="DV94" t="s">
        <v>20</v>
      </c>
      <c r="DW94" t="s">
        <v>20</v>
      </c>
      <c r="DX94">
        <v>100</v>
      </c>
      <c r="EE94">
        <v>16510513</v>
      </c>
      <c r="EF94">
        <v>2</v>
      </c>
      <c r="EG94" t="s">
        <v>22</v>
      </c>
      <c r="EH94">
        <v>0</v>
      </c>
      <c r="EI94" t="s">
        <v>6</v>
      </c>
      <c r="EJ94">
        <v>1</v>
      </c>
      <c r="EK94">
        <v>15001</v>
      </c>
      <c r="EL94" t="s">
        <v>212</v>
      </c>
      <c r="EM94" t="s">
        <v>213</v>
      </c>
      <c r="EO94" t="s">
        <v>176</v>
      </c>
      <c r="EQ94">
        <v>131072</v>
      </c>
      <c r="ER94">
        <v>4206.63</v>
      </c>
      <c r="ES94">
        <v>2246.5100000000002</v>
      </c>
      <c r="ET94">
        <v>64.400000000000006</v>
      </c>
      <c r="EU94">
        <v>27.81</v>
      </c>
      <c r="EV94">
        <v>1895.72</v>
      </c>
      <c r="EW94">
        <v>204.06</v>
      </c>
      <c r="EX94">
        <v>2.06</v>
      </c>
      <c r="EY94">
        <v>0</v>
      </c>
      <c r="FQ94">
        <v>0</v>
      </c>
      <c r="FR94">
        <f t="shared" si="104"/>
        <v>0</v>
      </c>
      <c r="FS94">
        <v>0</v>
      </c>
      <c r="FT94" t="s">
        <v>25</v>
      </c>
      <c r="FU94" t="s">
        <v>26</v>
      </c>
      <c r="FX94">
        <v>94.5</v>
      </c>
      <c r="FY94">
        <v>46.75</v>
      </c>
      <c r="GA94" t="s">
        <v>6</v>
      </c>
      <c r="GD94">
        <v>0</v>
      </c>
      <c r="GF94">
        <v>-635342655</v>
      </c>
      <c r="GG94">
        <v>1</v>
      </c>
      <c r="GH94">
        <v>1</v>
      </c>
      <c r="GI94">
        <v>4</v>
      </c>
      <c r="GJ94">
        <v>0</v>
      </c>
      <c r="GK94">
        <f>ROUND(R94*(R12)/100,2)</f>
        <v>0</v>
      </c>
      <c r="GL94">
        <f t="shared" si="105"/>
        <v>0</v>
      </c>
      <c r="GM94">
        <f t="shared" si="106"/>
        <v>10611.9</v>
      </c>
      <c r="GN94">
        <f t="shared" si="107"/>
        <v>10611.9</v>
      </c>
      <c r="GO94">
        <f t="shared" si="108"/>
        <v>0</v>
      </c>
      <c r="GP94">
        <f t="shared" si="109"/>
        <v>0</v>
      </c>
      <c r="GR94">
        <v>0</v>
      </c>
      <c r="GS94">
        <v>3</v>
      </c>
      <c r="GT94">
        <v>0</v>
      </c>
      <c r="GU94" t="s">
        <v>6</v>
      </c>
      <c r="GV94">
        <f t="shared" si="110"/>
        <v>0</v>
      </c>
      <c r="GW94">
        <v>1</v>
      </c>
      <c r="GX94">
        <f t="shared" si="111"/>
        <v>0</v>
      </c>
      <c r="HA94">
        <v>0</v>
      </c>
      <c r="HB94">
        <v>0</v>
      </c>
      <c r="IK94">
        <v>0</v>
      </c>
    </row>
    <row r="95" spans="1:245" x14ac:dyDescent="0.2">
      <c r="A95">
        <v>17</v>
      </c>
      <c r="B95">
        <v>1</v>
      </c>
      <c r="C95">
        <f>ROW(SmtRes!A92)</f>
        <v>92</v>
      </c>
      <c r="D95">
        <f>ROW(EtalonRes!A94)</f>
        <v>94</v>
      </c>
      <c r="E95" t="s">
        <v>214</v>
      </c>
      <c r="F95" t="s">
        <v>215</v>
      </c>
      <c r="G95" t="s">
        <v>216</v>
      </c>
      <c r="H95" t="s">
        <v>20</v>
      </c>
      <c r="I95">
        <f>ROUND(28.46/100,9)</f>
        <v>0.28460000000000002</v>
      </c>
      <c r="J95">
        <v>0</v>
      </c>
      <c r="O95">
        <f t="shared" si="78"/>
        <v>1373.98</v>
      </c>
      <c r="P95">
        <f t="shared" si="79"/>
        <v>523.30999999999995</v>
      </c>
      <c r="Q95">
        <f t="shared" si="80"/>
        <v>24.48</v>
      </c>
      <c r="R95">
        <f t="shared" si="81"/>
        <v>4.6900000000000004</v>
      </c>
      <c r="S95">
        <f t="shared" si="82"/>
        <v>826.19</v>
      </c>
      <c r="T95">
        <f t="shared" si="83"/>
        <v>0</v>
      </c>
      <c r="U95">
        <f t="shared" si="84"/>
        <v>14.040740999999999</v>
      </c>
      <c r="V95">
        <f t="shared" si="85"/>
        <v>6.047750000000001E-2</v>
      </c>
      <c r="W95">
        <f t="shared" si="86"/>
        <v>0</v>
      </c>
      <c r="X95">
        <f t="shared" si="87"/>
        <v>789.34</v>
      </c>
      <c r="Y95">
        <f t="shared" si="88"/>
        <v>390.51</v>
      </c>
      <c r="AA95">
        <v>16748969</v>
      </c>
      <c r="AB95">
        <f t="shared" si="89"/>
        <v>735.94</v>
      </c>
      <c r="AC95">
        <f t="shared" si="90"/>
        <v>280.3</v>
      </c>
      <c r="AD95">
        <f>ROUND(((((ET95*1.25))-((EU95*1.25)))+AE95),2)</f>
        <v>13.11</v>
      </c>
      <c r="AE95">
        <f>ROUND(((EU95*1.25)),2)</f>
        <v>2.5099999999999998</v>
      </c>
      <c r="AF95">
        <f>ROUND(((EV95*1.15)),2)</f>
        <v>442.53</v>
      </c>
      <c r="AG95">
        <f t="shared" si="91"/>
        <v>0</v>
      </c>
      <c r="AH95">
        <f>((EW95*1.15))</f>
        <v>49.334999999999994</v>
      </c>
      <c r="AI95">
        <f>((EX95*1.25))</f>
        <v>0.21250000000000002</v>
      </c>
      <c r="AJ95">
        <f t="shared" si="92"/>
        <v>0</v>
      </c>
      <c r="AK95">
        <v>675.6</v>
      </c>
      <c r="AL95">
        <v>280.3</v>
      </c>
      <c r="AM95">
        <v>10.49</v>
      </c>
      <c r="AN95">
        <v>2.0099999999999998</v>
      </c>
      <c r="AO95">
        <v>384.81</v>
      </c>
      <c r="AP95">
        <v>0</v>
      </c>
      <c r="AQ95">
        <v>42.9</v>
      </c>
      <c r="AR95">
        <v>0.17</v>
      </c>
      <c r="AS95">
        <v>0</v>
      </c>
      <c r="AT95">
        <v>95</v>
      </c>
      <c r="AU95">
        <v>47</v>
      </c>
      <c r="AV95">
        <v>1</v>
      </c>
      <c r="AW95">
        <v>1</v>
      </c>
      <c r="AZ95">
        <v>6.56</v>
      </c>
      <c r="BA95">
        <v>6.56</v>
      </c>
      <c r="BB95">
        <v>6.56</v>
      </c>
      <c r="BC95">
        <v>6.56</v>
      </c>
      <c r="BD95" t="s">
        <v>6</v>
      </c>
      <c r="BE95" t="s">
        <v>6</v>
      </c>
      <c r="BF95" t="s">
        <v>6</v>
      </c>
      <c r="BG95" t="s">
        <v>6</v>
      </c>
      <c r="BH95">
        <v>0</v>
      </c>
      <c r="BI95">
        <v>1</v>
      </c>
      <c r="BJ95" t="s">
        <v>217</v>
      </c>
      <c r="BM95">
        <v>15001</v>
      </c>
      <c r="BN95">
        <v>0</v>
      </c>
      <c r="BO95" t="s">
        <v>6</v>
      </c>
      <c r="BP95">
        <v>0</v>
      </c>
      <c r="BQ95">
        <v>2</v>
      </c>
      <c r="BR95">
        <v>0</v>
      </c>
      <c r="BS95">
        <v>6.56</v>
      </c>
      <c r="BT95">
        <v>1</v>
      </c>
      <c r="BU95">
        <v>1</v>
      </c>
      <c r="BV95">
        <v>1</v>
      </c>
      <c r="BW95">
        <v>1</v>
      </c>
      <c r="BX95">
        <v>1</v>
      </c>
      <c r="BY95" t="s">
        <v>6</v>
      </c>
      <c r="BZ95">
        <v>105</v>
      </c>
      <c r="CA95">
        <v>55</v>
      </c>
      <c r="CF95">
        <v>0</v>
      </c>
      <c r="CG95">
        <v>0</v>
      </c>
      <c r="CM95">
        <v>0</v>
      </c>
      <c r="CN95" t="s">
        <v>1609</v>
      </c>
      <c r="CO95">
        <v>0</v>
      </c>
      <c r="CP95">
        <f t="shared" si="93"/>
        <v>1373.98</v>
      </c>
      <c r="CQ95">
        <f t="shared" si="94"/>
        <v>1838.768</v>
      </c>
      <c r="CR95">
        <f t="shared" si="95"/>
        <v>86.001599999999996</v>
      </c>
      <c r="CS95">
        <f t="shared" si="96"/>
        <v>16.465599999999998</v>
      </c>
      <c r="CT95">
        <f t="shared" si="97"/>
        <v>2902.9967999999994</v>
      </c>
      <c r="CU95">
        <f t="shared" si="98"/>
        <v>0</v>
      </c>
      <c r="CV95">
        <f t="shared" si="99"/>
        <v>49.334999999999994</v>
      </c>
      <c r="CW95">
        <f t="shared" si="100"/>
        <v>0.21250000000000002</v>
      </c>
      <c r="CX95">
        <f t="shared" si="101"/>
        <v>0</v>
      </c>
      <c r="CY95">
        <f t="shared" si="102"/>
        <v>789.33600000000001</v>
      </c>
      <c r="CZ95">
        <f t="shared" si="103"/>
        <v>390.51360000000005</v>
      </c>
      <c r="DC95" t="s">
        <v>6</v>
      </c>
      <c r="DD95" t="s">
        <v>6</v>
      </c>
      <c r="DE95" t="s">
        <v>172</v>
      </c>
      <c r="DF95" t="s">
        <v>172</v>
      </c>
      <c r="DG95" t="s">
        <v>173</v>
      </c>
      <c r="DH95" t="s">
        <v>6</v>
      </c>
      <c r="DI95" t="s">
        <v>173</v>
      </c>
      <c r="DJ95" t="s">
        <v>172</v>
      </c>
      <c r="DK95" t="s">
        <v>6</v>
      </c>
      <c r="DL95" t="s">
        <v>6</v>
      </c>
      <c r="DM95" t="s">
        <v>6</v>
      </c>
      <c r="DN95">
        <v>0</v>
      </c>
      <c r="DO95">
        <v>0</v>
      </c>
      <c r="DP95">
        <v>1</v>
      </c>
      <c r="DQ95">
        <v>1</v>
      </c>
      <c r="DU95">
        <v>1005</v>
      </c>
      <c r="DV95" t="s">
        <v>20</v>
      </c>
      <c r="DW95" t="s">
        <v>20</v>
      </c>
      <c r="DX95">
        <v>100</v>
      </c>
      <c r="EE95">
        <v>16510513</v>
      </c>
      <c r="EF95">
        <v>2</v>
      </c>
      <c r="EG95" t="s">
        <v>22</v>
      </c>
      <c r="EH95">
        <v>0</v>
      </c>
      <c r="EI95" t="s">
        <v>6</v>
      </c>
      <c r="EJ95">
        <v>1</v>
      </c>
      <c r="EK95">
        <v>15001</v>
      </c>
      <c r="EL95" t="s">
        <v>212</v>
      </c>
      <c r="EM95" t="s">
        <v>213</v>
      </c>
      <c r="EO95" t="s">
        <v>176</v>
      </c>
      <c r="EQ95">
        <v>131072</v>
      </c>
      <c r="ER95">
        <v>675.6</v>
      </c>
      <c r="ES95">
        <v>280.3</v>
      </c>
      <c r="ET95">
        <v>10.49</v>
      </c>
      <c r="EU95">
        <v>2.0099999999999998</v>
      </c>
      <c r="EV95">
        <v>384.81</v>
      </c>
      <c r="EW95">
        <v>42.9</v>
      </c>
      <c r="EX95">
        <v>0.17</v>
      </c>
      <c r="EY95">
        <v>0</v>
      </c>
      <c r="FQ95">
        <v>0</v>
      </c>
      <c r="FR95">
        <f t="shared" si="104"/>
        <v>0</v>
      </c>
      <c r="FS95">
        <v>0</v>
      </c>
      <c r="FT95" t="s">
        <v>25</v>
      </c>
      <c r="FU95" t="s">
        <v>26</v>
      </c>
      <c r="FX95">
        <v>94.5</v>
      </c>
      <c r="FY95">
        <v>46.75</v>
      </c>
      <c r="GA95" t="s">
        <v>6</v>
      </c>
      <c r="GD95">
        <v>0</v>
      </c>
      <c r="GF95">
        <v>1201052127</v>
      </c>
      <c r="GG95">
        <v>1</v>
      </c>
      <c r="GH95">
        <v>1</v>
      </c>
      <c r="GI95">
        <v>4</v>
      </c>
      <c r="GJ95">
        <v>0</v>
      </c>
      <c r="GK95">
        <f>ROUND(R95*(R12)/100,2)</f>
        <v>0</v>
      </c>
      <c r="GL95">
        <f t="shared" si="105"/>
        <v>0</v>
      </c>
      <c r="GM95">
        <f t="shared" si="106"/>
        <v>2553.83</v>
      </c>
      <c r="GN95">
        <f t="shared" si="107"/>
        <v>2553.83</v>
      </c>
      <c r="GO95">
        <f t="shared" si="108"/>
        <v>0</v>
      </c>
      <c r="GP95">
        <f t="shared" si="109"/>
        <v>0</v>
      </c>
      <c r="GR95">
        <v>0</v>
      </c>
      <c r="GS95">
        <v>3</v>
      </c>
      <c r="GT95">
        <v>0</v>
      </c>
      <c r="GU95" t="s">
        <v>6</v>
      </c>
      <c r="GV95">
        <f t="shared" si="110"/>
        <v>0</v>
      </c>
      <c r="GW95">
        <v>1</v>
      </c>
      <c r="GX95">
        <f t="shared" si="111"/>
        <v>0</v>
      </c>
      <c r="HA95">
        <v>0</v>
      </c>
      <c r="HB95">
        <v>0</v>
      </c>
      <c r="IK95">
        <v>0</v>
      </c>
    </row>
    <row r="96" spans="1:245" x14ac:dyDescent="0.2">
      <c r="A96">
        <v>18</v>
      </c>
      <c r="B96">
        <v>1</v>
      </c>
      <c r="C96">
        <v>91</v>
      </c>
      <c r="E96" t="s">
        <v>218</v>
      </c>
      <c r="F96" t="s">
        <v>219</v>
      </c>
      <c r="G96" t="s">
        <v>220</v>
      </c>
      <c r="H96" t="s">
        <v>71</v>
      </c>
      <c r="I96">
        <f>I95*J96</f>
        <v>1.7930000000000001E-2</v>
      </c>
      <c r="J96">
        <v>6.3000702740688683E-2</v>
      </c>
      <c r="O96">
        <f t="shared" si="78"/>
        <v>1816.76</v>
      </c>
      <c r="P96">
        <f t="shared" si="79"/>
        <v>1816.76</v>
      </c>
      <c r="Q96">
        <f t="shared" si="80"/>
        <v>0</v>
      </c>
      <c r="R96">
        <f t="shared" si="81"/>
        <v>0</v>
      </c>
      <c r="S96">
        <f t="shared" si="82"/>
        <v>0</v>
      </c>
      <c r="T96">
        <f t="shared" si="83"/>
        <v>0</v>
      </c>
      <c r="U96">
        <f t="shared" si="84"/>
        <v>0</v>
      </c>
      <c r="V96">
        <f t="shared" si="85"/>
        <v>0</v>
      </c>
      <c r="W96">
        <f t="shared" si="86"/>
        <v>0</v>
      </c>
      <c r="X96">
        <f t="shared" si="87"/>
        <v>0</v>
      </c>
      <c r="Y96">
        <f t="shared" si="88"/>
        <v>0</v>
      </c>
      <c r="AA96">
        <v>16748969</v>
      </c>
      <c r="AB96">
        <f t="shared" si="89"/>
        <v>15445.9</v>
      </c>
      <c r="AC96">
        <f t="shared" si="90"/>
        <v>15445.9</v>
      </c>
      <c r="AD96">
        <f>ROUND((((ET96)-(EU96))+AE96),2)</f>
        <v>0</v>
      </c>
      <c r="AE96">
        <f>ROUND((EU96),2)</f>
        <v>0</v>
      </c>
      <c r="AF96">
        <f>ROUND((EV96),2)</f>
        <v>0</v>
      </c>
      <c r="AG96">
        <f t="shared" si="91"/>
        <v>0</v>
      </c>
      <c r="AH96">
        <f>(EW96)</f>
        <v>0</v>
      </c>
      <c r="AI96">
        <f>(EX96)</f>
        <v>0</v>
      </c>
      <c r="AJ96">
        <f t="shared" si="92"/>
        <v>0</v>
      </c>
      <c r="AK96">
        <v>15445.9</v>
      </c>
      <c r="AL96">
        <v>15445.9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95</v>
      </c>
      <c r="AU96">
        <v>47</v>
      </c>
      <c r="AV96">
        <v>1</v>
      </c>
      <c r="AW96">
        <v>1</v>
      </c>
      <c r="AZ96">
        <v>6.56</v>
      </c>
      <c r="BA96">
        <v>1</v>
      </c>
      <c r="BB96">
        <v>1</v>
      </c>
      <c r="BC96">
        <v>6.56</v>
      </c>
      <c r="BD96" t="s">
        <v>6</v>
      </c>
      <c r="BE96" t="s">
        <v>6</v>
      </c>
      <c r="BF96" t="s">
        <v>6</v>
      </c>
      <c r="BG96" t="s">
        <v>6</v>
      </c>
      <c r="BH96">
        <v>3</v>
      </c>
      <c r="BI96">
        <v>1</v>
      </c>
      <c r="BJ96" t="s">
        <v>221</v>
      </c>
      <c r="BM96">
        <v>15001</v>
      </c>
      <c r="BN96">
        <v>0</v>
      </c>
      <c r="BO96" t="s">
        <v>6</v>
      </c>
      <c r="BP96">
        <v>0</v>
      </c>
      <c r="BQ96">
        <v>2</v>
      </c>
      <c r="BR96">
        <v>0</v>
      </c>
      <c r="BS96">
        <v>1</v>
      </c>
      <c r="BT96">
        <v>1</v>
      </c>
      <c r="BU96">
        <v>1</v>
      </c>
      <c r="BV96">
        <v>1</v>
      </c>
      <c r="BW96">
        <v>1</v>
      </c>
      <c r="BX96">
        <v>1</v>
      </c>
      <c r="BY96" t="s">
        <v>6</v>
      </c>
      <c r="BZ96">
        <v>105</v>
      </c>
      <c r="CA96">
        <v>55</v>
      </c>
      <c r="CF96">
        <v>0</v>
      </c>
      <c r="CG96">
        <v>0</v>
      </c>
      <c r="CM96">
        <v>0</v>
      </c>
      <c r="CN96" t="s">
        <v>6</v>
      </c>
      <c r="CO96">
        <v>0</v>
      </c>
      <c r="CP96">
        <f t="shared" si="93"/>
        <v>1816.76</v>
      </c>
      <c r="CQ96">
        <f t="shared" si="94"/>
        <v>101325.10399999999</v>
      </c>
      <c r="CR96">
        <f t="shared" si="95"/>
        <v>0</v>
      </c>
      <c r="CS96">
        <f t="shared" si="96"/>
        <v>0</v>
      </c>
      <c r="CT96">
        <f t="shared" si="97"/>
        <v>0</v>
      </c>
      <c r="CU96">
        <f t="shared" si="98"/>
        <v>0</v>
      </c>
      <c r="CV96">
        <f t="shared" si="99"/>
        <v>0</v>
      </c>
      <c r="CW96">
        <f t="shared" si="100"/>
        <v>0</v>
      </c>
      <c r="CX96">
        <f t="shared" si="101"/>
        <v>0</v>
      </c>
      <c r="CY96">
        <f t="shared" si="102"/>
        <v>0</v>
      </c>
      <c r="CZ96">
        <f t="shared" si="103"/>
        <v>0</v>
      </c>
      <c r="DC96" t="s">
        <v>6</v>
      </c>
      <c r="DD96" t="s">
        <v>6</v>
      </c>
      <c r="DE96" t="s">
        <v>6</v>
      </c>
      <c r="DF96" t="s">
        <v>6</v>
      </c>
      <c r="DG96" t="s">
        <v>6</v>
      </c>
      <c r="DH96" t="s">
        <v>6</v>
      </c>
      <c r="DI96" t="s">
        <v>6</v>
      </c>
      <c r="DJ96" t="s">
        <v>6</v>
      </c>
      <c r="DK96" t="s">
        <v>6</v>
      </c>
      <c r="DL96" t="s">
        <v>6</v>
      </c>
      <c r="DM96" t="s">
        <v>6</v>
      </c>
      <c r="DN96">
        <v>0</v>
      </c>
      <c r="DO96">
        <v>0</v>
      </c>
      <c r="DP96">
        <v>1</v>
      </c>
      <c r="DQ96">
        <v>1</v>
      </c>
      <c r="DU96">
        <v>1009</v>
      </c>
      <c r="DV96" t="s">
        <v>71</v>
      </c>
      <c r="DW96" t="s">
        <v>71</v>
      </c>
      <c r="DX96">
        <v>1000</v>
      </c>
      <c r="EE96">
        <v>16510513</v>
      </c>
      <c r="EF96">
        <v>2</v>
      </c>
      <c r="EG96" t="s">
        <v>22</v>
      </c>
      <c r="EH96">
        <v>0</v>
      </c>
      <c r="EI96" t="s">
        <v>6</v>
      </c>
      <c r="EJ96">
        <v>1</v>
      </c>
      <c r="EK96">
        <v>15001</v>
      </c>
      <c r="EL96" t="s">
        <v>212</v>
      </c>
      <c r="EM96" t="s">
        <v>213</v>
      </c>
      <c r="EO96" t="s">
        <v>6</v>
      </c>
      <c r="EQ96">
        <v>0</v>
      </c>
      <c r="ER96">
        <v>15445.9</v>
      </c>
      <c r="ES96">
        <v>15445.9</v>
      </c>
      <c r="ET96">
        <v>0</v>
      </c>
      <c r="EU96">
        <v>0</v>
      </c>
      <c r="EV96">
        <v>0</v>
      </c>
      <c r="EW96">
        <v>0</v>
      </c>
      <c r="EX96">
        <v>0</v>
      </c>
      <c r="FQ96">
        <v>0</v>
      </c>
      <c r="FR96">
        <f t="shared" si="104"/>
        <v>0</v>
      </c>
      <c r="FS96">
        <v>0</v>
      </c>
      <c r="FT96" t="s">
        <v>25</v>
      </c>
      <c r="FU96" t="s">
        <v>26</v>
      </c>
      <c r="FX96">
        <v>94.5</v>
      </c>
      <c r="FY96">
        <v>46.75</v>
      </c>
      <c r="GA96" t="s">
        <v>6</v>
      </c>
      <c r="GD96">
        <v>0</v>
      </c>
      <c r="GF96">
        <v>-906614062</v>
      </c>
      <c r="GG96">
        <v>1</v>
      </c>
      <c r="GH96">
        <v>1</v>
      </c>
      <c r="GI96">
        <v>4</v>
      </c>
      <c r="GJ96">
        <v>0</v>
      </c>
      <c r="GK96">
        <f>ROUND(R96*(R12)/100,2)</f>
        <v>0</v>
      </c>
      <c r="GL96">
        <f t="shared" si="105"/>
        <v>0</v>
      </c>
      <c r="GM96">
        <f t="shared" si="106"/>
        <v>1816.76</v>
      </c>
      <c r="GN96">
        <f t="shared" si="107"/>
        <v>1816.76</v>
      </c>
      <c r="GO96">
        <f t="shared" si="108"/>
        <v>0</v>
      </c>
      <c r="GP96">
        <f t="shared" si="109"/>
        <v>0</v>
      </c>
      <c r="GR96">
        <v>0</v>
      </c>
      <c r="GS96">
        <v>3</v>
      </c>
      <c r="GT96">
        <v>0</v>
      </c>
      <c r="GU96" t="s">
        <v>6</v>
      </c>
      <c r="GV96">
        <f t="shared" si="110"/>
        <v>0</v>
      </c>
      <c r="GW96">
        <v>1</v>
      </c>
      <c r="GX96">
        <f t="shared" si="111"/>
        <v>0</v>
      </c>
      <c r="HA96">
        <v>0</v>
      </c>
      <c r="HB96">
        <v>0</v>
      </c>
      <c r="IK96">
        <v>0</v>
      </c>
    </row>
    <row r="97" spans="1:245" x14ac:dyDescent="0.2">
      <c r="A97">
        <v>18</v>
      </c>
      <c r="B97">
        <v>1</v>
      </c>
      <c r="C97">
        <v>90</v>
      </c>
      <c r="E97" t="s">
        <v>222</v>
      </c>
      <c r="F97" t="s">
        <v>223</v>
      </c>
      <c r="G97" t="s">
        <v>224</v>
      </c>
      <c r="H97" t="s">
        <v>71</v>
      </c>
      <c r="I97">
        <f>I95*J97</f>
        <v>1.7930000000000001E-2</v>
      </c>
      <c r="J97">
        <v>6.3000702740688683E-2</v>
      </c>
      <c r="O97">
        <f t="shared" si="78"/>
        <v>0</v>
      </c>
      <c r="P97">
        <f t="shared" si="79"/>
        <v>0</v>
      </c>
      <c r="Q97">
        <f t="shared" si="80"/>
        <v>0</v>
      </c>
      <c r="R97">
        <f t="shared" si="81"/>
        <v>0</v>
      </c>
      <c r="S97">
        <f t="shared" si="82"/>
        <v>0</v>
      </c>
      <c r="T97">
        <f t="shared" si="83"/>
        <v>0</v>
      </c>
      <c r="U97">
        <f t="shared" si="84"/>
        <v>0</v>
      </c>
      <c r="V97">
        <f t="shared" si="85"/>
        <v>0</v>
      </c>
      <c r="W97">
        <f t="shared" si="86"/>
        <v>0</v>
      </c>
      <c r="X97">
        <f t="shared" si="87"/>
        <v>0</v>
      </c>
      <c r="Y97">
        <f t="shared" si="88"/>
        <v>0</v>
      </c>
      <c r="AA97">
        <v>16748969</v>
      </c>
      <c r="AB97">
        <f t="shared" si="89"/>
        <v>0</v>
      </c>
      <c r="AC97">
        <f t="shared" si="90"/>
        <v>0</v>
      </c>
      <c r="AD97">
        <f>ROUND((((ET97)-(EU97))+AE97),2)</f>
        <v>0</v>
      </c>
      <c r="AE97">
        <f>ROUND((EU97),2)</f>
        <v>0</v>
      </c>
      <c r="AF97">
        <f>ROUND((EV97),2)</f>
        <v>0</v>
      </c>
      <c r="AG97">
        <f t="shared" si="91"/>
        <v>0</v>
      </c>
      <c r="AH97">
        <f>(EW97)</f>
        <v>0</v>
      </c>
      <c r="AI97">
        <f>(EX97)</f>
        <v>0</v>
      </c>
      <c r="AJ97">
        <f t="shared" si="92"/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95</v>
      </c>
      <c r="AU97">
        <v>47</v>
      </c>
      <c r="AV97">
        <v>1</v>
      </c>
      <c r="AW97">
        <v>1</v>
      </c>
      <c r="AZ97">
        <v>6.56</v>
      </c>
      <c r="BA97">
        <v>1</v>
      </c>
      <c r="BB97">
        <v>1</v>
      </c>
      <c r="BC97">
        <v>6.56</v>
      </c>
      <c r="BD97" t="s">
        <v>6</v>
      </c>
      <c r="BE97" t="s">
        <v>6</v>
      </c>
      <c r="BF97" t="s">
        <v>6</v>
      </c>
      <c r="BG97" t="s">
        <v>6</v>
      </c>
      <c r="BH97">
        <v>3</v>
      </c>
      <c r="BI97">
        <v>1</v>
      </c>
      <c r="BJ97" t="s">
        <v>6</v>
      </c>
      <c r="BM97">
        <v>15001</v>
      </c>
      <c r="BN97">
        <v>0</v>
      </c>
      <c r="BO97" t="s">
        <v>6</v>
      </c>
      <c r="BP97">
        <v>0</v>
      </c>
      <c r="BQ97">
        <v>2</v>
      </c>
      <c r="BR97">
        <v>0</v>
      </c>
      <c r="BS97">
        <v>1</v>
      </c>
      <c r="BT97">
        <v>1</v>
      </c>
      <c r="BU97">
        <v>1</v>
      </c>
      <c r="BV97">
        <v>1</v>
      </c>
      <c r="BW97">
        <v>1</v>
      </c>
      <c r="BX97">
        <v>1</v>
      </c>
      <c r="BY97" t="s">
        <v>6</v>
      </c>
      <c r="BZ97">
        <v>105</v>
      </c>
      <c r="CA97">
        <v>55</v>
      </c>
      <c r="CF97">
        <v>0</v>
      </c>
      <c r="CG97">
        <v>0</v>
      </c>
      <c r="CM97">
        <v>0</v>
      </c>
      <c r="CN97" t="s">
        <v>6</v>
      </c>
      <c r="CO97">
        <v>0</v>
      </c>
      <c r="CP97">
        <f t="shared" si="93"/>
        <v>0</v>
      </c>
      <c r="CQ97">
        <f t="shared" si="94"/>
        <v>0</v>
      </c>
      <c r="CR97">
        <f t="shared" si="95"/>
        <v>0</v>
      </c>
      <c r="CS97">
        <f t="shared" si="96"/>
        <v>0</v>
      </c>
      <c r="CT97">
        <f t="shared" si="97"/>
        <v>0</v>
      </c>
      <c r="CU97">
        <f t="shared" si="98"/>
        <v>0</v>
      </c>
      <c r="CV97">
        <f t="shared" si="99"/>
        <v>0</v>
      </c>
      <c r="CW97">
        <f t="shared" si="100"/>
        <v>0</v>
      </c>
      <c r="CX97">
        <f t="shared" si="101"/>
        <v>0</v>
      </c>
      <c r="CY97">
        <f t="shared" si="102"/>
        <v>0</v>
      </c>
      <c r="CZ97">
        <f t="shared" si="103"/>
        <v>0</v>
      </c>
      <c r="DC97" t="s">
        <v>6</v>
      </c>
      <c r="DD97" t="s">
        <v>6</v>
      </c>
      <c r="DE97" t="s">
        <v>6</v>
      </c>
      <c r="DF97" t="s">
        <v>6</v>
      </c>
      <c r="DG97" t="s">
        <v>6</v>
      </c>
      <c r="DH97" t="s">
        <v>6</v>
      </c>
      <c r="DI97" t="s">
        <v>6</v>
      </c>
      <c r="DJ97" t="s">
        <v>6</v>
      </c>
      <c r="DK97" t="s">
        <v>6</v>
      </c>
      <c r="DL97" t="s">
        <v>6</v>
      </c>
      <c r="DM97" t="s">
        <v>6</v>
      </c>
      <c r="DN97">
        <v>0</v>
      </c>
      <c r="DO97">
        <v>0</v>
      </c>
      <c r="DP97">
        <v>1</v>
      </c>
      <c r="DQ97">
        <v>1</v>
      </c>
      <c r="DU97">
        <v>1009</v>
      </c>
      <c r="DV97" t="s">
        <v>71</v>
      </c>
      <c r="DW97" t="s">
        <v>71</v>
      </c>
      <c r="DX97">
        <v>1000</v>
      </c>
      <c r="EE97">
        <v>16510513</v>
      </c>
      <c r="EF97">
        <v>2</v>
      </c>
      <c r="EG97" t="s">
        <v>22</v>
      </c>
      <c r="EH97">
        <v>0</v>
      </c>
      <c r="EI97" t="s">
        <v>6</v>
      </c>
      <c r="EJ97">
        <v>1</v>
      </c>
      <c r="EK97">
        <v>15001</v>
      </c>
      <c r="EL97" t="s">
        <v>212</v>
      </c>
      <c r="EM97" t="s">
        <v>213</v>
      </c>
      <c r="EO97" t="s">
        <v>6</v>
      </c>
      <c r="EQ97">
        <v>0</v>
      </c>
      <c r="ER97">
        <v>0</v>
      </c>
      <c r="ES97">
        <v>0</v>
      </c>
      <c r="ET97">
        <v>0</v>
      </c>
      <c r="EU97">
        <v>0</v>
      </c>
      <c r="EV97">
        <v>0</v>
      </c>
      <c r="EW97">
        <v>0</v>
      </c>
      <c r="EX97">
        <v>0</v>
      </c>
      <c r="FQ97">
        <v>0</v>
      </c>
      <c r="FR97">
        <f t="shared" si="104"/>
        <v>0</v>
      </c>
      <c r="FS97">
        <v>0</v>
      </c>
      <c r="FT97" t="s">
        <v>25</v>
      </c>
      <c r="FU97" t="s">
        <v>26</v>
      </c>
      <c r="FX97">
        <v>94.5</v>
      </c>
      <c r="FY97">
        <v>46.75</v>
      </c>
      <c r="GA97" t="s">
        <v>6</v>
      </c>
      <c r="GD97">
        <v>0</v>
      </c>
      <c r="GF97">
        <v>1891904026</v>
      </c>
      <c r="GG97">
        <v>1</v>
      </c>
      <c r="GH97">
        <v>1</v>
      </c>
      <c r="GI97">
        <v>4</v>
      </c>
      <c r="GJ97">
        <v>0</v>
      </c>
      <c r="GK97">
        <f>ROUND(R97*(R12)/100,2)</f>
        <v>0</v>
      </c>
      <c r="GL97">
        <f t="shared" si="105"/>
        <v>0</v>
      </c>
      <c r="GM97">
        <f t="shared" si="106"/>
        <v>0</v>
      </c>
      <c r="GN97">
        <f t="shared" si="107"/>
        <v>0</v>
      </c>
      <c r="GO97">
        <f t="shared" si="108"/>
        <v>0</v>
      </c>
      <c r="GP97">
        <f t="shared" si="109"/>
        <v>0</v>
      </c>
      <c r="GR97">
        <v>0</v>
      </c>
      <c r="GS97">
        <v>3</v>
      </c>
      <c r="GT97">
        <v>0</v>
      </c>
      <c r="GU97" t="s">
        <v>6</v>
      </c>
      <c r="GV97">
        <f t="shared" si="110"/>
        <v>0</v>
      </c>
      <c r="GW97">
        <v>1</v>
      </c>
      <c r="GX97">
        <f t="shared" si="111"/>
        <v>0</v>
      </c>
      <c r="HA97">
        <v>0</v>
      </c>
      <c r="HB97">
        <v>0</v>
      </c>
      <c r="IK97">
        <v>0</v>
      </c>
    </row>
    <row r="98" spans="1:245" x14ac:dyDescent="0.2">
      <c r="A98">
        <v>17</v>
      </c>
      <c r="B98">
        <v>1</v>
      </c>
      <c r="C98">
        <f>ROW(SmtRes!A102)</f>
        <v>102</v>
      </c>
      <c r="D98">
        <f>ROW(EtalonRes!A103)</f>
        <v>103</v>
      </c>
      <c r="E98" t="s">
        <v>225</v>
      </c>
      <c r="F98" t="s">
        <v>87</v>
      </c>
      <c r="G98" t="s">
        <v>226</v>
      </c>
      <c r="H98" t="s">
        <v>89</v>
      </c>
      <c r="I98">
        <v>11.28</v>
      </c>
      <c r="J98">
        <v>0</v>
      </c>
      <c r="O98">
        <f t="shared" si="78"/>
        <v>5261.91</v>
      </c>
      <c r="P98">
        <f t="shared" si="79"/>
        <v>1903.2</v>
      </c>
      <c r="Q98">
        <f t="shared" si="80"/>
        <v>1332.68</v>
      </c>
      <c r="R98">
        <f t="shared" si="81"/>
        <v>182.03</v>
      </c>
      <c r="S98">
        <f t="shared" si="82"/>
        <v>2026.03</v>
      </c>
      <c r="T98">
        <f t="shared" si="83"/>
        <v>0</v>
      </c>
      <c r="U98">
        <f t="shared" si="84"/>
        <v>31.132799999999996</v>
      </c>
      <c r="V98">
        <f t="shared" si="85"/>
        <v>2.3970000000000002</v>
      </c>
      <c r="W98">
        <f t="shared" si="86"/>
        <v>0</v>
      </c>
      <c r="X98">
        <f t="shared" si="87"/>
        <v>1788.53</v>
      </c>
      <c r="Y98">
        <f t="shared" si="88"/>
        <v>1589.8</v>
      </c>
      <c r="AA98">
        <v>16748969</v>
      </c>
      <c r="AB98">
        <f t="shared" si="89"/>
        <v>71.11</v>
      </c>
      <c r="AC98">
        <f t="shared" si="90"/>
        <v>25.72</v>
      </c>
      <c r="AD98">
        <f>ROUND(((((ET98*1.25))-((EU98*1.25)))+AE98),2)</f>
        <v>18.010000000000002</v>
      </c>
      <c r="AE98">
        <f>ROUND(((EU98*1.25)),2)</f>
        <v>2.46</v>
      </c>
      <c r="AF98">
        <f>ROUND(((EV98*1.15)),2)</f>
        <v>27.38</v>
      </c>
      <c r="AG98">
        <f t="shared" si="91"/>
        <v>0</v>
      </c>
      <c r="AH98">
        <f>((EW98*1.15))</f>
        <v>2.76</v>
      </c>
      <c r="AI98">
        <f>((EX98*1.25))</f>
        <v>0.21250000000000002</v>
      </c>
      <c r="AJ98">
        <f t="shared" si="92"/>
        <v>0</v>
      </c>
      <c r="AK98">
        <v>63.94</v>
      </c>
      <c r="AL98">
        <v>25.72</v>
      </c>
      <c r="AM98">
        <v>14.41</v>
      </c>
      <c r="AN98">
        <v>1.97</v>
      </c>
      <c r="AO98">
        <v>23.81</v>
      </c>
      <c r="AP98">
        <v>0</v>
      </c>
      <c r="AQ98">
        <v>2.4</v>
      </c>
      <c r="AR98">
        <v>0.17</v>
      </c>
      <c r="AS98">
        <v>0</v>
      </c>
      <c r="AT98">
        <v>81</v>
      </c>
      <c r="AU98">
        <v>72</v>
      </c>
      <c r="AV98">
        <v>1</v>
      </c>
      <c r="AW98">
        <v>1</v>
      </c>
      <c r="AZ98">
        <v>6.56</v>
      </c>
      <c r="BA98">
        <v>6.56</v>
      </c>
      <c r="BB98">
        <v>6.56</v>
      </c>
      <c r="BC98">
        <v>6.56</v>
      </c>
      <c r="BD98" t="s">
        <v>6</v>
      </c>
      <c r="BE98" t="s">
        <v>6</v>
      </c>
      <c r="BF98" t="s">
        <v>6</v>
      </c>
      <c r="BG98" t="s">
        <v>6</v>
      </c>
      <c r="BH98">
        <v>0</v>
      </c>
      <c r="BI98">
        <v>1</v>
      </c>
      <c r="BJ98" t="s">
        <v>90</v>
      </c>
      <c r="BM98">
        <v>9001</v>
      </c>
      <c r="BN98">
        <v>0</v>
      </c>
      <c r="BO98" t="s">
        <v>6</v>
      </c>
      <c r="BP98">
        <v>0</v>
      </c>
      <c r="BQ98">
        <v>2</v>
      </c>
      <c r="BR98">
        <v>0</v>
      </c>
      <c r="BS98">
        <v>6.56</v>
      </c>
      <c r="BT98">
        <v>1</v>
      </c>
      <c r="BU98">
        <v>1</v>
      </c>
      <c r="BV98">
        <v>1</v>
      </c>
      <c r="BW98">
        <v>1</v>
      </c>
      <c r="BX98">
        <v>1</v>
      </c>
      <c r="BY98" t="s">
        <v>6</v>
      </c>
      <c r="BZ98">
        <v>90</v>
      </c>
      <c r="CA98">
        <v>85</v>
      </c>
      <c r="CF98">
        <v>0</v>
      </c>
      <c r="CG98">
        <v>0</v>
      </c>
      <c r="CM98">
        <v>0</v>
      </c>
      <c r="CN98" t="s">
        <v>1609</v>
      </c>
      <c r="CO98">
        <v>0</v>
      </c>
      <c r="CP98">
        <f t="shared" si="93"/>
        <v>5261.91</v>
      </c>
      <c r="CQ98">
        <f t="shared" si="94"/>
        <v>168.72319999999999</v>
      </c>
      <c r="CR98">
        <f t="shared" si="95"/>
        <v>118.1456</v>
      </c>
      <c r="CS98">
        <f t="shared" si="96"/>
        <v>16.137599999999999</v>
      </c>
      <c r="CT98">
        <f t="shared" si="97"/>
        <v>179.61279999999999</v>
      </c>
      <c r="CU98">
        <f t="shared" si="98"/>
        <v>0</v>
      </c>
      <c r="CV98">
        <f t="shared" si="99"/>
        <v>2.76</v>
      </c>
      <c r="CW98">
        <f t="shared" si="100"/>
        <v>0.21250000000000002</v>
      </c>
      <c r="CX98">
        <f t="shared" si="101"/>
        <v>0</v>
      </c>
      <c r="CY98">
        <f t="shared" si="102"/>
        <v>1788.5285999999999</v>
      </c>
      <c r="CZ98">
        <f t="shared" si="103"/>
        <v>1589.8032000000001</v>
      </c>
      <c r="DC98" t="s">
        <v>6</v>
      </c>
      <c r="DD98" t="s">
        <v>6</v>
      </c>
      <c r="DE98" t="s">
        <v>172</v>
      </c>
      <c r="DF98" t="s">
        <v>172</v>
      </c>
      <c r="DG98" t="s">
        <v>173</v>
      </c>
      <c r="DH98" t="s">
        <v>6</v>
      </c>
      <c r="DI98" t="s">
        <v>173</v>
      </c>
      <c r="DJ98" t="s">
        <v>172</v>
      </c>
      <c r="DK98" t="s">
        <v>6</v>
      </c>
      <c r="DL98" t="s">
        <v>6</v>
      </c>
      <c r="DM98" t="s">
        <v>6</v>
      </c>
      <c r="DN98">
        <v>0</v>
      </c>
      <c r="DO98">
        <v>0</v>
      </c>
      <c r="DP98">
        <v>1</v>
      </c>
      <c r="DQ98">
        <v>1</v>
      </c>
      <c r="DU98">
        <v>1005</v>
      </c>
      <c r="DV98" t="s">
        <v>89</v>
      </c>
      <c r="DW98" t="s">
        <v>89</v>
      </c>
      <c r="DX98">
        <v>1</v>
      </c>
      <c r="EE98">
        <v>16510486</v>
      </c>
      <c r="EF98">
        <v>2</v>
      </c>
      <c r="EG98" t="s">
        <v>22</v>
      </c>
      <c r="EH98">
        <v>0</v>
      </c>
      <c r="EI98" t="s">
        <v>6</v>
      </c>
      <c r="EJ98">
        <v>1</v>
      </c>
      <c r="EK98">
        <v>9001</v>
      </c>
      <c r="EL98" t="s">
        <v>94</v>
      </c>
      <c r="EM98" t="s">
        <v>95</v>
      </c>
      <c r="EO98" t="s">
        <v>176</v>
      </c>
      <c r="EQ98">
        <v>131072</v>
      </c>
      <c r="ER98">
        <v>63.94</v>
      </c>
      <c r="ES98">
        <v>25.72</v>
      </c>
      <c r="ET98">
        <v>14.41</v>
      </c>
      <c r="EU98">
        <v>1.97</v>
      </c>
      <c r="EV98">
        <v>23.81</v>
      </c>
      <c r="EW98">
        <v>2.4</v>
      </c>
      <c r="EX98">
        <v>0.17</v>
      </c>
      <c r="EY98">
        <v>0</v>
      </c>
      <c r="FQ98">
        <v>0</v>
      </c>
      <c r="FR98">
        <f t="shared" si="104"/>
        <v>0</v>
      </c>
      <c r="FS98">
        <v>0</v>
      </c>
      <c r="FT98" t="s">
        <v>25</v>
      </c>
      <c r="FU98" t="s">
        <v>26</v>
      </c>
      <c r="FX98">
        <v>81</v>
      </c>
      <c r="FY98">
        <v>72.25</v>
      </c>
      <c r="GA98" t="s">
        <v>6</v>
      </c>
      <c r="GD98">
        <v>0</v>
      </c>
      <c r="GF98">
        <v>1555078569</v>
      </c>
      <c r="GG98">
        <v>1</v>
      </c>
      <c r="GH98">
        <v>1</v>
      </c>
      <c r="GI98">
        <v>4</v>
      </c>
      <c r="GJ98">
        <v>0</v>
      </c>
      <c r="GK98">
        <f>ROUND(R98*(R12)/100,2)</f>
        <v>0</v>
      </c>
      <c r="GL98">
        <f t="shared" si="105"/>
        <v>0</v>
      </c>
      <c r="GM98">
        <f t="shared" si="106"/>
        <v>8640.24</v>
      </c>
      <c r="GN98">
        <f t="shared" si="107"/>
        <v>8640.24</v>
      </c>
      <c r="GO98">
        <f t="shared" si="108"/>
        <v>0</v>
      </c>
      <c r="GP98">
        <f t="shared" si="109"/>
        <v>0</v>
      </c>
      <c r="GR98">
        <v>0</v>
      </c>
      <c r="GS98">
        <v>3</v>
      </c>
      <c r="GT98">
        <v>0</v>
      </c>
      <c r="GU98" t="s">
        <v>6</v>
      </c>
      <c r="GV98">
        <f t="shared" si="110"/>
        <v>0</v>
      </c>
      <c r="GW98">
        <v>1</v>
      </c>
      <c r="GX98">
        <f t="shared" si="111"/>
        <v>0</v>
      </c>
      <c r="HA98">
        <v>0</v>
      </c>
      <c r="HB98">
        <v>0</v>
      </c>
      <c r="IK98">
        <v>0</v>
      </c>
    </row>
    <row r="99" spans="1:245" x14ac:dyDescent="0.2">
      <c r="A99">
        <v>18</v>
      </c>
      <c r="B99">
        <v>1</v>
      </c>
      <c r="C99">
        <v>97</v>
      </c>
      <c r="E99" t="s">
        <v>227</v>
      </c>
      <c r="F99" t="s">
        <v>228</v>
      </c>
      <c r="G99" t="s">
        <v>229</v>
      </c>
      <c r="H99" t="s">
        <v>230</v>
      </c>
      <c r="I99">
        <f>I98*J99</f>
        <v>4</v>
      </c>
      <c r="J99">
        <v>0.3546099290780142</v>
      </c>
      <c r="O99">
        <f t="shared" si="78"/>
        <v>2427.7199999999998</v>
      </c>
      <c r="P99">
        <f t="shared" si="79"/>
        <v>2427.7199999999998</v>
      </c>
      <c r="Q99">
        <f t="shared" si="80"/>
        <v>0</v>
      </c>
      <c r="R99">
        <f t="shared" si="81"/>
        <v>0</v>
      </c>
      <c r="S99">
        <f t="shared" si="82"/>
        <v>0</v>
      </c>
      <c r="T99">
        <f t="shared" si="83"/>
        <v>0</v>
      </c>
      <c r="U99">
        <f t="shared" si="84"/>
        <v>0</v>
      </c>
      <c r="V99">
        <f t="shared" si="85"/>
        <v>0</v>
      </c>
      <c r="W99">
        <f t="shared" si="86"/>
        <v>0</v>
      </c>
      <c r="X99">
        <f t="shared" si="87"/>
        <v>0</v>
      </c>
      <c r="Y99">
        <f t="shared" si="88"/>
        <v>0</v>
      </c>
      <c r="AA99">
        <v>16748969</v>
      </c>
      <c r="AB99">
        <f t="shared" si="89"/>
        <v>92.52</v>
      </c>
      <c r="AC99">
        <f t="shared" si="90"/>
        <v>92.52</v>
      </c>
      <c r="AD99">
        <f>ROUND((((ET99)-(EU99))+AE99),2)</f>
        <v>0</v>
      </c>
      <c r="AE99">
        <f t="shared" ref="AE99:AF101" si="112">ROUND((EU99),2)</f>
        <v>0</v>
      </c>
      <c r="AF99">
        <f t="shared" si="112"/>
        <v>0</v>
      </c>
      <c r="AG99">
        <f t="shared" si="91"/>
        <v>0</v>
      </c>
      <c r="AH99">
        <f t="shared" ref="AH99:AI101" si="113">(EW99)</f>
        <v>0</v>
      </c>
      <c r="AI99">
        <f t="shared" si="113"/>
        <v>0</v>
      </c>
      <c r="AJ99">
        <f t="shared" si="92"/>
        <v>0</v>
      </c>
      <c r="AK99">
        <v>92.52</v>
      </c>
      <c r="AL99">
        <v>92.52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81</v>
      </c>
      <c r="AU99">
        <v>72</v>
      </c>
      <c r="AV99">
        <v>1</v>
      </c>
      <c r="AW99">
        <v>1</v>
      </c>
      <c r="AZ99">
        <v>6.56</v>
      </c>
      <c r="BA99">
        <v>1</v>
      </c>
      <c r="BB99">
        <v>1</v>
      </c>
      <c r="BC99">
        <v>6.56</v>
      </c>
      <c r="BD99" t="s">
        <v>6</v>
      </c>
      <c r="BE99" t="s">
        <v>6</v>
      </c>
      <c r="BF99" t="s">
        <v>6</v>
      </c>
      <c r="BG99" t="s">
        <v>6</v>
      </c>
      <c r="BH99">
        <v>3</v>
      </c>
      <c r="BI99">
        <v>1</v>
      </c>
      <c r="BJ99" t="s">
        <v>231</v>
      </c>
      <c r="BM99">
        <v>9001</v>
      </c>
      <c r="BN99">
        <v>0</v>
      </c>
      <c r="BO99" t="s">
        <v>6</v>
      </c>
      <c r="BP99">
        <v>0</v>
      </c>
      <c r="BQ99">
        <v>2</v>
      </c>
      <c r="BR99">
        <v>0</v>
      </c>
      <c r="BS99">
        <v>1</v>
      </c>
      <c r="BT99">
        <v>1</v>
      </c>
      <c r="BU99">
        <v>1</v>
      </c>
      <c r="BV99">
        <v>1</v>
      </c>
      <c r="BW99">
        <v>1</v>
      </c>
      <c r="BX99">
        <v>1</v>
      </c>
      <c r="BY99" t="s">
        <v>6</v>
      </c>
      <c r="BZ99">
        <v>90</v>
      </c>
      <c r="CA99">
        <v>85</v>
      </c>
      <c r="CF99">
        <v>0</v>
      </c>
      <c r="CG99">
        <v>0</v>
      </c>
      <c r="CM99">
        <v>0</v>
      </c>
      <c r="CN99" t="s">
        <v>6</v>
      </c>
      <c r="CO99">
        <v>0</v>
      </c>
      <c r="CP99">
        <f t="shared" si="93"/>
        <v>2427.7199999999998</v>
      </c>
      <c r="CQ99">
        <f t="shared" si="94"/>
        <v>606.93119999999999</v>
      </c>
      <c r="CR99">
        <f t="shared" si="95"/>
        <v>0</v>
      </c>
      <c r="CS99">
        <f t="shared" si="96"/>
        <v>0</v>
      </c>
      <c r="CT99">
        <f t="shared" si="97"/>
        <v>0</v>
      </c>
      <c r="CU99">
        <f t="shared" si="98"/>
        <v>0</v>
      </c>
      <c r="CV99">
        <f t="shared" si="99"/>
        <v>0</v>
      </c>
      <c r="CW99">
        <f t="shared" si="100"/>
        <v>0</v>
      </c>
      <c r="CX99">
        <f t="shared" si="101"/>
        <v>0</v>
      </c>
      <c r="CY99">
        <f t="shared" si="102"/>
        <v>0</v>
      </c>
      <c r="CZ99">
        <f t="shared" si="103"/>
        <v>0</v>
      </c>
      <c r="DC99" t="s">
        <v>6</v>
      </c>
      <c r="DD99" t="s">
        <v>6</v>
      </c>
      <c r="DE99" t="s">
        <v>6</v>
      </c>
      <c r="DF99" t="s">
        <v>6</v>
      </c>
      <c r="DG99" t="s">
        <v>6</v>
      </c>
      <c r="DH99" t="s">
        <v>6</v>
      </c>
      <c r="DI99" t="s">
        <v>6</v>
      </c>
      <c r="DJ99" t="s">
        <v>6</v>
      </c>
      <c r="DK99" t="s">
        <v>6</v>
      </c>
      <c r="DL99" t="s">
        <v>6</v>
      </c>
      <c r="DM99" t="s">
        <v>6</v>
      </c>
      <c r="DN99">
        <v>0</v>
      </c>
      <c r="DO99">
        <v>0</v>
      </c>
      <c r="DP99">
        <v>1</v>
      </c>
      <c r="DQ99">
        <v>1</v>
      </c>
      <c r="DU99">
        <v>1013</v>
      </c>
      <c r="DV99" t="s">
        <v>230</v>
      </c>
      <c r="DW99" t="s">
        <v>230</v>
      </c>
      <c r="DX99">
        <v>1</v>
      </c>
      <c r="EE99">
        <v>16510486</v>
      </c>
      <c r="EF99">
        <v>2</v>
      </c>
      <c r="EG99" t="s">
        <v>22</v>
      </c>
      <c r="EH99">
        <v>0</v>
      </c>
      <c r="EI99" t="s">
        <v>6</v>
      </c>
      <c r="EJ99">
        <v>1</v>
      </c>
      <c r="EK99">
        <v>9001</v>
      </c>
      <c r="EL99" t="s">
        <v>94</v>
      </c>
      <c r="EM99" t="s">
        <v>95</v>
      </c>
      <c r="EO99" t="s">
        <v>6</v>
      </c>
      <c r="EQ99">
        <v>0</v>
      </c>
      <c r="ER99">
        <v>92.52</v>
      </c>
      <c r="ES99">
        <v>92.52</v>
      </c>
      <c r="ET99">
        <v>0</v>
      </c>
      <c r="EU99">
        <v>0</v>
      </c>
      <c r="EV99">
        <v>0</v>
      </c>
      <c r="EW99">
        <v>0</v>
      </c>
      <c r="EX99">
        <v>0</v>
      </c>
      <c r="FQ99">
        <v>0</v>
      </c>
      <c r="FR99">
        <f t="shared" si="104"/>
        <v>0</v>
      </c>
      <c r="FS99">
        <v>0</v>
      </c>
      <c r="FT99" t="s">
        <v>25</v>
      </c>
      <c r="FU99" t="s">
        <v>26</v>
      </c>
      <c r="FX99">
        <v>81</v>
      </c>
      <c r="FY99">
        <v>72.25</v>
      </c>
      <c r="GA99" t="s">
        <v>6</v>
      </c>
      <c r="GD99">
        <v>0</v>
      </c>
      <c r="GF99">
        <v>203574032</v>
      </c>
      <c r="GG99">
        <v>1</v>
      </c>
      <c r="GH99">
        <v>1</v>
      </c>
      <c r="GI99">
        <v>4</v>
      </c>
      <c r="GJ99">
        <v>0</v>
      </c>
      <c r="GK99">
        <f>ROUND(R99*(R12)/100,2)</f>
        <v>0</v>
      </c>
      <c r="GL99">
        <f t="shared" si="105"/>
        <v>0</v>
      </c>
      <c r="GM99">
        <f t="shared" si="106"/>
        <v>2427.7199999999998</v>
      </c>
      <c r="GN99">
        <f t="shared" si="107"/>
        <v>2427.7199999999998</v>
      </c>
      <c r="GO99">
        <f t="shared" si="108"/>
        <v>0</v>
      </c>
      <c r="GP99">
        <f t="shared" si="109"/>
        <v>0</v>
      </c>
      <c r="GR99">
        <v>0</v>
      </c>
      <c r="GS99">
        <v>3</v>
      </c>
      <c r="GT99">
        <v>0</v>
      </c>
      <c r="GU99" t="s">
        <v>6</v>
      </c>
      <c r="GV99">
        <f t="shared" si="110"/>
        <v>0</v>
      </c>
      <c r="GW99">
        <v>1</v>
      </c>
      <c r="GX99">
        <f t="shared" si="111"/>
        <v>0</v>
      </c>
      <c r="HA99">
        <v>0</v>
      </c>
      <c r="HB99">
        <v>0</v>
      </c>
      <c r="IK99">
        <v>0</v>
      </c>
    </row>
    <row r="100" spans="1:245" x14ac:dyDescent="0.2">
      <c r="A100">
        <v>18</v>
      </c>
      <c r="B100">
        <v>1</v>
      </c>
      <c r="C100">
        <v>100</v>
      </c>
      <c r="E100" t="s">
        <v>232</v>
      </c>
      <c r="F100" t="s">
        <v>233</v>
      </c>
      <c r="G100" t="s">
        <v>234</v>
      </c>
      <c r="H100" t="s">
        <v>89</v>
      </c>
      <c r="I100">
        <f>I98*J100</f>
        <v>11.28</v>
      </c>
      <c r="J100">
        <v>1</v>
      </c>
      <c r="O100">
        <f t="shared" si="78"/>
        <v>108413.45</v>
      </c>
      <c r="P100">
        <f t="shared" si="79"/>
        <v>108413.45</v>
      </c>
      <c r="Q100">
        <f t="shared" si="80"/>
        <v>0</v>
      </c>
      <c r="R100">
        <f t="shared" si="81"/>
        <v>0</v>
      </c>
      <c r="S100">
        <f t="shared" si="82"/>
        <v>0</v>
      </c>
      <c r="T100">
        <f t="shared" si="83"/>
        <v>0</v>
      </c>
      <c r="U100">
        <f t="shared" si="84"/>
        <v>0</v>
      </c>
      <c r="V100">
        <f t="shared" si="85"/>
        <v>0</v>
      </c>
      <c r="W100">
        <f t="shared" si="86"/>
        <v>0</v>
      </c>
      <c r="X100">
        <f t="shared" si="87"/>
        <v>0</v>
      </c>
      <c r="Y100">
        <f t="shared" si="88"/>
        <v>0</v>
      </c>
      <c r="AA100">
        <v>16748969</v>
      </c>
      <c r="AB100">
        <f t="shared" si="89"/>
        <v>1465.11</v>
      </c>
      <c r="AC100">
        <f t="shared" si="90"/>
        <v>1465.11</v>
      </c>
      <c r="AD100">
        <f>ROUND((((ET100)-(EU100))+AE100),2)</f>
        <v>0</v>
      </c>
      <c r="AE100">
        <f t="shared" si="112"/>
        <v>0</v>
      </c>
      <c r="AF100">
        <f t="shared" si="112"/>
        <v>0</v>
      </c>
      <c r="AG100">
        <f t="shared" si="91"/>
        <v>0</v>
      </c>
      <c r="AH100">
        <f t="shared" si="113"/>
        <v>0</v>
      </c>
      <c r="AI100">
        <f t="shared" si="113"/>
        <v>0</v>
      </c>
      <c r="AJ100">
        <f t="shared" si="92"/>
        <v>0</v>
      </c>
      <c r="AK100">
        <v>1465.11</v>
      </c>
      <c r="AL100">
        <v>1465.11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81</v>
      </c>
      <c r="AU100">
        <v>72</v>
      </c>
      <c r="AV100">
        <v>1</v>
      </c>
      <c r="AW100">
        <v>1</v>
      </c>
      <c r="AZ100">
        <v>6.56</v>
      </c>
      <c r="BA100">
        <v>1</v>
      </c>
      <c r="BB100">
        <v>1</v>
      </c>
      <c r="BC100">
        <v>6.56</v>
      </c>
      <c r="BD100" t="s">
        <v>6</v>
      </c>
      <c r="BE100" t="s">
        <v>6</v>
      </c>
      <c r="BF100" t="s">
        <v>6</v>
      </c>
      <c r="BG100" t="s">
        <v>6</v>
      </c>
      <c r="BH100">
        <v>3</v>
      </c>
      <c r="BI100">
        <v>1</v>
      </c>
      <c r="BJ100" t="s">
        <v>235</v>
      </c>
      <c r="BM100">
        <v>9001</v>
      </c>
      <c r="BN100">
        <v>0</v>
      </c>
      <c r="BO100" t="s">
        <v>6</v>
      </c>
      <c r="BP100">
        <v>0</v>
      </c>
      <c r="BQ100">
        <v>2</v>
      </c>
      <c r="BR100">
        <v>0</v>
      </c>
      <c r="BS100">
        <v>1</v>
      </c>
      <c r="BT100">
        <v>1</v>
      </c>
      <c r="BU100">
        <v>1</v>
      </c>
      <c r="BV100">
        <v>1</v>
      </c>
      <c r="BW100">
        <v>1</v>
      </c>
      <c r="BX100">
        <v>1</v>
      </c>
      <c r="BY100" t="s">
        <v>6</v>
      </c>
      <c r="BZ100">
        <v>90</v>
      </c>
      <c r="CA100">
        <v>85</v>
      </c>
      <c r="CF100">
        <v>0</v>
      </c>
      <c r="CG100">
        <v>0</v>
      </c>
      <c r="CM100">
        <v>0</v>
      </c>
      <c r="CN100" t="s">
        <v>6</v>
      </c>
      <c r="CO100">
        <v>0</v>
      </c>
      <c r="CP100">
        <f t="shared" si="93"/>
        <v>108413.45</v>
      </c>
      <c r="CQ100">
        <f t="shared" si="94"/>
        <v>9611.1215999999986</v>
      </c>
      <c r="CR100">
        <f t="shared" si="95"/>
        <v>0</v>
      </c>
      <c r="CS100">
        <f t="shared" si="96"/>
        <v>0</v>
      </c>
      <c r="CT100">
        <f t="shared" si="97"/>
        <v>0</v>
      </c>
      <c r="CU100">
        <f t="shared" si="98"/>
        <v>0</v>
      </c>
      <c r="CV100">
        <f t="shared" si="99"/>
        <v>0</v>
      </c>
      <c r="CW100">
        <f t="shared" si="100"/>
        <v>0</v>
      </c>
      <c r="CX100">
        <f t="shared" si="101"/>
        <v>0</v>
      </c>
      <c r="CY100">
        <f t="shared" si="102"/>
        <v>0</v>
      </c>
      <c r="CZ100">
        <f t="shared" si="103"/>
        <v>0</v>
      </c>
      <c r="DC100" t="s">
        <v>6</v>
      </c>
      <c r="DD100" t="s">
        <v>6</v>
      </c>
      <c r="DE100" t="s">
        <v>6</v>
      </c>
      <c r="DF100" t="s">
        <v>6</v>
      </c>
      <c r="DG100" t="s">
        <v>6</v>
      </c>
      <c r="DH100" t="s">
        <v>6</v>
      </c>
      <c r="DI100" t="s">
        <v>6</v>
      </c>
      <c r="DJ100" t="s">
        <v>6</v>
      </c>
      <c r="DK100" t="s">
        <v>6</v>
      </c>
      <c r="DL100" t="s">
        <v>6</v>
      </c>
      <c r="DM100" t="s">
        <v>6</v>
      </c>
      <c r="DN100">
        <v>0</v>
      </c>
      <c r="DO100">
        <v>0</v>
      </c>
      <c r="DP100">
        <v>1</v>
      </c>
      <c r="DQ100">
        <v>1</v>
      </c>
      <c r="DU100">
        <v>1005</v>
      </c>
      <c r="DV100" t="s">
        <v>89</v>
      </c>
      <c r="DW100" t="s">
        <v>89</v>
      </c>
      <c r="DX100">
        <v>1</v>
      </c>
      <c r="EE100">
        <v>16510486</v>
      </c>
      <c r="EF100">
        <v>2</v>
      </c>
      <c r="EG100" t="s">
        <v>22</v>
      </c>
      <c r="EH100">
        <v>0</v>
      </c>
      <c r="EI100" t="s">
        <v>6</v>
      </c>
      <c r="EJ100">
        <v>1</v>
      </c>
      <c r="EK100">
        <v>9001</v>
      </c>
      <c r="EL100" t="s">
        <v>94</v>
      </c>
      <c r="EM100" t="s">
        <v>95</v>
      </c>
      <c r="EO100" t="s">
        <v>6</v>
      </c>
      <c r="EQ100">
        <v>0</v>
      </c>
      <c r="ER100">
        <v>1465.11</v>
      </c>
      <c r="ES100">
        <v>1465.11</v>
      </c>
      <c r="ET100">
        <v>0</v>
      </c>
      <c r="EU100">
        <v>0</v>
      </c>
      <c r="EV100">
        <v>0</v>
      </c>
      <c r="EW100">
        <v>0</v>
      </c>
      <c r="EX100">
        <v>0</v>
      </c>
      <c r="FQ100">
        <v>0</v>
      </c>
      <c r="FR100">
        <f t="shared" si="104"/>
        <v>0</v>
      </c>
      <c r="FS100">
        <v>0</v>
      </c>
      <c r="FT100" t="s">
        <v>25</v>
      </c>
      <c r="FU100" t="s">
        <v>26</v>
      </c>
      <c r="FX100">
        <v>81</v>
      </c>
      <c r="FY100">
        <v>72.25</v>
      </c>
      <c r="GA100" t="s">
        <v>6</v>
      </c>
      <c r="GD100">
        <v>0</v>
      </c>
      <c r="GF100">
        <v>-1051400886</v>
      </c>
      <c r="GG100">
        <v>1</v>
      </c>
      <c r="GH100">
        <v>1</v>
      </c>
      <c r="GI100">
        <v>4</v>
      </c>
      <c r="GJ100">
        <v>0</v>
      </c>
      <c r="GK100">
        <f>ROUND(R100*(R12)/100,2)</f>
        <v>0</v>
      </c>
      <c r="GL100">
        <f t="shared" si="105"/>
        <v>0</v>
      </c>
      <c r="GM100">
        <f t="shared" si="106"/>
        <v>108413.45</v>
      </c>
      <c r="GN100">
        <f t="shared" si="107"/>
        <v>108413.45</v>
      </c>
      <c r="GO100">
        <f t="shared" si="108"/>
        <v>0</v>
      </c>
      <c r="GP100">
        <f t="shared" si="109"/>
        <v>0</v>
      </c>
      <c r="GR100">
        <v>0</v>
      </c>
      <c r="GS100">
        <v>3</v>
      </c>
      <c r="GT100">
        <v>0</v>
      </c>
      <c r="GU100" t="s">
        <v>6</v>
      </c>
      <c r="GV100">
        <f t="shared" si="110"/>
        <v>0</v>
      </c>
      <c r="GW100">
        <v>1</v>
      </c>
      <c r="GX100">
        <f t="shared" si="111"/>
        <v>0</v>
      </c>
      <c r="HA100">
        <v>0</v>
      </c>
      <c r="HB100">
        <v>0</v>
      </c>
      <c r="IK100">
        <v>0</v>
      </c>
    </row>
    <row r="101" spans="1:245" x14ac:dyDescent="0.2">
      <c r="A101">
        <v>18</v>
      </c>
      <c r="B101">
        <v>1</v>
      </c>
      <c r="C101">
        <v>99</v>
      </c>
      <c r="E101" t="s">
        <v>236</v>
      </c>
      <c r="F101" t="s">
        <v>237</v>
      </c>
      <c r="G101" t="s">
        <v>238</v>
      </c>
      <c r="H101" t="s">
        <v>89</v>
      </c>
      <c r="I101">
        <f>I98*J101</f>
        <v>11.28</v>
      </c>
      <c r="J101">
        <v>1</v>
      </c>
      <c r="O101">
        <f t="shared" si="78"/>
        <v>0</v>
      </c>
      <c r="P101">
        <f t="shared" si="79"/>
        <v>0</v>
      </c>
      <c r="Q101">
        <f t="shared" si="80"/>
        <v>0</v>
      </c>
      <c r="R101">
        <f t="shared" si="81"/>
        <v>0</v>
      </c>
      <c r="S101">
        <f t="shared" si="82"/>
        <v>0</v>
      </c>
      <c r="T101">
        <f t="shared" si="83"/>
        <v>0</v>
      </c>
      <c r="U101">
        <f t="shared" si="84"/>
        <v>0</v>
      </c>
      <c r="V101">
        <f t="shared" si="85"/>
        <v>0</v>
      </c>
      <c r="W101">
        <f t="shared" si="86"/>
        <v>0</v>
      </c>
      <c r="X101">
        <f t="shared" si="87"/>
        <v>0</v>
      </c>
      <c r="Y101">
        <f t="shared" si="88"/>
        <v>0</v>
      </c>
      <c r="AA101">
        <v>16748969</v>
      </c>
      <c r="AB101">
        <f t="shared" si="89"/>
        <v>0</v>
      </c>
      <c r="AC101">
        <f t="shared" si="90"/>
        <v>0</v>
      </c>
      <c r="AD101">
        <f>ROUND((((ET101)-(EU101))+AE101),2)</f>
        <v>0</v>
      </c>
      <c r="AE101">
        <f t="shared" si="112"/>
        <v>0</v>
      </c>
      <c r="AF101">
        <f t="shared" si="112"/>
        <v>0</v>
      </c>
      <c r="AG101">
        <f t="shared" si="91"/>
        <v>0</v>
      </c>
      <c r="AH101">
        <f t="shared" si="113"/>
        <v>0</v>
      </c>
      <c r="AI101">
        <f t="shared" si="113"/>
        <v>0</v>
      </c>
      <c r="AJ101">
        <f t="shared" si="92"/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81</v>
      </c>
      <c r="AU101">
        <v>72</v>
      </c>
      <c r="AV101">
        <v>1</v>
      </c>
      <c r="AW101">
        <v>1</v>
      </c>
      <c r="AZ101">
        <v>6.56</v>
      </c>
      <c r="BA101">
        <v>1</v>
      </c>
      <c r="BB101">
        <v>1</v>
      </c>
      <c r="BC101">
        <v>6.56</v>
      </c>
      <c r="BD101" t="s">
        <v>6</v>
      </c>
      <c r="BE101" t="s">
        <v>6</v>
      </c>
      <c r="BF101" t="s">
        <v>6</v>
      </c>
      <c r="BG101" t="s">
        <v>6</v>
      </c>
      <c r="BH101">
        <v>3</v>
      </c>
      <c r="BI101">
        <v>1</v>
      </c>
      <c r="BJ101" t="s">
        <v>6</v>
      </c>
      <c r="BM101">
        <v>9001</v>
      </c>
      <c r="BN101">
        <v>0</v>
      </c>
      <c r="BO101" t="s">
        <v>6</v>
      </c>
      <c r="BP101">
        <v>0</v>
      </c>
      <c r="BQ101">
        <v>2</v>
      </c>
      <c r="BR101">
        <v>0</v>
      </c>
      <c r="BS101">
        <v>1</v>
      </c>
      <c r="BT101">
        <v>1</v>
      </c>
      <c r="BU101">
        <v>1</v>
      </c>
      <c r="BV101">
        <v>1</v>
      </c>
      <c r="BW101">
        <v>1</v>
      </c>
      <c r="BX101">
        <v>1</v>
      </c>
      <c r="BY101" t="s">
        <v>6</v>
      </c>
      <c r="BZ101">
        <v>90</v>
      </c>
      <c r="CA101">
        <v>85</v>
      </c>
      <c r="CF101">
        <v>0</v>
      </c>
      <c r="CG101">
        <v>0</v>
      </c>
      <c r="CM101">
        <v>0</v>
      </c>
      <c r="CN101" t="s">
        <v>6</v>
      </c>
      <c r="CO101">
        <v>0</v>
      </c>
      <c r="CP101">
        <f t="shared" si="93"/>
        <v>0</v>
      </c>
      <c r="CQ101">
        <f t="shared" si="94"/>
        <v>0</v>
      </c>
      <c r="CR101">
        <f t="shared" si="95"/>
        <v>0</v>
      </c>
      <c r="CS101">
        <f t="shared" si="96"/>
        <v>0</v>
      </c>
      <c r="CT101">
        <f t="shared" si="97"/>
        <v>0</v>
      </c>
      <c r="CU101">
        <f t="shared" si="98"/>
        <v>0</v>
      </c>
      <c r="CV101">
        <f t="shared" si="99"/>
        <v>0</v>
      </c>
      <c r="CW101">
        <f t="shared" si="100"/>
        <v>0</v>
      </c>
      <c r="CX101">
        <f t="shared" si="101"/>
        <v>0</v>
      </c>
      <c r="CY101">
        <f t="shared" si="102"/>
        <v>0</v>
      </c>
      <c r="CZ101">
        <f t="shared" si="103"/>
        <v>0</v>
      </c>
      <c r="DC101" t="s">
        <v>6</v>
      </c>
      <c r="DD101" t="s">
        <v>6</v>
      </c>
      <c r="DE101" t="s">
        <v>6</v>
      </c>
      <c r="DF101" t="s">
        <v>6</v>
      </c>
      <c r="DG101" t="s">
        <v>6</v>
      </c>
      <c r="DH101" t="s">
        <v>6</v>
      </c>
      <c r="DI101" t="s">
        <v>6</v>
      </c>
      <c r="DJ101" t="s">
        <v>6</v>
      </c>
      <c r="DK101" t="s">
        <v>6</v>
      </c>
      <c r="DL101" t="s">
        <v>6</v>
      </c>
      <c r="DM101" t="s">
        <v>6</v>
      </c>
      <c r="DN101">
        <v>0</v>
      </c>
      <c r="DO101">
        <v>0</v>
      </c>
      <c r="DP101">
        <v>1</v>
      </c>
      <c r="DQ101">
        <v>1</v>
      </c>
      <c r="DU101">
        <v>1005</v>
      </c>
      <c r="DV101" t="s">
        <v>89</v>
      </c>
      <c r="DW101" t="s">
        <v>89</v>
      </c>
      <c r="DX101">
        <v>1</v>
      </c>
      <c r="EE101">
        <v>16510486</v>
      </c>
      <c r="EF101">
        <v>2</v>
      </c>
      <c r="EG101" t="s">
        <v>22</v>
      </c>
      <c r="EH101">
        <v>0</v>
      </c>
      <c r="EI101" t="s">
        <v>6</v>
      </c>
      <c r="EJ101">
        <v>1</v>
      </c>
      <c r="EK101">
        <v>9001</v>
      </c>
      <c r="EL101" t="s">
        <v>94</v>
      </c>
      <c r="EM101" t="s">
        <v>95</v>
      </c>
      <c r="EO101" t="s">
        <v>6</v>
      </c>
      <c r="EQ101">
        <v>0</v>
      </c>
      <c r="ER101">
        <v>0</v>
      </c>
      <c r="ES101">
        <v>0</v>
      </c>
      <c r="ET101">
        <v>0</v>
      </c>
      <c r="EU101">
        <v>0</v>
      </c>
      <c r="EV101">
        <v>0</v>
      </c>
      <c r="EW101">
        <v>0</v>
      </c>
      <c r="EX101">
        <v>0</v>
      </c>
      <c r="FQ101">
        <v>0</v>
      </c>
      <c r="FR101">
        <f t="shared" si="104"/>
        <v>0</v>
      </c>
      <c r="FS101">
        <v>0</v>
      </c>
      <c r="FT101" t="s">
        <v>25</v>
      </c>
      <c r="FU101" t="s">
        <v>26</v>
      </c>
      <c r="FX101">
        <v>81</v>
      </c>
      <c r="FY101">
        <v>72.25</v>
      </c>
      <c r="GA101" t="s">
        <v>6</v>
      </c>
      <c r="GD101">
        <v>0</v>
      </c>
      <c r="GF101">
        <v>-1261857363</v>
      </c>
      <c r="GG101">
        <v>1</v>
      </c>
      <c r="GH101">
        <v>1</v>
      </c>
      <c r="GI101">
        <v>4</v>
      </c>
      <c r="GJ101">
        <v>0</v>
      </c>
      <c r="GK101">
        <f>ROUND(R101*(R12)/100,2)</f>
        <v>0</v>
      </c>
      <c r="GL101">
        <f t="shared" si="105"/>
        <v>0</v>
      </c>
      <c r="GM101">
        <f t="shared" si="106"/>
        <v>0</v>
      </c>
      <c r="GN101">
        <f t="shared" si="107"/>
        <v>0</v>
      </c>
      <c r="GO101">
        <f t="shared" si="108"/>
        <v>0</v>
      </c>
      <c r="GP101">
        <f t="shared" si="109"/>
        <v>0</v>
      </c>
      <c r="GR101">
        <v>0</v>
      </c>
      <c r="GS101">
        <v>3</v>
      </c>
      <c r="GT101">
        <v>0</v>
      </c>
      <c r="GU101" t="s">
        <v>6</v>
      </c>
      <c r="GV101">
        <f t="shared" si="110"/>
        <v>0</v>
      </c>
      <c r="GW101">
        <v>1</v>
      </c>
      <c r="GX101">
        <f t="shared" si="111"/>
        <v>0</v>
      </c>
      <c r="HA101">
        <v>0</v>
      </c>
      <c r="HB101">
        <v>0</v>
      </c>
      <c r="IK101">
        <v>0</v>
      </c>
    </row>
    <row r="102" spans="1:245" x14ac:dyDescent="0.2">
      <c r="A102">
        <v>17</v>
      </c>
      <c r="B102">
        <v>1</v>
      </c>
      <c r="C102">
        <f>ROW(SmtRes!A107)</f>
        <v>107</v>
      </c>
      <c r="D102">
        <f>ROW(EtalonRes!A108)</f>
        <v>108</v>
      </c>
      <c r="E102" t="s">
        <v>239</v>
      </c>
      <c r="F102" t="s">
        <v>240</v>
      </c>
      <c r="G102" t="s">
        <v>241</v>
      </c>
      <c r="H102" t="s">
        <v>242</v>
      </c>
      <c r="I102">
        <v>4</v>
      </c>
      <c r="J102">
        <v>0</v>
      </c>
      <c r="O102">
        <f t="shared" si="78"/>
        <v>420.36</v>
      </c>
      <c r="P102">
        <f t="shared" si="79"/>
        <v>18.89</v>
      </c>
      <c r="Q102">
        <f t="shared" si="80"/>
        <v>69.27</v>
      </c>
      <c r="R102">
        <f t="shared" si="81"/>
        <v>0</v>
      </c>
      <c r="S102">
        <f t="shared" si="82"/>
        <v>332.2</v>
      </c>
      <c r="T102">
        <f t="shared" si="83"/>
        <v>0</v>
      </c>
      <c r="U102">
        <f t="shared" si="84"/>
        <v>5.1059999999999999</v>
      </c>
      <c r="V102">
        <f t="shared" si="85"/>
        <v>0</v>
      </c>
      <c r="W102">
        <f t="shared" si="86"/>
        <v>0</v>
      </c>
      <c r="X102">
        <f t="shared" si="87"/>
        <v>269.08</v>
      </c>
      <c r="Y102">
        <f t="shared" si="88"/>
        <v>239.18</v>
      </c>
      <c r="AA102">
        <v>16748969</v>
      </c>
      <c r="AB102">
        <f t="shared" si="89"/>
        <v>16.02</v>
      </c>
      <c r="AC102">
        <f t="shared" si="90"/>
        <v>0.72</v>
      </c>
      <c r="AD102">
        <f>ROUND(((((ET102*1.25))-((EU102*1.25)))+AE102),2)</f>
        <v>2.64</v>
      </c>
      <c r="AE102">
        <f>ROUND(((EU102*1.25)),2)</f>
        <v>0</v>
      </c>
      <c r="AF102">
        <f>ROUND(((EV102*1.15)),2)</f>
        <v>12.66</v>
      </c>
      <c r="AG102">
        <f t="shared" si="91"/>
        <v>0</v>
      </c>
      <c r="AH102">
        <f>((EW102*1.15))</f>
        <v>1.2765</v>
      </c>
      <c r="AI102">
        <f>((EX102*1.25))</f>
        <v>0</v>
      </c>
      <c r="AJ102">
        <f t="shared" si="92"/>
        <v>0</v>
      </c>
      <c r="AK102">
        <v>13.84</v>
      </c>
      <c r="AL102">
        <v>0.72</v>
      </c>
      <c r="AM102">
        <v>2.11</v>
      </c>
      <c r="AN102">
        <v>0</v>
      </c>
      <c r="AO102">
        <v>11.01</v>
      </c>
      <c r="AP102">
        <v>0</v>
      </c>
      <c r="AQ102">
        <v>1.1100000000000001</v>
      </c>
      <c r="AR102">
        <v>0</v>
      </c>
      <c r="AS102">
        <v>0</v>
      </c>
      <c r="AT102">
        <v>81</v>
      </c>
      <c r="AU102">
        <v>72</v>
      </c>
      <c r="AV102">
        <v>1</v>
      </c>
      <c r="AW102">
        <v>1</v>
      </c>
      <c r="AZ102">
        <v>6.56</v>
      </c>
      <c r="BA102">
        <v>6.56</v>
      </c>
      <c r="BB102">
        <v>6.56</v>
      </c>
      <c r="BC102">
        <v>6.56</v>
      </c>
      <c r="BD102" t="s">
        <v>6</v>
      </c>
      <c r="BE102" t="s">
        <v>6</v>
      </c>
      <c r="BF102" t="s">
        <v>6</v>
      </c>
      <c r="BG102" t="s">
        <v>6</v>
      </c>
      <c r="BH102">
        <v>0</v>
      </c>
      <c r="BI102">
        <v>1</v>
      </c>
      <c r="BJ102" t="s">
        <v>243</v>
      </c>
      <c r="BM102">
        <v>9001</v>
      </c>
      <c r="BN102">
        <v>0</v>
      </c>
      <c r="BO102" t="s">
        <v>6</v>
      </c>
      <c r="BP102">
        <v>0</v>
      </c>
      <c r="BQ102">
        <v>2</v>
      </c>
      <c r="BR102">
        <v>0</v>
      </c>
      <c r="BS102">
        <v>6.56</v>
      </c>
      <c r="BT102">
        <v>1</v>
      </c>
      <c r="BU102">
        <v>1</v>
      </c>
      <c r="BV102">
        <v>1</v>
      </c>
      <c r="BW102">
        <v>1</v>
      </c>
      <c r="BX102">
        <v>1</v>
      </c>
      <c r="BY102" t="s">
        <v>6</v>
      </c>
      <c r="BZ102">
        <v>90</v>
      </c>
      <c r="CA102">
        <v>85</v>
      </c>
      <c r="CF102">
        <v>0</v>
      </c>
      <c r="CG102">
        <v>0</v>
      </c>
      <c r="CM102">
        <v>0</v>
      </c>
      <c r="CN102" t="s">
        <v>1609</v>
      </c>
      <c r="CO102">
        <v>0</v>
      </c>
      <c r="CP102">
        <f t="shared" si="93"/>
        <v>420.36</v>
      </c>
      <c r="CQ102">
        <f t="shared" si="94"/>
        <v>4.7231999999999994</v>
      </c>
      <c r="CR102">
        <f t="shared" si="95"/>
        <v>17.3184</v>
      </c>
      <c r="CS102">
        <f t="shared" si="96"/>
        <v>0</v>
      </c>
      <c r="CT102">
        <f t="shared" si="97"/>
        <v>83.049599999999998</v>
      </c>
      <c r="CU102">
        <f t="shared" si="98"/>
        <v>0</v>
      </c>
      <c r="CV102">
        <f t="shared" si="99"/>
        <v>1.2765</v>
      </c>
      <c r="CW102">
        <f t="shared" si="100"/>
        <v>0</v>
      </c>
      <c r="CX102">
        <f t="shared" si="101"/>
        <v>0</v>
      </c>
      <c r="CY102">
        <f t="shared" si="102"/>
        <v>269.08199999999999</v>
      </c>
      <c r="CZ102">
        <f t="shared" si="103"/>
        <v>239.18399999999997</v>
      </c>
      <c r="DC102" t="s">
        <v>6</v>
      </c>
      <c r="DD102" t="s">
        <v>6</v>
      </c>
      <c r="DE102" t="s">
        <v>172</v>
      </c>
      <c r="DF102" t="s">
        <v>172</v>
      </c>
      <c r="DG102" t="s">
        <v>173</v>
      </c>
      <c r="DH102" t="s">
        <v>6</v>
      </c>
      <c r="DI102" t="s">
        <v>173</v>
      </c>
      <c r="DJ102" t="s">
        <v>172</v>
      </c>
      <c r="DK102" t="s">
        <v>6</v>
      </c>
      <c r="DL102" t="s">
        <v>6</v>
      </c>
      <c r="DM102" t="s">
        <v>6</v>
      </c>
      <c r="DN102">
        <v>0</v>
      </c>
      <c r="DO102">
        <v>0</v>
      </c>
      <c r="DP102">
        <v>1</v>
      </c>
      <c r="DQ102">
        <v>1</v>
      </c>
      <c r="DU102">
        <v>1013</v>
      </c>
      <c r="DV102" t="s">
        <v>242</v>
      </c>
      <c r="DW102" t="s">
        <v>242</v>
      </c>
      <c r="DX102">
        <v>1</v>
      </c>
      <c r="EE102">
        <v>16510486</v>
      </c>
      <c r="EF102">
        <v>2</v>
      </c>
      <c r="EG102" t="s">
        <v>22</v>
      </c>
      <c r="EH102">
        <v>0</v>
      </c>
      <c r="EI102" t="s">
        <v>6</v>
      </c>
      <c r="EJ102">
        <v>1</v>
      </c>
      <c r="EK102">
        <v>9001</v>
      </c>
      <c r="EL102" t="s">
        <v>94</v>
      </c>
      <c r="EM102" t="s">
        <v>95</v>
      </c>
      <c r="EO102" t="s">
        <v>176</v>
      </c>
      <c r="EQ102">
        <v>131072</v>
      </c>
      <c r="ER102">
        <v>13.84</v>
      </c>
      <c r="ES102">
        <v>0.72</v>
      </c>
      <c r="ET102">
        <v>2.11</v>
      </c>
      <c r="EU102">
        <v>0</v>
      </c>
      <c r="EV102">
        <v>11.01</v>
      </c>
      <c r="EW102">
        <v>1.1100000000000001</v>
      </c>
      <c r="EX102">
        <v>0</v>
      </c>
      <c r="EY102">
        <v>0</v>
      </c>
      <c r="FQ102">
        <v>0</v>
      </c>
      <c r="FR102">
        <f t="shared" si="104"/>
        <v>0</v>
      </c>
      <c r="FS102">
        <v>0</v>
      </c>
      <c r="FT102" t="s">
        <v>25</v>
      </c>
      <c r="FU102" t="s">
        <v>26</v>
      </c>
      <c r="FX102">
        <v>81</v>
      </c>
      <c r="FY102">
        <v>72.25</v>
      </c>
      <c r="GA102" t="s">
        <v>6</v>
      </c>
      <c r="GD102">
        <v>0</v>
      </c>
      <c r="GF102">
        <v>-418508909</v>
      </c>
      <c r="GG102">
        <v>1</v>
      </c>
      <c r="GH102">
        <v>1</v>
      </c>
      <c r="GI102">
        <v>4</v>
      </c>
      <c r="GJ102">
        <v>0</v>
      </c>
      <c r="GK102">
        <f>ROUND(R102*(R12)/100,2)</f>
        <v>0</v>
      </c>
      <c r="GL102">
        <f t="shared" si="105"/>
        <v>0</v>
      </c>
      <c r="GM102">
        <f t="shared" si="106"/>
        <v>928.62</v>
      </c>
      <c r="GN102">
        <f t="shared" si="107"/>
        <v>928.62</v>
      </c>
      <c r="GO102">
        <f t="shared" si="108"/>
        <v>0</v>
      </c>
      <c r="GP102">
        <f t="shared" si="109"/>
        <v>0</v>
      </c>
      <c r="GR102">
        <v>0</v>
      </c>
      <c r="GS102">
        <v>3</v>
      </c>
      <c r="GT102">
        <v>0</v>
      </c>
      <c r="GU102" t="s">
        <v>6</v>
      </c>
      <c r="GV102">
        <f t="shared" si="110"/>
        <v>0</v>
      </c>
      <c r="GW102">
        <v>1</v>
      </c>
      <c r="GX102">
        <f t="shared" si="111"/>
        <v>0</v>
      </c>
      <c r="HA102">
        <v>0</v>
      </c>
      <c r="HB102">
        <v>0</v>
      </c>
      <c r="IK102">
        <v>0</v>
      </c>
    </row>
    <row r="103" spans="1:245" x14ac:dyDescent="0.2">
      <c r="A103">
        <v>18</v>
      </c>
      <c r="B103">
        <v>1</v>
      </c>
      <c r="C103">
        <v>105</v>
      </c>
      <c r="E103" t="s">
        <v>244</v>
      </c>
      <c r="F103" t="s">
        <v>245</v>
      </c>
      <c r="G103" t="s">
        <v>246</v>
      </c>
      <c r="H103" t="s">
        <v>53</v>
      </c>
      <c r="I103">
        <f>I102*J103</f>
        <v>4</v>
      </c>
      <c r="J103">
        <v>1</v>
      </c>
      <c r="O103">
        <f t="shared" si="78"/>
        <v>9740.2900000000009</v>
      </c>
      <c r="P103">
        <f t="shared" si="79"/>
        <v>9740.2900000000009</v>
      </c>
      <c r="Q103">
        <f t="shared" si="80"/>
        <v>0</v>
      </c>
      <c r="R103">
        <f t="shared" si="81"/>
        <v>0</v>
      </c>
      <c r="S103">
        <f t="shared" si="82"/>
        <v>0</v>
      </c>
      <c r="T103">
        <f t="shared" si="83"/>
        <v>0</v>
      </c>
      <c r="U103">
        <f t="shared" si="84"/>
        <v>0</v>
      </c>
      <c r="V103">
        <f t="shared" si="85"/>
        <v>0</v>
      </c>
      <c r="W103">
        <f t="shared" si="86"/>
        <v>0</v>
      </c>
      <c r="X103">
        <f t="shared" si="87"/>
        <v>0</v>
      </c>
      <c r="Y103">
        <f t="shared" si="88"/>
        <v>0</v>
      </c>
      <c r="AA103">
        <v>16748969</v>
      </c>
      <c r="AB103">
        <f t="shared" si="89"/>
        <v>371.2</v>
      </c>
      <c r="AC103">
        <f t="shared" si="90"/>
        <v>371.2</v>
      </c>
      <c r="AD103">
        <f>ROUND((((ET103)-(EU103))+AE103),2)</f>
        <v>0</v>
      </c>
      <c r="AE103">
        <f>ROUND((EU103),2)</f>
        <v>0</v>
      </c>
      <c r="AF103">
        <f>ROUND((EV103),2)</f>
        <v>0</v>
      </c>
      <c r="AG103">
        <f t="shared" si="91"/>
        <v>0</v>
      </c>
      <c r="AH103">
        <f>(EW103)</f>
        <v>0</v>
      </c>
      <c r="AI103">
        <f>(EX103)</f>
        <v>0</v>
      </c>
      <c r="AJ103">
        <f t="shared" si="92"/>
        <v>0</v>
      </c>
      <c r="AK103">
        <v>371.2</v>
      </c>
      <c r="AL103">
        <v>371.2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81</v>
      </c>
      <c r="AU103">
        <v>72</v>
      </c>
      <c r="AV103">
        <v>1</v>
      </c>
      <c r="AW103">
        <v>1</v>
      </c>
      <c r="AZ103">
        <v>6.56</v>
      </c>
      <c r="BA103">
        <v>1</v>
      </c>
      <c r="BB103">
        <v>1</v>
      </c>
      <c r="BC103">
        <v>6.56</v>
      </c>
      <c r="BD103" t="s">
        <v>6</v>
      </c>
      <c r="BE103" t="s">
        <v>6</v>
      </c>
      <c r="BF103" t="s">
        <v>6</v>
      </c>
      <c r="BG103" t="s">
        <v>6</v>
      </c>
      <c r="BH103">
        <v>3</v>
      </c>
      <c r="BI103">
        <v>1</v>
      </c>
      <c r="BJ103" t="s">
        <v>247</v>
      </c>
      <c r="BM103">
        <v>9001</v>
      </c>
      <c r="BN103">
        <v>0</v>
      </c>
      <c r="BO103" t="s">
        <v>6</v>
      </c>
      <c r="BP103">
        <v>0</v>
      </c>
      <c r="BQ103">
        <v>2</v>
      </c>
      <c r="BR103">
        <v>0</v>
      </c>
      <c r="BS103">
        <v>1</v>
      </c>
      <c r="BT103">
        <v>1</v>
      </c>
      <c r="BU103">
        <v>1</v>
      </c>
      <c r="BV103">
        <v>1</v>
      </c>
      <c r="BW103">
        <v>1</v>
      </c>
      <c r="BX103">
        <v>1</v>
      </c>
      <c r="BY103" t="s">
        <v>6</v>
      </c>
      <c r="BZ103">
        <v>90</v>
      </c>
      <c r="CA103">
        <v>85</v>
      </c>
      <c r="CF103">
        <v>0</v>
      </c>
      <c r="CG103">
        <v>0</v>
      </c>
      <c r="CM103">
        <v>0</v>
      </c>
      <c r="CN103" t="s">
        <v>6</v>
      </c>
      <c r="CO103">
        <v>0</v>
      </c>
      <c r="CP103">
        <f t="shared" si="93"/>
        <v>9740.2900000000009</v>
      </c>
      <c r="CQ103">
        <f t="shared" si="94"/>
        <v>2435.0719999999997</v>
      </c>
      <c r="CR103">
        <f t="shared" si="95"/>
        <v>0</v>
      </c>
      <c r="CS103">
        <f t="shared" si="96"/>
        <v>0</v>
      </c>
      <c r="CT103">
        <f t="shared" si="97"/>
        <v>0</v>
      </c>
      <c r="CU103">
        <f t="shared" si="98"/>
        <v>0</v>
      </c>
      <c r="CV103">
        <f t="shared" si="99"/>
        <v>0</v>
      </c>
      <c r="CW103">
        <f t="shared" si="100"/>
        <v>0</v>
      </c>
      <c r="CX103">
        <f t="shared" si="101"/>
        <v>0</v>
      </c>
      <c r="CY103">
        <f t="shared" si="102"/>
        <v>0</v>
      </c>
      <c r="CZ103">
        <f t="shared" si="103"/>
        <v>0</v>
      </c>
      <c r="DC103" t="s">
        <v>6</v>
      </c>
      <c r="DD103" t="s">
        <v>6</v>
      </c>
      <c r="DE103" t="s">
        <v>6</v>
      </c>
      <c r="DF103" t="s">
        <v>6</v>
      </c>
      <c r="DG103" t="s">
        <v>6</v>
      </c>
      <c r="DH103" t="s">
        <v>6</v>
      </c>
      <c r="DI103" t="s">
        <v>6</v>
      </c>
      <c r="DJ103" t="s">
        <v>6</v>
      </c>
      <c r="DK103" t="s">
        <v>6</v>
      </c>
      <c r="DL103" t="s">
        <v>6</v>
      </c>
      <c r="DM103" t="s">
        <v>6</v>
      </c>
      <c r="DN103">
        <v>0</v>
      </c>
      <c r="DO103">
        <v>0</v>
      </c>
      <c r="DP103">
        <v>1</v>
      </c>
      <c r="DQ103">
        <v>1</v>
      </c>
      <c r="DU103">
        <v>1010</v>
      </c>
      <c r="DV103" t="s">
        <v>53</v>
      </c>
      <c r="DW103" t="s">
        <v>53</v>
      </c>
      <c r="DX103">
        <v>1</v>
      </c>
      <c r="EE103">
        <v>16510486</v>
      </c>
      <c r="EF103">
        <v>2</v>
      </c>
      <c r="EG103" t="s">
        <v>22</v>
      </c>
      <c r="EH103">
        <v>0</v>
      </c>
      <c r="EI103" t="s">
        <v>6</v>
      </c>
      <c r="EJ103">
        <v>1</v>
      </c>
      <c r="EK103">
        <v>9001</v>
      </c>
      <c r="EL103" t="s">
        <v>94</v>
      </c>
      <c r="EM103" t="s">
        <v>95</v>
      </c>
      <c r="EO103" t="s">
        <v>6</v>
      </c>
      <c r="EQ103">
        <v>0</v>
      </c>
      <c r="ER103">
        <v>371.2</v>
      </c>
      <c r="ES103">
        <v>371.2</v>
      </c>
      <c r="ET103">
        <v>0</v>
      </c>
      <c r="EU103">
        <v>0</v>
      </c>
      <c r="EV103">
        <v>0</v>
      </c>
      <c r="EW103">
        <v>0</v>
      </c>
      <c r="EX103">
        <v>0</v>
      </c>
      <c r="FQ103">
        <v>0</v>
      </c>
      <c r="FR103">
        <f t="shared" si="104"/>
        <v>0</v>
      </c>
      <c r="FS103">
        <v>0</v>
      </c>
      <c r="FT103" t="s">
        <v>25</v>
      </c>
      <c r="FU103" t="s">
        <v>26</v>
      </c>
      <c r="FX103">
        <v>81</v>
      </c>
      <c r="FY103">
        <v>72.25</v>
      </c>
      <c r="GA103" t="s">
        <v>6</v>
      </c>
      <c r="GD103">
        <v>0</v>
      </c>
      <c r="GF103">
        <v>-462216632</v>
      </c>
      <c r="GG103">
        <v>1</v>
      </c>
      <c r="GH103">
        <v>1</v>
      </c>
      <c r="GI103">
        <v>4</v>
      </c>
      <c r="GJ103">
        <v>0</v>
      </c>
      <c r="GK103">
        <f>ROUND(R103*(R12)/100,2)</f>
        <v>0</v>
      </c>
      <c r="GL103">
        <f t="shared" si="105"/>
        <v>0</v>
      </c>
      <c r="GM103">
        <f t="shared" si="106"/>
        <v>9740.2900000000009</v>
      </c>
      <c r="GN103">
        <f t="shared" si="107"/>
        <v>9740.2900000000009</v>
      </c>
      <c r="GO103">
        <f t="shared" si="108"/>
        <v>0</v>
      </c>
      <c r="GP103">
        <f t="shared" si="109"/>
        <v>0</v>
      </c>
      <c r="GR103">
        <v>0</v>
      </c>
      <c r="GS103">
        <v>3</v>
      </c>
      <c r="GT103">
        <v>0</v>
      </c>
      <c r="GU103" t="s">
        <v>6</v>
      </c>
      <c r="GV103">
        <f t="shared" si="110"/>
        <v>0</v>
      </c>
      <c r="GW103">
        <v>1</v>
      </c>
      <c r="GX103">
        <f t="shared" si="111"/>
        <v>0</v>
      </c>
      <c r="HA103">
        <v>0</v>
      </c>
      <c r="HB103">
        <v>0</v>
      </c>
      <c r="IK103">
        <v>0</v>
      </c>
    </row>
    <row r="104" spans="1:245" x14ac:dyDescent="0.2">
      <c r="A104">
        <v>17</v>
      </c>
      <c r="B104">
        <v>1</v>
      </c>
      <c r="C104">
        <f>ROW(SmtRes!A118)</f>
        <v>118</v>
      </c>
      <c r="D104">
        <f>ROW(EtalonRes!A119)</f>
        <v>119</v>
      </c>
      <c r="E104" t="s">
        <v>248</v>
      </c>
      <c r="F104" t="s">
        <v>249</v>
      </c>
      <c r="G104" t="s">
        <v>250</v>
      </c>
      <c r="H104" t="s">
        <v>20</v>
      </c>
      <c r="I104">
        <f>ROUND(7.02/100,9)</f>
        <v>7.0199999999999999E-2</v>
      </c>
      <c r="J104">
        <v>0</v>
      </c>
      <c r="O104">
        <f t="shared" si="78"/>
        <v>1777.1</v>
      </c>
      <c r="P104">
        <f t="shared" si="79"/>
        <v>784.63</v>
      </c>
      <c r="Q104">
        <f t="shared" si="80"/>
        <v>557.21</v>
      </c>
      <c r="R104">
        <f t="shared" si="81"/>
        <v>88.59</v>
      </c>
      <c r="S104">
        <f t="shared" si="82"/>
        <v>435.26</v>
      </c>
      <c r="T104">
        <f t="shared" si="83"/>
        <v>0</v>
      </c>
      <c r="U104">
        <f t="shared" si="84"/>
        <v>7.2277568999999993</v>
      </c>
      <c r="V104">
        <f t="shared" si="85"/>
        <v>1.0249200000000001</v>
      </c>
      <c r="W104">
        <f t="shared" si="86"/>
        <v>0</v>
      </c>
      <c r="X104">
        <f t="shared" si="87"/>
        <v>555.28</v>
      </c>
      <c r="Y104">
        <f t="shared" si="88"/>
        <v>282.88</v>
      </c>
      <c r="AA104">
        <v>16748969</v>
      </c>
      <c r="AB104">
        <f t="shared" si="89"/>
        <v>3858.97</v>
      </c>
      <c r="AC104">
        <f t="shared" si="90"/>
        <v>1703.82</v>
      </c>
      <c r="AD104">
        <f>ROUND(((((ET104*1.25))-((EU104*1.25)))+AE104),2)</f>
        <v>1209.98</v>
      </c>
      <c r="AE104">
        <f>ROUND(((EU104*1.25)),2)</f>
        <v>192.38</v>
      </c>
      <c r="AF104">
        <f>ROUND(((EV104*1.15)),2)</f>
        <v>945.17</v>
      </c>
      <c r="AG104">
        <f t="shared" si="91"/>
        <v>0</v>
      </c>
      <c r="AH104">
        <f>((EW104*1.15))</f>
        <v>102.95949999999999</v>
      </c>
      <c r="AI104">
        <f>((EX104*1.25))</f>
        <v>14.6</v>
      </c>
      <c r="AJ104">
        <f t="shared" si="92"/>
        <v>0</v>
      </c>
      <c r="AK104">
        <v>3493.69</v>
      </c>
      <c r="AL104">
        <v>1703.82</v>
      </c>
      <c r="AM104">
        <v>967.98</v>
      </c>
      <c r="AN104">
        <v>153.9</v>
      </c>
      <c r="AO104">
        <v>821.89</v>
      </c>
      <c r="AP104">
        <v>0</v>
      </c>
      <c r="AQ104">
        <v>89.53</v>
      </c>
      <c r="AR104">
        <v>11.68</v>
      </c>
      <c r="AS104">
        <v>0</v>
      </c>
      <c r="AT104">
        <v>106</v>
      </c>
      <c r="AU104">
        <v>54</v>
      </c>
      <c r="AV104">
        <v>1</v>
      </c>
      <c r="AW104">
        <v>1</v>
      </c>
      <c r="AZ104">
        <v>6.56</v>
      </c>
      <c r="BA104">
        <v>6.56</v>
      </c>
      <c r="BB104">
        <v>6.56</v>
      </c>
      <c r="BC104">
        <v>6.56</v>
      </c>
      <c r="BD104" t="s">
        <v>6</v>
      </c>
      <c r="BE104" t="s">
        <v>6</v>
      </c>
      <c r="BF104" t="s">
        <v>6</v>
      </c>
      <c r="BG104" t="s">
        <v>6</v>
      </c>
      <c r="BH104">
        <v>0</v>
      </c>
      <c r="BI104">
        <v>1</v>
      </c>
      <c r="BJ104" t="s">
        <v>251</v>
      </c>
      <c r="BM104">
        <v>10001</v>
      </c>
      <c r="BN104">
        <v>0</v>
      </c>
      <c r="BO104" t="s">
        <v>6</v>
      </c>
      <c r="BP104">
        <v>0</v>
      </c>
      <c r="BQ104">
        <v>2</v>
      </c>
      <c r="BR104">
        <v>0</v>
      </c>
      <c r="BS104">
        <v>6.56</v>
      </c>
      <c r="BT104">
        <v>1</v>
      </c>
      <c r="BU104">
        <v>1</v>
      </c>
      <c r="BV104">
        <v>1</v>
      </c>
      <c r="BW104">
        <v>1</v>
      </c>
      <c r="BX104">
        <v>1</v>
      </c>
      <c r="BY104" t="s">
        <v>6</v>
      </c>
      <c r="BZ104">
        <v>118</v>
      </c>
      <c r="CA104">
        <v>63</v>
      </c>
      <c r="CF104">
        <v>0</v>
      </c>
      <c r="CG104">
        <v>0</v>
      </c>
      <c r="CM104">
        <v>0</v>
      </c>
      <c r="CN104" t="s">
        <v>1609</v>
      </c>
      <c r="CO104">
        <v>0</v>
      </c>
      <c r="CP104">
        <f t="shared" si="93"/>
        <v>1777.1000000000001</v>
      </c>
      <c r="CQ104">
        <f t="shared" si="94"/>
        <v>11177.0592</v>
      </c>
      <c r="CR104">
        <f t="shared" si="95"/>
        <v>7937.4687999999996</v>
      </c>
      <c r="CS104">
        <f t="shared" si="96"/>
        <v>1262.0128</v>
      </c>
      <c r="CT104">
        <f t="shared" si="97"/>
        <v>6200.3151999999991</v>
      </c>
      <c r="CU104">
        <f t="shared" si="98"/>
        <v>0</v>
      </c>
      <c r="CV104">
        <f t="shared" si="99"/>
        <v>102.95949999999999</v>
      </c>
      <c r="CW104">
        <f t="shared" si="100"/>
        <v>14.6</v>
      </c>
      <c r="CX104">
        <f t="shared" si="101"/>
        <v>0</v>
      </c>
      <c r="CY104">
        <f t="shared" si="102"/>
        <v>555.28100000000006</v>
      </c>
      <c r="CZ104">
        <f t="shared" si="103"/>
        <v>282.87900000000002</v>
      </c>
      <c r="DC104" t="s">
        <v>6</v>
      </c>
      <c r="DD104" t="s">
        <v>6</v>
      </c>
      <c r="DE104" t="s">
        <v>172</v>
      </c>
      <c r="DF104" t="s">
        <v>172</v>
      </c>
      <c r="DG104" t="s">
        <v>173</v>
      </c>
      <c r="DH104" t="s">
        <v>6</v>
      </c>
      <c r="DI104" t="s">
        <v>173</v>
      </c>
      <c r="DJ104" t="s">
        <v>172</v>
      </c>
      <c r="DK104" t="s">
        <v>6</v>
      </c>
      <c r="DL104" t="s">
        <v>6</v>
      </c>
      <c r="DM104" t="s">
        <v>6</v>
      </c>
      <c r="DN104">
        <v>0</v>
      </c>
      <c r="DO104">
        <v>0</v>
      </c>
      <c r="DP104">
        <v>1</v>
      </c>
      <c r="DQ104">
        <v>1</v>
      </c>
      <c r="DU104">
        <v>1005</v>
      </c>
      <c r="DV104" t="s">
        <v>20</v>
      </c>
      <c r="DW104" t="s">
        <v>20</v>
      </c>
      <c r="DX104">
        <v>100</v>
      </c>
      <c r="EE104">
        <v>16510487</v>
      </c>
      <c r="EF104">
        <v>2</v>
      </c>
      <c r="EG104" t="s">
        <v>22</v>
      </c>
      <c r="EH104">
        <v>0</v>
      </c>
      <c r="EI104" t="s">
        <v>6</v>
      </c>
      <c r="EJ104">
        <v>1</v>
      </c>
      <c r="EK104">
        <v>10001</v>
      </c>
      <c r="EL104" t="s">
        <v>174</v>
      </c>
      <c r="EM104" t="s">
        <v>175</v>
      </c>
      <c r="EO104" t="s">
        <v>176</v>
      </c>
      <c r="EQ104">
        <v>131072</v>
      </c>
      <c r="ER104">
        <v>3493.69</v>
      </c>
      <c r="ES104">
        <v>1703.82</v>
      </c>
      <c r="ET104">
        <v>967.98</v>
      </c>
      <c r="EU104">
        <v>153.9</v>
      </c>
      <c r="EV104">
        <v>821.89</v>
      </c>
      <c r="EW104">
        <v>89.53</v>
      </c>
      <c r="EX104">
        <v>11.68</v>
      </c>
      <c r="EY104">
        <v>0</v>
      </c>
      <c r="FQ104">
        <v>0</v>
      </c>
      <c r="FR104">
        <f t="shared" si="104"/>
        <v>0</v>
      </c>
      <c r="FS104">
        <v>0</v>
      </c>
      <c r="FT104" t="s">
        <v>25</v>
      </c>
      <c r="FU104" t="s">
        <v>26</v>
      </c>
      <c r="FX104">
        <v>106.2</v>
      </c>
      <c r="FY104">
        <v>53.55</v>
      </c>
      <c r="GA104" t="s">
        <v>6</v>
      </c>
      <c r="GD104">
        <v>0</v>
      </c>
      <c r="GF104">
        <v>-2063365966</v>
      </c>
      <c r="GG104">
        <v>1</v>
      </c>
      <c r="GH104">
        <v>1</v>
      </c>
      <c r="GI104">
        <v>4</v>
      </c>
      <c r="GJ104">
        <v>0</v>
      </c>
      <c r="GK104">
        <f>ROUND(R104*(R12)/100,2)</f>
        <v>0</v>
      </c>
      <c r="GL104">
        <f t="shared" si="105"/>
        <v>0</v>
      </c>
      <c r="GM104">
        <f t="shared" si="106"/>
        <v>2615.2600000000002</v>
      </c>
      <c r="GN104">
        <f t="shared" si="107"/>
        <v>2615.2600000000002</v>
      </c>
      <c r="GO104">
        <f t="shared" si="108"/>
        <v>0</v>
      </c>
      <c r="GP104">
        <f t="shared" si="109"/>
        <v>0</v>
      </c>
      <c r="GR104">
        <v>0</v>
      </c>
      <c r="GS104">
        <v>3</v>
      </c>
      <c r="GT104">
        <v>0</v>
      </c>
      <c r="GU104" t="s">
        <v>6</v>
      </c>
      <c r="GV104">
        <f t="shared" si="110"/>
        <v>0</v>
      </c>
      <c r="GW104">
        <v>1</v>
      </c>
      <c r="GX104">
        <f t="shared" si="111"/>
        <v>0</v>
      </c>
      <c r="HA104">
        <v>0</v>
      </c>
      <c r="HB104">
        <v>0</v>
      </c>
      <c r="IK104">
        <v>0</v>
      </c>
    </row>
    <row r="105" spans="1:245" x14ac:dyDescent="0.2">
      <c r="A105">
        <v>18</v>
      </c>
      <c r="B105">
        <v>1</v>
      </c>
      <c r="C105">
        <v>117</v>
      </c>
      <c r="E105" t="s">
        <v>252</v>
      </c>
      <c r="F105" t="s">
        <v>253</v>
      </c>
      <c r="G105" t="s">
        <v>254</v>
      </c>
      <c r="H105" t="s">
        <v>89</v>
      </c>
      <c r="I105">
        <f>I104*J105</f>
        <v>7.02</v>
      </c>
      <c r="J105">
        <v>100</v>
      </c>
      <c r="O105">
        <f t="shared" si="78"/>
        <v>66718.98</v>
      </c>
      <c r="P105">
        <f t="shared" si="79"/>
        <v>66718.98</v>
      </c>
      <c r="Q105">
        <f t="shared" si="80"/>
        <v>0</v>
      </c>
      <c r="R105">
        <f t="shared" si="81"/>
        <v>0</v>
      </c>
      <c r="S105">
        <f t="shared" si="82"/>
        <v>0</v>
      </c>
      <c r="T105">
        <f t="shared" si="83"/>
        <v>0</v>
      </c>
      <c r="U105">
        <f t="shared" si="84"/>
        <v>0</v>
      </c>
      <c r="V105">
        <f t="shared" si="85"/>
        <v>0</v>
      </c>
      <c r="W105">
        <f t="shared" si="86"/>
        <v>0</v>
      </c>
      <c r="X105">
        <f t="shared" si="87"/>
        <v>0</v>
      </c>
      <c r="Y105">
        <f t="shared" si="88"/>
        <v>0</v>
      </c>
      <c r="AA105">
        <v>16748969</v>
      </c>
      <c r="AB105">
        <f t="shared" si="89"/>
        <v>1448.8</v>
      </c>
      <c r="AC105">
        <f t="shared" si="90"/>
        <v>1448.8</v>
      </c>
      <c r="AD105">
        <f>ROUND((((ET105)-(EU105))+AE105),2)</f>
        <v>0</v>
      </c>
      <c r="AE105">
        <f t="shared" ref="AE105:AF107" si="114">ROUND((EU105),2)</f>
        <v>0</v>
      </c>
      <c r="AF105">
        <f t="shared" si="114"/>
        <v>0</v>
      </c>
      <c r="AG105">
        <f t="shared" si="91"/>
        <v>0</v>
      </c>
      <c r="AH105">
        <f t="shared" ref="AH105:AI107" si="115">(EW105)</f>
        <v>0</v>
      </c>
      <c r="AI105">
        <f t="shared" si="115"/>
        <v>0</v>
      </c>
      <c r="AJ105">
        <f t="shared" si="92"/>
        <v>0</v>
      </c>
      <c r="AK105">
        <v>1448.8</v>
      </c>
      <c r="AL105">
        <v>1448.8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106</v>
      </c>
      <c r="AU105">
        <v>54</v>
      </c>
      <c r="AV105">
        <v>1</v>
      </c>
      <c r="AW105">
        <v>1</v>
      </c>
      <c r="AZ105">
        <v>6.56</v>
      </c>
      <c r="BA105">
        <v>1</v>
      </c>
      <c r="BB105">
        <v>1</v>
      </c>
      <c r="BC105">
        <v>6.56</v>
      </c>
      <c r="BD105" t="s">
        <v>6</v>
      </c>
      <c r="BE105" t="s">
        <v>6</v>
      </c>
      <c r="BF105" t="s">
        <v>6</v>
      </c>
      <c r="BG105" t="s">
        <v>6</v>
      </c>
      <c r="BH105">
        <v>3</v>
      </c>
      <c r="BI105">
        <v>1</v>
      </c>
      <c r="BJ105" t="s">
        <v>255</v>
      </c>
      <c r="BM105">
        <v>10001</v>
      </c>
      <c r="BN105">
        <v>0</v>
      </c>
      <c r="BO105" t="s">
        <v>6</v>
      </c>
      <c r="BP105">
        <v>0</v>
      </c>
      <c r="BQ105">
        <v>2</v>
      </c>
      <c r="BR105">
        <v>0</v>
      </c>
      <c r="BS105">
        <v>1</v>
      </c>
      <c r="BT105">
        <v>1</v>
      </c>
      <c r="BU105">
        <v>1</v>
      </c>
      <c r="BV105">
        <v>1</v>
      </c>
      <c r="BW105">
        <v>1</v>
      </c>
      <c r="BX105">
        <v>1</v>
      </c>
      <c r="BY105" t="s">
        <v>6</v>
      </c>
      <c r="BZ105">
        <v>118</v>
      </c>
      <c r="CA105">
        <v>63</v>
      </c>
      <c r="CF105">
        <v>0</v>
      </c>
      <c r="CG105">
        <v>0</v>
      </c>
      <c r="CM105">
        <v>0</v>
      </c>
      <c r="CN105" t="s">
        <v>6</v>
      </c>
      <c r="CO105">
        <v>0</v>
      </c>
      <c r="CP105">
        <f t="shared" si="93"/>
        <v>66718.98</v>
      </c>
      <c r="CQ105">
        <f t="shared" si="94"/>
        <v>9504.1279999999988</v>
      </c>
      <c r="CR105">
        <f t="shared" si="95"/>
        <v>0</v>
      </c>
      <c r="CS105">
        <f t="shared" si="96"/>
        <v>0</v>
      </c>
      <c r="CT105">
        <f t="shared" si="97"/>
        <v>0</v>
      </c>
      <c r="CU105">
        <f t="shared" si="98"/>
        <v>0</v>
      </c>
      <c r="CV105">
        <f t="shared" si="99"/>
        <v>0</v>
      </c>
      <c r="CW105">
        <f t="shared" si="100"/>
        <v>0</v>
      </c>
      <c r="CX105">
        <f t="shared" si="101"/>
        <v>0</v>
      </c>
      <c r="CY105">
        <f t="shared" si="102"/>
        <v>0</v>
      </c>
      <c r="CZ105">
        <f t="shared" si="103"/>
        <v>0</v>
      </c>
      <c r="DC105" t="s">
        <v>6</v>
      </c>
      <c r="DD105" t="s">
        <v>6</v>
      </c>
      <c r="DE105" t="s">
        <v>6</v>
      </c>
      <c r="DF105" t="s">
        <v>6</v>
      </c>
      <c r="DG105" t="s">
        <v>6</v>
      </c>
      <c r="DH105" t="s">
        <v>6</v>
      </c>
      <c r="DI105" t="s">
        <v>6</v>
      </c>
      <c r="DJ105" t="s">
        <v>6</v>
      </c>
      <c r="DK105" t="s">
        <v>6</v>
      </c>
      <c r="DL105" t="s">
        <v>6</v>
      </c>
      <c r="DM105" t="s">
        <v>6</v>
      </c>
      <c r="DN105">
        <v>0</v>
      </c>
      <c r="DO105">
        <v>0</v>
      </c>
      <c r="DP105">
        <v>1</v>
      </c>
      <c r="DQ105">
        <v>1</v>
      </c>
      <c r="DU105">
        <v>1005</v>
      </c>
      <c r="DV105" t="s">
        <v>89</v>
      </c>
      <c r="DW105" t="s">
        <v>89</v>
      </c>
      <c r="DX105">
        <v>1</v>
      </c>
      <c r="EE105">
        <v>16510487</v>
      </c>
      <c r="EF105">
        <v>2</v>
      </c>
      <c r="EG105" t="s">
        <v>22</v>
      </c>
      <c r="EH105">
        <v>0</v>
      </c>
      <c r="EI105" t="s">
        <v>6</v>
      </c>
      <c r="EJ105">
        <v>1</v>
      </c>
      <c r="EK105">
        <v>10001</v>
      </c>
      <c r="EL105" t="s">
        <v>174</v>
      </c>
      <c r="EM105" t="s">
        <v>175</v>
      </c>
      <c r="EO105" t="s">
        <v>6</v>
      </c>
      <c r="EQ105">
        <v>0</v>
      </c>
      <c r="ER105">
        <v>1448.8</v>
      </c>
      <c r="ES105">
        <v>1448.8</v>
      </c>
      <c r="ET105">
        <v>0</v>
      </c>
      <c r="EU105">
        <v>0</v>
      </c>
      <c r="EV105">
        <v>0</v>
      </c>
      <c r="EW105">
        <v>0</v>
      </c>
      <c r="EX105">
        <v>0</v>
      </c>
      <c r="FQ105">
        <v>0</v>
      </c>
      <c r="FR105">
        <f t="shared" si="104"/>
        <v>0</v>
      </c>
      <c r="FS105">
        <v>0</v>
      </c>
      <c r="FT105" t="s">
        <v>25</v>
      </c>
      <c r="FU105" t="s">
        <v>26</v>
      </c>
      <c r="FX105">
        <v>106.2</v>
      </c>
      <c r="FY105">
        <v>53.55</v>
      </c>
      <c r="GA105" t="s">
        <v>6</v>
      </c>
      <c r="GD105">
        <v>0</v>
      </c>
      <c r="GF105">
        <v>-863452992</v>
      </c>
      <c r="GG105">
        <v>1</v>
      </c>
      <c r="GH105">
        <v>1</v>
      </c>
      <c r="GI105">
        <v>4</v>
      </c>
      <c r="GJ105">
        <v>0</v>
      </c>
      <c r="GK105">
        <f>ROUND(R105*(R12)/100,2)</f>
        <v>0</v>
      </c>
      <c r="GL105">
        <f t="shared" si="105"/>
        <v>0</v>
      </c>
      <c r="GM105">
        <f t="shared" si="106"/>
        <v>66718.98</v>
      </c>
      <c r="GN105">
        <f t="shared" si="107"/>
        <v>66718.98</v>
      </c>
      <c r="GO105">
        <f t="shared" si="108"/>
        <v>0</v>
      </c>
      <c r="GP105">
        <f t="shared" si="109"/>
        <v>0</v>
      </c>
      <c r="GR105">
        <v>0</v>
      </c>
      <c r="GS105">
        <v>3</v>
      </c>
      <c r="GT105">
        <v>0</v>
      </c>
      <c r="GU105" t="s">
        <v>6</v>
      </c>
      <c r="GV105">
        <f t="shared" si="110"/>
        <v>0</v>
      </c>
      <c r="GW105">
        <v>1</v>
      </c>
      <c r="GX105">
        <f t="shared" si="111"/>
        <v>0</v>
      </c>
      <c r="HA105">
        <v>0</v>
      </c>
      <c r="HB105">
        <v>0</v>
      </c>
      <c r="IK105">
        <v>0</v>
      </c>
    </row>
    <row r="106" spans="1:245" x14ac:dyDescent="0.2">
      <c r="A106">
        <v>18</v>
      </c>
      <c r="B106">
        <v>1</v>
      </c>
      <c r="C106">
        <v>112</v>
      </c>
      <c r="E106" t="s">
        <v>256</v>
      </c>
      <c r="F106" t="s">
        <v>257</v>
      </c>
      <c r="G106" t="s">
        <v>258</v>
      </c>
      <c r="H106" t="s">
        <v>230</v>
      </c>
      <c r="I106">
        <f>I104*J106</f>
        <v>2.9999999999999996</v>
      </c>
      <c r="J106">
        <v>42.735042735042732</v>
      </c>
      <c r="O106">
        <f t="shared" si="78"/>
        <v>1863.3</v>
      </c>
      <c r="P106">
        <f t="shared" si="79"/>
        <v>1863.3</v>
      </c>
      <c r="Q106">
        <f t="shared" si="80"/>
        <v>0</v>
      </c>
      <c r="R106">
        <f t="shared" si="81"/>
        <v>0</v>
      </c>
      <c r="S106">
        <f t="shared" si="82"/>
        <v>0</v>
      </c>
      <c r="T106">
        <f t="shared" si="83"/>
        <v>0</v>
      </c>
      <c r="U106">
        <f t="shared" si="84"/>
        <v>0</v>
      </c>
      <c r="V106">
        <f t="shared" si="85"/>
        <v>0</v>
      </c>
      <c r="W106">
        <f t="shared" si="86"/>
        <v>0</v>
      </c>
      <c r="X106">
        <f t="shared" si="87"/>
        <v>0</v>
      </c>
      <c r="Y106">
        <f t="shared" si="88"/>
        <v>0</v>
      </c>
      <c r="AA106">
        <v>16748969</v>
      </c>
      <c r="AB106">
        <f t="shared" si="89"/>
        <v>94.68</v>
      </c>
      <c r="AC106">
        <f t="shared" si="90"/>
        <v>94.68</v>
      </c>
      <c r="AD106">
        <f>ROUND((((ET106)-(EU106))+AE106),2)</f>
        <v>0</v>
      </c>
      <c r="AE106">
        <f t="shared" si="114"/>
        <v>0</v>
      </c>
      <c r="AF106">
        <f t="shared" si="114"/>
        <v>0</v>
      </c>
      <c r="AG106">
        <f t="shared" si="91"/>
        <v>0</v>
      </c>
      <c r="AH106">
        <f t="shared" si="115"/>
        <v>0</v>
      </c>
      <c r="AI106">
        <f t="shared" si="115"/>
        <v>0</v>
      </c>
      <c r="AJ106">
        <f t="shared" si="92"/>
        <v>0</v>
      </c>
      <c r="AK106">
        <v>94.68</v>
      </c>
      <c r="AL106">
        <v>94.68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106</v>
      </c>
      <c r="AU106">
        <v>54</v>
      </c>
      <c r="AV106">
        <v>1</v>
      </c>
      <c r="AW106">
        <v>1</v>
      </c>
      <c r="AZ106">
        <v>6.56</v>
      </c>
      <c r="BA106">
        <v>1</v>
      </c>
      <c r="BB106">
        <v>1</v>
      </c>
      <c r="BC106">
        <v>6.56</v>
      </c>
      <c r="BD106" t="s">
        <v>6</v>
      </c>
      <c r="BE106" t="s">
        <v>6</v>
      </c>
      <c r="BF106" t="s">
        <v>6</v>
      </c>
      <c r="BG106" t="s">
        <v>6</v>
      </c>
      <c r="BH106">
        <v>3</v>
      </c>
      <c r="BI106">
        <v>1</v>
      </c>
      <c r="BJ106" t="s">
        <v>259</v>
      </c>
      <c r="BM106">
        <v>10001</v>
      </c>
      <c r="BN106">
        <v>0</v>
      </c>
      <c r="BO106" t="s">
        <v>6</v>
      </c>
      <c r="BP106">
        <v>0</v>
      </c>
      <c r="BQ106">
        <v>2</v>
      </c>
      <c r="BR106">
        <v>0</v>
      </c>
      <c r="BS106">
        <v>1</v>
      </c>
      <c r="BT106">
        <v>1</v>
      </c>
      <c r="BU106">
        <v>1</v>
      </c>
      <c r="BV106">
        <v>1</v>
      </c>
      <c r="BW106">
        <v>1</v>
      </c>
      <c r="BX106">
        <v>1</v>
      </c>
      <c r="BY106" t="s">
        <v>6</v>
      </c>
      <c r="BZ106">
        <v>118</v>
      </c>
      <c r="CA106">
        <v>63</v>
      </c>
      <c r="CF106">
        <v>0</v>
      </c>
      <c r="CG106">
        <v>0</v>
      </c>
      <c r="CM106">
        <v>0</v>
      </c>
      <c r="CN106" t="s">
        <v>6</v>
      </c>
      <c r="CO106">
        <v>0</v>
      </c>
      <c r="CP106">
        <f t="shared" si="93"/>
        <v>1863.3</v>
      </c>
      <c r="CQ106">
        <f t="shared" si="94"/>
        <v>621.10080000000005</v>
      </c>
      <c r="CR106">
        <f t="shared" si="95"/>
        <v>0</v>
      </c>
      <c r="CS106">
        <f t="shared" si="96"/>
        <v>0</v>
      </c>
      <c r="CT106">
        <f t="shared" si="97"/>
        <v>0</v>
      </c>
      <c r="CU106">
        <f t="shared" si="98"/>
        <v>0</v>
      </c>
      <c r="CV106">
        <f t="shared" si="99"/>
        <v>0</v>
      </c>
      <c r="CW106">
        <f t="shared" si="100"/>
        <v>0</v>
      </c>
      <c r="CX106">
        <f t="shared" si="101"/>
        <v>0</v>
      </c>
      <c r="CY106">
        <f t="shared" si="102"/>
        <v>0</v>
      </c>
      <c r="CZ106">
        <f t="shared" si="103"/>
        <v>0</v>
      </c>
      <c r="DC106" t="s">
        <v>6</v>
      </c>
      <c r="DD106" t="s">
        <v>6</v>
      </c>
      <c r="DE106" t="s">
        <v>6</v>
      </c>
      <c r="DF106" t="s">
        <v>6</v>
      </c>
      <c r="DG106" t="s">
        <v>6</v>
      </c>
      <c r="DH106" t="s">
        <v>6</v>
      </c>
      <c r="DI106" t="s">
        <v>6</v>
      </c>
      <c r="DJ106" t="s">
        <v>6</v>
      </c>
      <c r="DK106" t="s">
        <v>6</v>
      </c>
      <c r="DL106" t="s">
        <v>6</v>
      </c>
      <c r="DM106" t="s">
        <v>6</v>
      </c>
      <c r="DN106">
        <v>0</v>
      </c>
      <c r="DO106">
        <v>0</v>
      </c>
      <c r="DP106">
        <v>1</v>
      </c>
      <c r="DQ106">
        <v>1</v>
      </c>
      <c r="DU106">
        <v>1013</v>
      </c>
      <c r="DV106" t="s">
        <v>230</v>
      </c>
      <c r="DW106" t="s">
        <v>230</v>
      </c>
      <c r="DX106">
        <v>1</v>
      </c>
      <c r="EE106">
        <v>16510487</v>
      </c>
      <c r="EF106">
        <v>2</v>
      </c>
      <c r="EG106" t="s">
        <v>22</v>
      </c>
      <c r="EH106">
        <v>0</v>
      </c>
      <c r="EI106" t="s">
        <v>6</v>
      </c>
      <c r="EJ106">
        <v>1</v>
      </c>
      <c r="EK106">
        <v>10001</v>
      </c>
      <c r="EL106" t="s">
        <v>174</v>
      </c>
      <c r="EM106" t="s">
        <v>175</v>
      </c>
      <c r="EO106" t="s">
        <v>6</v>
      </c>
      <c r="EQ106">
        <v>0</v>
      </c>
      <c r="ER106">
        <v>94.68</v>
      </c>
      <c r="ES106">
        <v>94.68</v>
      </c>
      <c r="ET106">
        <v>0</v>
      </c>
      <c r="EU106">
        <v>0</v>
      </c>
      <c r="EV106">
        <v>0</v>
      </c>
      <c r="EW106">
        <v>0</v>
      </c>
      <c r="EX106">
        <v>0</v>
      </c>
      <c r="FQ106">
        <v>0</v>
      </c>
      <c r="FR106">
        <f t="shared" si="104"/>
        <v>0</v>
      </c>
      <c r="FS106">
        <v>0</v>
      </c>
      <c r="FT106" t="s">
        <v>25</v>
      </c>
      <c r="FU106" t="s">
        <v>26</v>
      </c>
      <c r="FX106">
        <v>106.2</v>
      </c>
      <c r="FY106">
        <v>53.55</v>
      </c>
      <c r="GA106" t="s">
        <v>6</v>
      </c>
      <c r="GD106">
        <v>0</v>
      </c>
      <c r="GF106">
        <v>602577485</v>
      </c>
      <c r="GG106">
        <v>1</v>
      </c>
      <c r="GH106">
        <v>1</v>
      </c>
      <c r="GI106">
        <v>4</v>
      </c>
      <c r="GJ106">
        <v>0</v>
      </c>
      <c r="GK106">
        <f>ROUND(R106*(R12)/100,2)</f>
        <v>0</v>
      </c>
      <c r="GL106">
        <f t="shared" si="105"/>
        <v>0</v>
      </c>
      <c r="GM106">
        <f t="shared" si="106"/>
        <v>1863.3</v>
      </c>
      <c r="GN106">
        <f t="shared" si="107"/>
        <v>1863.3</v>
      </c>
      <c r="GO106">
        <f t="shared" si="108"/>
        <v>0</v>
      </c>
      <c r="GP106">
        <f t="shared" si="109"/>
        <v>0</v>
      </c>
      <c r="GR106">
        <v>0</v>
      </c>
      <c r="GS106">
        <v>3</v>
      </c>
      <c r="GT106">
        <v>0</v>
      </c>
      <c r="GU106" t="s">
        <v>6</v>
      </c>
      <c r="GV106">
        <f t="shared" si="110"/>
        <v>0</v>
      </c>
      <c r="GW106">
        <v>1</v>
      </c>
      <c r="GX106">
        <f t="shared" si="111"/>
        <v>0</v>
      </c>
      <c r="HA106">
        <v>0</v>
      </c>
      <c r="HB106">
        <v>0</v>
      </c>
      <c r="IK106">
        <v>0</v>
      </c>
    </row>
    <row r="107" spans="1:245" x14ac:dyDescent="0.2">
      <c r="A107">
        <v>18</v>
      </c>
      <c r="B107">
        <v>1</v>
      </c>
      <c r="C107">
        <v>116</v>
      </c>
      <c r="E107" t="s">
        <v>260</v>
      </c>
      <c r="F107" t="s">
        <v>261</v>
      </c>
      <c r="G107" t="s">
        <v>262</v>
      </c>
      <c r="H107" t="s">
        <v>89</v>
      </c>
      <c r="I107">
        <f>I104*J107</f>
        <v>7.02</v>
      </c>
      <c r="J107">
        <v>100</v>
      </c>
      <c r="O107">
        <f t="shared" si="78"/>
        <v>0</v>
      </c>
      <c r="P107">
        <f t="shared" si="79"/>
        <v>0</v>
      </c>
      <c r="Q107">
        <f t="shared" si="80"/>
        <v>0</v>
      </c>
      <c r="R107">
        <f t="shared" si="81"/>
        <v>0</v>
      </c>
      <c r="S107">
        <f t="shared" si="82"/>
        <v>0</v>
      </c>
      <c r="T107">
        <f t="shared" si="83"/>
        <v>0</v>
      </c>
      <c r="U107">
        <f t="shared" si="84"/>
        <v>0</v>
      </c>
      <c r="V107">
        <f t="shared" si="85"/>
        <v>0</v>
      </c>
      <c r="W107">
        <f t="shared" si="86"/>
        <v>0</v>
      </c>
      <c r="X107">
        <f t="shared" si="87"/>
        <v>0</v>
      </c>
      <c r="Y107">
        <f t="shared" si="88"/>
        <v>0</v>
      </c>
      <c r="AA107">
        <v>16748969</v>
      </c>
      <c r="AB107">
        <f t="shared" si="89"/>
        <v>0</v>
      </c>
      <c r="AC107">
        <f t="shared" si="90"/>
        <v>0</v>
      </c>
      <c r="AD107">
        <f>ROUND((((ET107)-(EU107))+AE107),2)</f>
        <v>0</v>
      </c>
      <c r="AE107">
        <f t="shared" si="114"/>
        <v>0</v>
      </c>
      <c r="AF107">
        <f t="shared" si="114"/>
        <v>0</v>
      </c>
      <c r="AG107">
        <f t="shared" si="91"/>
        <v>0</v>
      </c>
      <c r="AH107">
        <f t="shared" si="115"/>
        <v>0</v>
      </c>
      <c r="AI107">
        <f t="shared" si="115"/>
        <v>0</v>
      </c>
      <c r="AJ107">
        <f t="shared" si="92"/>
        <v>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106</v>
      </c>
      <c r="AU107">
        <v>54</v>
      </c>
      <c r="AV107">
        <v>1</v>
      </c>
      <c r="AW107">
        <v>1</v>
      </c>
      <c r="AZ107">
        <v>6.56</v>
      </c>
      <c r="BA107">
        <v>1</v>
      </c>
      <c r="BB107">
        <v>1</v>
      </c>
      <c r="BC107">
        <v>6.56</v>
      </c>
      <c r="BD107" t="s">
        <v>6</v>
      </c>
      <c r="BE107" t="s">
        <v>6</v>
      </c>
      <c r="BF107" t="s">
        <v>6</v>
      </c>
      <c r="BG107" t="s">
        <v>6</v>
      </c>
      <c r="BH107">
        <v>3</v>
      </c>
      <c r="BI107">
        <v>1</v>
      </c>
      <c r="BJ107" t="s">
        <v>6</v>
      </c>
      <c r="BM107">
        <v>10001</v>
      </c>
      <c r="BN107">
        <v>0</v>
      </c>
      <c r="BO107" t="s">
        <v>6</v>
      </c>
      <c r="BP107">
        <v>0</v>
      </c>
      <c r="BQ107">
        <v>2</v>
      </c>
      <c r="BR107">
        <v>0</v>
      </c>
      <c r="BS107">
        <v>1</v>
      </c>
      <c r="BT107">
        <v>1</v>
      </c>
      <c r="BU107">
        <v>1</v>
      </c>
      <c r="BV107">
        <v>1</v>
      </c>
      <c r="BW107">
        <v>1</v>
      </c>
      <c r="BX107">
        <v>1</v>
      </c>
      <c r="BY107" t="s">
        <v>6</v>
      </c>
      <c r="BZ107">
        <v>118</v>
      </c>
      <c r="CA107">
        <v>63</v>
      </c>
      <c r="CF107">
        <v>0</v>
      </c>
      <c r="CG107">
        <v>0</v>
      </c>
      <c r="CM107">
        <v>0</v>
      </c>
      <c r="CN107" t="s">
        <v>6</v>
      </c>
      <c r="CO107">
        <v>0</v>
      </c>
      <c r="CP107">
        <f t="shared" si="93"/>
        <v>0</v>
      </c>
      <c r="CQ107">
        <f t="shared" si="94"/>
        <v>0</v>
      </c>
      <c r="CR107">
        <f t="shared" si="95"/>
        <v>0</v>
      </c>
      <c r="CS107">
        <f t="shared" si="96"/>
        <v>0</v>
      </c>
      <c r="CT107">
        <f t="shared" si="97"/>
        <v>0</v>
      </c>
      <c r="CU107">
        <f t="shared" si="98"/>
        <v>0</v>
      </c>
      <c r="CV107">
        <f t="shared" si="99"/>
        <v>0</v>
      </c>
      <c r="CW107">
        <f t="shared" si="100"/>
        <v>0</v>
      </c>
      <c r="CX107">
        <f t="shared" si="101"/>
        <v>0</v>
      </c>
      <c r="CY107">
        <f t="shared" si="102"/>
        <v>0</v>
      </c>
      <c r="CZ107">
        <f t="shared" si="103"/>
        <v>0</v>
      </c>
      <c r="DC107" t="s">
        <v>6</v>
      </c>
      <c r="DD107" t="s">
        <v>6</v>
      </c>
      <c r="DE107" t="s">
        <v>6</v>
      </c>
      <c r="DF107" t="s">
        <v>6</v>
      </c>
      <c r="DG107" t="s">
        <v>6</v>
      </c>
      <c r="DH107" t="s">
        <v>6</v>
      </c>
      <c r="DI107" t="s">
        <v>6</v>
      </c>
      <c r="DJ107" t="s">
        <v>6</v>
      </c>
      <c r="DK107" t="s">
        <v>6</v>
      </c>
      <c r="DL107" t="s">
        <v>6</v>
      </c>
      <c r="DM107" t="s">
        <v>6</v>
      </c>
      <c r="DN107">
        <v>0</v>
      </c>
      <c r="DO107">
        <v>0</v>
      </c>
      <c r="DP107">
        <v>1</v>
      </c>
      <c r="DQ107">
        <v>1</v>
      </c>
      <c r="DU107">
        <v>1005</v>
      </c>
      <c r="DV107" t="s">
        <v>89</v>
      </c>
      <c r="DW107" t="s">
        <v>89</v>
      </c>
      <c r="DX107">
        <v>1</v>
      </c>
      <c r="EE107">
        <v>16510487</v>
      </c>
      <c r="EF107">
        <v>2</v>
      </c>
      <c r="EG107" t="s">
        <v>22</v>
      </c>
      <c r="EH107">
        <v>0</v>
      </c>
      <c r="EI107" t="s">
        <v>6</v>
      </c>
      <c r="EJ107">
        <v>1</v>
      </c>
      <c r="EK107">
        <v>10001</v>
      </c>
      <c r="EL107" t="s">
        <v>174</v>
      </c>
      <c r="EM107" t="s">
        <v>175</v>
      </c>
      <c r="EO107" t="s">
        <v>6</v>
      </c>
      <c r="EQ107">
        <v>0</v>
      </c>
      <c r="ER107">
        <v>0</v>
      </c>
      <c r="ES107">
        <v>0</v>
      </c>
      <c r="ET107">
        <v>0</v>
      </c>
      <c r="EU107">
        <v>0</v>
      </c>
      <c r="EV107">
        <v>0</v>
      </c>
      <c r="EW107">
        <v>0</v>
      </c>
      <c r="EX107">
        <v>0</v>
      </c>
      <c r="FQ107">
        <v>0</v>
      </c>
      <c r="FR107">
        <f t="shared" si="104"/>
        <v>0</v>
      </c>
      <c r="FS107">
        <v>0</v>
      </c>
      <c r="FT107" t="s">
        <v>25</v>
      </c>
      <c r="FU107" t="s">
        <v>26</v>
      </c>
      <c r="FX107">
        <v>106.2</v>
      </c>
      <c r="FY107">
        <v>53.55</v>
      </c>
      <c r="GA107" t="s">
        <v>6</v>
      </c>
      <c r="GD107">
        <v>0</v>
      </c>
      <c r="GF107">
        <v>-732808487</v>
      </c>
      <c r="GG107">
        <v>1</v>
      </c>
      <c r="GH107">
        <v>1</v>
      </c>
      <c r="GI107">
        <v>4</v>
      </c>
      <c r="GJ107">
        <v>0</v>
      </c>
      <c r="GK107">
        <f>ROUND(R107*(R12)/100,2)</f>
        <v>0</v>
      </c>
      <c r="GL107">
        <f t="shared" si="105"/>
        <v>0</v>
      </c>
      <c r="GM107">
        <f t="shared" si="106"/>
        <v>0</v>
      </c>
      <c r="GN107">
        <f t="shared" si="107"/>
        <v>0</v>
      </c>
      <c r="GO107">
        <f t="shared" si="108"/>
        <v>0</v>
      </c>
      <c r="GP107">
        <f t="shared" si="109"/>
        <v>0</v>
      </c>
      <c r="GR107">
        <v>0</v>
      </c>
      <c r="GS107">
        <v>3</v>
      </c>
      <c r="GT107">
        <v>0</v>
      </c>
      <c r="GU107" t="s">
        <v>6</v>
      </c>
      <c r="GV107">
        <f t="shared" si="110"/>
        <v>0</v>
      </c>
      <c r="GW107">
        <v>1</v>
      </c>
      <c r="GX107">
        <f t="shared" si="111"/>
        <v>0</v>
      </c>
      <c r="HA107">
        <v>0</v>
      </c>
      <c r="HB107">
        <v>0</v>
      </c>
      <c r="IK107">
        <v>0</v>
      </c>
    </row>
    <row r="108" spans="1:245" x14ac:dyDescent="0.2">
      <c r="A108">
        <v>17</v>
      </c>
      <c r="B108">
        <v>1</v>
      </c>
      <c r="C108">
        <f>ROW(SmtRes!A120)</f>
        <v>120</v>
      </c>
      <c r="D108">
        <f>ROW(EtalonRes!A121)</f>
        <v>121</v>
      </c>
      <c r="E108" t="s">
        <v>263</v>
      </c>
      <c r="F108" t="s">
        <v>264</v>
      </c>
      <c r="G108" t="s">
        <v>265</v>
      </c>
      <c r="H108" t="s">
        <v>20</v>
      </c>
      <c r="I108">
        <f>ROUND(16.8/100,9)</f>
        <v>0.16800000000000001</v>
      </c>
      <c r="J108">
        <v>0</v>
      </c>
      <c r="O108">
        <f t="shared" si="78"/>
        <v>77663.600000000006</v>
      </c>
      <c r="P108">
        <f t="shared" si="79"/>
        <v>77289.97</v>
      </c>
      <c r="Q108">
        <f t="shared" si="80"/>
        <v>0</v>
      </c>
      <c r="R108">
        <f t="shared" si="81"/>
        <v>0</v>
      </c>
      <c r="S108">
        <f t="shared" si="82"/>
        <v>373.63</v>
      </c>
      <c r="T108">
        <f t="shared" si="83"/>
        <v>0</v>
      </c>
      <c r="U108">
        <f t="shared" si="84"/>
        <v>6.6769920000000003</v>
      </c>
      <c r="V108">
        <f t="shared" si="85"/>
        <v>0</v>
      </c>
      <c r="W108">
        <f t="shared" si="86"/>
        <v>0</v>
      </c>
      <c r="X108">
        <f t="shared" si="87"/>
        <v>396.05</v>
      </c>
      <c r="Y108">
        <f t="shared" si="88"/>
        <v>201.76</v>
      </c>
      <c r="AA108">
        <v>16748969</v>
      </c>
      <c r="AB108">
        <f t="shared" si="89"/>
        <v>70470.02</v>
      </c>
      <c r="AC108">
        <f t="shared" si="90"/>
        <v>70131</v>
      </c>
      <c r="AD108">
        <f>ROUND(((((ET108*1.25))-((EU108*1.25)))+AE108),2)</f>
        <v>0</v>
      </c>
      <c r="AE108">
        <f>ROUND(((EU108*1.25)),2)</f>
        <v>0</v>
      </c>
      <c r="AF108">
        <f>ROUND(((EV108*1.15)),2)</f>
        <v>339.02</v>
      </c>
      <c r="AG108">
        <f t="shared" si="91"/>
        <v>0</v>
      </c>
      <c r="AH108">
        <f>((EW108*1.15))</f>
        <v>39.744</v>
      </c>
      <c r="AI108">
        <f>((EX108*1.25))</f>
        <v>0</v>
      </c>
      <c r="AJ108">
        <f t="shared" si="92"/>
        <v>0</v>
      </c>
      <c r="AK108">
        <v>70425.8</v>
      </c>
      <c r="AL108">
        <v>70131</v>
      </c>
      <c r="AM108">
        <v>0</v>
      </c>
      <c r="AN108">
        <v>0</v>
      </c>
      <c r="AO108">
        <v>294.8</v>
      </c>
      <c r="AP108">
        <v>0</v>
      </c>
      <c r="AQ108">
        <v>34.56</v>
      </c>
      <c r="AR108">
        <v>0</v>
      </c>
      <c r="AS108">
        <v>0</v>
      </c>
      <c r="AT108">
        <v>106</v>
      </c>
      <c r="AU108">
        <v>54</v>
      </c>
      <c r="AV108">
        <v>1</v>
      </c>
      <c r="AW108">
        <v>1</v>
      </c>
      <c r="AZ108">
        <v>6.56</v>
      </c>
      <c r="BA108">
        <v>6.56</v>
      </c>
      <c r="BB108">
        <v>6.56</v>
      </c>
      <c r="BC108">
        <v>6.56</v>
      </c>
      <c r="BD108" t="s">
        <v>6</v>
      </c>
      <c r="BE108" t="s">
        <v>6</v>
      </c>
      <c r="BF108" t="s">
        <v>6</v>
      </c>
      <c r="BG108" t="s">
        <v>6</v>
      </c>
      <c r="BH108">
        <v>0</v>
      </c>
      <c r="BI108">
        <v>1</v>
      </c>
      <c r="BJ108" t="s">
        <v>266</v>
      </c>
      <c r="BM108">
        <v>10001</v>
      </c>
      <c r="BN108">
        <v>0</v>
      </c>
      <c r="BO108" t="s">
        <v>6</v>
      </c>
      <c r="BP108">
        <v>0</v>
      </c>
      <c r="BQ108">
        <v>2</v>
      </c>
      <c r="BR108">
        <v>0</v>
      </c>
      <c r="BS108">
        <v>6.56</v>
      </c>
      <c r="BT108">
        <v>1</v>
      </c>
      <c r="BU108">
        <v>1</v>
      </c>
      <c r="BV108">
        <v>1</v>
      </c>
      <c r="BW108">
        <v>1</v>
      </c>
      <c r="BX108">
        <v>1</v>
      </c>
      <c r="BY108" t="s">
        <v>6</v>
      </c>
      <c r="BZ108">
        <v>118</v>
      </c>
      <c r="CA108">
        <v>63</v>
      </c>
      <c r="CF108">
        <v>0</v>
      </c>
      <c r="CG108">
        <v>0</v>
      </c>
      <c r="CM108">
        <v>0</v>
      </c>
      <c r="CN108" t="s">
        <v>1609</v>
      </c>
      <c r="CO108">
        <v>0</v>
      </c>
      <c r="CP108">
        <f t="shared" si="93"/>
        <v>77663.600000000006</v>
      </c>
      <c r="CQ108">
        <f t="shared" si="94"/>
        <v>460059.36</v>
      </c>
      <c r="CR108">
        <f t="shared" si="95"/>
        <v>0</v>
      </c>
      <c r="CS108">
        <f t="shared" si="96"/>
        <v>0</v>
      </c>
      <c r="CT108">
        <f t="shared" si="97"/>
        <v>2223.9712</v>
      </c>
      <c r="CU108">
        <f t="shared" si="98"/>
        <v>0</v>
      </c>
      <c r="CV108">
        <f t="shared" si="99"/>
        <v>39.744</v>
      </c>
      <c r="CW108">
        <f t="shared" si="100"/>
        <v>0</v>
      </c>
      <c r="CX108">
        <f t="shared" si="101"/>
        <v>0</v>
      </c>
      <c r="CY108">
        <f t="shared" si="102"/>
        <v>396.0478</v>
      </c>
      <c r="CZ108">
        <f t="shared" si="103"/>
        <v>201.7602</v>
      </c>
      <c r="DC108" t="s">
        <v>6</v>
      </c>
      <c r="DD108" t="s">
        <v>6</v>
      </c>
      <c r="DE108" t="s">
        <v>172</v>
      </c>
      <c r="DF108" t="s">
        <v>172</v>
      </c>
      <c r="DG108" t="s">
        <v>173</v>
      </c>
      <c r="DH108" t="s">
        <v>6</v>
      </c>
      <c r="DI108" t="s">
        <v>173</v>
      </c>
      <c r="DJ108" t="s">
        <v>172</v>
      </c>
      <c r="DK108" t="s">
        <v>6</v>
      </c>
      <c r="DL108" t="s">
        <v>6</v>
      </c>
      <c r="DM108" t="s">
        <v>6</v>
      </c>
      <c r="DN108">
        <v>0</v>
      </c>
      <c r="DO108">
        <v>0</v>
      </c>
      <c r="DP108">
        <v>1</v>
      </c>
      <c r="DQ108">
        <v>1</v>
      </c>
      <c r="DU108">
        <v>1005</v>
      </c>
      <c r="DV108" t="s">
        <v>20</v>
      </c>
      <c r="DW108" t="s">
        <v>20</v>
      </c>
      <c r="DX108">
        <v>100</v>
      </c>
      <c r="EE108">
        <v>16510487</v>
      </c>
      <c r="EF108">
        <v>2</v>
      </c>
      <c r="EG108" t="s">
        <v>22</v>
      </c>
      <c r="EH108">
        <v>0</v>
      </c>
      <c r="EI108" t="s">
        <v>6</v>
      </c>
      <c r="EJ108">
        <v>1</v>
      </c>
      <c r="EK108">
        <v>10001</v>
      </c>
      <c r="EL108" t="s">
        <v>174</v>
      </c>
      <c r="EM108" t="s">
        <v>175</v>
      </c>
      <c r="EO108" t="s">
        <v>176</v>
      </c>
      <c r="EQ108">
        <v>131072</v>
      </c>
      <c r="ER108">
        <v>70425.8</v>
      </c>
      <c r="ES108">
        <v>70131</v>
      </c>
      <c r="ET108">
        <v>0</v>
      </c>
      <c r="EU108">
        <v>0</v>
      </c>
      <c r="EV108">
        <v>294.8</v>
      </c>
      <c r="EW108">
        <v>34.56</v>
      </c>
      <c r="EX108">
        <v>0</v>
      </c>
      <c r="EY108">
        <v>0</v>
      </c>
      <c r="FQ108">
        <v>0</v>
      </c>
      <c r="FR108">
        <f t="shared" si="104"/>
        <v>0</v>
      </c>
      <c r="FS108">
        <v>0</v>
      </c>
      <c r="FT108" t="s">
        <v>25</v>
      </c>
      <c r="FU108" t="s">
        <v>26</v>
      </c>
      <c r="FX108">
        <v>106.2</v>
      </c>
      <c r="FY108">
        <v>53.55</v>
      </c>
      <c r="GA108" t="s">
        <v>6</v>
      </c>
      <c r="GD108">
        <v>0</v>
      </c>
      <c r="GF108">
        <v>92801605</v>
      </c>
      <c r="GG108">
        <v>1</v>
      </c>
      <c r="GH108">
        <v>1</v>
      </c>
      <c r="GI108">
        <v>4</v>
      </c>
      <c r="GJ108">
        <v>0</v>
      </c>
      <c r="GK108">
        <f>ROUND(R108*(R12)/100,2)</f>
        <v>0</v>
      </c>
      <c r="GL108">
        <f t="shared" si="105"/>
        <v>0</v>
      </c>
      <c r="GM108">
        <f t="shared" si="106"/>
        <v>78261.41</v>
      </c>
      <c r="GN108">
        <f t="shared" si="107"/>
        <v>78261.41</v>
      </c>
      <c r="GO108">
        <f t="shared" si="108"/>
        <v>0</v>
      </c>
      <c r="GP108">
        <f t="shared" si="109"/>
        <v>0</v>
      </c>
      <c r="GR108">
        <v>0</v>
      </c>
      <c r="GS108">
        <v>3</v>
      </c>
      <c r="GT108">
        <v>0</v>
      </c>
      <c r="GU108" t="s">
        <v>6</v>
      </c>
      <c r="GV108">
        <f t="shared" si="110"/>
        <v>0</v>
      </c>
      <c r="GW108">
        <v>1</v>
      </c>
      <c r="GX108">
        <f t="shared" si="111"/>
        <v>0</v>
      </c>
      <c r="HA108">
        <v>0</v>
      </c>
      <c r="HB108">
        <v>0</v>
      </c>
      <c r="IK108">
        <v>0</v>
      </c>
    </row>
    <row r="109" spans="1:245" x14ac:dyDescent="0.2">
      <c r="A109">
        <v>17</v>
      </c>
      <c r="B109">
        <v>1</v>
      </c>
      <c r="C109">
        <f>ROW(SmtRes!A126)</f>
        <v>126</v>
      </c>
      <c r="D109">
        <f>ROW(EtalonRes!A127)</f>
        <v>127</v>
      </c>
      <c r="E109" t="s">
        <v>267</v>
      </c>
      <c r="F109" t="s">
        <v>268</v>
      </c>
      <c r="G109" t="s">
        <v>269</v>
      </c>
      <c r="H109" t="s">
        <v>20</v>
      </c>
      <c r="I109">
        <f>ROUND(7.32/100,9)</f>
        <v>7.3200000000000001E-2</v>
      </c>
      <c r="J109">
        <v>0</v>
      </c>
      <c r="O109">
        <f t="shared" si="78"/>
        <v>2762.04</v>
      </c>
      <c r="P109">
        <f t="shared" si="79"/>
        <v>1094.67</v>
      </c>
      <c r="Q109">
        <f t="shared" si="80"/>
        <v>17.41</v>
      </c>
      <c r="R109">
        <f t="shared" si="81"/>
        <v>7.52</v>
      </c>
      <c r="S109">
        <f t="shared" si="82"/>
        <v>1649.96</v>
      </c>
      <c r="T109">
        <f t="shared" si="83"/>
        <v>0</v>
      </c>
      <c r="U109">
        <f t="shared" si="84"/>
        <v>28.039992000000002</v>
      </c>
      <c r="V109">
        <f t="shared" si="85"/>
        <v>8.4912000000000001E-2</v>
      </c>
      <c r="W109">
        <f t="shared" si="86"/>
        <v>0</v>
      </c>
      <c r="X109">
        <f t="shared" si="87"/>
        <v>1309.4100000000001</v>
      </c>
      <c r="Y109">
        <f t="shared" si="88"/>
        <v>828.74</v>
      </c>
      <c r="AA109">
        <v>16748969</v>
      </c>
      <c r="AB109">
        <f t="shared" si="89"/>
        <v>5751.96</v>
      </c>
      <c r="AC109">
        <f t="shared" si="90"/>
        <v>2279.65</v>
      </c>
      <c r="AD109">
        <f t="shared" ref="AD109:AD137" si="116">ROUND((((ET109)-(EU109))+AE109),2)</f>
        <v>36.26</v>
      </c>
      <c r="AE109">
        <f t="shared" ref="AE109:AE137" si="117">ROUND((EU109),2)</f>
        <v>15.66</v>
      </c>
      <c r="AF109">
        <f t="shared" ref="AF109:AF137" si="118">ROUND((EV109),2)</f>
        <v>3436.05</v>
      </c>
      <c r="AG109">
        <f t="shared" si="91"/>
        <v>0</v>
      </c>
      <c r="AH109">
        <f t="shared" ref="AH109:AH137" si="119">(EW109)</f>
        <v>383.06</v>
      </c>
      <c r="AI109">
        <f t="shared" ref="AI109:AI137" si="120">(EX109)</f>
        <v>1.1599999999999999</v>
      </c>
      <c r="AJ109">
        <f t="shared" si="92"/>
        <v>0</v>
      </c>
      <c r="AK109">
        <v>5751.96</v>
      </c>
      <c r="AL109">
        <v>2279.65</v>
      </c>
      <c r="AM109">
        <v>36.26</v>
      </c>
      <c r="AN109">
        <v>15.66</v>
      </c>
      <c r="AO109">
        <v>3436.05</v>
      </c>
      <c r="AP109">
        <v>0</v>
      </c>
      <c r="AQ109">
        <v>383.06</v>
      </c>
      <c r="AR109">
        <v>1.1599999999999999</v>
      </c>
      <c r="AS109">
        <v>0</v>
      </c>
      <c r="AT109">
        <v>79</v>
      </c>
      <c r="AU109">
        <v>50</v>
      </c>
      <c r="AV109">
        <v>1</v>
      </c>
      <c r="AW109">
        <v>1</v>
      </c>
      <c r="AZ109">
        <v>6.56</v>
      </c>
      <c r="BA109">
        <v>6.56</v>
      </c>
      <c r="BB109">
        <v>6.56</v>
      </c>
      <c r="BC109">
        <v>6.56</v>
      </c>
      <c r="BD109" t="s">
        <v>6</v>
      </c>
      <c r="BE109" t="s">
        <v>6</v>
      </c>
      <c r="BF109" t="s">
        <v>6</v>
      </c>
      <c r="BG109" t="s">
        <v>6</v>
      </c>
      <c r="BH109">
        <v>0</v>
      </c>
      <c r="BI109">
        <v>1</v>
      </c>
      <c r="BJ109" t="s">
        <v>270</v>
      </c>
      <c r="BM109">
        <v>61001</v>
      </c>
      <c r="BN109">
        <v>0</v>
      </c>
      <c r="BO109" t="s">
        <v>6</v>
      </c>
      <c r="BP109">
        <v>0</v>
      </c>
      <c r="BQ109">
        <v>6</v>
      </c>
      <c r="BR109">
        <v>0</v>
      </c>
      <c r="BS109">
        <v>6.56</v>
      </c>
      <c r="BT109">
        <v>1</v>
      </c>
      <c r="BU109">
        <v>1</v>
      </c>
      <c r="BV109">
        <v>1</v>
      </c>
      <c r="BW109">
        <v>1</v>
      </c>
      <c r="BX109">
        <v>1</v>
      </c>
      <c r="BY109" t="s">
        <v>6</v>
      </c>
      <c r="BZ109">
        <v>79</v>
      </c>
      <c r="CA109">
        <v>50</v>
      </c>
      <c r="CF109">
        <v>0</v>
      </c>
      <c r="CG109">
        <v>0</v>
      </c>
      <c r="CM109">
        <v>0</v>
      </c>
      <c r="CN109" t="s">
        <v>6</v>
      </c>
      <c r="CO109">
        <v>0</v>
      </c>
      <c r="CP109">
        <f t="shared" si="93"/>
        <v>2762.04</v>
      </c>
      <c r="CQ109">
        <f t="shared" si="94"/>
        <v>14954.503999999999</v>
      </c>
      <c r="CR109">
        <f t="shared" si="95"/>
        <v>237.86559999999997</v>
      </c>
      <c r="CS109">
        <f t="shared" si="96"/>
        <v>102.72959999999999</v>
      </c>
      <c r="CT109">
        <f t="shared" si="97"/>
        <v>22540.488000000001</v>
      </c>
      <c r="CU109">
        <f t="shared" si="98"/>
        <v>0</v>
      </c>
      <c r="CV109">
        <f t="shared" si="99"/>
        <v>383.06</v>
      </c>
      <c r="CW109">
        <f t="shared" si="100"/>
        <v>1.1599999999999999</v>
      </c>
      <c r="CX109">
        <f t="shared" si="101"/>
        <v>0</v>
      </c>
      <c r="CY109">
        <f t="shared" si="102"/>
        <v>1309.4092000000001</v>
      </c>
      <c r="CZ109">
        <f t="shared" si="103"/>
        <v>828.74</v>
      </c>
      <c r="DC109" t="s">
        <v>6</v>
      </c>
      <c r="DD109" t="s">
        <v>6</v>
      </c>
      <c r="DE109" t="s">
        <v>6</v>
      </c>
      <c r="DF109" t="s">
        <v>6</v>
      </c>
      <c r="DG109" t="s">
        <v>6</v>
      </c>
      <c r="DH109" t="s">
        <v>6</v>
      </c>
      <c r="DI109" t="s">
        <v>6</v>
      </c>
      <c r="DJ109" t="s">
        <v>6</v>
      </c>
      <c r="DK109" t="s">
        <v>6</v>
      </c>
      <c r="DL109" t="s">
        <v>6</v>
      </c>
      <c r="DM109" t="s">
        <v>6</v>
      </c>
      <c r="DN109">
        <v>0</v>
      </c>
      <c r="DO109">
        <v>0</v>
      </c>
      <c r="DP109">
        <v>1</v>
      </c>
      <c r="DQ109">
        <v>1</v>
      </c>
      <c r="DU109">
        <v>1005</v>
      </c>
      <c r="DV109" t="s">
        <v>20</v>
      </c>
      <c r="DW109" t="s">
        <v>20</v>
      </c>
      <c r="DX109">
        <v>100</v>
      </c>
      <c r="EE109">
        <v>16510570</v>
      </c>
      <c r="EF109">
        <v>6</v>
      </c>
      <c r="EG109" t="s">
        <v>36</v>
      </c>
      <c r="EH109">
        <v>0</v>
      </c>
      <c r="EI109" t="s">
        <v>6</v>
      </c>
      <c r="EJ109">
        <v>1</v>
      </c>
      <c r="EK109">
        <v>61001</v>
      </c>
      <c r="EL109" t="s">
        <v>271</v>
      </c>
      <c r="EM109" t="s">
        <v>272</v>
      </c>
      <c r="EO109" t="s">
        <v>6</v>
      </c>
      <c r="EQ109">
        <v>131072</v>
      </c>
      <c r="ER109">
        <v>5751.96</v>
      </c>
      <c r="ES109">
        <v>2279.65</v>
      </c>
      <c r="ET109">
        <v>36.26</v>
      </c>
      <c r="EU109">
        <v>15.66</v>
      </c>
      <c r="EV109">
        <v>3436.05</v>
      </c>
      <c r="EW109">
        <v>383.06</v>
      </c>
      <c r="EX109">
        <v>1.1599999999999999</v>
      </c>
      <c r="EY109">
        <v>0</v>
      </c>
      <c r="FQ109">
        <v>0</v>
      </c>
      <c r="FR109">
        <f t="shared" si="104"/>
        <v>0</v>
      </c>
      <c r="FS109">
        <v>0</v>
      </c>
      <c r="FX109">
        <v>79</v>
      </c>
      <c r="FY109">
        <v>50</v>
      </c>
      <c r="GA109" t="s">
        <v>6</v>
      </c>
      <c r="GD109">
        <v>0</v>
      </c>
      <c r="GF109">
        <v>-1742364027</v>
      </c>
      <c r="GG109">
        <v>1</v>
      </c>
      <c r="GH109">
        <v>1</v>
      </c>
      <c r="GI109">
        <v>4</v>
      </c>
      <c r="GJ109">
        <v>0</v>
      </c>
      <c r="GK109">
        <f>ROUND(R109*(R12)/100,2)</f>
        <v>0</v>
      </c>
      <c r="GL109">
        <f t="shared" si="105"/>
        <v>0</v>
      </c>
      <c r="GM109">
        <f t="shared" si="106"/>
        <v>4900.1899999999996</v>
      </c>
      <c r="GN109">
        <f t="shared" si="107"/>
        <v>4900.1899999999996</v>
      </c>
      <c r="GO109">
        <f t="shared" si="108"/>
        <v>0</v>
      </c>
      <c r="GP109">
        <f t="shared" si="109"/>
        <v>0</v>
      </c>
      <c r="GR109">
        <v>0</v>
      </c>
      <c r="GS109">
        <v>3</v>
      </c>
      <c r="GT109">
        <v>0</v>
      </c>
      <c r="GU109" t="s">
        <v>6</v>
      </c>
      <c r="GV109">
        <f t="shared" si="110"/>
        <v>0</v>
      </c>
      <c r="GW109">
        <v>1</v>
      </c>
      <c r="GX109">
        <f t="shared" si="111"/>
        <v>0</v>
      </c>
      <c r="HA109">
        <v>0</v>
      </c>
      <c r="HB109">
        <v>0</v>
      </c>
      <c r="IK109">
        <v>0</v>
      </c>
    </row>
    <row r="110" spans="1:245" x14ac:dyDescent="0.2">
      <c r="A110">
        <v>18</v>
      </c>
      <c r="B110">
        <v>1</v>
      </c>
      <c r="C110">
        <v>125</v>
      </c>
      <c r="E110" t="s">
        <v>273</v>
      </c>
      <c r="F110" t="s">
        <v>69</v>
      </c>
      <c r="G110" t="s">
        <v>70</v>
      </c>
      <c r="H110" t="s">
        <v>71</v>
      </c>
      <c r="I110">
        <f>I109*J110</f>
        <v>0.59292</v>
      </c>
      <c r="J110">
        <v>8.1</v>
      </c>
      <c r="O110">
        <f t="shared" si="78"/>
        <v>0</v>
      </c>
      <c r="P110">
        <f t="shared" si="79"/>
        <v>0</v>
      </c>
      <c r="Q110">
        <f t="shared" si="80"/>
        <v>0</v>
      </c>
      <c r="R110">
        <f t="shared" si="81"/>
        <v>0</v>
      </c>
      <c r="S110">
        <f t="shared" si="82"/>
        <v>0</v>
      </c>
      <c r="T110">
        <f t="shared" si="83"/>
        <v>0</v>
      </c>
      <c r="U110">
        <f t="shared" si="84"/>
        <v>0</v>
      </c>
      <c r="V110">
        <f t="shared" si="85"/>
        <v>0</v>
      </c>
      <c r="W110">
        <f t="shared" si="86"/>
        <v>0</v>
      </c>
      <c r="X110">
        <f t="shared" si="87"/>
        <v>0</v>
      </c>
      <c r="Y110">
        <f t="shared" si="88"/>
        <v>0</v>
      </c>
      <c r="AA110">
        <v>16748969</v>
      </c>
      <c r="AB110">
        <f t="shared" si="89"/>
        <v>0</v>
      </c>
      <c r="AC110">
        <f t="shared" si="90"/>
        <v>0</v>
      </c>
      <c r="AD110">
        <f t="shared" si="116"/>
        <v>0</v>
      </c>
      <c r="AE110">
        <f t="shared" si="117"/>
        <v>0</v>
      </c>
      <c r="AF110">
        <f t="shared" si="118"/>
        <v>0</v>
      </c>
      <c r="AG110">
        <f t="shared" si="91"/>
        <v>0</v>
      </c>
      <c r="AH110">
        <f t="shared" si="119"/>
        <v>0</v>
      </c>
      <c r="AI110">
        <f t="shared" si="120"/>
        <v>0</v>
      </c>
      <c r="AJ110">
        <f t="shared" si="92"/>
        <v>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79</v>
      </c>
      <c r="AU110">
        <v>50</v>
      </c>
      <c r="AV110">
        <v>1</v>
      </c>
      <c r="AW110">
        <v>1</v>
      </c>
      <c r="AZ110">
        <v>6.56</v>
      </c>
      <c r="BA110">
        <v>1</v>
      </c>
      <c r="BB110">
        <v>1</v>
      </c>
      <c r="BC110">
        <v>6.56</v>
      </c>
      <c r="BD110" t="s">
        <v>6</v>
      </c>
      <c r="BE110" t="s">
        <v>6</v>
      </c>
      <c r="BF110" t="s">
        <v>6</v>
      </c>
      <c r="BG110" t="s">
        <v>6</v>
      </c>
      <c r="BH110">
        <v>3</v>
      </c>
      <c r="BI110">
        <v>1</v>
      </c>
      <c r="BJ110" t="s">
        <v>6</v>
      </c>
      <c r="BM110">
        <v>61001</v>
      </c>
      <c r="BN110">
        <v>0</v>
      </c>
      <c r="BO110" t="s">
        <v>6</v>
      </c>
      <c r="BP110">
        <v>0</v>
      </c>
      <c r="BQ110">
        <v>6</v>
      </c>
      <c r="BR110">
        <v>0</v>
      </c>
      <c r="BS110">
        <v>1</v>
      </c>
      <c r="BT110">
        <v>1</v>
      </c>
      <c r="BU110">
        <v>1</v>
      </c>
      <c r="BV110">
        <v>1</v>
      </c>
      <c r="BW110">
        <v>1</v>
      </c>
      <c r="BX110">
        <v>1</v>
      </c>
      <c r="BY110" t="s">
        <v>6</v>
      </c>
      <c r="BZ110">
        <v>79</v>
      </c>
      <c r="CA110">
        <v>50</v>
      </c>
      <c r="CF110">
        <v>0</v>
      </c>
      <c r="CG110">
        <v>0</v>
      </c>
      <c r="CM110">
        <v>0</v>
      </c>
      <c r="CN110" t="s">
        <v>6</v>
      </c>
      <c r="CO110">
        <v>0</v>
      </c>
      <c r="CP110">
        <f t="shared" si="93"/>
        <v>0</v>
      </c>
      <c r="CQ110">
        <f t="shared" si="94"/>
        <v>0</v>
      </c>
      <c r="CR110">
        <f t="shared" si="95"/>
        <v>0</v>
      </c>
      <c r="CS110">
        <f t="shared" si="96"/>
        <v>0</v>
      </c>
      <c r="CT110">
        <f t="shared" si="97"/>
        <v>0</v>
      </c>
      <c r="CU110">
        <f t="shared" si="98"/>
        <v>0</v>
      </c>
      <c r="CV110">
        <f t="shared" si="99"/>
        <v>0</v>
      </c>
      <c r="CW110">
        <f t="shared" si="100"/>
        <v>0</v>
      </c>
      <c r="CX110">
        <f t="shared" si="101"/>
        <v>0</v>
      </c>
      <c r="CY110">
        <f t="shared" si="102"/>
        <v>0</v>
      </c>
      <c r="CZ110">
        <f t="shared" si="103"/>
        <v>0</v>
      </c>
      <c r="DC110" t="s">
        <v>6</v>
      </c>
      <c r="DD110" t="s">
        <v>6</v>
      </c>
      <c r="DE110" t="s">
        <v>6</v>
      </c>
      <c r="DF110" t="s">
        <v>6</v>
      </c>
      <c r="DG110" t="s">
        <v>6</v>
      </c>
      <c r="DH110" t="s">
        <v>6</v>
      </c>
      <c r="DI110" t="s">
        <v>6</v>
      </c>
      <c r="DJ110" t="s">
        <v>6</v>
      </c>
      <c r="DK110" t="s">
        <v>6</v>
      </c>
      <c r="DL110" t="s">
        <v>6</v>
      </c>
      <c r="DM110" t="s">
        <v>6</v>
      </c>
      <c r="DN110">
        <v>0</v>
      </c>
      <c r="DO110">
        <v>0</v>
      </c>
      <c r="DP110">
        <v>1</v>
      </c>
      <c r="DQ110">
        <v>1</v>
      </c>
      <c r="DU110">
        <v>1009</v>
      </c>
      <c r="DV110" t="s">
        <v>71</v>
      </c>
      <c r="DW110" t="s">
        <v>71</v>
      </c>
      <c r="DX110">
        <v>1000</v>
      </c>
      <c r="EE110">
        <v>16510570</v>
      </c>
      <c r="EF110">
        <v>6</v>
      </c>
      <c r="EG110" t="s">
        <v>36</v>
      </c>
      <c r="EH110">
        <v>0</v>
      </c>
      <c r="EI110" t="s">
        <v>6</v>
      </c>
      <c r="EJ110">
        <v>1</v>
      </c>
      <c r="EK110">
        <v>61001</v>
      </c>
      <c r="EL110" t="s">
        <v>271</v>
      </c>
      <c r="EM110" t="s">
        <v>272</v>
      </c>
      <c r="EO110" t="s">
        <v>6</v>
      </c>
      <c r="EQ110">
        <v>0</v>
      </c>
      <c r="ER110">
        <v>0</v>
      </c>
      <c r="ES110">
        <v>0</v>
      </c>
      <c r="ET110">
        <v>0</v>
      </c>
      <c r="EU110">
        <v>0</v>
      </c>
      <c r="EV110">
        <v>0</v>
      </c>
      <c r="EW110">
        <v>0</v>
      </c>
      <c r="EX110">
        <v>0</v>
      </c>
      <c r="FQ110">
        <v>0</v>
      </c>
      <c r="FR110">
        <f t="shared" si="104"/>
        <v>0</v>
      </c>
      <c r="FS110">
        <v>0</v>
      </c>
      <c r="FX110">
        <v>79</v>
      </c>
      <c r="FY110">
        <v>50</v>
      </c>
      <c r="GA110" t="s">
        <v>6</v>
      </c>
      <c r="GD110">
        <v>0</v>
      </c>
      <c r="GF110">
        <v>-179832266</v>
      </c>
      <c r="GG110">
        <v>1</v>
      </c>
      <c r="GH110">
        <v>1</v>
      </c>
      <c r="GI110">
        <v>4</v>
      </c>
      <c r="GJ110">
        <v>0</v>
      </c>
      <c r="GK110">
        <f>ROUND(R110*(R12)/100,2)</f>
        <v>0</v>
      </c>
      <c r="GL110">
        <f t="shared" si="105"/>
        <v>0</v>
      </c>
      <c r="GM110">
        <f t="shared" si="106"/>
        <v>0</v>
      </c>
      <c r="GN110">
        <f t="shared" si="107"/>
        <v>0</v>
      </c>
      <c r="GO110">
        <f t="shared" si="108"/>
        <v>0</v>
      </c>
      <c r="GP110">
        <f t="shared" si="109"/>
        <v>0</v>
      </c>
      <c r="GR110">
        <v>0</v>
      </c>
      <c r="GS110">
        <v>3</v>
      </c>
      <c r="GT110">
        <v>0</v>
      </c>
      <c r="GU110" t="s">
        <v>6</v>
      </c>
      <c r="GV110">
        <f t="shared" si="110"/>
        <v>0</v>
      </c>
      <c r="GW110">
        <v>1</v>
      </c>
      <c r="GX110">
        <f t="shared" si="111"/>
        <v>0</v>
      </c>
      <c r="HA110">
        <v>0</v>
      </c>
      <c r="HB110">
        <v>0</v>
      </c>
      <c r="IK110">
        <v>0</v>
      </c>
    </row>
    <row r="111" spans="1:245" x14ac:dyDescent="0.2">
      <c r="A111">
        <v>17</v>
      </c>
      <c r="B111">
        <v>1</v>
      </c>
      <c r="C111">
        <f>ROW(SmtRes!A140)</f>
        <v>140</v>
      </c>
      <c r="D111">
        <f>ROW(EtalonRes!A138)</f>
        <v>138</v>
      </c>
      <c r="E111" t="s">
        <v>274</v>
      </c>
      <c r="F111" t="s">
        <v>275</v>
      </c>
      <c r="G111" t="s">
        <v>276</v>
      </c>
      <c r="H111" t="s">
        <v>71</v>
      </c>
      <c r="I111">
        <v>0.01</v>
      </c>
      <c r="J111">
        <v>0</v>
      </c>
      <c r="O111">
        <f t="shared" si="78"/>
        <v>103.72</v>
      </c>
      <c r="P111">
        <f t="shared" si="79"/>
        <v>5.56</v>
      </c>
      <c r="Q111">
        <f t="shared" si="80"/>
        <v>4.1399999999999997</v>
      </c>
      <c r="R111">
        <f t="shared" si="81"/>
        <v>0.46</v>
      </c>
      <c r="S111">
        <f t="shared" si="82"/>
        <v>94.02</v>
      </c>
      <c r="T111">
        <f t="shared" si="83"/>
        <v>0</v>
      </c>
      <c r="U111">
        <f t="shared" si="84"/>
        <v>1.6588000000000001</v>
      </c>
      <c r="V111">
        <f t="shared" si="85"/>
        <v>6.7000000000000002E-3</v>
      </c>
      <c r="W111">
        <f t="shared" si="86"/>
        <v>0</v>
      </c>
      <c r="X111">
        <f t="shared" si="87"/>
        <v>81.25</v>
      </c>
      <c r="Y111">
        <f t="shared" si="88"/>
        <v>66.14</v>
      </c>
      <c r="AA111">
        <v>16748969</v>
      </c>
      <c r="AB111">
        <f t="shared" si="89"/>
        <v>1581.13</v>
      </c>
      <c r="AC111">
        <f t="shared" si="90"/>
        <v>84.82</v>
      </c>
      <c r="AD111">
        <f t="shared" si="116"/>
        <v>63.11</v>
      </c>
      <c r="AE111">
        <f t="shared" si="117"/>
        <v>7.05</v>
      </c>
      <c r="AF111">
        <f t="shared" si="118"/>
        <v>1433.2</v>
      </c>
      <c r="AG111">
        <f t="shared" si="91"/>
        <v>0</v>
      </c>
      <c r="AH111">
        <f t="shared" si="119"/>
        <v>165.88</v>
      </c>
      <c r="AI111">
        <f t="shared" si="120"/>
        <v>0.67</v>
      </c>
      <c r="AJ111">
        <f t="shared" si="92"/>
        <v>0</v>
      </c>
      <c r="AK111">
        <v>1581.13</v>
      </c>
      <c r="AL111">
        <v>84.82</v>
      </c>
      <c r="AM111">
        <v>63.11</v>
      </c>
      <c r="AN111">
        <v>7.05</v>
      </c>
      <c r="AO111">
        <v>1433.2</v>
      </c>
      <c r="AP111">
        <v>0</v>
      </c>
      <c r="AQ111">
        <v>165.88</v>
      </c>
      <c r="AR111">
        <v>0.67</v>
      </c>
      <c r="AS111">
        <v>0</v>
      </c>
      <c r="AT111">
        <v>86</v>
      </c>
      <c r="AU111">
        <v>70</v>
      </c>
      <c r="AV111">
        <v>1</v>
      </c>
      <c r="AW111">
        <v>1</v>
      </c>
      <c r="AZ111">
        <v>6.56</v>
      </c>
      <c r="BA111">
        <v>6.56</v>
      </c>
      <c r="BB111">
        <v>6.56</v>
      </c>
      <c r="BC111">
        <v>6.56</v>
      </c>
      <c r="BD111" t="s">
        <v>6</v>
      </c>
      <c r="BE111" t="s">
        <v>6</v>
      </c>
      <c r="BF111" t="s">
        <v>6</v>
      </c>
      <c r="BG111" t="s">
        <v>6</v>
      </c>
      <c r="BH111">
        <v>0</v>
      </c>
      <c r="BI111">
        <v>1</v>
      </c>
      <c r="BJ111" t="s">
        <v>277</v>
      </c>
      <c r="BM111">
        <v>53001</v>
      </c>
      <c r="BN111">
        <v>0</v>
      </c>
      <c r="BO111" t="s">
        <v>6</v>
      </c>
      <c r="BP111">
        <v>0</v>
      </c>
      <c r="BQ111">
        <v>6</v>
      </c>
      <c r="BR111">
        <v>0</v>
      </c>
      <c r="BS111">
        <v>6.56</v>
      </c>
      <c r="BT111">
        <v>1</v>
      </c>
      <c r="BU111">
        <v>1</v>
      </c>
      <c r="BV111">
        <v>1</v>
      </c>
      <c r="BW111">
        <v>1</v>
      </c>
      <c r="BX111">
        <v>1</v>
      </c>
      <c r="BY111" t="s">
        <v>6</v>
      </c>
      <c r="BZ111">
        <v>86</v>
      </c>
      <c r="CA111">
        <v>70</v>
      </c>
      <c r="CF111">
        <v>0</v>
      </c>
      <c r="CG111">
        <v>0</v>
      </c>
      <c r="CM111">
        <v>0</v>
      </c>
      <c r="CN111" t="s">
        <v>6</v>
      </c>
      <c r="CO111">
        <v>0</v>
      </c>
      <c r="CP111">
        <f t="shared" si="93"/>
        <v>103.72</v>
      </c>
      <c r="CQ111">
        <f t="shared" si="94"/>
        <v>556.41919999999993</v>
      </c>
      <c r="CR111">
        <f t="shared" si="95"/>
        <v>414.0016</v>
      </c>
      <c r="CS111">
        <f t="shared" si="96"/>
        <v>46.247999999999998</v>
      </c>
      <c r="CT111">
        <f t="shared" si="97"/>
        <v>9401.7919999999995</v>
      </c>
      <c r="CU111">
        <f t="shared" si="98"/>
        <v>0</v>
      </c>
      <c r="CV111">
        <f t="shared" si="99"/>
        <v>165.88</v>
      </c>
      <c r="CW111">
        <f t="shared" si="100"/>
        <v>0.67</v>
      </c>
      <c r="CX111">
        <f t="shared" si="101"/>
        <v>0</v>
      </c>
      <c r="CY111">
        <f t="shared" si="102"/>
        <v>81.252799999999993</v>
      </c>
      <c r="CZ111">
        <f t="shared" si="103"/>
        <v>66.135999999999996</v>
      </c>
      <c r="DC111" t="s">
        <v>6</v>
      </c>
      <c r="DD111" t="s">
        <v>6</v>
      </c>
      <c r="DE111" t="s">
        <v>6</v>
      </c>
      <c r="DF111" t="s">
        <v>6</v>
      </c>
      <c r="DG111" t="s">
        <v>6</v>
      </c>
      <c r="DH111" t="s">
        <v>6</v>
      </c>
      <c r="DI111" t="s">
        <v>6</v>
      </c>
      <c r="DJ111" t="s">
        <v>6</v>
      </c>
      <c r="DK111" t="s">
        <v>6</v>
      </c>
      <c r="DL111" t="s">
        <v>6</v>
      </c>
      <c r="DM111" t="s">
        <v>6</v>
      </c>
      <c r="DN111">
        <v>0</v>
      </c>
      <c r="DO111">
        <v>0</v>
      </c>
      <c r="DP111">
        <v>1</v>
      </c>
      <c r="DQ111">
        <v>1</v>
      </c>
      <c r="DU111">
        <v>1009</v>
      </c>
      <c r="DV111" t="s">
        <v>71</v>
      </c>
      <c r="DW111" t="s">
        <v>71</v>
      </c>
      <c r="DX111">
        <v>1000</v>
      </c>
      <c r="EE111">
        <v>16510562</v>
      </c>
      <c r="EF111">
        <v>6</v>
      </c>
      <c r="EG111" t="s">
        <v>36</v>
      </c>
      <c r="EH111">
        <v>0</v>
      </c>
      <c r="EI111" t="s">
        <v>6</v>
      </c>
      <c r="EJ111">
        <v>1</v>
      </c>
      <c r="EK111">
        <v>53001</v>
      </c>
      <c r="EL111" t="s">
        <v>278</v>
      </c>
      <c r="EM111" t="s">
        <v>279</v>
      </c>
      <c r="EO111" t="s">
        <v>6</v>
      </c>
      <c r="EQ111">
        <v>131072</v>
      </c>
      <c r="ER111">
        <v>1581.13</v>
      </c>
      <c r="ES111">
        <v>84.82</v>
      </c>
      <c r="ET111">
        <v>63.11</v>
      </c>
      <c r="EU111">
        <v>7.05</v>
      </c>
      <c r="EV111">
        <v>1433.2</v>
      </c>
      <c r="EW111">
        <v>165.88</v>
      </c>
      <c r="EX111">
        <v>0.67</v>
      </c>
      <c r="EY111">
        <v>0</v>
      </c>
      <c r="FQ111">
        <v>0</v>
      </c>
      <c r="FR111">
        <f t="shared" si="104"/>
        <v>0</v>
      </c>
      <c r="FS111">
        <v>0</v>
      </c>
      <c r="FX111">
        <v>86</v>
      </c>
      <c r="FY111">
        <v>70</v>
      </c>
      <c r="GA111" t="s">
        <v>6</v>
      </c>
      <c r="GD111">
        <v>0</v>
      </c>
      <c r="GF111">
        <v>1823163434</v>
      </c>
      <c r="GG111">
        <v>1</v>
      </c>
      <c r="GH111">
        <v>1</v>
      </c>
      <c r="GI111">
        <v>4</v>
      </c>
      <c r="GJ111">
        <v>0</v>
      </c>
      <c r="GK111">
        <f>ROUND(R111*(R12)/100,2)</f>
        <v>0</v>
      </c>
      <c r="GL111">
        <f t="shared" si="105"/>
        <v>0</v>
      </c>
      <c r="GM111">
        <f t="shared" si="106"/>
        <v>251.11</v>
      </c>
      <c r="GN111">
        <f t="shared" si="107"/>
        <v>251.11</v>
      </c>
      <c r="GO111">
        <f t="shared" si="108"/>
        <v>0</v>
      </c>
      <c r="GP111">
        <f t="shared" si="109"/>
        <v>0</v>
      </c>
      <c r="GR111">
        <v>0</v>
      </c>
      <c r="GS111">
        <v>3</v>
      </c>
      <c r="GT111">
        <v>0</v>
      </c>
      <c r="GU111" t="s">
        <v>6</v>
      </c>
      <c r="GV111">
        <f t="shared" si="110"/>
        <v>0</v>
      </c>
      <c r="GW111">
        <v>1</v>
      </c>
      <c r="GX111">
        <f t="shared" si="111"/>
        <v>0</v>
      </c>
      <c r="HA111">
        <v>0</v>
      </c>
      <c r="HB111">
        <v>0</v>
      </c>
      <c r="IK111">
        <v>0</v>
      </c>
    </row>
    <row r="112" spans="1:245" x14ac:dyDescent="0.2">
      <c r="A112">
        <v>18</v>
      </c>
      <c r="B112">
        <v>1</v>
      </c>
      <c r="C112">
        <v>135</v>
      </c>
      <c r="E112" t="s">
        <v>280</v>
      </c>
      <c r="F112" t="s">
        <v>281</v>
      </c>
      <c r="G112" t="s">
        <v>282</v>
      </c>
      <c r="H112" t="s">
        <v>283</v>
      </c>
      <c r="I112">
        <f>I111*J112</f>
        <v>5.4000000000000003E-3</v>
      </c>
      <c r="J112">
        <v>0.54</v>
      </c>
      <c r="O112">
        <f t="shared" si="78"/>
        <v>18.41</v>
      </c>
      <c r="P112">
        <f t="shared" si="79"/>
        <v>18.41</v>
      </c>
      <c r="Q112">
        <f t="shared" si="80"/>
        <v>0</v>
      </c>
      <c r="R112">
        <f t="shared" si="81"/>
        <v>0</v>
      </c>
      <c r="S112">
        <f t="shared" si="82"/>
        <v>0</v>
      </c>
      <c r="T112">
        <f t="shared" si="83"/>
        <v>0</v>
      </c>
      <c r="U112">
        <f t="shared" si="84"/>
        <v>0</v>
      </c>
      <c r="V112">
        <f t="shared" si="85"/>
        <v>0</v>
      </c>
      <c r="W112">
        <f t="shared" si="86"/>
        <v>0</v>
      </c>
      <c r="X112">
        <f t="shared" si="87"/>
        <v>0</v>
      </c>
      <c r="Y112">
        <f t="shared" si="88"/>
        <v>0</v>
      </c>
      <c r="AA112">
        <v>16748969</v>
      </c>
      <c r="AB112">
        <f t="shared" si="89"/>
        <v>519.79999999999995</v>
      </c>
      <c r="AC112">
        <f t="shared" si="90"/>
        <v>519.79999999999995</v>
      </c>
      <c r="AD112">
        <f t="shared" si="116"/>
        <v>0</v>
      </c>
      <c r="AE112">
        <f t="shared" si="117"/>
        <v>0</v>
      </c>
      <c r="AF112">
        <f t="shared" si="118"/>
        <v>0</v>
      </c>
      <c r="AG112">
        <f t="shared" si="91"/>
        <v>0</v>
      </c>
      <c r="AH112">
        <f t="shared" si="119"/>
        <v>0</v>
      </c>
      <c r="AI112">
        <f t="shared" si="120"/>
        <v>0</v>
      </c>
      <c r="AJ112">
        <f t="shared" si="92"/>
        <v>0</v>
      </c>
      <c r="AK112">
        <v>519.79999999999995</v>
      </c>
      <c r="AL112">
        <v>519.79999999999995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86</v>
      </c>
      <c r="AU112">
        <v>70</v>
      </c>
      <c r="AV112">
        <v>1</v>
      </c>
      <c r="AW112">
        <v>1</v>
      </c>
      <c r="AZ112">
        <v>6.56</v>
      </c>
      <c r="BA112">
        <v>1</v>
      </c>
      <c r="BB112">
        <v>1</v>
      </c>
      <c r="BC112">
        <v>6.56</v>
      </c>
      <c r="BD112" t="s">
        <v>6</v>
      </c>
      <c r="BE112" t="s">
        <v>6</v>
      </c>
      <c r="BF112" t="s">
        <v>6</v>
      </c>
      <c r="BG112" t="s">
        <v>6</v>
      </c>
      <c r="BH112">
        <v>3</v>
      </c>
      <c r="BI112">
        <v>1</v>
      </c>
      <c r="BJ112" t="s">
        <v>284</v>
      </c>
      <c r="BM112">
        <v>53001</v>
      </c>
      <c r="BN112">
        <v>0</v>
      </c>
      <c r="BO112" t="s">
        <v>6</v>
      </c>
      <c r="BP112">
        <v>0</v>
      </c>
      <c r="BQ112">
        <v>6</v>
      </c>
      <c r="BR112">
        <v>0</v>
      </c>
      <c r="BS112">
        <v>1</v>
      </c>
      <c r="BT112">
        <v>1</v>
      </c>
      <c r="BU112">
        <v>1</v>
      </c>
      <c r="BV112">
        <v>1</v>
      </c>
      <c r="BW112">
        <v>1</v>
      </c>
      <c r="BX112">
        <v>1</v>
      </c>
      <c r="BY112" t="s">
        <v>6</v>
      </c>
      <c r="BZ112">
        <v>86</v>
      </c>
      <c r="CA112">
        <v>70</v>
      </c>
      <c r="CF112">
        <v>0</v>
      </c>
      <c r="CG112">
        <v>0</v>
      </c>
      <c r="CM112">
        <v>0</v>
      </c>
      <c r="CN112" t="s">
        <v>6</v>
      </c>
      <c r="CO112">
        <v>0</v>
      </c>
      <c r="CP112">
        <f t="shared" si="93"/>
        <v>18.41</v>
      </c>
      <c r="CQ112">
        <f t="shared" si="94"/>
        <v>3409.8879999999995</v>
      </c>
      <c r="CR112">
        <f t="shared" si="95"/>
        <v>0</v>
      </c>
      <c r="CS112">
        <f t="shared" si="96"/>
        <v>0</v>
      </c>
      <c r="CT112">
        <f t="shared" si="97"/>
        <v>0</v>
      </c>
      <c r="CU112">
        <f t="shared" si="98"/>
        <v>0</v>
      </c>
      <c r="CV112">
        <f t="shared" si="99"/>
        <v>0</v>
      </c>
      <c r="CW112">
        <f t="shared" si="100"/>
        <v>0</v>
      </c>
      <c r="CX112">
        <f t="shared" si="101"/>
        <v>0</v>
      </c>
      <c r="CY112">
        <f t="shared" si="102"/>
        <v>0</v>
      </c>
      <c r="CZ112">
        <f t="shared" si="103"/>
        <v>0</v>
      </c>
      <c r="DC112" t="s">
        <v>6</v>
      </c>
      <c r="DD112" t="s">
        <v>6</v>
      </c>
      <c r="DE112" t="s">
        <v>6</v>
      </c>
      <c r="DF112" t="s">
        <v>6</v>
      </c>
      <c r="DG112" t="s">
        <v>6</v>
      </c>
      <c r="DH112" t="s">
        <v>6</v>
      </c>
      <c r="DI112" t="s">
        <v>6</v>
      </c>
      <c r="DJ112" t="s">
        <v>6</v>
      </c>
      <c r="DK112" t="s">
        <v>6</v>
      </c>
      <c r="DL112" t="s">
        <v>6</v>
      </c>
      <c r="DM112" t="s">
        <v>6</v>
      </c>
      <c r="DN112">
        <v>0</v>
      </c>
      <c r="DO112">
        <v>0</v>
      </c>
      <c r="DP112">
        <v>1</v>
      </c>
      <c r="DQ112">
        <v>1</v>
      </c>
      <c r="DU112">
        <v>1007</v>
      </c>
      <c r="DV112" t="s">
        <v>283</v>
      </c>
      <c r="DW112" t="s">
        <v>283</v>
      </c>
      <c r="DX112">
        <v>1</v>
      </c>
      <c r="EE112">
        <v>16510562</v>
      </c>
      <c r="EF112">
        <v>6</v>
      </c>
      <c r="EG112" t="s">
        <v>36</v>
      </c>
      <c r="EH112">
        <v>0</v>
      </c>
      <c r="EI112" t="s">
        <v>6</v>
      </c>
      <c r="EJ112">
        <v>1</v>
      </c>
      <c r="EK112">
        <v>53001</v>
      </c>
      <c r="EL112" t="s">
        <v>278</v>
      </c>
      <c r="EM112" t="s">
        <v>279</v>
      </c>
      <c r="EO112" t="s">
        <v>6</v>
      </c>
      <c r="EQ112">
        <v>0</v>
      </c>
      <c r="ER112">
        <v>519.79999999999995</v>
      </c>
      <c r="ES112">
        <v>519.79999999999995</v>
      </c>
      <c r="ET112">
        <v>0</v>
      </c>
      <c r="EU112">
        <v>0</v>
      </c>
      <c r="EV112">
        <v>0</v>
      </c>
      <c r="EW112">
        <v>0</v>
      </c>
      <c r="EX112">
        <v>0</v>
      </c>
      <c r="FQ112">
        <v>0</v>
      </c>
      <c r="FR112">
        <f t="shared" si="104"/>
        <v>0</v>
      </c>
      <c r="FS112">
        <v>0</v>
      </c>
      <c r="FX112">
        <v>86</v>
      </c>
      <c r="FY112">
        <v>70</v>
      </c>
      <c r="GA112" t="s">
        <v>6</v>
      </c>
      <c r="GD112">
        <v>0</v>
      </c>
      <c r="GF112">
        <v>519185539</v>
      </c>
      <c r="GG112">
        <v>1</v>
      </c>
      <c r="GH112">
        <v>1</v>
      </c>
      <c r="GI112">
        <v>4</v>
      </c>
      <c r="GJ112">
        <v>0</v>
      </c>
      <c r="GK112">
        <f>ROUND(R112*(R12)/100,2)</f>
        <v>0</v>
      </c>
      <c r="GL112">
        <f t="shared" si="105"/>
        <v>0</v>
      </c>
      <c r="GM112">
        <f t="shared" si="106"/>
        <v>18.41</v>
      </c>
      <c r="GN112">
        <f t="shared" si="107"/>
        <v>18.41</v>
      </c>
      <c r="GO112">
        <f t="shared" si="108"/>
        <v>0</v>
      </c>
      <c r="GP112">
        <f t="shared" si="109"/>
        <v>0</v>
      </c>
      <c r="GR112">
        <v>0</v>
      </c>
      <c r="GS112">
        <v>3</v>
      </c>
      <c r="GT112">
        <v>0</v>
      </c>
      <c r="GU112" t="s">
        <v>6</v>
      </c>
      <c r="GV112">
        <f t="shared" si="110"/>
        <v>0</v>
      </c>
      <c r="GW112">
        <v>1</v>
      </c>
      <c r="GX112">
        <f t="shared" si="111"/>
        <v>0</v>
      </c>
      <c r="HA112">
        <v>0</v>
      </c>
      <c r="HB112">
        <v>0</v>
      </c>
      <c r="IK112">
        <v>0</v>
      </c>
    </row>
    <row r="113" spans="1:245" x14ac:dyDescent="0.2">
      <c r="A113">
        <v>18</v>
      </c>
      <c r="B113">
        <v>1</v>
      </c>
      <c r="C113">
        <v>138</v>
      </c>
      <c r="E113" t="s">
        <v>285</v>
      </c>
      <c r="F113" t="s">
        <v>286</v>
      </c>
      <c r="G113" t="s">
        <v>287</v>
      </c>
      <c r="H113" t="s">
        <v>288</v>
      </c>
      <c r="I113">
        <f>I111*J113</f>
        <v>5.7000000000000011E-3</v>
      </c>
      <c r="J113">
        <v>0.57000000000000006</v>
      </c>
      <c r="O113">
        <f t="shared" si="78"/>
        <v>69.680000000000007</v>
      </c>
      <c r="P113">
        <f t="shared" si="79"/>
        <v>69.680000000000007</v>
      </c>
      <c r="Q113">
        <f t="shared" si="80"/>
        <v>0</v>
      </c>
      <c r="R113">
        <f t="shared" si="81"/>
        <v>0</v>
      </c>
      <c r="S113">
        <f t="shared" si="82"/>
        <v>0</v>
      </c>
      <c r="T113">
        <f t="shared" si="83"/>
        <v>0</v>
      </c>
      <c r="U113">
        <f t="shared" si="84"/>
        <v>0</v>
      </c>
      <c r="V113">
        <f t="shared" si="85"/>
        <v>0</v>
      </c>
      <c r="W113">
        <f t="shared" si="86"/>
        <v>0</v>
      </c>
      <c r="X113">
        <f t="shared" si="87"/>
        <v>0</v>
      </c>
      <c r="Y113">
        <f t="shared" si="88"/>
        <v>0</v>
      </c>
      <c r="AA113">
        <v>16748969</v>
      </c>
      <c r="AB113">
        <f t="shared" si="89"/>
        <v>1863.37</v>
      </c>
      <c r="AC113">
        <f t="shared" si="90"/>
        <v>1863.37</v>
      </c>
      <c r="AD113">
        <f t="shared" si="116"/>
        <v>0</v>
      </c>
      <c r="AE113">
        <f t="shared" si="117"/>
        <v>0</v>
      </c>
      <c r="AF113">
        <f t="shared" si="118"/>
        <v>0</v>
      </c>
      <c r="AG113">
        <f t="shared" si="91"/>
        <v>0</v>
      </c>
      <c r="AH113">
        <f t="shared" si="119"/>
        <v>0</v>
      </c>
      <c r="AI113">
        <f t="shared" si="120"/>
        <v>0</v>
      </c>
      <c r="AJ113">
        <f t="shared" si="92"/>
        <v>0</v>
      </c>
      <c r="AK113">
        <v>1863.37</v>
      </c>
      <c r="AL113">
        <v>1863.37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86</v>
      </c>
      <c r="AU113">
        <v>70</v>
      </c>
      <c r="AV113">
        <v>1</v>
      </c>
      <c r="AW113">
        <v>1</v>
      </c>
      <c r="AZ113">
        <v>6.56</v>
      </c>
      <c r="BA113">
        <v>1</v>
      </c>
      <c r="BB113">
        <v>1</v>
      </c>
      <c r="BC113">
        <v>6.56</v>
      </c>
      <c r="BD113" t="s">
        <v>6</v>
      </c>
      <c r="BE113" t="s">
        <v>6</v>
      </c>
      <c r="BF113" t="s">
        <v>6</v>
      </c>
      <c r="BG113" t="s">
        <v>6</v>
      </c>
      <c r="BH113">
        <v>3</v>
      </c>
      <c r="BI113">
        <v>1</v>
      </c>
      <c r="BJ113" t="s">
        <v>289</v>
      </c>
      <c r="BM113">
        <v>53001</v>
      </c>
      <c r="BN113">
        <v>0</v>
      </c>
      <c r="BO113" t="s">
        <v>6</v>
      </c>
      <c r="BP113">
        <v>0</v>
      </c>
      <c r="BQ113">
        <v>6</v>
      </c>
      <c r="BR113">
        <v>0</v>
      </c>
      <c r="BS113">
        <v>1</v>
      </c>
      <c r="BT113">
        <v>1</v>
      </c>
      <c r="BU113">
        <v>1</v>
      </c>
      <c r="BV113">
        <v>1</v>
      </c>
      <c r="BW113">
        <v>1</v>
      </c>
      <c r="BX113">
        <v>1</v>
      </c>
      <c r="BY113" t="s">
        <v>6</v>
      </c>
      <c r="BZ113">
        <v>86</v>
      </c>
      <c r="CA113">
        <v>70</v>
      </c>
      <c r="CF113">
        <v>0</v>
      </c>
      <c r="CG113">
        <v>0</v>
      </c>
      <c r="CM113">
        <v>0</v>
      </c>
      <c r="CN113" t="s">
        <v>6</v>
      </c>
      <c r="CO113">
        <v>0</v>
      </c>
      <c r="CP113">
        <f t="shared" si="93"/>
        <v>69.680000000000007</v>
      </c>
      <c r="CQ113">
        <f t="shared" si="94"/>
        <v>12223.707199999999</v>
      </c>
      <c r="CR113">
        <f t="shared" si="95"/>
        <v>0</v>
      </c>
      <c r="CS113">
        <f t="shared" si="96"/>
        <v>0</v>
      </c>
      <c r="CT113">
        <f t="shared" si="97"/>
        <v>0</v>
      </c>
      <c r="CU113">
        <f t="shared" si="98"/>
        <v>0</v>
      </c>
      <c r="CV113">
        <f t="shared" si="99"/>
        <v>0</v>
      </c>
      <c r="CW113">
        <f t="shared" si="100"/>
        <v>0</v>
      </c>
      <c r="CX113">
        <f t="shared" si="101"/>
        <v>0</v>
      </c>
      <c r="CY113">
        <f t="shared" si="102"/>
        <v>0</v>
      </c>
      <c r="CZ113">
        <f t="shared" si="103"/>
        <v>0</v>
      </c>
      <c r="DC113" t="s">
        <v>6</v>
      </c>
      <c r="DD113" t="s">
        <v>6</v>
      </c>
      <c r="DE113" t="s">
        <v>6</v>
      </c>
      <c r="DF113" t="s">
        <v>6</v>
      </c>
      <c r="DG113" t="s">
        <v>6</v>
      </c>
      <c r="DH113" t="s">
        <v>6</v>
      </c>
      <c r="DI113" t="s">
        <v>6</v>
      </c>
      <c r="DJ113" t="s">
        <v>6</v>
      </c>
      <c r="DK113" t="s">
        <v>6</v>
      </c>
      <c r="DL113" t="s">
        <v>6</v>
      </c>
      <c r="DM113" t="s">
        <v>6</v>
      </c>
      <c r="DN113">
        <v>0</v>
      </c>
      <c r="DO113">
        <v>0</v>
      </c>
      <c r="DP113">
        <v>1</v>
      </c>
      <c r="DQ113">
        <v>1</v>
      </c>
      <c r="DU113">
        <v>1010</v>
      </c>
      <c r="DV113" t="s">
        <v>288</v>
      </c>
      <c r="DW113" t="s">
        <v>288</v>
      </c>
      <c r="DX113">
        <v>1000</v>
      </c>
      <c r="EE113">
        <v>16510562</v>
      </c>
      <c r="EF113">
        <v>6</v>
      </c>
      <c r="EG113" t="s">
        <v>36</v>
      </c>
      <c r="EH113">
        <v>0</v>
      </c>
      <c r="EI113" t="s">
        <v>6</v>
      </c>
      <c r="EJ113">
        <v>1</v>
      </c>
      <c r="EK113">
        <v>53001</v>
      </c>
      <c r="EL113" t="s">
        <v>278</v>
      </c>
      <c r="EM113" t="s">
        <v>279</v>
      </c>
      <c r="EO113" t="s">
        <v>6</v>
      </c>
      <c r="EQ113">
        <v>0</v>
      </c>
      <c r="ER113">
        <v>1863.37</v>
      </c>
      <c r="ES113">
        <v>1863.37</v>
      </c>
      <c r="ET113">
        <v>0</v>
      </c>
      <c r="EU113">
        <v>0</v>
      </c>
      <c r="EV113">
        <v>0</v>
      </c>
      <c r="EW113">
        <v>0</v>
      </c>
      <c r="EX113">
        <v>0</v>
      </c>
      <c r="FQ113">
        <v>0</v>
      </c>
      <c r="FR113">
        <f t="shared" si="104"/>
        <v>0</v>
      </c>
      <c r="FS113">
        <v>0</v>
      </c>
      <c r="FX113">
        <v>86</v>
      </c>
      <c r="FY113">
        <v>70</v>
      </c>
      <c r="GA113" t="s">
        <v>6</v>
      </c>
      <c r="GD113">
        <v>0</v>
      </c>
      <c r="GF113">
        <v>-1135711210</v>
      </c>
      <c r="GG113">
        <v>1</v>
      </c>
      <c r="GH113">
        <v>1</v>
      </c>
      <c r="GI113">
        <v>4</v>
      </c>
      <c r="GJ113">
        <v>0</v>
      </c>
      <c r="GK113">
        <f>ROUND(R113*(R12)/100,2)</f>
        <v>0</v>
      </c>
      <c r="GL113">
        <f t="shared" si="105"/>
        <v>0</v>
      </c>
      <c r="GM113">
        <f t="shared" si="106"/>
        <v>69.680000000000007</v>
      </c>
      <c r="GN113">
        <f t="shared" si="107"/>
        <v>69.680000000000007</v>
      </c>
      <c r="GO113">
        <f t="shared" si="108"/>
        <v>0</v>
      </c>
      <c r="GP113">
        <f t="shared" si="109"/>
        <v>0</v>
      </c>
      <c r="GR113">
        <v>0</v>
      </c>
      <c r="GS113">
        <v>3</v>
      </c>
      <c r="GT113">
        <v>0</v>
      </c>
      <c r="GU113" t="s">
        <v>6</v>
      </c>
      <c r="GV113">
        <f t="shared" si="110"/>
        <v>0</v>
      </c>
      <c r="GW113">
        <v>1</v>
      </c>
      <c r="GX113">
        <f t="shared" si="111"/>
        <v>0</v>
      </c>
      <c r="HA113">
        <v>0</v>
      </c>
      <c r="HB113">
        <v>0</v>
      </c>
      <c r="IK113">
        <v>0</v>
      </c>
    </row>
    <row r="114" spans="1:245" x14ac:dyDescent="0.2">
      <c r="A114">
        <v>18</v>
      </c>
      <c r="B114">
        <v>1</v>
      </c>
      <c r="C114">
        <v>140</v>
      </c>
      <c r="E114" t="s">
        <v>290</v>
      </c>
      <c r="F114" t="s">
        <v>291</v>
      </c>
      <c r="G114" t="s">
        <v>292</v>
      </c>
      <c r="H114" t="s">
        <v>71</v>
      </c>
      <c r="I114">
        <f>I111*J114</f>
        <v>1.0400000000000001E-2</v>
      </c>
      <c r="J114">
        <v>1.04</v>
      </c>
      <c r="O114">
        <f t="shared" si="78"/>
        <v>460.07</v>
      </c>
      <c r="P114">
        <f t="shared" si="79"/>
        <v>460.07</v>
      </c>
      <c r="Q114">
        <f t="shared" si="80"/>
        <v>0</v>
      </c>
      <c r="R114">
        <f t="shared" si="81"/>
        <v>0</v>
      </c>
      <c r="S114">
        <f t="shared" si="82"/>
        <v>0</v>
      </c>
      <c r="T114">
        <f t="shared" si="83"/>
        <v>0</v>
      </c>
      <c r="U114">
        <f t="shared" si="84"/>
        <v>0</v>
      </c>
      <c r="V114">
        <f t="shared" si="85"/>
        <v>0</v>
      </c>
      <c r="W114">
        <f t="shared" si="86"/>
        <v>0</v>
      </c>
      <c r="X114">
        <f t="shared" si="87"/>
        <v>0</v>
      </c>
      <c r="Y114">
        <f t="shared" si="88"/>
        <v>0</v>
      </c>
      <c r="AA114">
        <v>16748969</v>
      </c>
      <c r="AB114">
        <f t="shared" si="89"/>
        <v>6743.51</v>
      </c>
      <c r="AC114">
        <f t="shared" si="90"/>
        <v>6743.51</v>
      </c>
      <c r="AD114">
        <f t="shared" si="116"/>
        <v>0</v>
      </c>
      <c r="AE114">
        <f t="shared" si="117"/>
        <v>0</v>
      </c>
      <c r="AF114">
        <f t="shared" si="118"/>
        <v>0</v>
      </c>
      <c r="AG114">
        <f t="shared" si="91"/>
        <v>0</v>
      </c>
      <c r="AH114">
        <f t="shared" si="119"/>
        <v>0</v>
      </c>
      <c r="AI114">
        <f t="shared" si="120"/>
        <v>0</v>
      </c>
      <c r="AJ114">
        <f t="shared" si="92"/>
        <v>0</v>
      </c>
      <c r="AK114">
        <v>6743.51</v>
      </c>
      <c r="AL114">
        <v>6743.51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86</v>
      </c>
      <c r="AU114">
        <v>70</v>
      </c>
      <c r="AV114">
        <v>1</v>
      </c>
      <c r="AW114">
        <v>1</v>
      </c>
      <c r="AZ114">
        <v>6.56</v>
      </c>
      <c r="BA114">
        <v>1</v>
      </c>
      <c r="BB114">
        <v>1</v>
      </c>
      <c r="BC114">
        <v>6.56</v>
      </c>
      <c r="BD114" t="s">
        <v>6</v>
      </c>
      <c r="BE114" t="s">
        <v>6</v>
      </c>
      <c r="BF114" t="s">
        <v>6</v>
      </c>
      <c r="BG114" t="s">
        <v>6</v>
      </c>
      <c r="BH114">
        <v>3</v>
      </c>
      <c r="BI114">
        <v>1</v>
      </c>
      <c r="BJ114" t="s">
        <v>293</v>
      </c>
      <c r="BM114">
        <v>53001</v>
      </c>
      <c r="BN114">
        <v>0</v>
      </c>
      <c r="BO114" t="s">
        <v>6</v>
      </c>
      <c r="BP114">
        <v>0</v>
      </c>
      <c r="BQ114">
        <v>6</v>
      </c>
      <c r="BR114">
        <v>0</v>
      </c>
      <c r="BS114">
        <v>1</v>
      </c>
      <c r="BT114">
        <v>1</v>
      </c>
      <c r="BU114">
        <v>1</v>
      </c>
      <c r="BV114">
        <v>1</v>
      </c>
      <c r="BW114">
        <v>1</v>
      </c>
      <c r="BX114">
        <v>1</v>
      </c>
      <c r="BY114" t="s">
        <v>6</v>
      </c>
      <c r="BZ114">
        <v>86</v>
      </c>
      <c r="CA114">
        <v>70</v>
      </c>
      <c r="CF114">
        <v>0</v>
      </c>
      <c r="CG114">
        <v>0</v>
      </c>
      <c r="CM114">
        <v>0</v>
      </c>
      <c r="CN114" t="s">
        <v>6</v>
      </c>
      <c r="CO114">
        <v>0</v>
      </c>
      <c r="CP114">
        <f t="shared" si="93"/>
        <v>460.07</v>
      </c>
      <c r="CQ114">
        <f t="shared" si="94"/>
        <v>44237.425600000002</v>
      </c>
      <c r="CR114">
        <f t="shared" si="95"/>
        <v>0</v>
      </c>
      <c r="CS114">
        <f t="shared" si="96"/>
        <v>0</v>
      </c>
      <c r="CT114">
        <f t="shared" si="97"/>
        <v>0</v>
      </c>
      <c r="CU114">
        <f t="shared" si="98"/>
        <v>0</v>
      </c>
      <c r="CV114">
        <f t="shared" si="99"/>
        <v>0</v>
      </c>
      <c r="CW114">
        <f t="shared" si="100"/>
        <v>0</v>
      </c>
      <c r="CX114">
        <f t="shared" si="101"/>
        <v>0</v>
      </c>
      <c r="CY114">
        <f t="shared" si="102"/>
        <v>0</v>
      </c>
      <c r="CZ114">
        <f t="shared" si="103"/>
        <v>0</v>
      </c>
      <c r="DC114" t="s">
        <v>6</v>
      </c>
      <c r="DD114" t="s">
        <v>6</v>
      </c>
      <c r="DE114" t="s">
        <v>6</v>
      </c>
      <c r="DF114" t="s">
        <v>6</v>
      </c>
      <c r="DG114" t="s">
        <v>6</v>
      </c>
      <c r="DH114" t="s">
        <v>6</v>
      </c>
      <c r="DI114" t="s">
        <v>6</v>
      </c>
      <c r="DJ114" t="s">
        <v>6</v>
      </c>
      <c r="DK114" t="s">
        <v>6</v>
      </c>
      <c r="DL114" t="s">
        <v>6</v>
      </c>
      <c r="DM114" t="s">
        <v>6</v>
      </c>
      <c r="DN114">
        <v>0</v>
      </c>
      <c r="DO114">
        <v>0</v>
      </c>
      <c r="DP114">
        <v>1</v>
      </c>
      <c r="DQ114">
        <v>1</v>
      </c>
      <c r="DU114">
        <v>1009</v>
      </c>
      <c r="DV114" t="s">
        <v>71</v>
      </c>
      <c r="DW114" t="s">
        <v>71</v>
      </c>
      <c r="DX114">
        <v>1000</v>
      </c>
      <c r="EE114">
        <v>16510562</v>
      </c>
      <c r="EF114">
        <v>6</v>
      </c>
      <c r="EG114" t="s">
        <v>36</v>
      </c>
      <c r="EH114">
        <v>0</v>
      </c>
      <c r="EI114" t="s">
        <v>6</v>
      </c>
      <c r="EJ114">
        <v>1</v>
      </c>
      <c r="EK114">
        <v>53001</v>
      </c>
      <c r="EL114" t="s">
        <v>278</v>
      </c>
      <c r="EM114" t="s">
        <v>279</v>
      </c>
      <c r="EO114" t="s">
        <v>6</v>
      </c>
      <c r="EQ114">
        <v>0</v>
      </c>
      <c r="ER114">
        <v>6743.51</v>
      </c>
      <c r="ES114">
        <v>6743.51</v>
      </c>
      <c r="ET114">
        <v>0</v>
      </c>
      <c r="EU114">
        <v>0</v>
      </c>
      <c r="EV114">
        <v>0</v>
      </c>
      <c r="EW114">
        <v>0</v>
      </c>
      <c r="EX114">
        <v>0</v>
      </c>
      <c r="FQ114">
        <v>0</v>
      </c>
      <c r="FR114">
        <f t="shared" si="104"/>
        <v>0</v>
      </c>
      <c r="FS114">
        <v>0</v>
      </c>
      <c r="FX114">
        <v>86</v>
      </c>
      <c r="FY114">
        <v>70</v>
      </c>
      <c r="GA114" t="s">
        <v>6</v>
      </c>
      <c r="GD114">
        <v>0</v>
      </c>
      <c r="GF114">
        <v>1270864760</v>
      </c>
      <c r="GG114">
        <v>1</v>
      </c>
      <c r="GH114">
        <v>1</v>
      </c>
      <c r="GI114">
        <v>4</v>
      </c>
      <c r="GJ114">
        <v>0</v>
      </c>
      <c r="GK114">
        <f>ROUND(R114*(R12)/100,2)</f>
        <v>0</v>
      </c>
      <c r="GL114">
        <f t="shared" si="105"/>
        <v>0</v>
      </c>
      <c r="GM114">
        <f t="shared" si="106"/>
        <v>460.07</v>
      </c>
      <c r="GN114">
        <f t="shared" si="107"/>
        <v>460.07</v>
      </c>
      <c r="GO114">
        <f t="shared" si="108"/>
        <v>0</v>
      </c>
      <c r="GP114">
        <f t="shared" si="109"/>
        <v>0</v>
      </c>
      <c r="GR114">
        <v>0</v>
      </c>
      <c r="GS114">
        <v>3</v>
      </c>
      <c r="GT114">
        <v>0</v>
      </c>
      <c r="GU114" t="s">
        <v>6</v>
      </c>
      <c r="GV114">
        <f t="shared" si="110"/>
        <v>0</v>
      </c>
      <c r="GW114">
        <v>1</v>
      </c>
      <c r="GX114">
        <f t="shared" si="111"/>
        <v>0</v>
      </c>
      <c r="HA114">
        <v>0</v>
      </c>
      <c r="HB114">
        <v>0</v>
      </c>
      <c r="IK114">
        <v>0</v>
      </c>
    </row>
    <row r="115" spans="1:245" x14ac:dyDescent="0.2">
      <c r="A115">
        <v>18</v>
      </c>
      <c r="B115">
        <v>1</v>
      </c>
      <c r="C115">
        <v>136</v>
      </c>
      <c r="E115" t="s">
        <v>294</v>
      </c>
      <c r="F115" t="s">
        <v>295</v>
      </c>
      <c r="G115" t="s">
        <v>296</v>
      </c>
      <c r="H115" t="s">
        <v>283</v>
      </c>
      <c r="I115">
        <f>I111*J115</f>
        <v>5.4000000000000003E-3</v>
      </c>
      <c r="J115">
        <v>0.54</v>
      </c>
      <c r="O115">
        <f t="shared" si="78"/>
        <v>0</v>
      </c>
      <c r="P115">
        <f t="shared" si="79"/>
        <v>0</v>
      </c>
      <c r="Q115">
        <f t="shared" si="80"/>
        <v>0</v>
      </c>
      <c r="R115">
        <f t="shared" si="81"/>
        <v>0</v>
      </c>
      <c r="S115">
        <f t="shared" si="82"/>
        <v>0</v>
      </c>
      <c r="T115">
        <f t="shared" si="83"/>
        <v>0</v>
      </c>
      <c r="U115">
        <f t="shared" si="84"/>
        <v>0</v>
      </c>
      <c r="V115">
        <f t="shared" si="85"/>
        <v>0</v>
      </c>
      <c r="W115">
        <f t="shared" si="86"/>
        <v>0</v>
      </c>
      <c r="X115">
        <f t="shared" si="87"/>
        <v>0</v>
      </c>
      <c r="Y115">
        <f t="shared" si="88"/>
        <v>0</v>
      </c>
      <c r="AA115">
        <v>16748969</v>
      </c>
      <c r="AB115">
        <f t="shared" si="89"/>
        <v>0</v>
      </c>
      <c r="AC115">
        <f t="shared" si="90"/>
        <v>0</v>
      </c>
      <c r="AD115">
        <f t="shared" si="116"/>
        <v>0</v>
      </c>
      <c r="AE115">
        <f t="shared" si="117"/>
        <v>0</v>
      </c>
      <c r="AF115">
        <f t="shared" si="118"/>
        <v>0</v>
      </c>
      <c r="AG115">
        <f t="shared" si="91"/>
        <v>0</v>
      </c>
      <c r="AH115">
        <f t="shared" si="119"/>
        <v>0</v>
      </c>
      <c r="AI115">
        <f t="shared" si="120"/>
        <v>0</v>
      </c>
      <c r="AJ115">
        <f t="shared" si="92"/>
        <v>0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86</v>
      </c>
      <c r="AU115">
        <v>70</v>
      </c>
      <c r="AV115">
        <v>1</v>
      </c>
      <c r="AW115">
        <v>1</v>
      </c>
      <c r="AZ115">
        <v>6.56</v>
      </c>
      <c r="BA115">
        <v>1</v>
      </c>
      <c r="BB115">
        <v>1</v>
      </c>
      <c r="BC115">
        <v>6.56</v>
      </c>
      <c r="BD115" t="s">
        <v>6</v>
      </c>
      <c r="BE115" t="s">
        <v>6</v>
      </c>
      <c r="BF115" t="s">
        <v>6</v>
      </c>
      <c r="BG115" t="s">
        <v>6</v>
      </c>
      <c r="BH115">
        <v>3</v>
      </c>
      <c r="BI115">
        <v>1</v>
      </c>
      <c r="BJ115" t="s">
        <v>6</v>
      </c>
      <c r="BM115">
        <v>53001</v>
      </c>
      <c r="BN115">
        <v>0</v>
      </c>
      <c r="BO115" t="s">
        <v>6</v>
      </c>
      <c r="BP115">
        <v>0</v>
      </c>
      <c r="BQ115">
        <v>6</v>
      </c>
      <c r="BR115">
        <v>0</v>
      </c>
      <c r="BS115">
        <v>1</v>
      </c>
      <c r="BT115">
        <v>1</v>
      </c>
      <c r="BU115">
        <v>1</v>
      </c>
      <c r="BV115">
        <v>1</v>
      </c>
      <c r="BW115">
        <v>1</v>
      </c>
      <c r="BX115">
        <v>1</v>
      </c>
      <c r="BY115" t="s">
        <v>6</v>
      </c>
      <c r="BZ115">
        <v>86</v>
      </c>
      <c r="CA115">
        <v>70</v>
      </c>
      <c r="CF115">
        <v>0</v>
      </c>
      <c r="CG115">
        <v>0</v>
      </c>
      <c r="CM115">
        <v>0</v>
      </c>
      <c r="CN115" t="s">
        <v>6</v>
      </c>
      <c r="CO115">
        <v>0</v>
      </c>
      <c r="CP115">
        <f t="shared" si="93"/>
        <v>0</v>
      </c>
      <c r="CQ115">
        <f t="shared" si="94"/>
        <v>0</v>
      </c>
      <c r="CR115">
        <f t="shared" si="95"/>
        <v>0</v>
      </c>
      <c r="CS115">
        <f t="shared" si="96"/>
        <v>0</v>
      </c>
      <c r="CT115">
        <f t="shared" si="97"/>
        <v>0</v>
      </c>
      <c r="CU115">
        <f t="shared" si="98"/>
        <v>0</v>
      </c>
      <c r="CV115">
        <f t="shared" si="99"/>
        <v>0</v>
      </c>
      <c r="CW115">
        <f t="shared" si="100"/>
        <v>0</v>
      </c>
      <c r="CX115">
        <f t="shared" si="101"/>
        <v>0</v>
      </c>
      <c r="CY115">
        <f t="shared" si="102"/>
        <v>0</v>
      </c>
      <c r="CZ115">
        <f t="shared" si="103"/>
        <v>0</v>
      </c>
      <c r="DC115" t="s">
        <v>6</v>
      </c>
      <c r="DD115" t="s">
        <v>6</v>
      </c>
      <c r="DE115" t="s">
        <v>6</v>
      </c>
      <c r="DF115" t="s">
        <v>6</v>
      </c>
      <c r="DG115" t="s">
        <v>6</v>
      </c>
      <c r="DH115" t="s">
        <v>6</v>
      </c>
      <c r="DI115" t="s">
        <v>6</v>
      </c>
      <c r="DJ115" t="s">
        <v>6</v>
      </c>
      <c r="DK115" t="s">
        <v>6</v>
      </c>
      <c r="DL115" t="s">
        <v>6</v>
      </c>
      <c r="DM115" t="s">
        <v>6</v>
      </c>
      <c r="DN115">
        <v>0</v>
      </c>
      <c r="DO115">
        <v>0</v>
      </c>
      <c r="DP115">
        <v>1</v>
      </c>
      <c r="DQ115">
        <v>1</v>
      </c>
      <c r="DU115">
        <v>1007</v>
      </c>
      <c r="DV115" t="s">
        <v>283</v>
      </c>
      <c r="DW115" t="s">
        <v>283</v>
      </c>
      <c r="DX115">
        <v>1</v>
      </c>
      <c r="EE115">
        <v>16510562</v>
      </c>
      <c r="EF115">
        <v>6</v>
      </c>
      <c r="EG115" t="s">
        <v>36</v>
      </c>
      <c r="EH115">
        <v>0</v>
      </c>
      <c r="EI115" t="s">
        <v>6</v>
      </c>
      <c r="EJ115">
        <v>1</v>
      </c>
      <c r="EK115">
        <v>53001</v>
      </c>
      <c r="EL115" t="s">
        <v>278</v>
      </c>
      <c r="EM115" t="s">
        <v>279</v>
      </c>
      <c r="EO115" t="s">
        <v>6</v>
      </c>
      <c r="EQ115">
        <v>0</v>
      </c>
      <c r="ER115">
        <v>0</v>
      </c>
      <c r="ES115">
        <v>0</v>
      </c>
      <c r="ET115">
        <v>0</v>
      </c>
      <c r="EU115">
        <v>0</v>
      </c>
      <c r="EV115">
        <v>0</v>
      </c>
      <c r="EW115">
        <v>0</v>
      </c>
      <c r="EX115">
        <v>0</v>
      </c>
      <c r="FQ115">
        <v>0</v>
      </c>
      <c r="FR115">
        <f t="shared" si="104"/>
        <v>0</v>
      </c>
      <c r="FS115">
        <v>0</v>
      </c>
      <c r="FX115">
        <v>86</v>
      </c>
      <c r="FY115">
        <v>70</v>
      </c>
      <c r="GA115" t="s">
        <v>6</v>
      </c>
      <c r="GD115">
        <v>0</v>
      </c>
      <c r="GF115">
        <v>546204653</v>
      </c>
      <c r="GG115">
        <v>1</v>
      </c>
      <c r="GH115">
        <v>1</v>
      </c>
      <c r="GI115">
        <v>4</v>
      </c>
      <c r="GJ115">
        <v>0</v>
      </c>
      <c r="GK115">
        <f>ROUND(R115*(R12)/100,2)</f>
        <v>0</v>
      </c>
      <c r="GL115">
        <f t="shared" si="105"/>
        <v>0</v>
      </c>
      <c r="GM115">
        <f t="shared" si="106"/>
        <v>0</v>
      </c>
      <c r="GN115">
        <f t="shared" si="107"/>
        <v>0</v>
      </c>
      <c r="GO115">
        <f t="shared" si="108"/>
        <v>0</v>
      </c>
      <c r="GP115">
        <f t="shared" si="109"/>
        <v>0</v>
      </c>
      <c r="GR115">
        <v>0</v>
      </c>
      <c r="GS115">
        <v>3</v>
      </c>
      <c r="GT115">
        <v>0</v>
      </c>
      <c r="GU115" t="s">
        <v>6</v>
      </c>
      <c r="GV115">
        <f t="shared" si="110"/>
        <v>0</v>
      </c>
      <c r="GW115">
        <v>1</v>
      </c>
      <c r="GX115">
        <f t="shared" si="111"/>
        <v>0</v>
      </c>
      <c r="HA115">
        <v>0</v>
      </c>
      <c r="HB115">
        <v>0</v>
      </c>
      <c r="IK115">
        <v>0</v>
      </c>
    </row>
    <row r="116" spans="1:245" x14ac:dyDescent="0.2">
      <c r="A116">
        <v>18</v>
      </c>
      <c r="B116">
        <v>1</v>
      </c>
      <c r="C116">
        <v>137</v>
      </c>
      <c r="E116" t="s">
        <v>297</v>
      </c>
      <c r="F116" t="s">
        <v>298</v>
      </c>
      <c r="G116" t="s">
        <v>299</v>
      </c>
      <c r="H116" t="s">
        <v>288</v>
      </c>
      <c r="I116">
        <f>I111*J116</f>
        <v>5.7000000000000011E-3</v>
      </c>
      <c r="J116">
        <v>0.57000000000000006</v>
      </c>
      <c r="O116">
        <f t="shared" si="78"/>
        <v>0</v>
      </c>
      <c r="P116">
        <f t="shared" si="79"/>
        <v>0</v>
      </c>
      <c r="Q116">
        <f t="shared" si="80"/>
        <v>0</v>
      </c>
      <c r="R116">
        <f t="shared" si="81"/>
        <v>0</v>
      </c>
      <c r="S116">
        <f t="shared" si="82"/>
        <v>0</v>
      </c>
      <c r="T116">
        <f t="shared" si="83"/>
        <v>0</v>
      </c>
      <c r="U116">
        <f t="shared" si="84"/>
        <v>0</v>
      </c>
      <c r="V116">
        <f t="shared" si="85"/>
        <v>0</v>
      </c>
      <c r="W116">
        <f t="shared" si="86"/>
        <v>0</v>
      </c>
      <c r="X116">
        <f t="shared" si="87"/>
        <v>0</v>
      </c>
      <c r="Y116">
        <f t="shared" si="88"/>
        <v>0</v>
      </c>
      <c r="AA116">
        <v>16748969</v>
      </c>
      <c r="AB116">
        <f t="shared" si="89"/>
        <v>0</v>
      </c>
      <c r="AC116">
        <f t="shared" si="90"/>
        <v>0</v>
      </c>
      <c r="AD116">
        <f t="shared" si="116"/>
        <v>0</v>
      </c>
      <c r="AE116">
        <f t="shared" si="117"/>
        <v>0</v>
      </c>
      <c r="AF116">
        <f t="shared" si="118"/>
        <v>0</v>
      </c>
      <c r="AG116">
        <f t="shared" si="91"/>
        <v>0</v>
      </c>
      <c r="AH116">
        <f t="shared" si="119"/>
        <v>0</v>
      </c>
      <c r="AI116">
        <f t="shared" si="120"/>
        <v>0</v>
      </c>
      <c r="AJ116">
        <f t="shared" si="92"/>
        <v>0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86</v>
      </c>
      <c r="AU116">
        <v>70</v>
      </c>
      <c r="AV116">
        <v>1</v>
      </c>
      <c r="AW116">
        <v>1</v>
      </c>
      <c r="AZ116">
        <v>6.56</v>
      </c>
      <c r="BA116">
        <v>1</v>
      </c>
      <c r="BB116">
        <v>1</v>
      </c>
      <c r="BC116">
        <v>6.56</v>
      </c>
      <c r="BD116" t="s">
        <v>6</v>
      </c>
      <c r="BE116" t="s">
        <v>6</v>
      </c>
      <c r="BF116" t="s">
        <v>6</v>
      </c>
      <c r="BG116" t="s">
        <v>6</v>
      </c>
      <c r="BH116">
        <v>3</v>
      </c>
      <c r="BI116">
        <v>1</v>
      </c>
      <c r="BJ116" t="s">
        <v>6</v>
      </c>
      <c r="BM116">
        <v>53001</v>
      </c>
      <c r="BN116">
        <v>0</v>
      </c>
      <c r="BO116" t="s">
        <v>6</v>
      </c>
      <c r="BP116">
        <v>0</v>
      </c>
      <c r="BQ116">
        <v>6</v>
      </c>
      <c r="BR116">
        <v>0</v>
      </c>
      <c r="BS116">
        <v>1</v>
      </c>
      <c r="BT116">
        <v>1</v>
      </c>
      <c r="BU116">
        <v>1</v>
      </c>
      <c r="BV116">
        <v>1</v>
      </c>
      <c r="BW116">
        <v>1</v>
      </c>
      <c r="BX116">
        <v>1</v>
      </c>
      <c r="BY116" t="s">
        <v>6</v>
      </c>
      <c r="BZ116">
        <v>86</v>
      </c>
      <c r="CA116">
        <v>70</v>
      </c>
      <c r="CF116">
        <v>0</v>
      </c>
      <c r="CG116">
        <v>0</v>
      </c>
      <c r="CM116">
        <v>0</v>
      </c>
      <c r="CN116" t="s">
        <v>6</v>
      </c>
      <c r="CO116">
        <v>0</v>
      </c>
      <c r="CP116">
        <f t="shared" si="93"/>
        <v>0</v>
      </c>
      <c r="CQ116">
        <f t="shared" si="94"/>
        <v>0</v>
      </c>
      <c r="CR116">
        <f t="shared" si="95"/>
        <v>0</v>
      </c>
      <c r="CS116">
        <f t="shared" si="96"/>
        <v>0</v>
      </c>
      <c r="CT116">
        <f t="shared" si="97"/>
        <v>0</v>
      </c>
      <c r="CU116">
        <f t="shared" si="98"/>
        <v>0</v>
      </c>
      <c r="CV116">
        <f t="shared" si="99"/>
        <v>0</v>
      </c>
      <c r="CW116">
        <f t="shared" si="100"/>
        <v>0</v>
      </c>
      <c r="CX116">
        <f t="shared" si="101"/>
        <v>0</v>
      </c>
      <c r="CY116">
        <f t="shared" si="102"/>
        <v>0</v>
      </c>
      <c r="CZ116">
        <f t="shared" si="103"/>
        <v>0</v>
      </c>
      <c r="DC116" t="s">
        <v>6</v>
      </c>
      <c r="DD116" t="s">
        <v>6</v>
      </c>
      <c r="DE116" t="s">
        <v>6</v>
      </c>
      <c r="DF116" t="s">
        <v>6</v>
      </c>
      <c r="DG116" t="s">
        <v>6</v>
      </c>
      <c r="DH116" t="s">
        <v>6</v>
      </c>
      <c r="DI116" t="s">
        <v>6</v>
      </c>
      <c r="DJ116" t="s">
        <v>6</v>
      </c>
      <c r="DK116" t="s">
        <v>6</v>
      </c>
      <c r="DL116" t="s">
        <v>6</v>
      </c>
      <c r="DM116" t="s">
        <v>6</v>
      </c>
      <c r="DN116">
        <v>0</v>
      </c>
      <c r="DO116">
        <v>0</v>
      </c>
      <c r="DP116">
        <v>1</v>
      </c>
      <c r="DQ116">
        <v>1</v>
      </c>
      <c r="DU116">
        <v>1010</v>
      </c>
      <c r="DV116" t="s">
        <v>288</v>
      </c>
      <c r="DW116" t="s">
        <v>288</v>
      </c>
      <c r="DX116">
        <v>1000</v>
      </c>
      <c r="EE116">
        <v>16510562</v>
      </c>
      <c r="EF116">
        <v>6</v>
      </c>
      <c r="EG116" t="s">
        <v>36</v>
      </c>
      <c r="EH116">
        <v>0</v>
      </c>
      <c r="EI116" t="s">
        <v>6</v>
      </c>
      <c r="EJ116">
        <v>1</v>
      </c>
      <c r="EK116">
        <v>53001</v>
      </c>
      <c r="EL116" t="s">
        <v>278</v>
      </c>
      <c r="EM116" t="s">
        <v>279</v>
      </c>
      <c r="EO116" t="s">
        <v>6</v>
      </c>
      <c r="EQ116">
        <v>0</v>
      </c>
      <c r="ER116">
        <v>0</v>
      </c>
      <c r="ES116">
        <v>0</v>
      </c>
      <c r="ET116">
        <v>0</v>
      </c>
      <c r="EU116">
        <v>0</v>
      </c>
      <c r="EV116">
        <v>0</v>
      </c>
      <c r="EW116">
        <v>0</v>
      </c>
      <c r="EX116">
        <v>0</v>
      </c>
      <c r="FQ116">
        <v>0</v>
      </c>
      <c r="FR116">
        <f t="shared" si="104"/>
        <v>0</v>
      </c>
      <c r="FS116">
        <v>0</v>
      </c>
      <c r="FX116">
        <v>86</v>
      </c>
      <c r="FY116">
        <v>70</v>
      </c>
      <c r="GA116" t="s">
        <v>6</v>
      </c>
      <c r="GD116">
        <v>0</v>
      </c>
      <c r="GF116">
        <v>-637242490</v>
      </c>
      <c r="GG116">
        <v>1</v>
      </c>
      <c r="GH116">
        <v>1</v>
      </c>
      <c r="GI116">
        <v>4</v>
      </c>
      <c r="GJ116">
        <v>0</v>
      </c>
      <c r="GK116">
        <f>ROUND(R116*(R12)/100,2)</f>
        <v>0</v>
      </c>
      <c r="GL116">
        <f t="shared" si="105"/>
        <v>0</v>
      </c>
      <c r="GM116">
        <f t="shared" si="106"/>
        <v>0</v>
      </c>
      <c r="GN116">
        <f t="shared" si="107"/>
        <v>0</v>
      </c>
      <c r="GO116">
        <f t="shared" si="108"/>
        <v>0</v>
      </c>
      <c r="GP116">
        <f t="shared" si="109"/>
        <v>0</v>
      </c>
      <c r="GR116">
        <v>0</v>
      </c>
      <c r="GS116">
        <v>3</v>
      </c>
      <c r="GT116">
        <v>0</v>
      </c>
      <c r="GU116" t="s">
        <v>6</v>
      </c>
      <c r="GV116">
        <f t="shared" si="110"/>
        <v>0</v>
      </c>
      <c r="GW116">
        <v>1</v>
      </c>
      <c r="GX116">
        <f t="shared" si="111"/>
        <v>0</v>
      </c>
      <c r="HA116">
        <v>0</v>
      </c>
      <c r="HB116">
        <v>0</v>
      </c>
      <c r="IK116">
        <v>0</v>
      </c>
    </row>
    <row r="117" spans="1:245" x14ac:dyDescent="0.2">
      <c r="A117">
        <v>18</v>
      </c>
      <c r="B117">
        <v>1</v>
      </c>
      <c r="C117">
        <v>139</v>
      </c>
      <c r="E117" t="s">
        <v>300</v>
      </c>
      <c r="F117" t="s">
        <v>301</v>
      </c>
      <c r="G117" t="s">
        <v>302</v>
      </c>
      <c r="H117" t="s">
        <v>71</v>
      </c>
      <c r="I117">
        <f>I111*J117</f>
        <v>1.0400000000000001E-2</v>
      </c>
      <c r="J117">
        <v>1.04</v>
      </c>
      <c r="O117">
        <f t="shared" ref="O117:O148" si="121">ROUND(CP117,2)</f>
        <v>0</v>
      </c>
      <c r="P117">
        <f t="shared" ref="P117:P148" si="122">ROUND(CQ117*I117,2)</f>
        <v>0</v>
      </c>
      <c r="Q117">
        <f t="shared" ref="Q117:Q148" si="123">ROUND(CR117*I117,2)</f>
        <v>0</v>
      </c>
      <c r="R117">
        <f t="shared" ref="R117:R148" si="124">ROUND(CS117*I117,2)</f>
        <v>0</v>
      </c>
      <c r="S117">
        <f t="shared" ref="S117:S148" si="125">ROUND(CT117*I117,2)</f>
        <v>0</v>
      </c>
      <c r="T117">
        <f t="shared" ref="T117:T148" si="126">ROUND(CU117*I117,2)</f>
        <v>0</v>
      </c>
      <c r="U117">
        <f t="shared" ref="U117:U148" si="127">CV117*I117</f>
        <v>0</v>
      </c>
      <c r="V117">
        <f t="shared" ref="V117:V148" si="128">CW117*I117</f>
        <v>0</v>
      </c>
      <c r="W117">
        <f t="shared" ref="W117:W148" si="129">ROUND(CX117*I117,2)</f>
        <v>0</v>
      </c>
      <c r="X117">
        <f t="shared" ref="X117:X148" si="130">ROUND(CY117,2)</f>
        <v>0</v>
      </c>
      <c r="Y117">
        <f t="shared" ref="Y117:Y148" si="131">ROUND(CZ117,2)</f>
        <v>0</v>
      </c>
      <c r="AA117">
        <v>16748969</v>
      </c>
      <c r="AB117">
        <f t="shared" ref="AB117:AB148" si="132">ROUND((AC117+AD117+AF117),2)</f>
        <v>0</v>
      </c>
      <c r="AC117">
        <f t="shared" ref="AC117:AC148" si="133">ROUND((ES117),2)</f>
        <v>0</v>
      </c>
      <c r="AD117">
        <f t="shared" si="116"/>
        <v>0</v>
      </c>
      <c r="AE117">
        <f t="shared" si="117"/>
        <v>0</v>
      </c>
      <c r="AF117">
        <f t="shared" si="118"/>
        <v>0</v>
      </c>
      <c r="AG117">
        <f t="shared" ref="AG117:AG148" si="134">ROUND((AP117),2)</f>
        <v>0</v>
      </c>
      <c r="AH117">
        <f t="shared" si="119"/>
        <v>0</v>
      </c>
      <c r="AI117">
        <f t="shared" si="120"/>
        <v>0</v>
      </c>
      <c r="AJ117">
        <f t="shared" ref="AJ117:AJ148" si="135">ROUND((AS117),2)</f>
        <v>0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86</v>
      </c>
      <c r="AU117">
        <v>70</v>
      </c>
      <c r="AV117">
        <v>1</v>
      </c>
      <c r="AW117">
        <v>1</v>
      </c>
      <c r="AZ117">
        <v>6.56</v>
      </c>
      <c r="BA117">
        <v>1</v>
      </c>
      <c r="BB117">
        <v>1</v>
      </c>
      <c r="BC117">
        <v>6.56</v>
      </c>
      <c r="BD117" t="s">
        <v>6</v>
      </c>
      <c r="BE117" t="s">
        <v>6</v>
      </c>
      <c r="BF117" t="s">
        <v>6</v>
      </c>
      <c r="BG117" t="s">
        <v>6</v>
      </c>
      <c r="BH117">
        <v>3</v>
      </c>
      <c r="BI117">
        <v>1</v>
      </c>
      <c r="BJ117" t="s">
        <v>6</v>
      </c>
      <c r="BM117">
        <v>53001</v>
      </c>
      <c r="BN117">
        <v>0</v>
      </c>
      <c r="BO117" t="s">
        <v>6</v>
      </c>
      <c r="BP117">
        <v>0</v>
      </c>
      <c r="BQ117">
        <v>6</v>
      </c>
      <c r="BR117">
        <v>0</v>
      </c>
      <c r="BS117">
        <v>1</v>
      </c>
      <c r="BT117">
        <v>1</v>
      </c>
      <c r="BU117">
        <v>1</v>
      </c>
      <c r="BV117">
        <v>1</v>
      </c>
      <c r="BW117">
        <v>1</v>
      </c>
      <c r="BX117">
        <v>1</v>
      </c>
      <c r="BY117" t="s">
        <v>6</v>
      </c>
      <c r="BZ117">
        <v>86</v>
      </c>
      <c r="CA117">
        <v>70</v>
      </c>
      <c r="CF117">
        <v>0</v>
      </c>
      <c r="CG117">
        <v>0</v>
      </c>
      <c r="CM117">
        <v>0</v>
      </c>
      <c r="CN117" t="s">
        <v>6</v>
      </c>
      <c r="CO117">
        <v>0</v>
      </c>
      <c r="CP117">
        <f t="shared" ref="CP117:CP148" si="136">(P117+Q117+S117)</f>
        <v>0</v>
      </c>
      <c r="CQ117">
        <f t="shared" ref="CQ117:CQ148" si="137">AC117*BC117</f>
        <v>0</v>
      </c>
      <c r="CR117">
        <f t="shared" ref="CR117:CR148" si="138">AD117*BB117</f>
        <v>0</v>
      </c>
      <c r="CS117">
        <f t="shared" ref="CS117:CS148" si="139">AE117*BS117</f>
        <v>0</v>
      </c>
      <c r="CT117">
        <f t="shared" ref="CT117:CT148" si="140">AF117*BA117</f>
        <v>0</v>
      </c>
      <c r="CU117">
        <f t="shared" ref="CU117:CU148" si="141">AG117</f>
        <v>0</v>
      </c>
      <c r="CV117">
        <f t="shared" ref="CV117:CV148" si="142">AH117</f>
        <v>0</v>
      </c>
      <c r="CW117">
        <f t="shared" ref="CW117:CW148" si="143">AI117</f>
        <v>0</v>
      </c>
      <c r="CX117">
        <f t="shared" ref="CX117:CX148" si="144">AJ117</f>
        <v>0</v>
      </c>
      <c r="CY117">
        <f t="shared" ref="CY117:CY148" si="145">(((S117+R117)*AT117)/100)</f>
        <v>0</v>
      </c>
      <c r="CZ117">
        <f t="shared" ref="CZ117:CZ148" si="146">(((S117+R117)*AU117)/100)</f>
        <v>0</v>
      </c>
      <c r="DC117" t="s">
        <v>6</v>
      </c>
      <c r="DD117" t="s">
        <v>6</v>
      </c>
      <c r="DE117" t="s">
        <v>6</v>
      </c>
      <c r="DF117" t="s">
        <v>6</v>
      </c>
      <c r="DG117" t="s">
        <v>6</v>
      </c>
      <c r="DH117" t="s">
        <v>6</v>
      </c>
      <c r="DI117" t="s">
        <v>6</v>
      </c>
      <c r="DJ117" t="s">
        <v>6</v>
      </c>
      <c r="DK117" t="s">
        <v>6</v>
      </c>
      <c r="DL117" t="s">
        <v>6</v>
      </c>
      <c r="DM117" t="s">
        <v>6</v>
      </c>
      <c r="DN117">
        <v>0</v>
      </c>
      <c r="DO117">
        <v>0</v>
      </c>
      <c r="DP117">
        <v>1</v>
      </c>
      <c r="DQ117">
        <v>1</v>
      </c>
      <c r="DU117">
        <v>1009</v>
      </c>
      <c r="DV117" t="s">
        <v>71</v>
      </c>
      <c r="DW117" t="s">
        <v>71</v>
      </c>
      <c r="DX117">
        <v>1000</v>
      </c>
      <c r="EE117">
        <v>16510562</v>
      </c>
      <c r="EF117">
        <v>6</v>
      </c>
      <c r="EG117" t="s">
        <v>36</v>
      </c>
      <c r="EH117">
        <v>0</v>
      </c>
      <c r="EI117" t="s">
        <v>6</v>
      </c>
      <c r="EJ117">
        <v>1</v>
      </c>
      <c r="EK117">
        <v>53001</v>
      </c>
      <c r="EL117" t="s">
        <v>278</v>
      </c>
      <c r="EM117" t="s">
        <v>279</v>
      </c>
      <c r="EO117" t="s">
        <v>6</v>
      </c>
      <c r="EQ117">
        <v>0</v>
      </c>
      <c r="ER117">
        <v>0</v>
      </c>
      <c r="ES117">
        <v>0</v>
      </c>
      <c r="ET117">
        <v>0</v>
      </c>
      <c r="EU117">
        <v>0</v>
      </c>
      <c r="EV117">
        <v>0</v>
      </c>
      <c r="EW117">
        <v>0</v>
      </c>
      <c r="EX117">
        <v>0</v>
      </c>
      <c r="FQ117">
        <v>0</v>
      </c>
      <c r="FR117">
        <f t="shared" ref="FR117:FR148" si="147">ROUND(IF(AND(BH117=3,BI117=3),P117,0),2)</f>
        <v>0</v>
      </c>
      <c r="FS117">
        <v>0</v>
      </c>
      <c r="FX117">
        <v>86</v>
      </c>
      <c r="FY117">
        <v>70</v>
      </c>
      <c r="GA117" t="s">
        <v>6</v>
      </c>
      <c r="GD117">
        <v>0</v>
      </c>
      <c r="GF117">
        <v>748648226</v>
      </c>
      <c r="GG117">
        <v>1</v>
      </c>
      <c r="GH117">
        <v>1</v>
      </c>
      <c r="GI117">
        <v>4</v>
      </c>
      <c r="GJ117">
        <v>0</v>
      </c>
      <c r="GK117">
        <f>ROUND(R117*(R12)/100,2)</f>
        <v>0</v>
      </c>
      <c r="GL117">
        <f t="shared" ref="GL117:GL148" si="148">ROUND(IF(AND(BH117=3,BI117=3,FS117&lt;&gt;0),P117,0),2)</f>
        <v>0</v>
      </c>
      <c r="GM117">
        <f t="shared" ref="GM117:GM148" si="149">ROUND(O117+X117+Y117+GK117,2)+GX117</f>
        <v>0</v>
      </c>
      <c r="GN117">
        <f t="shared" ref="GN117:GN148" si="150">IF(OR(BI117=0,BI117=1),ROUND(O117+X117+Y117+GK117,2),0)</f>
        <v>0</v>
      </c>
      <c r="GO117">
        <f t="shared" ref="GO117:GO148" si="151">IF(BI117=2,ROUND(O117+X117+Y117+GK117,2),0)</f>
        <v>0</v>
      </c>
      <c r="GP117">
        <f t="shared" ref="GP117:GP148" si="152">IF(BI117=4,ROUND(O117+X117+Y117+GK117,2)+GX117,0)</f>
        <v>0</v>
      </c>
      <c r="GR117">
        <v>0</v>
      </c>
      <c r="GS117">
        <v>3</v>
      </c>
      <c r="GT117">
        <v>0</v>
      </c>
      <c r="GU117" t="s">
        <v>6</v>
      </c>
      <c r="GV117">
        <f t="shared" ref="GV117:GV148" si="153">ROUND(GT117,2)</f>
        <v>0</v>
      </c>
      <c r="GW117">
        <v>1</v>
      </c>
      <c r="GX117">
        <f t="shared" ref="GX117:GX148" si="154">ROUND(GV117*GW117*I117,2)</f>
        <v>0</v>
      </c>
      <c r="HA117">
        <v>0</v>
      </c>
      <c r="HB117">
        <v>0</v>
      </c>
      <c r="IK117">
        <v>0</v>
      </c>
    </row>
    <row r="118" spans="1:245" x14ac:dyDescent="0.2">
      <c r="A118">
        <v>17</v>
      </c>
      <c r="B118">
        <v>1</v>
      </c>
      <c r="C118">
        <f>ROW(SmtRes!A152)</f>
        <v>152</v>
      </c>
      <c r="D118">
        <f>ROW(EtalonRes!A148)</f>
        <v>148</v>
      </c>
      <c r="E118" t="s">
        <v>303</v>
      </c>
      <c r="F118" t="s">
        <v>304</v>
      </c>
      <c r="G118" t="s">
        <v>305</v>
      </c>
      <c r="H118" t="s">
        <v>20</v>
      </c>
      <c r="I118">
        <f>ROUND(43/100,9)</f>
        <v>0.43</v>
      </c>
      <c r="J118">
        <v>0</v>
      </c>
      <c r="O118">
        <f t="shared" si="121"/>
        <v>3300.71</v>
      </c>
      <c r="P118">
        <f t="shared" si="122"/>
        <v>769.66</v>
      </c>
      <c r="Q118">
        <f t="shared" si="123"/>
        <v>617.39</v>
      </c>
      <c r="R118">
        <f t="shared" si="124"/>
        <v>90.12</v>
      </c>
      <c r="S118">
        <f t="shared" si="125"/>
        <v>1913.66</v>
      </c>
      <c r="T118">
        <f t="shared" si="126"/>
        <v>0</v>
      </c>
      <c r="U118">
        <f t="shared" si="127"/>
        <v>34.481699999999996</v>
      </c>
      <c r="V118">
        <f t="shared" si="128"/>
        <v>1.075</v>
      </c>
      <c r="W118">
        <f t="shared" si="129"/>
        <v>0</v>
      </c>
      <c r="X118">
        <f t="shared" si="130"/>
        <v>2204.16</v>
      </c>
      <c r="Y118">
        <f t="shared" si="131"/>
        <v>1362.57</v>
      </c>
      <c r="AA118">
        <v>16748969</v>
      </c>
      <c r="AB118">
        <f t="shared" si="132"/>
        <v>1170.1300000000001</v>
      </c>
      <c r="AC118">
        <f t="shared" si="133"/>
        <v>272.85000000000002</v>
      </c>
      <c r="AD118">
        <f t="shared" si="116"/>
        <v>218.87</v>
      </c>
      <c r="AE118">
        <f t="shared" si="117"/>
        <v>31.95</v>
      </c>
      <c r="AF118">
        <f t="shared" si="118"/>
        <v>678.41</v>
      </c>
      <c r="AG118">
        <f t="shared" si="134"/>
        <v>0</v>
      </c>
      <c r="AH118">
        <f t="shared" si="119"/>
        <v>80.19</v>
      </c>
      <c r="AI118">
        <f t="shared" si="120"/>
        <v>2.5</v>
      </c>
      <c r="AJ118">
        <f t="shared" si="135"/>
        <v>0</v>
      </c>
      <c r="AK118">
        <v>1170.1300000000001</v>
      </c>
      <c r="AL118">
        <v>272.85000000000002</v>
      </c>
      <c r="AM118">
        <v>218.87</v>
      </c>
      <c r="AN118">
        <v>31.95</v>
      </c>
      <c r="AO118">
        <v>678.41</v>
      </c>
      <c r="AP118">
        <v>0</v>
      </c>
      <c r="AQ118">
        <v>80.19</v>
      </c>
      <c r="AR118">
        <v>2.5</v>
      </c>
      <c r="AS118">
        <v>0</v>
      </c>
      <c r="AT118">
        <v>110</v>
      </c>
      <c r="AU118">
        <v>68</v>
      </c>
      <c r="AV118">
        <v>1</v>
      </c>
      <c r="AW118">
        <v>1</v>
      </c>
      <c r="AZ118">
        <v>6.56</v>
      </c>
      <c r="BA118">
        <v>6.56</v>
      </c>
      <c r="BB118">
        <v>6.56</v>
      </c>
      <c r="BC118">
        <v>6.56</v>
      </c>
      <c r="BD118" t="s">
        <v>6</v>
      </c>
      <c r="BE118" t="s">
        <v>6</v>
      </c>
      <c r="BF118" t="s">
        <v>6</v>
      </c>
      <c r="BG118" t="s">
        <v>6</v>
      </c>
      <c r="BH118">
        <v>0</v>
      </c>
      <c r="BI118">
        <v>1</v>
      </c>
      <c r="BJ118" t="s">
        <v>306</v>
      </c>
      <c r="BM118">
        <v>8001</v>
      </c>
      <c r="BN118">
        <v>0</v>
      </c>
      <c r="BO118" t="s">
        <v>6</v>
      </c>
      <c r="BP118">
        <v>0</v>
      </c>
      <c r="BQ118">
        <v>2</v>
      </c>
      <c r="BR118">
        <v>0</v>
      </c>
      <c r="BS118">
        <v>6.56</v>
      </c>
      <c r="BT118">
        <v>1</v>
      </c>
      <c r="BU118">
        <v>1</v>
      </c>
      <c r="BV118">
        <v>1</v>
      </c>
      <c r="BW118">
        <v>1</v>
      </c>
      <c r="BX118">
        <v>1</v>
      </c>
      <c r="BY118" t="s">
        <v>6</v>
      </c>
      <c r="BZ118">
        <v>122</v>
      </c>
      <c r="CA118">
        <v>80</v>
      </c>
      <c r="CF118">
        <v>0</v>
      </c>
      <c r="CG118">
        <v>0</v>
      </c>
      <c r="CM118">
        <v>0</v>
      </c>
      <c r="CN118" t="s">
        <v>6</v>
      </c>
      <c r="CO118">
        <v>0</v>
      </c>
      <c r="CP118">
        <f t="shared" si="136"/>
        <v>3300.71</v>
      </c>
      <c r="CQ118">
        <f t="shared" si="137"/>
        <v>1789.896</v>
      </c>
      <c r="CR118">
        <f t="shared" si="138"/>
        <v>1435.7872</v>
      </c>
      <c r="CS118">
        <f t="shared" si="139"/>
        <v>209.59199999999998</v>
      </c>
      <c r="CT118">
        <f t="shared" si="140"/>
        <v>4450.3695999999991</v>
      </c>
      <c r="CU118">
        <f t="shared" si="141"/>
        <v>0</v>
      </c>
      <c r="CV118">
        <f t="shared" si="142"/>
        <v>80.19</v>
      </c>
      <c r="CW118">
        <f t="shared" si="143"/>
        <v>2.5</v>
      </c>
      <c r="CX118">
        <f t="shared" si="144"/>
        <v>0</v>
      </c>
      <c r="CY118">
        <f t="shared" si="145"/>
        <v>2204.1580000000004</v>
      </c>
      <c r="CZ118">
        <f t="shared" si="146"/>
        <v>1362.5704000000001</v>
      </c>
      <c r="DC118" t="s">
        <v>6</v>
      </c>
      <c r="DD118" t="s">
        <v>6</v>
      </c>
      <c r="DE118" t="s">
        <v>6</v>
      </c>
      <c r="DF118" t="s">
        <v>6</v>
      </c>
      <c r="DG118" t="s">
        <v>6</v>
      </c>
      <c r="DH118" t="s">
        <v>6</v>
      </c>
      <c r="DI118" t="s">
        <v>6</v>
      </c>
      <c r="DJ118" t="s">
        <v>6</v>
      </c>
      <c r="DK118" t="s">
        <v>6</v>
      </c>
      <c r="DL118" t="s">
        <v>6</v>
      </c>
      <c r="DM118" t="s">
        <v>6</v>
      </c>
      <c r="DN118">
        <v>0</v>
      </c>
      <c r="DO118">
        <v>0</v>
      </c>
      <c r="DP118">
        <v>1</v>
      </c>
      <c r="DQ118">
        <v>1</v>
      </c>
      <c r="DU118">
        <v>1005</v>
      </c>
      <c r="DV118" t="s">
        <v>20</v>
      </c>
      <c r="DW118" t="s">
        <v>20</v>
      </c>
      <c r="DX118">
        <v>100</v>
      </c>
      <c r="EE118">
        <v>16510485</v>
      </c>
      <c r="EF118">
        <v>2</v>
      </c>
      <c r="EG118" t="s">
        <v>22</v>
      </c>
      <c r="EH118">
        <v>0</v>
      </c>
      <c r="EI118" t="s">
        <v>6</v>
      </c>
      <c r="EJ118">
        <v>1</v>
      </c>
      <c r="EK118">
        <v>8001</v>
      </c>
      <c r="EL118" t="s">
        <v>307</v>
      </c>
      <c r="EM118" t="s">
        <v>308</v>
      </c>
      <c r="EO118" t="s">
        <v>6</v>
      </c>
      <c r="EQ118">
        <v>131072</v>
      </c>
      <c r="ER118">
        <v>1170.1300000000001</v>
      </c>
      <c r="ES118">
        <v>272.85000000000002</v>
      </c>
      <c r="ET118">
        <v>218.87</v>
      </c>
      <c r="EU118">
        <v>31.95</v>
      </c>
      <c r="EV118">
        <v>678.41</v>
      </c>
      <c r="EW118">
        <v>80.19</v>
      </c>
      <c r="EX118">
        <v>2.5</v>
      </c>
      <c r="EY118">
        <v>0</v>
      </c>
      <c r="FQ118">
        <v>0</v>
      </c>
      <c r="FR118">
        <f t="shared" si="147"/>
        <v>0</v>
      </c>
      <c r="FS118">
        <v>0</v>
      </c>
      <c r="FT118" t="s">
        <v>25</v>
      </c>
      <c r="FU118" t="s">
        <v>26</v>
      </c>
      <c r="FX118">
        <v>109.8</v>
      </c>
      <c r="FY118">
        <v>68</v>
      </c>
      <c r="GA118" t="s">
        <v>6</v>
      </c>
      <c r="GD118">
        <v>0</v>
      </c>
      <c r="GF118">
        <v>-2014226966</v>
      </c>
      <c r="GG118">
        <v>1</v>
      </c>
      <c r="GH118">
        <v>1</v>
      </c>
      <c r="GI118">
        <v>4</v>
      </c>
      <c r="GJ118">
        <v>0</v>
      </c>
      <c r="GK118">
        <f>ROUND(R118*(R12)/100,2)</f>
        <v>0</v>
      </c>
      <c r="GL118">
        <f t="shared" si="148"/>
        <v>0</v>
      </c>
      <c r="GM118">
        <f t="shared" si="149"/>
        <v>6867.44</v>
      </c>
      <c r="GN118">
        <f t="shared" si="150"/>
        <v>6867.44</v>
      </c>
      <c r="GO118">
        <f t="shared" si="151"/>
        <v>0</v>
      </c>
      <c r="GP118">
        <f t="shared" si="152"/>
        <v>0</v>
      </c>
      <c r="GR118">
        <v>0</v>
      </c>
      <c r="GS118">
        <v>3</v>
      </c>
      <c r="GT118">
        <v>0</v>
      </c>
      <c r="GU118" t="s">
        <v>6</v>
      </c>
      <c r="GV118">
        <f t="shared" si="153"/>
        <v>0</v>
      </c>
      <c r="GW118">
        <v>1</v>
      </c>
      <c r="GX118">
        <f t="shared" si="154"/>
        <v>0</v>
      </c>
      <c r="HA118">
        <v>0</v>
      </c>
      <c r="HB118">
        <v>0</v>
      </c>
      <c r="IK118">
        <v>0</v>
      </c>
    </row>
    <row r="119" spans="1:245" x14ac:dyDescent="0.2">
      <c r="A119">
        <v>18</v>
      </c>
      <c r="B119">
        <v>1</v>
      </c>
      <c r="C119">
        <v>147</v>
      </c>
      <c r="E119" t="s">
        <v>309</v>
      </c>
      <c r="F119" t="s">
        <v>310</v>
      </c>
      <c r="G119" t="s">
        <v>311</v>
      </c>
      <c r="H119" t="s">
        <v>53</v>
      </c>
      <c r="I119">
        <f>I118*J119</f>
        <v>286.51897600000001</v>
      </c>
      <c r="J119">
        <v>666.32320000000004</v>
      </c>
      <c r="O119">
        <f t="shared" si="121"/>
        <v>74957.03</v>
      </c>
      <c r="P119">
        <f t="shared" si="122"/>
        <v>74957.03</v>
      </c>
      <c r="Q119">
        <f t="shared" si="123"/>
        <v>0</v>
      </c>
      <c r="R119">
        <f t="shared" si="124"/>
        <v>0</v>
      </c>
      <c r="S119">
        <f t="shared" si="125"/>
        <v>0</v>
      </c>
      <c r="T119">
        <f t="shared" si="126"/>
        <v>0</v>
      </c>
      <c r="U119">
        <f t="shared" si="127"/>
        <v>0</v>
      </c>
      <c r="V119">
        <f t="shared" si="128"/>
        <v>0</v>
      </c>
      <c r="W119">
        <f t="shared" si="129"/>
        <v>0</v>
      </c>
      <c r="X119">
        <f t="shared" si="130"/>
        <v>0</v>
      </c>
      <c r="Y119">
        <f t="shared" si="131"/>
        <v>0</v>
      </c>
      <c r="AA119">
        <v>16748969</v>
      </c>
      <c r="AB119">
        <f t="shared" si="132"/>
        <v>39.880000000000003</v>
      </c>
      <c r="AC119">
        <f t="shared" si="133"/>
        <v>39.880000000000003</v>
      </c>
      <c r="AD119">
        <f t="shared" si="116"/>
        <v>0</v>
      </c>
      <c r="AE119">
        <f t="shared" si="117"/>
        <v>0</v>
      </c>
      <c r="AF119">
        <f t="shared" si="118"/>
        <v>0</v>
      </c>
      <c r="AG119">
        <f t="shared" si="134"/>
        <v>0</v>
      </c>
      <c r="AH119">
        <f t="shared" si="119"/>
        <v>0</v>
      </c>
      <c r="AI119">
        <f t="shared" si="120"/>
        <v>0</v>
      </c>
      <c r="AJ119">
        <f t="shared" si="135"/>
        <v>0</v>
      </c>
      <c r="AK119">
        <v>39.880000000000003</v>
      </c>
      <c r="AL119">
        <v>39.880000000000003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110</v>
      </c>
      <c r="AU119">
        <v>68</v>
      </c>
      <c r="AV119">
        <v>1</v>
      </c>
      <c r="AW119">
        <v>1</v>
      </c>
      <c r="AZ119">
        <v>6.56</v>
      </c>
      <c r="BA119">
        <v>1</v>
      </c>
      <c r="BB119">
        <v>1</v>
      </c>
      <c r="BC119">
        <v>6.56</v>
      </c>
      <c r="BD119" t="s">
        <v>6</v>
      </c>
      <c r="BE119" t="s">
        <v>6</v>
      </c>
      <c r="BF119" t="s">
        <v>6</v>
      </c>
      <c r="BG119" t="s">
        <v>6</v>
      </c>
      <c r="BH119">
        <v>3</v>
      </c>
      <c r="BI119">
        <v>1</v>
      </c>
      <c r="BJ119" t="s">
        <v>312</v>
      </c>
      <c r="BM119">
        <v>8001</v>
      </c>
      <c r="BN119">
        <v>0</v>
      </c>
      <c r="BO119" t="s">
        <v>6</v>
      </c>
      <c r="BP119">
        <v>0</v>
      </c>
      <c r="BQ119">
        <v>2</v>
      </c>
      <c r="BR119">
        <v>0</v>
      </c>
      <c r="BS119">
        <v>1</v>
      </c>
      <c r="BT119">
        <v>1</v>
      </c>
      <c r="BU119">
        <v>1</v>
      </c>
      <c r="BV119">
        <v>1</v>
      </c>
      <c r="BW119">
        <v>1</v>
      </c>
      <c r="BX119">
        <v>1</v>
      </c>
      <c r="BY119" t="s">
        <v>6</v>
      </c>
      <c r="BZ119">
        <v>122</v>
      </c>
      <c r="CA119">
        <v>80</v>
      </c>
      <c r="CF119">
        <v>0</v>
      </c>
      <c r="CG119">
        <v>0</v>
      </c>
      <c r="CM119">
        <v>0</v>
      </c>
      <c r="CN119" t="s">
        <v>6</v>
      </c>
      <c r="CO119">
        <v>0</v>
      </c>
      <c r="CP119">
        <f t="shared" si="136"/>
        <v>74957.03</v>
      </c>
      <c r="CQ119">
        <f t="shared" si="137"/>
        <v>261.61279999999999</v>
      </c>
      <c r="CR119">
        <f t="shared" si="138"/>
        <v>0</v>
      </c>
      <c r="CS119">
        <f t="shared" si="139"/>
        <v>0</v>
      </c>
      <c r="CT119">
        <f t="shared" si="140"/>
        <v>0</v>
      </c>
      <c r="CU119">
        <f t="shared" si="141"/>
        <v>0</v>
      </c>
      <c r="CV119">
        <f t="shared" si="142"/>
        <v>0</v>
      </c>
      <c r="CW119">
        <f t="shared" si="143"/>
        <v>0</v>
      </c>
      <c r="CX119">
        <f t="shared" si="144"/>
        <v>0</v>
      </c>
      <c r="CY119">
        <f t="shared" si="145"/>
        <v>0</v>
      </c>
      <c r="CZ119">
        <f t="shared" si="146"/>
        <v>0</v>
      </c>
      <c r="DC119" t="s">
        <v>6</v>
      </c>
      <c r="DD119" t="s">
        <v>6</v>
      </c>
      <c r="DE119" t="s">
        <v>6</v>
      </c>
      <c r="DF119" t="s">
        <v>6</v>
      </c>
      <c r="DG119" t="s">
        <v>6</v>
      </c>
      <c r="DH119" t="s">
        <v>6</v>
      </c>
      <c r="DI119" t="s">
        <v>6</v>
      </c>
      <c r="DJ119" t="s">
        <v>6</v>
      </c>
      <c r="DK119" t="s">
        <v>6</v>
      </c>
      <c r="DL119" t="s">
        <v>6</v>
      </c>
      <c r="DM119" t="s">
        <v>6</v>
      </c>
      <c r="DN119">
        <v>0</v>
      </c>
      <c r="DO119">
        <v>0</v>
      </c>
      <c r="DP119">
        <v>1</v>
      </c>
      <c r="DQ119">
        <v>1</v>
      </c>
      <c r="DU119">
        <v>1010</v>
      </c>
      <c r="DV119" t="s">
        <v>53</v>
      </c>
      <c r="DW119" t="s">
        <v>53</v>
      </c>
      <c r="DX119">
        <v>1</v>
      </c>
      <c r="EE119">
        <v>16510485</v>
      </c>
      <c r="EF119">
        <v>2</v>
      </c>
      <c r="EG119" t="s">
        <v>22</v>
      </c>
      <c r="EH119">
        <v>0</v>
      </c>
      <c r="EI119" t="s">
        <v>6</v>
      </c>
      <c r="EJ119">
        <v>1</v>
      </c>
      <c r="EK119">
        <v>8001</v>
      </c>
      <c r="EL119" t="s">
        <v>307</v>
      </c>
      <c r="EM119" t="s">
        <v>308</v>
      </c>
      <c r="EO119" t="s">
        <v>6</v>
      </c>
      <c r="EQ119">
        <v>0</v>
      </c>
      <c r="ER119">
        <v>39.880000000000003</v>
      </c>
      <c r="ES119">
        <v>39.880000000000003</v>
      </c>
      <c r="ET119">
        <v>0</v>
      </c>
      <c r="EU119">
        <v>0</v>
      </c>
      <c r="EV119">
        <v>0</v>
      </c>
      <c r="EW119">
        <v>0</v>
      </c>
      <c r="EX119">
        <v>0</v>
      </c>
      <c r="FQ119">
        <v>0</v>
      </c>
      <c r="FR119">
        <f t="shared" si="147"/>
        <v>0</v>
      </c>
      <c r="FS119">
        <v>0</v>
      </c>
      <c r="FT119" t="s">
        <v>25</v>
      </c>
      <c r="FU119" t="s">
        <v>26</v>
      </c>
      <c r="FX119">
        <v>109.8</v>
      </c>
      <c r="FY119">
        <v>68</v>
      </c>
      <c r="GA119" t="s">
        <v>6</v>
      </c>
      <c r="GD119">
        <v>0</v>
      </c>
      <c r="GF119">
        <v>994085871</v>
      </c>
      <c r="GG119">
        <v>1</v>
      </c>
      <c r="GH119">
        <v>1</v>
      </c>
      <c r="GI119">
        <v>4</v>
      </c>
      <c r="GJ119">
        <v>0</v>
      </c>
      <c r="GK119">
        <f>ROUND(R119*(R12)/100,2)</f>
        <v>0</v>
      </c>
      <c r="GL119">
        <f t="shared" si="148"/>
        <v>0</v>
      </c>
      <c r="GM119">
        <f t="shared" si="149"/>
        <v>74957.03</v>
      </c>
      <c r="GN119">
        <f t="shared" si="150"/>
        <v>74957.03</v>
      </c>
      <c r="GO119">
        <f t="shared" si="151"/>
        <v>0</v>
      </c>
      <c r="GP119">
        <f t="shared" si="152"/>
        <v>0</v>
      </c>
      <c r="GR119">
        <v>0</v>
      </c>
      <c r="GS119">
        <v>3</v>
      </c>
      <c r="GT119">
        <v>0</v>
      </c>
      <c r="GU119" t="s">
        <v>6</v>
      </c>
      <c r="GV119">
        <f t="shared" si="153"/>
        <v>0</v>
      </c>
      <c r="GW119">
        <v>1</v>
      </c>
      <c r="GX119">
        <f t="shared" si="154"/>
        <v>0</v>
      </c>
      <c r="HA119">
        <v>0</v>
      </c>
      <c r="HB119">
        <v>0</v>
      </c>
      <c r="IK119">
        <v>0</v>
      </c>
    </row>
    <row r="120" spans="1:245" x14ac:dyDescent="0.2">
      <c r="A120">
        <v>18</v>
      </c>
      <c r="B120">
        <v>1</v>
      </c>
      <c r="C120">
        <v>150</v>
      </c>
      <c r="E120" t="s">
        <v>313</v>
      </c>
      <c r="F120" t="s">
        <v>314</v>
      </c>
      <c r="G120" t="s">
        <v>315</v>
      </c>
      <c r="H120" t="s">
        <v>71</v>
      </c>
      <c r="I120">
        <f>I118*J120</f>
        <v>0.176291</v>
      </c>
      <c r="J120">
        <v>0.40997906976744186</v>
      </c>
      <c r="O120">
        <f t="shared" si="121"/>
        <v>4991.32</v>
      </c>
      <c r="P120">
        <f t="shared" si="122"/>
        <v>4991.32</v>
      </c>
      <c r="Q120">
        <f t="shared" si="123"/>
        <v>0</v>
      </c>
      <c r="R120">
        <f t="shared" si="124"/>
        <v>0</v>
      </c>
      <c r="S120">
        <f t="shared" si="125"/>
        <v>0</v>
      </c>
      <c r="T120">
        <f t="shared" si="126"/>
        <v>0</v>
      </c>
      <c r="U120">
        <f t="shared" si="127"/>
        <v>0</v>
      </c>
      <c r="V120">
        <f t="shared" si="128"/>
        <v>0</v>
      </c>
      <c r="W120">
        <f t="shared" si="129"/>
        <v>0</v>
      </c>
      <c r="X120">
        <f t="shared" si="130"/>
        <v>0</v>
      </c>
      <c r="Y120">
        <f t="shared" si="131"/>
        <v>0</v>
      </c>
      <c r="AA120">
        <v>16748969</v>
      </c>
      <c r="AB120">
        <f t="shared" si="132"/>
        <v>4316</v>
      </c>
      <c r="AC120">
        <f t="shared" si="133"/>
        <v>4316</v>
      </c>
      <c r="AD120">
        <f t="shared" si="116"/>
        <v>0</v>
      </c>
      <c r="AE120">
        <f t="shared" si="117"/>
        <v>0</v>
      </c>
      <c r="AF120">
        <f t="shared" si="118"/>
        <v>0</v>
      </c>
      <c r="AG120">
        <f t="shared" si="134"/>
        <v>0</v>
      </c>
      <c r="AH120">
        <f t="shared" si="119"/>
        <v>0</v>
      </c>
      <c r="AI120">
        <f t="shared" si="120"/>
        <v>0</v>
      </c>
      <c r="AJ120">
        <f t="shared" si="135"/>
        <v>0</v>
      </c>
      <c r="AK120">
        <v>4316</v>
      </c>
      <c r="AL120">
        <v>4316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110</v>
      </c>
      <c r="AU120">
        <v>68</v>
      </c>
      <c r="AV120">
        <v>1</v>
      </c>
      <c r="AW120">
        <v>1</v>
      </c>
      <c r="AZ120">
        <v>6.56</v>
      </c>
      <c r="BA120">
        <v>1</v>
      </c>
      <c r="BB120">
        <v>1</v>
      </c>
      <c r="BC120">
        <v>6.56</v>
      </c>
      <c r="BD120" t="s">
        <v>6</v>
      </c>
      <c r="BE120" t="s">
        <v>6</v>
      </c>
      <c r="BF120" t="s">
        <v>6</v>
      </c>
      <c r="BG120" t="s">
        <v>6</v>
      </c>
      <c r="BH120">
        <v>3</v>
      </c>
      <c r="BI120">
        <v>1</v>
      </c>
      <c r="BJ120" t="s">
        <v>316</v>
      </c>
      <c r="BM120">
        <v>8001</v>
      </c>
      <c r="BN120">
        <v>0</v>
      </c>
      <c r="BO120" t="s">
        <v>6</v>
      </c>
      <c r="BP120">
        <v>0</v>
      </c>
      <c r="BQ120">
        <v>2</v>
      </c>
      <c r="BR120">
        <v>0</v>
      </c>
      <c r="BS120">
        <v>1</v>
      </c>
      <c r="BT120">
        <v>1</v>
      </c>
      <c r="BU120">
        <v>1</v>
      </c>
      <c r="BV120">
        <v>1</v>
      </c>
      <c r="BW120">
        <v>1</v>
      </c>
      <c r="BX120">
        <v>1</v>
      </c>
      <c r="BY120" t="s">
        <v>6</v>
      </c>
      <c r="BZ120">
        <v>122</v>
      </c>
      <c r="CA120">
        <v>80</v>
      </c>
      <c r="CF120">
        <v>0</v>
      </c>
      <c r="CG120">
        <v>0</v>
      </c>
      <c r="CM120">
        <v>0</v>
      </c>
      <c r="CN120" t="s">
        <v>6</v>
      </c>
      <c r="CO120">
        <v>0</v>
      </c>
      <c r="CP120">
        <f t="shared" si="136"/>
        <v>4991.32</v>
      </c>
      <c r="CQ120">
        <f t="shared" si="137"/>
        <v>28312.959999999999</v>
      </c>
      <c r="CR120">
        <f t="shared" si="138"/>
        <v>0</v>
      </c>
      <c r="CS120">
        <f t="shared" si="139"/>
        <v>0</v>
      </c>
      <c r="CT120">
        <f t="shared" si="140"/>
        <v>0</v>
      </c>
      <c r="CU120">
        <f t="shared" si="141"/>
        <v>0</v>
      </c>
      <c r="CV120">
        <f t="shared" si="142"/>
        <v>0</v>
      </c>
      <c r="CW120">
        <f t="shared" si="143"/>
        <v>0</v>
      </c>
      <c r="CX120">
        <f t="shared" si="144"/>
        <v>0</v>
      </c>
      <c r="CY120">
        <f t="shared" si="145"/>
        <v>0</v>
      </c>
      <c r="CZ120">
        <f t="shared" si="146"/>
        <v>0</v>
      </c>
      <c r="DC120" t="s">
        <v>6</v>
      </c>
      <c r="DD120" t="s">
        <v>6</v>
      </c>
      <c r="DE120" t="s">
        <v>6</v>
      </c>
      <c r="DF120" t="s">
        <v>6</v>
      </c>
      <c r="DG120" t="s">
        <v>6</v>
      </c>
      <c r="DH120" t="s">
        <v>6</v>
      </c>
      <c r="DI120" t="s">
        <v>6</v>
      </c>
      <c r="DJ120" t="s">
        <v>6</v>
      </c>
      <c r="DK120" t="s">
        <v>6</v>
      </c>
      <c r="DL120" t="s">
        <v>6</v>
      </c>
      <c r="DM120" t="s">
        <v>6</v>
      </c>
      <c r="DN120">
        <v>0</v>
      </c>
      <c r="DO120">
        <v>0</v>
      </c>
      <c r="DP120">
        <v>1</v>
      </c>
      <c r="DQ120">
        <v>1</v>
      </c>
      <c r="DU120">
        <v>1009</v>
      </c>
      <c r="DV120" t="s">
        <v>71</v>
      </c>
      <c r="DW120" t="s">
        <v>71</v>
      </c>
      <c r="DX120">
        <v>1000</v>
      </c>
      <c r="EE120">
        <v>16510485</v>
      </c>
      <c r="EF120">
        <v>2</v>
      </c>
      <c r="EG120" t="s">
        <v>22</v>
      </c>
      <c r="EH120">
        <v>0</v>
      </c>
      <c r="EI120" t="s">
        <v>6</v>
      </c>
      <c r="EJ120">
        <v>1</v>
      </c>
      <c r="EK120">
        <v>8001</v>
      </c>
      <c r="EL120" t="s">
        <v>307</v>
      </c>
      <c r="EM120" t="s">
        <v>308</v>
      </c>
      <c r="EO120" t="s">
        <v>6</v>
      </c>
      <c r="EQ120">
        <v>0</v>
      </c>
      <c r="ER120">
        <v>4316</v>
      </c>
      <c r="ES120">
        <v>4316</v>
      </c>
      <c r="ET120">
        <v>0</v>
      </c>
      <c r="EU120">
        <v>0</v>
      </c>
      <c r="EV120">
        <v>0</v>
      </c>
      <c r="EW120">
        <v>0</v>
      </c>
      <c r="EX120">
        <v>0</v>
      </c>
      <c r="FQ120">
        <v>0</v>
      </c>
      <c r="FR120">
        <f t="shared" si="147"/>
        <v>0</v>
      </c>
      <c r="FS120">
        <v>0</v>
      </c>
      <c r="FT120" t="s">
        <v>25</v>
      </c>
      <c r="FU120" t="s">
        <v>26</v>
      </c>
      <c r="FX120">
        <v>109.8</v>
      </c>
      <c r="FY120">
        <v>68</v>
      </c>
      <c r="GA120" t="s">
        <v>6</v>
      </c>
      <c r="GD120">
        <v>0</v>
      </c>
      <c r="GF120">
        <v>-1425202410</v>
      </c>
      <c r="GG120">
        <v>1</v>
      </c>
      <c r="GH120">
        <v>1</v>
      </c>
      <c r="GI120">
        <v>4</v>
      </c>
      <c r="GJ120">
        <v>0</v>
      </c>
      <c r="GK120">
        <f>ROUND(R120*(R12)/100,2)</f>
        <v>0</v>
      </c>
      <c r="GL120">
        <f t="shared" si="148"/>
        <v>0</v>
      </c>
      <c r="GM120">
        <f t="shared" si="149"/>
        <v>4991.32</v>
      </c>
      <c r="GN120">
        <f t="shared" si="150"/>
        <v>4991.32</v>
      </c>
      <c r="GO120">
        <f t="shared" si="151"/>
        <v>0</v>
      </c>
      <c r="GP120">
        <f t="shared" si="152"/>
        <v>0</v>
      </c>
      <c r="GR120">
        <v>0</v>
      </c>
      <c r="GS120">
        <v>3</v>
      </c>
      <c r="GT120">
        <v>0</v>
      </c>
      <c r="GU120" t="s">
        <v>6</v>
      </c>
      <c r="GV120">
        <f t="shared" si="153"/>
        <v>0</v>
      </c>
      <c r="GW120">
        <v>1</v>
      </c>
      <c r="GX120">
        <f t="shared" si="154"/>
        <v>0</v>
      </c>
      <c r="HA120">
        <v>0</v>
      </c>
      <c r="HB120">
        <v>0</v>
      </c>
      <c r="IK120">
        <v>0</v>
      </c>
    </row>
    <row r="121" spans="1:245" x14ac:dyDescent="0.2">
      <c r="A121">
        <v>18</v>
      </c>
      <c r="B121">
        <v>1</v>
      </c>
      <c r="C121">
        <v>148</v>
      </c>
      <c r="E121" t="s">
        <v>317</v>
      </c>
      <c r="F121" t="s">
        <v>318</v>
      </c>
      <c r="G121" t="s">
        <v>319</v>
      </c>
      <c r="H121" t="s">
        <v>283</v>
      </c>
      <c r="I121">
        <f>I118*J121</f>
        <v>8.6859999999999999</v>
      </c>
      <c r="J121">
        <v>20.2</v>
      </c>
      <c r="O121">
        <f t="shared" si="121"/>
        <v>0</v>
      </c>
      <c r="P121">
        <f t="shared" si="122"/>
        <v>0</v>
      </c>
      <c r="Q121">
        <f t="shared" si="123"/>
        <v>0</v>
      </c>
      <c r="R121">
        <f t="shared" si="124"/>
        <v>0</v>
      </c>
      <c r="S121">
        <f t="shared" si="125"/>
        <v>0</v>
      </c>
      <c r="T121">
        <f t="shared" si="126"/>
        <v>0</v>
      </c>
      <c r="U121">
        <f t="shared" si="127"/>
        <v>0</v>
      </c>
      <c r="V121">
        <f t="shared" si="128"/>
        <v>0</v>
      </c>
      <c r="W121">
        <f t="shared" si="129"/>
        <v>0</v>
      </c>
      <c r="X121">
        <f t="shared" si="130"/>
        <v>0</v>
      </c>
      <c r="Y121">
        <f t="shared" si="131"/>
        <v>0</v>
      </c>
      <c r="AA121">
        <v>16748969</v>
      </c>
      <c r="AB121">
        <f t="shared" si="132"/>
        <v>0</v>
      </c>
      <c r="AC121">
        <f t="shared" si="133"/>
        <v>0</v>
      </c>
      <c r="AD121">
        <f t="shared" si="116"/>
        <v>0</v>
      </c>
      <c r="AE121">
        <f t="shared" si="117"/>
        <v>0</v>
      </c>
      <c r="AF121">
        <f t="shared" si="118"/>
        <v>0</v>
      </c>
      <c r="AG121">
        <f t="shared" si="134"/>
        <v>0</v>
      </c>
      <c r="AH121">
        <f t="shared" si="119"/>
        <v>0</v>
      </c>
      <c r="AI121">
        <f t="shared" si="120"/>
        <v>0</v>
      </c>
      <c r="AJ121">
        <f t="shared" si="135"/>
        <v>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110</v>
      </c>
      <c r="AU121">
        <v>68</v>
      </c>
      <c r="AV121">
        <v>1</v>
      </c>
      <c r="AW121">
        <v>1</v>
      </c>
      <c r="AZ121">
        <v>6.56</v>
      </c>
      <c r="BA121">
        <v>1</v>
      </c>
      <c r="BB121">
        <v>1</v>
      </c>
      <c r="BC121">
        <v>6.56</v>
      </c>
      <c r="BD121" t="s">
        <v>6</v>
      </c>
      <c r="BE121" t="s">
        <v>6</v>
      </c>
      <c r="BF121" t="s">
        <v>6</v>
      </c>
      <c r="BG121" t="s">
        <v>6</v>
      </c>
      <c r="BH121">
        <v>3</v>
      </c>
      <c r="BI121">
        <v>1</v>
      </c>
      <c r="BJ121" t="s">
        <v>6</v>
      </c>
      <c r="BM121">
        <v>8001</v>
      </c>
      <c r="BN121">
        <v>0</v>
      </c>
      <c r="BO121" t="s">
        <v>6</v>
      </c>
      <c r="BP121">
        <v>0</v>
      </c>
      <c r="BQ121">
        <v>2</v>
      </c>
      <c r="BR121">
        <v>0</v>
      </c>
      <c r="BS121">
        <v>1</v>
      </c>
      <c r="BT121">
        <v>1</v>
      </c>
      <c r="BU121">
        <v>1</v>
      </c>
      <c r="BV121">
        <v>1</v>
      </c>
      <c r="BW121">
        <v>1</v>
      </c>
      <c r="BX121">
        <v>1</v>
      </c>
      <c r="BY121" t="s">
        <v>6</v>
      </c>
      <c r="BZ121">
        <v>122</v>
      </c>
      <c r="CA121">
        <v>80</v>
      </c>
      <c r="CF121">
        <v>0</v>
      </c>
      <c r="CG121">
        <v>0</v>
      </c>
      <c r="CM121">
        <v>0</v>
      </c>
      <c r="CN121" t="s">
        <v>6</v>
      </c>
      <c r="CO121">
        <v>0</v>
      </c>
      <c r="CP121">
        <f t="shared" si="136"/>
        <v>0</v>
      </c>
      <c r="CQ121">
        <f t="shared" si="137"/>
        <v>0</v>
      </c>
      <c r="CR121">
        <f t="shared" si="138"/>
        <v>0</v>
      </c>
      <c r="CS121">
        <f t="shared" si="139"/>
        <v>0</v>
      </c>
      <c r="CT121">
        <f t="shared" si="140"/>
        <v>0</v>
      </c>
      <c r="CU121">
        <f t="shared" si="141"/>
        <v>0</v>
      </c>
      <c r="CV121">
        <f t="shared" si="142"/>
        <v>0</v>
      </c>
      <c r="CW121">
        <f t="shared" si="143"/>
        <v>0</v>
      </c>
      <c r="CX121">
        <f t="shared" si="144"/>
        <v>0</v>
      </c>
      <c r="CY121">
        <f t="shared" si="145"/>
        <v>0</v>
      </c>
      <c r="CZ121">
        <f t="shared" si="146"/>
        <v>0</v>
      </c>
      <c r="DC121" t="s">
        <v>6</v>
      </c>
      <c r="DD121" t="s">
        <v>6</v>
      </c>
      <c r="DE121" t="s">
        <v>6</v>
      </c>
      <c r="DF121" t="s">
        <v>6</v>
      </c>
      <c r="DG121" t="s">
        <v>6</v>
      </c>
      <c r="DH121" t="s">
        <v>6</v>
      </c>
      <c r="DI121" t="s">
        <v>6</v>
      </c>
      <c r="DJ121" t="s">
        <v>6</v>
      </c>
      <c r="DK121" t="s">
        <v>6</v>
      </c>
      <c r="DL121" t="s">
        <v>6</v>
      </c>
      <c r="DM121" t="s">
        <v>6</v>
      </c>
      <c r="DN121">
        <v>0</v>
      </c>
      <c r="DO121">
        <v>0</v>
      </c>
      <c r="DP121">
        <v>1</v>
      </c>
      <c r="DQ121">
        <v>1</v>
      </c>
      <c r="DU121">
        <v>1007</v>
      </c>
      <c r="DV121" t="s">
        <v>283</v>
      </c>
      <c r="DW121" t="s">
        <v>283</v>
      </c>
      <c r="DX121">
        <v>1</v>
      </c>
      <c r="EE121">
        <v>16510485</v>
      </c>
      <c r="EF121">
        <v>2</v>
      </c>
      <c r="EG121" t="s">
        <v>22</v>
      </c>
      <c r="EH121">
        <v>0</v>
      </c>
      <c r="EI121" t="s">
        <v>6</v>
      </c>
      <c r="EJ121">
        <v>1</v>
      </c>
      <c r="EK121">
        <v>8001</v>
      </c>
      <c r="EL121" t="s">
        <v>307</v>
      </c>
      <c r="EM121" t="s">
        <v>308</v>
      </c>
      <c r="EO121" t="s">
        <v>6</v>
      </c>
      <c r="EQ121">
        <v>0</v>
      </c>
      <c r="ER121">
        <v>0</v>
      </c>
      <c r="ES121">
        <v>0</v>
      </c>
      <c r="ET121">
        <v>0</v>
      </c>
      <c r="EU121">
        <v>0</v>
      </c>
      <c r="EV121">
        <v>0</v>
      </c>
      <c r="EW121">
        <v>0</v>
      </c>
      <c r="EX121">
        <v>0</v>
      </c>
      <c r="FQ121">
        <v>0</v>
      </c>
      <c r="FR121">
        <f t="shared" si="147"/>
        <v>0</v>
      </c>
      <c r="FS121">
        <v>0</v>
      </c>
      <c r="FT121" t="s">
        <v>25</v>
      </c>
      <c r="FU121" t="s">
        <v>26</v>
      </c>
      <c r="FX121">
        <v>109.8</v>
      </c>
      <c r="FY121">
        <v>68</v>
      </c>
      <c r="GA121" t="s">
        <v>6</v>
      </c>
      <c r="GD121">
        <v>0</v>
      </c>
      <c r="GF121">
        <v>789713021</v>
      </c>
      <c r="GG121">
        <v>1</v>
      </c>
      <c r="GH121">
        <v>1</v>
      </c>
      <c r="GI121">
        <v>4</v>
      </c>
      <c r="GJ121">
        <v>0</v>
      </c>
      <c r="GK121">
        <f>ROUND(R121*(R12)/100,2)</f>
        <v>0</v>
      </c>
      <c r="GL121">
        <f t="shared" si="148"/>
        <v>0</v>
      </c>
      <c r="GM121">
        <f t="shared" si="149"/>
        <v>0</v>
      </c>
      <c r="GN121">
        <f t="shared" si="150"/>
        <v>0</v>
      </c>
      <c r="GO121">
        <f t="shared" si="151"/>
        <v>0</v>
      </c>
      <c r="GP121">
        <f t="shared" si="152"/>
        <v>0</v>
      </c>
      <c r="GR121">
        <v>0</v>
      </c>
      <c r="GS121">
        <v>3</v>
      </c>
      <c r="GT121">
        <v>0</v>
      </c>
      <c r="GU121" t="s">
        <v>6</v>
      </c>
      <c r="GV121">
        <f t="shared" si="153"/>
        <v>0</v>
      </c>
      <c r="GW121">
        <v>1</v>
      </c>
      <c r="GX121">
        <f t="shared" si="154"/>
        <v>0</v>
      </c>
      <c r="HA121">
        <v>0</v>
      </c>
      <c r="HB121">
        <v>0</v>
      </c>
      <c r="IK121">
        <v>0</v>
      </c>
    </row>
    <row r="122" spans="1:245" x14ac:dyDescent="0.2">
      <c r="A122">
        <v>18</v>
      </c>
      <c r="B122">
        <v>1</v>
      </c>
      <c r="C122">
        <v>151</v>
      </c>
      <c r="E122" t="s">
        <v>320</v>
      </c>
      <c r="F122" t="s">
        <v>321</v>
      </c>
      <c r="G122" t="s">
        <v>322</v>
      </c>
      <c r="H122" t="s">
        <v>323</v>
      </c>
      <c r="I122">
        <f>I118*J122</f>
        <v>176.29140000000001</v>
      </c>
      <c r="J122">
        <v>409.98</v>
      </c>
      <c r="O122">
        <f t="shared" si="121"/>
        <v>0</v>
      </c>
      <c r="P122">
        <f t="shared" si="122"/>
        <v>0</v>
      </c>
      <c r="Q122">
        <f t="shared" si="123"/>
        <v>0</v>
      </c>
      <c r="R122">
        <f t="shared" si="124"/>
        <v>0</v>
      </c>
      <c r="S122">
        <f t="shared" si="125"/>
        <v>0</v>
      </c>
      <c r="T122">
        <f t="shared" si="126"/>
        <v>0</v>
      </c>
      <c r="U122">
        <f t="shared" si="127"/>
        <v>0</v>
      </c>
      <c r="V122">
        <f t="shared" si="128"/>
        <v>0</v>
      </c>
      <c r="W122">
        <f t="shared" si="129"/>
        <v>0</v>
      </c>
      <c r="X122">
        <f t="shared" si="130"/>
        <v>0</v>
      </c>
      <c r="Y122">
        <f t="shared" si="131"/>
        <v>0</v>
      </c>
      <c r="AA122">
        <v>16748969</v>
      </c>
      <c r="AB122">
        <f t="shared" si="132"/>
        <v>0</v>
      </c>
      <c r="AC122">
        <f t="shared" si="133"/>
        <v>0</v>
      </c>
      <c r="AD122">
        <f t="shared" si="116"/>
        <v>0</v>
      </c>
      <c r="AE122">
        <f t="shared" si="117"/>
        <v>0</v>
      </c>
      <c r="AF122">
        <f t="shared" si="118"/>
        <v>0</v>
      </c>
      <c r="AG122">
        <f t="shared" si="134"/>
        <v>0</v>
      </c>
      <c r="AH122">
        <f t="shared" si="119"/>
        <v>0</v>
      </c>
      <c r="AI122">
        <f t="shared" si="120"/>
        <v>0</v>
      </c>
      <c r="AJ122">
        <f t="shared" si="135"/>
        <v>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110</v>
      </c>
      <c r="AU122">
        <v>68</v>
      </c>
      <c r="AV122">
        <v>1</v>
      </c>
      <c r="AW122">
        <v>1</v>
      </c>
      <c r="AZ122">
        <v>6.56</v>
      </c>
      <c r="BA122">
        <v>1</v>
      </c>
      <c r="BB122">
        <v>1</v>
      </c>
      <c r="BC122">
        <v>6.56</v>
      </c>
      <c r="BD122" t="s">
        <v>6</v>
      </c>
      <c r="BE122" t="s">
        <v>6</v>
      </c>
      <c r="BF122" t="s">
        <v>6</v>
      </c>
      <c r="BG122" t="s">
        <v>6</v>
      </c>
      <c r="BH122">
        <v>3</v>
      </c>
      <c r="BI122">
        <v>1</v>
      </c>
      <c r="BJ122" t="s">
        <v>6</v>
      </c>
      <c r="BM122">
        <v>8001</v>
      </c>
      <c r="BN122">
        <v>0</v>
      </c>
      <c r="BO122" t="s">
        <v>6</v>
      </c>
      <c r="BP122">
        <v>0</v>
      </c>
      <c r="BQ122">
        <v>2</v>
      </c>
      <c r="BR122">
        <v>0</v>
      </c>
      <c r="BS122">
        <v>1</v>
      </c>
      <c r="BT122">
        <v>1</v>
      </c>
      <c r="BU122">
        <v>1</v>
      </c>
      <c r="BV122">
        <v>1</v>
      </c>
      <c r="BW122">
        <v>1</v>
      </c>
      <c r="BX122">
        <v>1</v>
      </c>
      <c r="BY122" t="s">
        <v>6</v>
      </c>
      <c r="BZ122">
        <v>122</v>
      </c>
      <c r="CA122">
        <v>80</v>
      </c>
      <c r="CF122">
        <v>0</v>
      </c>
      <c r="CG122">
        <v>0</v>
      </c>
      <c r="CM122">
        <v>0</v>
      </c>
      <c r="CN122" t="s">
        <v>6</v>
      </c>
      <c r="CO122">
        <v>0</v>
      </c>
      <c r="CP122">
        <f t="shared" si="136"/>
        <v>0</v>
      </c>
      <c r="CQ122">
        <f t="shared" si="137"/>
        <v>0</v>
      </c>
      <c r="CR122">
        <f t="shared" si="138"/>
        <v>0</v>
      </c>
      <c r="CS122">
        <f t="shared" si="139"/>
        <v>0</v>
      </c>
      <c r="CT122">
        <f t="shared" si="140"/>
        <v>0</v>
      </c>
      <c r="CU122">
        <f t="shared" si="141"/>
        <v>0</v>
      </c>
      <c r="CV122">
        <f t="shared" si="142"/>
        <v>0</v>
      </c>
      <c r="CW122">
        <f t="shared" si="143"/>
        <v>0</v>
      </c>
      <c r="CX122">
        <f t="shared" si="144"/>
        <v>0</v>
      </c>
      <c r="CY122">
        <f t="shared" si="145"/>
        <v>0</v>
      </c>
      <c r="CZ122">
        <f t="shared" si="146"/>
        <v>0</v>
      </c>
      <c r="DC122" t="s">
        <v>6</v>
      </c>
      <c r="DD122" t="s">
        <v>6</v>
      </c>
      <c r="DE122" t="s">
        <v>6</v>
      </c>
      <c r="DF122" t="s">
        <v>6</v>
      </c>
      <c r="DG122" t="s">
        <v>6</v>
      </c>
      <c r="DH122" t="s">
        <v>6</v>
      </c>
      <c r="DI122" t="s">
        <v>6</v>
      </c>
      <c r="DJ122" t="s">
        <v>6</v>
      </c>
      <c r="DK122" t="s">
        <v>6</v>
      </c>
      <c r="DL122" t="s">
        <v>6</v>
      </c>
      <c r="DM122" t="s">
        <v>6</v>
      </c>
      <c r="DN122">
        <v>0</v>
      </c>
      <c r="DO122">
        <v>0</v>
      </c>
      <c r="DP122">
        <v>1</v>
      </c>
      <c r="DQ122">
        <v>1</v>
      </c>
      <c r="DU122">
        <v>1009</v>
      </c>
      <c r="DV122" t="s">
        <v>323</v>
      </c>
      <c r="DW122" t="s">
        <v>323</v>
      </c>
      <c r="DX122">
        <v>1</v>
      </c>
      <c r="EE122">
        <v>16510485</v>
      </c>
      <c r="EF122">
        <v>2</v>
      </c>
      <c r="EG122" t="s">
        <v>22</v>
      </c>
      <c r="EH122">
        <v>0</v>
      </c>
      <c r="EI122" t="s">
        <v>6</v>
      </c>
      <c r="EJ122">
        <v>1</v>
      </c>
      <c r="EK122">
        <v>8001</v>
      </c>
      <c r="EL122" t="s">
        <v>307</v>
      </c>
      <c r="EM122" t="s">
        <v>308</v>
      </c>
      <c r="EO122" t="s">
        <v>6</v>
      </c>
      <c r="EQ122">
        <v>0</v>
      </c>
      <c r="ER122">
        <v>0</v>
      </c>
      <c r="ES122">
        <v>0</v>
      </c>
      <c r="ET122">
        <v>0</v>
      </c>
      <c r="EU122">
        <v>0</v>
      </c>
      <c r="EV122">
        <v>0</v>
      </c>
      <c r="EW122">
        <v>0</v>
      </c>
      <c r="EX122">
        <v>0</v>
      </c>
      <c r="FQ122">
        <v>0</v>
      </c>
      <c r="FR122">
        <f t="shared" si="147"/>
        <v>0</v>
      </c>
      <c r="FS122">
        <v>0</v>
      </c>
      <c r="FT122" t="s">
        <v>25</v>
      </c>
      <c r="FU122" t="s">
        <v>26</v>
      </c>
      <c r="FX122">
        <v>109.8</v>
      </c>
      <c r="FY122">
        <v>68</v>
      </c>
      <c r="GA122" t="s">
        <v>6</v>
      </c>
      <c r="GD122">
        <v>0</v>
      </c>
      <c r="GF122">
        <v>290394019</v>
      </c>
      <c r="GG122">
        <v>1</v>
      </c>
      <c r="GH122">
        <v>1</v>
      </c>
      <c r="GI122">
        <v>4</v>
      </c>
      <c r="GJ122">
        <v>0</v>
      </c>
      <c r="GK122">
        <f>ROUND(R122*(R12)/100,2)</f>
        <v>0</v>
      </c>
      <c r="GL122">
        <f t="shared" si="148"/>
        <v>0</v>
      </c>
      <c r="GM122">
        <f t="shared" si="149"/>
        <v>0</v>
      </c>
      <c r="GN122">
        <f t="shared" si="150"/>
        <v>0</v>
      </c>
      <c r="GO122">
        <f t="shared" si="151"/>
        <v>0</v>
      </c>
      <c r="GP122">
        <f t="shared" si="152"/>
        <v>0</v>
      </c>
      <c r="GR122">
        <v>0</v>
      </c>
      <c r="GS122">
        <v>3</v>
      </c>
      <c r="GT122">
        <v>0</v>
      </c>
      <c r="GU122" t="s">
        <v>6</v>
      </c>
      <c r="GV122">
        <f t="shared" si="153"/>
        <v>0</v>
      </c>
      <c r="GW122">
        <v>1</v>
      </c>
      <c r="GX122">
        <f t="shared" si="154"/>
        <v>0</v>
      </c>
      <c r="HA122">
        <v>0</v>
      </c>
      <c r="HB122">
        <v>0</v>
      </c>
      <c r="IK122">
        <v>0</v>
      </c>
    </row>
    <row r="123" spans="1:245" x14ac:dyDescent="0.2">
      <c r="A123">
        <v>17</v>
      </c>
      <c r="B123">
        <v>1</v>
      </c>
      <c r="C123">
        <f>ROW(SmtRes!A157)</f>
        <v>157</v>
      </c>
      <c r="D123">
        <f>ROW(EtalonRes!A152)</f>
        <v>152</v>
      </c>
      <c r="E123" t="s">
        <v>324</v>
      </c>
      <c r="F123" t="s">
        <v>325</v>
      </c>
      <c r="G123" t="s">
        <v>326</v>
      </c>
      <c r="H123" t="s">
        <v>283</v>
      </c>
      <c r="I123">
        <v>0.81</v>
      </c>
      <c r="J123">
        <v>0</v>
      </c>
      <c r="O123">
        <f t="shared" si="121"/>
        <v>1309.32</v>
      </c>
      <c r="P123">
        <f t="shared" si="122"/>
        <v>662.87</v>
      </c>
      <c r="Q123">
        <f t="shared" si="123"/>
        <v>11.32</v>
      </c>
      <c r="R123">
        <f t="shared" si="124"/>
        <v>0</v>
      </c>
      <c r="S123">
        <f t="shared" si="125"/>
        <v>635.13</v>
      </c>
      <c r="T123">
        <f t="shared" si="126"/>
        <v>0</v>
      </c>
      <c r="U123">
        <f t="shared" si="127"/>
        <v>11.850300000000001</v>
      </c>
      <c r="V123">
        <f t="shared" si="128"/>
        <v>0</v>
      </c>
      <c r="W123">
        <f t="shared" si="129"/>
        <v>0</v>
      </c>
      <c r="X123">
        <f t="shared" si="130"/>
        <v>628.78</v>
      </c>
      <c r="Y123">
        <f t="shared" si="131"/>
        <v>381.08</v>
      </c>
      <c r="AA123">
        <v>16748969</v>
      </c>
      <c r="AB123">
        <f t="shared" si="132"/>
        <v>246.41</v>
      </c>
      <c r="AC123">
        <f t="shared" si="133"/>
        <v>124.75</v>
      </c>
      <c r="AD123">
        <f t="shared" si="116"/>
        <v>2.13</v>
      </c>
      <c r="AE123">
        <f t="shared" si="117"/>
        <v>0</v>
      </c>
      <c r="AF123">
        <f t="shared" si="118"/>
        <v>119.53</v>
      </c>
      <c r="AG123">
        <f t="shared" si="134"/>
        <v>0</v>
      </c>
      <c r="AH123">
        <f t="shared" si="119"/>
        <v>14.63</v>
      </c>
      <c r="AI123">
        <f t="shared" si="120"/>
        <v>0</v>
      </c>
      <c r="AJ123">
        <f t="shared" si="135"/>
        <v>0</v>
      </c>
      <c r="AK123">
        <v>246.41</v>
      </c>
      <c r="AL123">
        <v>124.75</v>
      </c>
      <c r="AM123">
        <v>2.13</v>
      </c>
      <c r="AN123">
        <v>0</v>
      </c>
      <c r="AO123">
        <v>119.53</v>
      </c>
      <c r="AP123">
        <v>0</v>
      </c>
      <c r="AQ123">
        <v>14.63</v>
      </c>
      <c r="AR123">
        <v>0</v>
      </c>
      <c r="AS123">
        <v>0</v>
      </c>
      <c r="AT123">
        <v>99</v>
      </c>
      <c r="AU123">
        <v>60</v>
      </c>
      <c r="AV123">
        <v>1</v>
      </c>
      <c r="AW123">
        <v>1</v>
      </c>
      <c r="AZ123">
        <v>6.56</v>
      </c>
      <c r="BA123">
        <v>6.56</v>
      </c>
      <c r="BB123">
        <v>6.56</v>
      </c>
      <c r="BC123">
        <v>6.56</v>
      </c>
      <c r="BD123" t="s">
        <v>6</v>
      </c>
      <c r="BE123" t="s">
        <v>6</v>
      </c>
      <c r="BF123" t="s">
        <v>6</v>
      </c>
      <c r="BG123" t="s">
        <v>6</v>
      </c>
      <c r="BH123">
        <v>0</v>
      </c>
      <c r="BI123">
        <v>1</v>
      </c>
      <c r="BJ123" t="s">
        <v>327</v>
      </c>
      <c r="BM123">
        <v>46001</v>
      </c>
      <c r="BN123">
        <v>0</v>
      </c>
      <c r="BO123" t="s">
        <v>6</v>
      </c>
      <c r="BP123">
        <v>0</v>
      </c>
      <c r="BQ123">
        <v>2</v>
      </c>
      <c r="BR123">
        <v>0</v>
      </c>
      <c r="BS123">
        <v>6.56</v>
      </c>
      <c r="BT123">
        <v>1</v>
      </c>
      <c r="BU123">
        <v>1</v>
      </c>
      <c r="BV123">
        <v>1</v>
      </c>
      <c r="BW123">
        <v>1</v>
      </c>
      <c r="BX123">
        <v>1</v>
      </c>
      <c r="BY123" t="s">
        <v>6</v>
      </c>
      <c r="BZ123">
        <v>110</v>
      </c>
      <c r="CA123">
        <v>70</v>
      </c>
      <c r="CF123">
        <v>0</v>
      </c>
      <c r="CG123">
        <v>0</v>
      </c>
      <c r="CM123">
        <v>0</v>
      </c>
      <c r="CN123" t="s">
        <v>6</v>
      </c>
      <c r="CO123">
        <v>0</v>
      </c>
      <c r="CP123">
        <f t="shared" si="136"/>
        <v>1309.3200000000002</v>
      </c>
      <c r="CQ123">
        <f t="shared" si="137"/>
        <v>818.3599999999999</v>
      </c>
      <c r="CR123">
        <f t="shared" si="138"/>
        <v>13.972799999999998</v>
      </c>
      <c r="CS123">
        <f t="shared" si="139"/>
        <v>0</v>
      </c>
      <c r="CT123">
        <f t="shared" si="140"/>
        <v>784.11680000000001</v>
      </c>
      <c r="CU123">
        <f t="shared" si="141"/>
        <v>0</v>
      </c>
      <c r="CV123">
        <f t="shared" si="142"/>
        <v>14.63</v>
      </c>
      <c r="CW123">
        <f t="shared" si="143"/>
        <v>0</v>
      </c>
      <c r="CX123">
        <f t="shared" si="144"/>
        <v>0</v>
      </c>
      <c r="CY123">
        <f t="shared" si="145"/>
        <v>628.77870000000007</v>
      </c>
      <c r="CZ123">
        <f t="shared" si="146"/>
        <v>381.07800000000003</v>
      </c>
      <c r="DC123" t="s">
        <v>6</v>
      </c>
      <c r="DD123" t="s">
        <v>6</v>
      </c>
      <c r="DE123" t="s">
        <v>6</v>
      </c>
      <c r="DF123" t="s">
        <v>6</v>
      </c>
      <c r="DG123" t="s">
        <v>6</v>
      </c>
      <c r="DH123" t="s">
        <v>6</v>
      </c>
      <c r="DI123" t="s">
        <v>6</v>
      </c>
      <c r="DJ123" t="s">
        <v>6</v>
      </c>
      <c r="DK123" t="s">
        <v>6</v>
      </c>
      <c r="DL123" t="s">
        <v>6</v>
      </c>
      <c r="DM123" t="s">
        <v>6</v>
      </c>
      <c r="DN123">
        <v>0</v>
      </c>
      <c r="DO123">
        <v>0</v>
      </c>
      <c r="DP123">
        <v>1</v>
      </c>
      <c r="DQ123">
        <v>1</v>
      </c>
      <c r="DU123">
        <v>1007</v>
      </c>
      <c r="DV123" t="s">
        <v>283</v>
      </c>
      <c r="DW123" t="s">
        <v>283</v>
      </c>
      <c r="DX123">
        <v>1</v>
      </c>
      <c r="EE123">
        <v>16510555</v>
      </c>
      <c r="EF123">
        <v>2</v>
      </c>
      <c r="EG123" t="s">
        <v>22</v>
      </c>
      <c r="EH123">
        <v>0</v>
      </c>
      <c r="EI123" t="s">
        <v>6</v>
      </c>
      <c r="EJ123">
        <v>1</v>
      </c>
      <c r="EK123">
        <v>46001</v>
      </c>
      <c r="EL123" t="s">
        <v>23</v>
      </c>
      <c r="EM123" t="s">
        <v>24</v>
      </c>
      <c r="EO123" t="s">
        <v>6</v>
      </c>
      <c r="EQ123">
        <v>131072</v>
      </c>
      <c r="ER123">
        <v>246.41</v>
      </c>
      <c r="ES123">
        <v>124.75</v>
      </c>
      <c r="ET123">
        <v>2.13</v>
      </c>
      <c r="EU123">
        <v>0</v>
      </c>
      <c r="EV123">
        <v>119.53</v>
      </c>
      <c r="EW123">
        <v>14.63</v>
      </c>
      <c r="EX123">
        <v>0</v>
      </c>
      <c r="EY123">
        <v>0</v>
      </c>
      <c r="FQ123">
        <v>0</v>
      </c>
      <c r="FR123">
        <f t="shared" si="147"/>
        <v>0</v>
      </c>
      <c r="FS123">
        <v>0</v>
      </c>
      <c r="FT123" t="s">
        <v>25</v>
      </c>
      <c r="FU123" t="s">
        <v>26</v>
      </c>
      <c r="FX123">
        <v>99</v>
      </c>
      <c r="FY123">
        <v>59.5</v>
      </c>
      <c r="GA123" t="s">
        <v>6</v>
      </c>
      <c r="GD123">
        <v>0</v>
      </c>
      <c r="GF123">
        <v>1109849592</v>
      </c>
      <c r="GG123">
        <v>1</v>
      </c>
      <c r="GH123">
        <v>1</v>
      </c>
      <c r="GI123">
        <v>4</v>
      </c>
      <c r="GJ123">
        <v>0</v>
      </c>
      <c r="GK123">
        <f>ROUND(R123*(R12)/100,2)</f>
        <v>0</v>
      </c>
      <c r="GL123">
        <f t="shared" si="148"/>
        <v>0</v>
      </c>
      <c r="GM123">
        <f t="shared" si="149"/>
        <v>2319.1799999999998</v>
      </c>
      <c r="GN123">
        <f t="shared" si="150"/>
        <v>2319.1799999999998</v>
      </c>
      <c r="GO123">
        <f t="shared" si="151"/>
        <v>0</v>
      </c>
      <c r="GP123">
        <f t="shared" si="152"/>
        <v>0</v>
      </c>
      <c r="GR123">
        <v>0</v>
      </c>
      <c r="GS123">
        <v>3</v>
      </c>
      <c r="GT123">
        <v>0</v>
      </c>
      <c r="GU123" t="s">
        <v>6</v>
      </c>
      <c r="GV123">
        <f t="shared" si="153"/>
        <v>0</v>
      </c>
      <c r="GW123">
        <v>1</v>
      </c>
      <c r="GX123">
        <f t="shared" si="154"/>
        <v>0</v>
      </c>
      <c r="HA123">
        <v>0</v>
      </c>
      <c r="HB123">
        <v>0</v>
      </c>
      <c r="IK123">
        <v>0</v>
      </c>
    </row>
    <row r="124" spans="1:245" x14ac:dyDescent="0.2">
      <c r="A124">
        <v>18</v>
      </c>
      <c r="B124">
        <v>1</v>
      </c>
      <c r="C124">
        <v>157</v>
      </c>
      <c r="E124" t="s">
        <v>328</v>
      </c>
      <c r="F124" t="s">
        <v>329</v>
      </c>
      <c r="G124" t="s">
        <v>330</v>
      </c>
      <c r="H124" t="s">
        <v>283</v>
      </c>
      <c r="I124">
        <f>I123*J124</f>
        <v>0.81</v>
      </c>
      <c r="J124">
        <v>1</v>
      </c>
      <c r="O124">
        <f t="shared" si="121"/>
        <v>549.48</v>
      </c>
      <c r="P124">
        <f t="shared" si="122"/>
        <v>549.48</v>
      </c>
      <c r="Q124">
        <f t="shared" si="123"/>
        <v>0</v>
      </c>
      <c r="R124">
        <f t="shared" si="124"/>
        <v>0</v>
      </c>
      <c r="S124">
        <f t="shared" si="125"/>
        <v>0</v>
      </c>
      <c r="T124">
        <f t="shared" si="126"/>
        <v>0</v>
      </c>
      <c r="U124">
        <f t="shared" si="127"/>
        <v>0</v>
      </c>
      <c r="V124">
        <f t="shared" si="128"/>
        <v>0</v>
      </c>
      <c r="W124">
        <f t="shared" si="129"/>
        <v>0</v>
      </c>
      <c r="X124">
        <f t="shared" si="130"/>
        <v>0</v>
      </c>
      <c r="Y124">
        <f t="shared" si="131"/>
        <v>0</v>
      </c>
      <c r="AA124">
        <v>16748969</v>
      </c>
      <c r="AB124">
        <f t="shared" si="132"/>
        <v>103.41</v>
      </c>
      <c r="AC124">
        <f t="shared" si="133"/>
        <v>103.41</v>
      </c>
      <c r="AD124">
        <f t="shared" si="116"/>
        <v>0</v>
      </c>
      <c r="AE124">
        <f t="shared" si="117"/>
        <v>0</v>
      </c>
      <c r="AF124">
        <f t="shared" si="118"/>
        <v>0</v>
      </c>
      <c r="AG124">
        <f t="shared" si="134"/>
        <v>0</v>
      </c>
      <c r="AH124">
        <f t="shared" si="119"/>
        <v>0</v>
      </c>
      <c r="AI124">
        <f t="shared" si="120"/>
        <v>0</v>
      </c>
      <c r="AJ124">
        <f t="shared" si="135"/>
        <v>0</v>
      </c>
      <c r="AK124">
        <v>103.41</v>
      </c>
      <c r="AL124">
        <v>103.41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99</v>
      </c>
      <c r="AU124">
        <v>60</v>
      </c>
      <c r="AV124">
        <v>1</v>
      </c>
      <c r="AW124">
        <v>1</v>
      </c>
      <c r="AZ124">
        <v>6.56</v>
      </c>
      <c r="BA124">
        <v>1</v>
      </c>
      <c r="BB124">
        <v>1</v>
      </c>
      <c r="BC124">
        <v>6.56</v>
      </c>
      <c r="BD124" t="s">
        <v>6</v>
      </c>
      <c r="BE124" t="s">
        <v>6</v>
      </c>
      <c r="BF124" t="s">
        <v>6</v>
      </c>
      <c r="BG124" t="s">
        <v>6</v>
      </c>
      <c r="BH124">
        <v>3</v>
      </c>
      <c r="BI124">
        <v>1</v>
      </c>
      <c r="BJ124" t="s">
        <v>331</v>
      </c>
      <c r="BM124">
        <v>46001</v>
      </c>
      <c r="BN124">
        <v>0</v>
      </c>
      <c r="BO124" t="s">
        <v>6</v>
      </c>
      <c r="BP124">
        <v>0</v>
      </c>
      <c r="BQ124">
        <v>2</v>
      </c>
      <c r="BR124">
        <v>0</v>
      </c>
      <c r="BS124">
        <v>1</v>
      </c>
      <c r="BT124">
        <v>1</v>
      </c>
      <c r="BU124">
        <v>1</v>
      </c>
      <c r="BV124">
        <v>1</v>
      </c>
      <c r="BW124">
        <v>1</v>
      </c>
      <c r="BX124">
        <v>1</v>
      </c>
      <c r="BY124" t="s">
        <v>6</v>
      </c>
      <c r="BZ124">
        <v>110</v>
      </c>
      <c r="CA124">
        <v>70</v>
      </c>
      <c r="CF124">
        <v>0</v>
      </c>
      <c r="CG124">
        <v>0</v>
      </c>
      <c r="CM124">
        <v>0</v>
      </c>
      <c r="CN124" t="s">
        <v>6</v>
      </c>
      <c r="CO124">
        <v>0</v>
      </c>
      <c r="CP124">
        <f t="shared" si="136"/>
        <v>549.48</v>
      </c>
      <c r="CQ124">
        <f t="shared" si="137"/>
        <v>678.36959999999999</v>
      </c>
      <c r="CR124">
        <f t="shared" si="138"/>
        <v>0</v>
      </c>
      <c r="CS124">
        <f t="shared" si="139"/>
        <v>0</v>
      </c>
      <c r="CT124">
        <f t="shared" si="140"/>
        <v>0</v>
      </c>
      <c r="CU124">
        <f t="shared" si="141"/>
        <v>0</v>
      </c>
      <c r="CV124">
        <f t="shared" si="142"/>
        <v>0</v>
      </c>
      <c r="CW124">
        <f t="shared" si="143"/>
        <v>0</v>
      </c>
      <c r="CX124">
        <f t="shared" si="144"/>
        <v>0</v>
      </c>
      <c r="CY124">
        <f t="shared" si="145"/>
        <v>0</v>
      </c>
      <c r="CZ124">
        <f t="shared" si="146"/>
        <v>0</v>
      </c>
      <c r="DC124" t="s">
        <v>6</v>
      </c>
      <c r="DD124" t="s">
        <v>6</v>
      </c>
      <c r="DE124" t="s">
        <v>6</v>
      </c>
      <c r="DF124" t="s">
        <v>6</v>
      </c>
      <c r="DG124" t="s">
        <v>6</v>
      </c>
      <c r="DH124" t="s">
        <v>6</v>
      </c>
      <c r="DI124" t="s">
        <v>6</v>
      </c>
      <c r="DJ124" t="s">
        <v>6</v>
      </c>
      <c r="DK124" t="s">
        <v>6</v>
      </c>
      <c r="DL124" t="s">
        <v>6</v>
      </c>
      <c r="DM124" t="s">
        <v>6</v>
      </c>
      <c r="DN124">
        <v>0</v>
      </c>
      <c r="DO124">
        <v>0</v>
      </c>
      <c r="DP124">
        <v>1</v>
      </c>
      <c r="DQ124">
        <v>1</v>
      </c>
      <c r="DU124">
        <v>1007</v>
      </c>
      <c r="DV124" t="s">
        <v>283</v>
      </c>
      <c r="DW124" t="s">
        <v>283</v>
      </c>
      <c r="DX124">
        <v>1</v>
      </c>
      <c r="EE124">
        <v>16510555</v>
      </c>
      <c r="EF124">
        <v>2</v>
      </c>
      <c r="EG124" t="s">
        <v>22</v>
      </c>
      <c r="EH124">
        <v>0</v>
      </c>
      <c r="EI124" t="s">
        <v>6</v>
      </c>
      <c r="EJ124">
        <v>1</v>
      </c>
      <c r="EK124">
        <v>46001</v>
      </c>
      <c r="EL124" t="s">
        <v>23</v>
      </c>
      <c r="EM124" t="s">
        <v>24</v>
      </c>
      <c r="EO124" t="s">
        <v>6</v>
      </c>
      <c r="EQ124">
        <v>0</v>
      </c>
      <c r="ER124">
        <v>103.41</v>
      </c>
      <c r="ES124">
        <v>103.41</v>
      </c>
      <c r="ET124">
        <v>0</v>
      </c>
      <c r="EU124">
        <v>0</v>
      </c>
      <c r="EV124">
        <v>0</v>
      </c>
      <c r="EW124">
        <v>0</v>
      </c>
      <c r="EX124">
        <v>0</v>
      </c>
      <c r="FQ124">
        <v>0</v>
      </c>
      <c r="FR124">
        <f t="shared" si="147"/>
        <v>0</v>
      </c>
      <c r="FS124">
        <v>0</v>
      </c>
      <c r="FT124" t="s">
        <v>25</v>
      </c>
      <c r="FU124" t="s">
        <v>26</v>
      </c>
      <c r="FX124">
        <v>99</v>
      </c>
      <c r="FY124">
        <v>59.5</v>
      </c>
      <c r="GA124" t="s">
        <v>6</v>
      </c>
      <c r="GD124">
        <v>0</v>
      </c>
      <c r="GF124">
        <v>-2036686642</v>
      </c>
      <c r="GG124">
        <v>1</v>
      </c>
      <c r="GH124">
        <v>1</v>
      </c>
      <c r="GI124">
        <v>4</v>
      </c>
      <c r="GJ124">
        <v>0</v>
      </c>
      <c r="GK124">
        <f>ROUND(R124*(R12)/100,2)</f>
        <v>0</v>
      </c>
      <c r="GL124">
        <f t="shared" si="148"/>
        <v>0</v>
      </c>
      <c r="GM124">
        <f t="shared" si="149"/>
        <v>549.48</v>
      </c>
      <c r="GN124">
        <f t="shared" si="150"/>
        <v>549.48</v>
      </c>
      <c r="GO124">
        <f t="shared" si="151"/>
        <v>0</v>
      </c>
      <c r="GP124">
        <f t="shared" si="152"/>
        <v>0</v>
      </c>
      <c r="GR124">
        <v>0</v>
      </c>
      <c r="GS124">
        <v>3</v>
      </c>
      <c r="GT124">
        <v>0</v>
      </c>
      <c r="GU124" t="s">
        <v>6</v>
      </c>
      <c r="GV124">
        <f t="shared" si="153"/>
        <v>0</v>
      </c>
      <c r="GW124">
        <v>1</v>
      </c>
      <c r="GX124">
        <f t="shared" si="154"/>
        <v>0</v>
      </c>
      <c r="HA124">
        <v>0</v>
      </c>
      <c r="HB124">
        <v>0</v>
      </c>
      <c r="IK124">
        <v>0</v>
      </c>
    </row>
    <row r="125" spans="1:245" x14ac:dyDescent="0.2">
      <c r="A125">
        <v>18</v>
      </c>
      <c r="B125">
        <v>1</v>
      </c>
      <c r="C125">
        <v>156</v>
      </c>
      <c r="E125" t="s">
        <v>332</v>
      </c>
      <c r="F125" t="s">
        <v>298</v>
      </c>
      <c r="G125" t="s">
        <v>333</v>
      </c>
      <c r="H125" t="s">
        <v>288</v>
      </c>
      <c r="I125">
        <f>I123*J125</f>
        <v>0.32400000000000001</v>
      </c>
      <c r="J125">
        <v>0.39999999999999997</v>
      </c>
      <c r="O125">
        <f t="shared" si="121"/>
        <v>0</v>
      </c>
      <c r="P125">
        <f t="shared" si="122"/>
        <v>0</v>
      </c>
      <c r="Q125">
        <f t="shared" si="123"/>
        <v>0</v>
      </c>
      <c r="R125">
        <f t="shared" si="124"/>
        <v>0</v>
      </c>
      <c r="S125">
        <f t="shared" si="125"/>
        <v>0</v>
      </c>
      <c r="T125">
        <f t="shared" si="126"/>
        <v>0</v>
      </c>
      <c r="U125">
        <f t="shared" si="127"/>
        <v>0</v>
      </c>
      <c r="V125">
        <f t="shared" si="128"/>
        <v>0</v>
      </c>
      <c r="W125">
        <f t="shared" si="129"/>
        <v>0</v>
      </c>
      <c r="X125">
        <f t="shared" si="130"/>
        <v>0</v>
      </c>
      <c r="Y125">
        <f t="shared" si="131"/>
        <v>0</v>
      </c>
      <c r="AA125">
        <v>16748969</v>
      </c>
      <c r="AB125">
        <f t="shared" si="132"/>
        <v>0</v>
      </c>
      <c r="AC125">
        <f t="shared" si="133"/>
        <v>0</v>
      </c>
      <c r="AD125">
        <f t="shared" si="116"/>
        <v>0</v>
      </c>
      <c r="AE125">
        <f t="shared" si="117"/>
        <v>0</v>
      </c>
      <c r="AF125">
        <f t="shared" si="118"/>
        <v>0</v>
      </c>
      <c r="AG125">
        <f t="shared" si="134"/>
        <v>0</v>
      </c>
      <c r="AH125">
        <f t="shared" si="119"/>
        <v>0</v>
      </c>
      <c r="AI125">
        <f t="shared" si="120"/>
        <v>0</v>
      </c>
      <c r="AJ125">
        <f t="shared" si="135"/>
        <v>0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99</v>
      </c>
      <c r="AU125">
        <v>60</v>
      </c>
      <c r="AV125">
        <v>1</v>
      </c>
      <c r="AW125">
        <v>1</v>
      </c>
      <c r="AZ125">
        <v>6.56</v>
      </c>
      <c r="BA125">
        <v>1</v>
      </c>
      <c r="BB125">
        <v>1</v>
      </c>
      <c r="BC125">
        <v>6.56</v>
      </c>
      <c r="BD125" t="s">
        <v>6</v>
      </c>
      <c r="BE125" t="s">
        <v>6</v>
      </c>
      <c r="BF125" t="s">
        <v>6</v>
      </c>
      <c r="BG125" t="s">
        <v>6</v>
      </c>
      <c r="BH125">
        <v>3</v>
      </c>
      <c r="BI125">
        <v>1</v>
      </c>
      <c r="BJ125" t="s">
        <v>6</v>
      </c>
      <c r="BM125">
        <v>46001</v>
      </c>
      <c r="BN125">
        <v>0</v>
      </c>
      <c r="BO125" t="s">
        <v>6</v>
      </c>
      <c r="BP125">
        <v>0</v>
      </c>
      <c r="BQ125">
        <v>2</v>
      </c>
      <c r="BR125">
        <v>0</v>
      </c>
      <c r="BS125">
        <v>1</v>
      </c>
      <c r="BT125">
        <v>1</v>
      </c>
      <c r="BU125">
        <v>1</v>
      </c>
      <c r="BV125">
        <v>1</v>
      </c>
      <c r="BW125">
        <v>1</v>
      </c>
      <c r="BX125">
        <v>1</v>
      </c>
      <c r="BY125" t="s">
        <v>6</v>
      </c>
      <c r="BZ125">
        <v>110</v>
      </c>
      <c r="CA125">
        <v>70</v>
      </c>
      <c r="CF125">
        <v>0</v>
      </c>
      <c r="CG125">
        <v>0</v>
      </c>
      <c r="CM125">
        <v>0</v>
      </c>
      <c r="CN125" t="s">
        <v>6</v>
      </c>
      <c r="CO125">
        <v>0</v>
      </c>
      <c r="CP125">
        <f t="shared" si="136"/>
        <v>0</v>
      </c>
      <c r="CQ125">
        <f t="shared" si="137"/>
        <v>0</v>
      </c>
      <c r="CR125">
        <f t="shared" si="138"/>
        <v>0</v>
      </c>
      <c r="CS125">
        <f t="shared" si="139"/>
        <v>0</v>
      </c>
      <c r="CT125">
        <f t="shared" si="140"/>
        <v>0</v>
      </c>
      <c r="CU125">
        <f t="shared" si="141"/>
        <v>0</v>
      </c>
      <c r="CV125">
        <f t="shared" si="142"/>
        <v>0</v>
      </c>
      <c r="CW125">
        <f t="shared" si="143"/>
        <v>0</v>
      </c>
      <c r="CX125">
        <f t="shared" si="144"/>
        <v>0</v>
      </c>
      <c r="CY125">
        <f t="shared" si="145"/>
        <v>0</v>
      </c>
      <c r="CZ125">
        <f t="shared" si="146"/>
        <v>0</v>
      </c>
      <c r="DC125" t="s">
        <v>6</v>
      </c>
      <c r="DD125" t="s">
        <v>6</v>
      </c>
      <c r="DE125" t="s">
        <v>6</v>
      </c>
      <c r="DF125" t="s">
        <v>6</v>
      </c>
      <c r="DG125" t="s">
        <v>6</v>
      </c>
      <c r="DH125" t="s">
        <v>6</v>
      </c>
      <c r="DI125" t="s">
        <v>6</v>
      </c>
      <c r="DJ125" t="s">
        <v>6</v>
      </c>
      <c r="DK125" t="s">
        <v>6</v>
      </c>
      <c r="DL125" t="s">
        <v>6</v>
      </c>
      <c r="DM125" t="s">
        <v>6</v>
      </c>
      <c r="DN125">
        <v>0</v>
      </c>
      <c r="DO125">
        <v>0</v>
      </c>
      <c r="DP125">
        <v>1</v>
      </c>
      <c r="DQ125">
        <v>1</v>
      </c>
      <c r="DU125">
        <v>1010</v>
      </c>
      <c r="DV125" t="s">
        <v>288</v>
      </c>
      <c r="DW125" t="s">
        <v>288</v>
      </c>
      <c r="DX125">
        <v>1000</v>
      </c>
      <c r="EE125">
        <v>16510555</v>
      </c>
      <c r="EF125">
        <v>2</v>
      </c>
      <c r="EG125" t="s">
        <v>22</v>
      </c>
      <c r="EH125">
        <v>0</v>
      </c>
      <c r="EI125" t="s">
        <v>6</v>
      </c>
      <c r="EJ125">
        <v>1</v>
      </c>
      <c r="EK125">
        <v>46001</v>
      </c>
      <c r="EL125" t="s">
        <v>23</v>
      </c>
      <c r="EM125" t="s">
        <v>24</v>
      </c>
      <c r="EO125" t="s">
        <v>6</v>
      </c>
      <c r="EQ125">
        <v>0</v>
      </c>
      <c r="ER125">
        <v>0</v>
      </c>
      <c r="ES125">
        <v>0</v>
      </c>
      <c r="ET125">
        <v>0</v>
      </c>
      <c r="EU125">
        <v>0</v>
      </c>
      <c r="EV125">
        <v>0</v>
      </c>
      <c r="EW125">
        <v>0</v>
      </c>
      <c r="EX125">
        <v>0</v>
      </c>
      <c r="FQ125">
        <v>0</v>
      </c>
      <c r="FR125">
        <f t="shared" si="147"/>
        <v>0</v>
      </c>
      <c r="FS125">
        <v>0</v>
      </c>
      <c r="FT125" t="s">
        <v>25</v>
      </c>
      <c r="FU125" t="s">
        <v>26</v>
      </c>
      <c r="FX125">
        <v>99</v>
      </c>
      <c r="FY125">
        <v>59.5</v>
      </c>
      <c r="GA125" t="s">
        <v>6</v>
      </c>
      <c r="GD125">
        <v>0</v>
      </c>
      <c r="GF125">
        <v>1453754496</v>
      </c>
      <c r="GG125">
        <v>1</v>
      </c>
      <c r="GH125">
        <v>1</v>
      </c>
      <c r="GI125">
        <v>4</v>
      </c>
      <c r="GJ125">
        <v>0</v>
      </c>
      <c r="GK125">
        <f>ROUND(R125*(R12)/100,2)</f>
        <v>0</v>
      </c>
      <c r="GL125">
        <f t="shared" si="148"/>
        <v>0</v>
      </c>
      <c r="GM125">
        <f t="shared" si="149"/>
        <v>0</v>
      </c>
      <c r="GN125">
        <f t="shared" si="150"/>
        <v>0</v>
      </c>
      <c r="GO125">
        <f t="shared" si="151"/>
        <v>0</v>
      </c>
      <c r="GP125">
        <f t="shared" si="152"/>
        <v>0</v>
      </c>
      <c r="GR125">
        <v>0</v>
      </c>
      <c r="GS125">
        <v>3</v>
      </c>
      <c r="GT125">
        <v>0</v>
      </c>
      <c r="GU125" t="s">
        <v>6</v>
      </c>
      <c r="GV125">
        <f t="shared" si="153"/>
        <v>0</v>
      </c>
      <c r="GW125">
        <v>1</v>
      </c>
      <c r="GX125">
        <f t="shared" si="154"/>
        <v>0</v>
      </c>
      <c r="HA125">
        <v>0</v>
      </c>
      <c r="HB125">
        <v>0</v>
      </c>
      <c r="IK125">
        <v>0</v>
      </c>
    </row>
    <row r="126" spans="1:245" x14ac:dyDescent="0.2">
      <c r="A126">
        <v>17</v>
      </c>
      <c r="B126">
        <v>1</v>
      </c>
      <c r="C126">
        <f>ROW(SmtRes!A165)</f>
        <v>165</v>
      </c>
      <c r="D126">
        <f>ROW(EtalonRes!A160)</f>
        <v>160</v>
      </c>
      <c r="E126" t="s">
        <v>334</v>
      </c>
      <c r="F126" t="s">
        <v>335</v>
      </c>
      <c r="G126" t="s">
        <v>336</v>
      </c>
      <c r="H126" t="s">
        <v>20</v>
      </c>
      <c r="I126">
        <f>ROUND(286.43/100,9)</f>
        <v>2.8643000000000001</v>
      </c>
      <c r="J126">
        <v>0</v>
      </c>
      <c r="O126">
        <f t="shared" si="121"/>
        <v>6041.49</v>
      </c>
      <c r="P126">
        <f t="shared" si="122"/>
        <v>23.49</v>
      </c>
      <c r="Q126">
        <f t="shared" si="123"/>
        <v>322.43</v>
      </c>
      <c r="R126">
        <f t="shared" si="124"/>
        <v>191.28</v>
      </c>
      <c r="S126">
        <f t="shared" si="125"/>
        <v>5695.57</v>
      </c>
      <c r="T126">
        <f t="shared" si="126"/>
        <v>0</v>
      </c>
      <c r="U126">
        <f t="shared" si="127"/>
        <v>102.627869</v>
      </c>
      <c r="V126">
        <f t="shared" si="128"/>
        <v>2.6924419999999998</v>
      </c>
      <c r="W126">
        <f t="shared" si="129"/>
        <v>0</v>
      </c>
      <c r="X126">
        <f t="shared" si="130"/>
        <v>4650.6099999999997</v>
      </c>
      <c r="Y126">
        <f t="shared" si="131"/>
        <v>2943.43</v>
      </c>
      <c r="AA126">
        <v>16748969</v>
      </c>
      <c r="AB126">
        <f t="shared" si="132"/>
        <v>321.52999999999997</v>
      </c>
      <c r="AC126">
        <f t="shared" si="133"/>
        <v>1.25</v>
      </c>
      <c r="AD126">
        <f t="shared" si="116"/>
        <v>17.16</v>
      </c>
      <c r="AE126">
        <f t="shared" si="117"/>
        <v>10.18</v>
      </c>
      <c r="AF126">
        <f t="shared" si="118"/>
        <v>303.12</v>
      </c>
      <c r="AG126">
        <f t="shared" si="134"/>
        <v>0</v>
      </c>
      <c r="AH126">
        <f t="shared" si="119"/>
        <v>35.83</v>
      </c>
      <c r="AI126">
        <f t="shared" si="120"/>
        <v>0.94</v>
      </c>
      <c r="AJ126">
        <f t="shared" si="135"/>
        <v>0</v>
      </c>
      <c r="AK126">
        <v>321.52999999999997</v>
      </c>
      <c r="AL126">
        <v>1.25</v>
      </c>
      <c r="AM126">
        <v>17.16</v>
      </c>
      <c r="AN126">
        <v>10.18</v>
      </c>
      <c r="AO126">
        <v>303.12</v>
      </c>
      <c r="AP126">
        <v>0</v>
      </c>
      <c r="AQ126">
        <v>35.83</v>
      </c>
      <c r="AR126">
        <v>0.94</v>
      </c>
      <c r="AS126">
        <v>0</v>
      </c>
      <c r="AT126">
        <v>79</v>
      </c>
      <c r="AU126">
        <v>50</v>
      </c>
      <c r="AV126">
        <v>1</v>
      </c>
      <c r="AW126">
        <v>1</v>
      </c>
      <c r="AZ126">
        <v>6.56</v>
      </c>
      <c r="BA126">
        <v>6.56</v>
      </c>
      <c r="BB126">
        <v>6.56</v>
      </c>
      <c r="BC126">
        <v>6.56</v>
      </c>
      <c r="BD126" t="s">
        <v>6</v>
      </c>
      <c r="BE126" t="s">
        <v>6</v>
      </c>
      <c r="BF126" t="s">
        <v>6</v>
      </c>
      <c r="BG126" t="s">
        <v>6</v>
      </c>
      <c r="BH126">
        <v>0</v>
      </c>
      <c r="BI126">
        <v>1</v>
      </c>
      <c r="BJ126" t="s">
        <v>337</v>
      </c>
      <c r="BM126">
        <v>61001</v>
      </c>
      <c r="BN126">
        <v>0</v>
      </c>
      <c r="BO126" t="s">
        <v>6</v>
      </c>
      <c r="BP126">
        <v>0</v>
      </c>
      <c r="BQ126">
        <v>6</v>
      </c>
      <c r="BR126">
        <v>0</v>
      </c>
      <c r="BS126">
        <v>6.56</v>
      </c>
      <c r="BT126">
        <v>1</v>
      </c>
      <c r="BU126">
        <v>1</v>
      </c>
      <c r="BV126">
        <v>1</v>
      </c>
      <c r="BW126">
        <v>1</v>
      </c>
      <c r="BX126">
        <v>1</v>
      </c>
      <c r="BY126" t="s">
        <v>6</v>
      </c>
      <c r="BZ126">
        <v>79</v>
      </c>
      <c r="CA126">
        <v>50</v>
      </c>
      <c r="CF126">
        <v>0</v>
      </c>
      <c r="CG126">
        <v>0</v>
      </c>
      <c r="CM126">
        <v>0</v>
      </c>
      <c r="CN126" t="s">
        <v>6</v>
      </c>
      <c r="CO126">
        <v>0</v>
      </c>
      <c r="CP126">
        <f t="shared" si="136"/>
        <v>6041.49</v>
      </c>
      <c r="CQ126">
        <f t="shared" si="137"/>
        <v>8.1999999999999993</v>
      </c>
      <c r="CR126">
        <f t="shared" si="138"/>
        <v>112.56959999999999</v>
      </c>
      <c r="CS126">
        <f t="shared" si="139"/>
        <v>66.780799999999999</v>
      </c>
      <c r="CT126">
        <f t="shared" si="140"/>
        <v>1988.4671999999998</v>
      </c>
      <c r="CU126">
        <f t="shared" si="141"/>
        <v>0</v>
      </c>
      <c r="CV126">
        <f t="shared" si="142"/>
        <v>35.83</v>
      </c>
      <c r="CW126">
        <f t="shared" si="143"/>
        <v>0.94</v>
      </c>
      <c r="CX126">
        <f t="shared" si="144"/>
        <v>0</v>
      </c>
      <c r="CY126">
        <f t="shared" si="145"/>
        <v>4650.6115</v>
      </c>
      <c r="CZ126">
        <f t="shared" si="146"/>
        <v>2943.4250000000002</v>
      </c>
      <c r="DC126" t="s">
        <v>6</v>
      </c>
      <c r="DD126" t="s">
        <v>6</v>
      </c>
      <c r="DE126" t="s">
        <v>6</v>
      </c>
      <c r="DF126" t="s">
        <v>6</v>
      </c>
      <c r="DG126" t="s">
        <v>6</v>
      </c>
      <c r="DH126" t="s">
        <v>6</v>
      </c>
      <c r="DI126" t="s">
        <v>6</v>
      </c>
      <c r="DJ126" t="s">
        <v>6</v>
      </c>
      <c r="DK126" t="s">
        <v>6</v>
      </c>
      <c r="DL126" t="s">
        <v>6</v>
      </c>
      <c r="DM126" t="s">
        <v>6</v>
      </c>
      <c r="DN126">
        <v>0</v>
      </c>
      <c r="DO126">
        <v>0</v>
      </c>
      <c r="DP126">
        <v>1</v>
      </c>
      <c r="DQ126">
        <v>1</v>
      </c>
      <c r="DU126">
        <v>1005</v>
      </c>
      <c r="DV126" t="s">
        <v>20</v>
      </c>
      <c r="DW126" t="s">
        <v>20</v>
      </c>
      <c r="DX126">
        <v>100</v>
      </c>
      <c r="EE126">
        <v>16510570</v>
      </c>
      <c r="EF126">
        <v>6</v>
      </c>
      <c r="EG126" t="s">
        <v>36</v>
      </c>
      <c r="EH126">
        <v>0</v>
      </c>
      <c r="EI126" t="s">
        <v>6</v>
      </c>
      <c r="EJ126">
        <v>1</v>
      </c>
      <c r="EK126">
        <v>61001</v>
      </c>
      <c r="EL126" t="s">
        <v>271</v>
      </c>
      <c r="EM126" t="s">
        <v>272</v>
      </c>
      <c r="EO126" t="s">
        <v>6</v>
      </c>
      <c r="EQ126">
        <v>131072</v>
      </c>
      <c r="ER126">
        <v>321.52999999999997</v>
      </c>
      <c r="ES126">
        <v>1.25</v>
      </c>
      <c r="ET126">
        <v>17.16</v>
      </c>
      <c r="EU126">
        <v>10.18</v>
      </c>
      <c r="EV126">
        <v>303.12</v>
      </c>
      <c r="EW126">
        <v>35.83</v>
      </c>
      <c r="EX126">
        <v>0.94</v>
      </c>
      <c r="EY126">
        <v>0</v>
      </c>
      <c r="FQ126">
        <v>0</v>
      </c>
      <c r="FR126">
        <f t="shared" si="147"/>
        <v>0</v>
      </c>
      <c r="FS126">
        <v>0</v>
      </c>
      <c r="FX126">
        <v>79</v>
      </c>
      <c r="FY126">
        <v>50</v>
      </c>
      <c r="GA126" t="s">
        <v>6</v>
      </c>
      <c r="GD126">
        <v>0</v>
      </c>
      <c r="GF126">
        <v>1493145722</v>
      </c>
      <c r="GG126">
        <v>1</v>
      </c>
      <c r="GH126">
        <v>1</v>
      </c>
      <c r="GI126">
        <v>4</v>
      </c>
      <c r="GJ126">
        <v>0</v>
      </c>
      <c r="GK126">
        <f>ROUND(R126*(R12)/100,2)</f>
        <v>0</v>
      </c>
      <c r="GL126">
        <f t="shared" si="148"/>
        <v>0</v>
      </c>
      <c r="GM126">
        <f t="shared" si="149"/>
        <v>13635.53</v>
      </c>
      <c r="GN126">
        <f t="shared" si="150"/>
        <v>13635.53</v>
      </c>
      <c r="GO126">
        <f t="shared" si="151"/>
        <v>0</v>
      </c>
      <c r="GP126">
        <f t="shared" si="152"/>
        <v>0</v>
      </c>
      <c r="GR126">
        <v>0</v>
      </c>
      <c r="GS126">
        <v>3</v>
      </c>
      <c r="GT126">
        <v>0</v>
      </c>
      <c r="GU126" t="s">
        <v>6</v>
      </c>
      <c r="GV126">
        <f t="shared" si="153"/>
        <v>0</v>
      </c>
      <c r="GW126">
        <v>1</v>
      </c>
      <c r="GX126">
        <f t="shared" si="154"/>
        <v>0</v>
      </c>
      <c r="HA126">
        <v>0</v>
      </c>
      <c r="HB126">
        <v>0</v>
      </c>
      <c r="IK126">
        <v>0</v>
      </c>
    </row>
    <row r="127" spans="1:245" x14ac:dyDescent="0.2">
      <c r="A127">
        <v>18</v>
      </c>
      <c r="B127">
        <v>1</v>
      </c>
      <c r="C127">
        <v>164</v>
      </c>
      <c r="E127" t="s">
        <v>338</v>
      </c>
      <c r="F127" t="s">
        <v>339</v>
      </c>
      <c r="G127" t="s">
        <v>340</v>
      </c>
      <c r="H127" t="s">
        <v>323</v>
      </c>
      <c r="I127">
        <f>I126*J127</f>
        <v>2448.976557</v>
      </c>
      <c r="J127">
        <v>855.00001990015005</v>
      </c>
      <c r="O127">
        <f t="shared" si="121"/>
        <v>33255.14</v>
      </c>
      <c r="P127">
        <f t="shared" si="122"/>
        <v>33255.14</v>
      </c>
      <c r="Q127">
        <f t="shared" si="123"/>
        <v>0</v>
      </c>
      <c r="R127">
        <f t="shared" si="124"/>
        <v>0</v>
      </c>
      <c r="S127">
        <f t="shared" si="125"/>
        <v>0</v>
      </c>
      <c r="T127">
        <f t="shared" si="126"/>
        <v>0</v>
      </c>
      <c r="U127">
        <f t="shared" si="127"/>
        <v>0</v>
      </c>
      <c r="V127">
        <f t="shared" si="128"/>
        <v>0</v>
      </c>
      <c r="W127">
        <f t="shared" si="129"/>
        <v>0</v>
      </c>
      <c r="X127">
        <f t="shared" si="130"/>
        <v>0</v>
      </c>
      <c r="Y127">
        <f t="shared" si="131"/>
        <v>0</v>
      </c>
      <c r="AA127">
        <v>16748969</v>
      </c>
      <c r="AB127">
        <f t="shared" si="132"/>
        <v>2.0699999999999998</v>
      </c>
      <c r="AC127">
        <f t="shared" si="133"/>
        <v>2.0699999999999998</v>
      </c>
      <c r="AD127">
        <f t="shared" si="116"/>
        <v>0</v>
      </c>
      <c r="AE127">
        <f t="shared" si="117"/>
        <v>0</v>
      </c>
      <c r="AF127">
        <f t="shared" si="118"/>
        <v>0</v>
      </c>
      <c r="AG127">
        <f t="shared" si="134"/>
        <v>0</v>
      </c>
      <c r="AH127">
        <f t="shared" si="119"/>
        <v>0</v>
      </c>
      <c r="AI127">
        <f t="shared" si="120"/>
        <v>0</v>
      </c>
      <c r="AJ127">
        <f t="shared" si="135"/>
        <v>0</v>
      </c>
      <c r="AK127">
        <v>2.0699999999999998</v>
      </c>
      <c r="AL127">
        <v>2.0699999999999998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79</v>
      </c>
      <c r="AU127">
        <v>50</v>
      </c>
      <c r="AV127">
        <v>1</v>
      </c>
      <c r="AW127">
        <v>1</v>
      </c>
      <c r="AZ127">
        <v>6.56</v>
      </c>
      <c r="BA127">
        <v>1</v>
      </c>
      <c r="BB127">
        <v>1</v>
      </c>
      <c r="BC127">
        <v>6.56</v>
      </c>
      <c r="BD127" t="s">
        <v>6</v>
      </c>
      <c r="BE127" t="s">
        <v>6</v>
      </c>
      <c r="BF127" t="s">
        <v>6</v>
      </c>
      <c r="BG127" t="s">
        <v>6</v>
      </c>
      <c r="BH127">
        <v>3</v>
      </c>
      <c r="BI127">
        <v>1</v>
      </c>
      <c r="BJ127" t="s">
        <v>341</v>
      </c>
      <c r="BM127">
        <v>61001</v>
      </c>
      <c r="BN127">
        <v>0</v>
      </c>
      <c r="BO127" t="s">
        <v>6</v>
      </c>
      <c r="BP127">
        <v>0</v>
      </c>
      <c r="BQ127">
        <v>6</v>
      </c>
      <c r="BR127">
        <v>0</v>
      </c>
      <c r="BS127">
        <v>1</v>
      </c>
      <c r="BT127">
        <v>1</v>
      </c>
      <c r="BU127">
        <v>1</v>
      </c>
      <c r="BV127">
        <v>1</v>
      </c>
      <c r="BW127">
        <v>1</v>
      </c>
      <c r="BX127">
        <v>1</v>
      </c>
      <c r="BY127" t="s">
        <v>6</v>
      </c>
      <c r="BZ127">
        <v>79</v>
      </c>
      <c r="CA127">
        <v>50</v>
      </c>
      <c r="CF127">
        <v>0</v>
      </c>
      <c r="CG127">
        <v>0</v>
      </c>
      <c r="CM127">
        <v>0</v>
      </c>
      <c r="CN127" t="s">
        <v>6</v>
      </c>
      <c r="CO127">
        <v>0</v>
      </c>
      <c r="CP127">
        <f t="shared" si="136"/>
        <v>33255.14</v>
      </c>
      <c r="CQ127">
        <f t="shared" si="137"/>
        <v>13.579199999999998</v>
      </c>
      <c r="CR127">
        <f t="shared" si="138"/>
        <v>0</v>
      </c>
      <c r="CS127">
        <f t="shared" si="139"/>
        <v>0</v>
      </c>
      <c r="CT127">
        <f t="shared" si="140"/>
        <v>0</v>
      </c>
      <c r="CU127">
        <f t="shared" si="141"/>
        <v>0</v>
      </c>
      <c r="CV127">
        <f t="shared" si="142"/>
        <v>0</v>
      </c>
      <c r="CW127">
        <f t="shared" si="143"/>
        <v>0</v>
      </c>
      <c r="CX127">
        <f t="shared" si="144"/>
        <v>0</v>
      </c>
      <c r="CY127">
        <f t="shared" si="145"/>
        <v>0</v>
      </c>
      <c r="CZ127">
        <f t="shared" si="146"/>
        <v>0</v>
      </c>
      <c r="DC127" t="s">
        <v>6</v>
      </c>
      <c r="DD127" t="s">
        <v>6</v>
      </c>
      <c r="DE127" t="s">
        <v>6</v>
      </c>
      <c r="DF127" t="s">
        <v>6</v>
      </c>
      <c r="DG127" t="s">
        <v>6</v>
      </c>
      <c r="DH127" t="s">
        <v>6</v>
      </c>
      <c r="DI127" t="s">
        <v>6</v>
      </c>
      <c r="DJ127" t="s">
        <v>6</v>
      </c>
      <c r="DK127" t="s">
        <v>6</v>
      </c>
      <c r="DL127" t="s">
        <v>6</v>
      </c>
      <c r="DM127" t="s">
        <v>6</v>
      </c>
      <c r="DN127">
        <v>0</v>
      </c>
      <c r="DO127">
        <v>0</v>
      </c>
      <c r="DP127">
        <v>1</v>
      </c>
      <c r="DQ127">
        <v>1</v>
      </c>
      <c r="DU127">
        <v>1009</v>
      </c>
      <c r="DV127" t="s">
        <v>323</v>
      </c>
      <c r="DW127" t="s">
        <v>323</v>
      </c>
      <c r="DX127">
        <v>1</v>
      </c>
      <c r="EE127">
        <v>16510570</v>
      </c>
      <c r="EF127">
        <v>6</v>
      </c>
      <c r="EG127" t="s">
        <v>36</v>
      </c>
      <c r="EH127">
        <v>0</v>
      </c>
      <c r="EI127" t="s">
        <v>6</v>
      </c>
      <c r="EJ127">
        <v>1</v>
      </c>
      <c r="EK127">
        <v>61001</v>
      </c>
      <c r="EL127" t="s">
        <v>271</v>
      </c>
      <c r="EM127" t="s">
        <v>272</v>
      </c>
      <c r="EO127" t="s">
        <v>6</v>
      </c>
      <c r="EQ127">
        <v>0</v>
      </c>
      <c r="ER127">
        <v>2.0699999999999998</v>
      </c>
      <c r="ES127">
        <v>2.0699999999999998</v>
      </c>
      <c r="ET127">
        <v>0</v>
      </c>
      <c r="EU127">
        <v>0</v>
      </c>
      <c r="EV127">
        <v>0</v>
      </c>
      <c r="EW127">
        <v>0</v>
      </c>
      <c r="EX127">
        <v>0</v>
      </c>
      <c r="FQ127">
        <v>0</v>
      </c>
      <c r="FR127">
        <f t="shared" si="147"/>
        <v>0</v>
      </c>
      <c r="FS127">
        <v>0</v>
      </c>
      <c r="FX127">
        <v>79</v>
      </c>
      <c r="FY127">
        <v>50</v>
      </c>
      <c r="GA127" t="s">
        <v>6</v>
      </c>
      <c r="GD127">
        <v>0</v>
      </c>
      <c r="GF127">
        <v>-60067644</v>
      </c>
      <c r="GG127">
        <v>1</v>
      </c>
      <c r="GH127">
        <v>1</v>
      </c>
      <c r="GI127">
        <v>4</v>
      </c>
      <c r="GJ127">
        <v>0</v>
      </c>
      <c r="GK127">
        <f>ROUND(R127*(R12)/100,2)</f>
        <v>0</v>
      </c>
      <c r="GL127">
        <f t="shared" si="148"/>
        <v>0</v>
      </c>
      <c r="GM127">
        <f t="shared" si="149"/>
        <v>33255.14</v>
      </c>
      <c r="GN127">
        <f t="shared" si="150"/>
        <v>33255.14</v>
      </c>
      <c r="GO127">
        <f t="shared" si="151"/>
        <v>0</v>
      </c>
      <c r="GP127">
        <f t="shared" si="152"/>
        <v>0</v>
      </c>
      <c r="GR127">
        <v>0</v>
      </c>
      <c r="GS127">
        <v>3</v>
      </c>
      <c r="GT127">
        <v>0</v>
      </c>
      <c r="GU127" t="s">
        <v>6</v>
      </c>
      <c r="GV127">
        <f t="shared" si="153"/>
        <v>0</v>
      </c>
      <c r="GW127">
        <v>1</v>
      </c>
      <c r="GX127">
        <f t="shared" si="154"/>
        <v>0</v>
      </c>
      <c r="HA127">
        <v>0</v>
      </c>
      <c r="HB127">
        <v>0</v>
      </c>
      <c r="IK127">
        <v>0</v>
      </c>
    </row>
    <row r="128" spans="1:245" x14ac:dyDescent="0.2">
      <c r="A128">
        <v>18</v>
      </c>
      <c r="B128">
        <v>1</v>
      </c>
      <c r="C128">
        <v>165</v>
      </c>
      <c r="E128" t="s">
        <v>342</v>
      </c>
      <c r="F128" t="s">
        <v>343</v>
      </c>
      <c r="G128" t="s">
        <v>344</v>
      </c>
      <c r="H128" t="s">
        <v>71</v>
      </c>
      <c r="I128">
        <f>I126*J128</f>
        <v>2.4489770000000002</v>
      </c>
      <c r="J128">
        <v>0.85500017456272048</v>
      </c>
      <c r="O128">
        <f t="shared" si="121"/>
        <v>0</v>
      </c>
      <c r="P128">
        <f t="shared" si="122"/>
        <v>0</v>
      </c>
      <c r="Q128">
        <f t="shared" si="123"/>
        <v>0</v>
      </c>
      <c r="R128">
        <f t="shared" si="124"/>
        <v>0</v>
      </c>
      <c r="S128">
        <f t="shared" si="125"/>
        <v>0</v>
      </c>
      <c r="T128">
        <f t="shared" si="126"/>
        <v>0</v>
      </c>
      <c r="U128">
        <f t="shared" si="127"/>
        <v>0</v>
      </c>
      <c r="V128">
        <f t="shared" si="128"/>
        <v>0</v>
      </c>
      <c r="W128">
        <f t="shared" si="129"/>
        <v>0</v>
      </c>
      <c r="X128">
        <f t="shared" si="130"/>
        <v>0</v>
      </c>
      <c r="Y128">
        <f t="shared" si="131"/>
        <v>0</v>
      </c>
      <c r="AA128">
        <v>16748969</v>
      </c>
      <c r="AB128">
        <f t="shared" si="132"/>
        <v>0</v>
      </c>
      <c r="AC128">
        <f t="shared" si="133"/>
        <v>0</v>
      </c>
      <c r="AD128">
        <f t="shared" si="116"/>
        <v>0</v>
      </c>
      <c r="AE128">
        <f t="shared" si="117"/>
        <v>0</v>
      </c>
      <c r="AF128">
        <f t="shared" si="118"/>
        <v>0</v>
      </c>
      <c r="AG128">
        <f t="shared" si="134"/>
        <v>0</v>
      </c>
      <c r="AH128">
        <f t="shared" si="119"/>
        <v>0</v>
      </c>
      <c r="AI128">
        <f t="shared" si="120"/>
        <v>0</v>
      </c>
      <c r="AJ128">
        <f t="shared" si="135"/>
        <v>0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79</v>
      </c>
      <c r="AU128">
        <v>50</v>
      </c>
      <c r="AV128">
        <v>1</v>
      </c>
      <c r="AW128">
        <v>1</v>
      </c>
      <c r="AZ128">
        <v>6.56</v>
      </c>
      <c r="BA128">
        <v>1</v>
      </c>
      <c r="BB128">
        <v>1</v>
      </c>
      <c r="BC128">
        <v>6.56</v>
      </c>
      <c r="BD128" t="s">
        <v>6</v>
      </c>
      <c r="BE128" t="s">
        <v>6</v>
      </c>
      <c r="BF128" t="s">
        <v>6</v>
      </c>
      <c r="BG128" t="s">
        <v>6</v>
      </c>
      <c r="BH128">
        <v>3</v>
      </c>
      <c r="BI128">
        <v>1</v>
      </c>
      <c r="BJ128" t="s">
        <v>6</v>
      </c>
      <c r="BM128">
        <v>61001</v>
      </c>
      <c r="BN128">
        <v>0</v>
      </c>
      <c r="BO128" t="s">
        <v>6</v>
      </c>
      <c r="BP128">
        <v>0</v>
      </c>
      <c r="BQ128">
        <v>6</v>
      </c>
      <c r="BR128">
        <v>0</v>
      </c>
      <c r="BS128">
        <v>1</v>
      </c>
      <c r="BT128">
        <v>1</v>
      </c>
      <c r="BU128">
        <v>1</v>
      </c>
      <c r="BV128">
        <v>1</v>
      </c>
      <c r="BW128">
        <v>1</v>
      </c>
      <c r="BX128">
        <v>1</v>
      </c>
      <c r="BY128" t="s">
        <v>6</v>
      </c>
      <c r="BZ128">
        <v>79</v>
      </c>
      <c r="CA128">
        <v>50</v>
      </c>
      <c r="CF128">
        <v>0</v>
      </c>
      <c r="CG128">
        <v>0</v>
      </c>
      <c r="CM128">
        <v>0</v>
      </c>
      <c r="CN128" t="s">
        <v>6</v>
      </c>
      <c r="CO128">
        <v>0</v>
      </c>
      <c r="CP128">
        <f t="shared" si="136"/>
        <v>0</v>
      </c>
      <c r="CQ128">
        <f t="shared" si="137"/>
        <v>0</v>
      </c>
      <c r="CR128">
        <f t="shared" si="138"/>
        <v>0</v>
      </c>
      <c r="CS128">
        <f t="shared" si="139"/>
        <v>0</v>
      </c>
      <c r="CT128">
        <f t="shared" si="140"/>
        <v>0</v>
      </c>
      <c r="CU128">
        <f t="shared" si="141"/>
        <v>0</v>
      </c>
      <c r="CV128">
        <f t="shared" si="142"/>
        <v>0</v>
      </c>
      <c r="CW128">
        <f t="shared" si="143"/>
        <v>0</v>
      </c>
      <c r="CX128">
        <f t="shared" si="144"/>
        <v>0</v>
      </c>
      <c r="CY128">
        <f t="shared" si="145"/>
        <v>0</v>
      </c>
      <c r="CZ128">
        <f t="shared" si="146"/>
        <v>0</v>
      </c>
      <c r="DC128" t="s">
        <v>6</v>
      </c>
      <c r="DD128" t="s">
        <v>6</v>
      </c>
      <c r="DE128" t="s">
        <v>6</v>
      </c>
      <c r="DF128" t="s">
        <v>6</v>
      </c>
      <c r="DG128" t="s">
        <v>6</v>
      </c>
      <c r="DH128" t="s">
        <v>6</v>
      </c>
      <c r="DI128" t="s">
        <v>6</v>
      </c>
      <c r="DJ128" t="s">
        <v>6</v>
      </c>
      <c r="DK128" t="s">
        <v>6</v>
      </c>
      <c r="DL128" t="s">
        <v>6</v>
      </c>
      <c r="DM128" t="s">
        <v>6</v>
      </c>
      <c r="DN128">
        <v>0</v>
      </c>
      <c r="DO128">
        <v>0</v>
      </c>
      <c r="DP128">
        <v>1</v>
      </c>
      <c r="DQ128">
        <v>1</v>
      </c>
      <c r="DU128">
        <v>1009</v>
      </c>
      <c r="DV128" t="s">
        <v>71</v>
      </c>
      <c r="DW128" t="s">
        <v>71</v>
      </c>
      <c r="DX128">
        <v>1000</v>
      </c>
      <c r="EE128">
        <v>16510570</v>
      </c>
      <c r="EF128">
        <v>6</v>
      </c>
      <c r="EG128" t="s">
        <v>36</v>
      </c>
      <c r="EH128">
        <v>0</v>
      </c>
      <c r="EI128" t="s">
        <v>6</v>
      </c>
      <c r="EJ128">
        <v>1</v>
      </c>
      <c r="EK128">
        <v>61001</v>
      </c>
      <c r="EL128" t="s">
        <v>271</v>
      </c>
      <c r="EM128" t="s">
        <v>272</v>
      </c>
      <c r="EO128" t="s">
        <v>6</v>
      </c>
      <c r="EQ128">
        <v>0</v>
      </c>
      <c r="ER128">
        <v>0</v>
      </c>
      <c r="ES128">
        <v>0</v>
      </c>
      <c r="ET128">
        <v>0</v>
      </c>
      <c r="EU128">
        <v>0</v>
      </c>
      <c r="EV128">
        <v>0</v>
      </c>
      <c r="EW128">
        <v>0</v>
      </c>
      <c r="EX128">
        <v>0</v>
      </c>
      <c r="FQ128">
        <v>0</v>
      </c>
      <c r="FR128">
        <f t="shared" si="147"/>
        <v>0</v>
      </c>
      <c r="FS128">
        <v>0</v>
      </c>
      <c r="FX128">
        <v>79</v>
      </c>
      <c r="FY128">
        <v>50</v>
      </c>
      <c r="GA128" t="s">
        <v>6</v>
      </c>
      <c r="GD128">
        <v>0</v>
      </c>
      <c r="GF128">
        <v>1880203204</v>
      </c>
      <c r="GG128">
        <v>1</v>
      </c>
      <c r="GH128">
        <v>1</v>
      </c>
      <c r="GI128">
        <v>4</v>
      </c>
      <c r="GJ128">
        <v>0</v>
      </c>
      <c r="GK128">
        <f>ROUND(R128*(R12)/100,2)</f>
        <v>0</v>
      </c>
      <c r="GL128">
        <f t="shared" si="148"/>
        <v>0</v>
      </c>
      <c r="GM128">
        <f t="shared" si="149"/>
        <v>0</v>
      </c>
      <c r="GN128">
        <f t="shared" si="150"/>
        <v>0</v>
      </c>
      <c r="GO128">
        <f t="shared" si="151"/>
        <v>0</v>
      </c>
      <c r="GP128">
        <f t="shared" si="152"/>
        <v>0</v>
      </c>
      <c r="GR128">
        <v>0</v>
      </c>
      <c r="GS128">
        <v>3</v>
      </c>
      <c r="GT128">
        <v>0</v>
      </c>
      <c r="GU128" t="s">
        <v>6</v>
      </c>
      <c r="GV128">
        <f t="shared" si="153"/>
        <v>0</v>
      </c>
      <c r="GW128">
        <v>1</v>
      </c>
      <c r="GX128">
        <f t="shared" si="154"/>
        <v>0</v>
      </c>
      <c r="HA128">
        <v>0</v>
      </c>
      <c r="HB128">
        <v>0</v>
      </c>
      <c r="IK128">
        <v>0</v>
      </c>
    </row>
    <row r="129" spans="1:245" x14ac:dyDescent="0.2">
      <c r="A129">
        <v>17</v>
      </c>
      <c r="B129">
        <v>1</v>
      </c>
      <c r="C129">
        <f>ROW(SmtRes!A173)</f>
        <v>173</v>
      </c>
      <c r="D129">
        <f>ROW(EtalonRes!A168)</f>
        <v>168</v>
      </c>
      <c r="E129" t="s">
        <v>345</v>
      </c>
      <c r="F129" t="s">
        <v>346</v>
      </c>
      <c r="G129" t="s">
        <v>347</v>
      </c>
      <c r="H129" t="s">
        <v>20</v>
      </c>
      <c r="I129">
        <f>ROUND(60/100,9)</f>
        <v>0.6</v>
      </c>
      <c r="J129">
        <v>0</v>
      </c>
      <c r="O129">
        <f t="shared" si="121"/>
        <v>8032.11</v>
      </c>
      <c r="P129">
        <f t="shared" si="122"/>
        <v>4449.25</v>
      </c>
      <c r="Q129">
        <f t="shared" si="123"/>
        <v>406.9</v>
      </c>
      <c r="R129">
        <f t="shared" si="124"/>
        <v>235.77</v>
      </c>
      <c r="S129">
        <f t="shared" si="125"/>
        <v>3175.96</v>
      </c>
      <c r="T129">
        <f t="shared" si="126"/>
        <v>0</v>
      </c>
      <c r="U129">
        <f t="shared" si="127"/>
        <v>51.503999999999998</v>
      </c>
      <c r="V129">
        <f t="shared" si="128"/>
        <v>3.774</v>
      </c>
      <c r="W129">
        <f t="shared" si="129"/>
        <v>0</v>
      </c>
      <c r="X129">
        <f t="shared" si="130"/>
        <v>3241.14</v>
      </c>
      <c r="Y129">
        <f t="shared" si="131"/>
        <v>1603.51</v>
      </c>
      <c r="AA129">
        <v>16748969</v>
      </c>
      <c r="AB129">
        <f t="shared" si="132"/>
        <v>2040.68</v>
      </c>
      <c r="AC129">
        <f t="shared" si="133"/>
        <v>1130.4000000000001</v>
      </c>
      <c r="AD129">
        <f t="shared" si="116"/>
        <v>103.38</v>
      </c>
      <c r="AE129">
        <f t="shared" si="117"/>
        <v>59.9</v>
      </c>
      <c r="AF129">
        <f t="shared" si="118"/>
        <v>806.9</v>
      </c>
      <c r="AG129">
        <f t="shared" si="134"/>
        <v>0</v>
      </c>
      <c r="AH129">
        <f t="shared" si="119"/>
        <v>85.84</v>
      </c>
      <c r="AI129">
        <f t="shared" si="120"/>
        <v>6.29</v>
      </c>
      <c r="AJ129">
        <f t="shared" si="135"/>
        <v>0</v>
      </c>
      <c r="AK129">
        <v>2040.68</v>
      </c>
      <c r="AL129">
        <v>1130.4000000000001</v>
      </c>
      <c r="AM129">
        <v>103.38</v>
      </c>
      <c r="AN129">
        <v>59.9</v>
      </c>
      <c r="AO129">
        <v>806.9</v>
      </c>
      <c r="AP129">
        <v>0</v>
      </c>
      <c r="AQ129">
        <v>85.84</v>
      </c>
      <c r="AR129">
        <v>6.29</v>
      </c>
      <c r="AS129">
        <v>0</v>
      </c>
      <c r="AT129">
        <v>95</v>
      </c>
      <c r="AU129">
        <v>47</v>
      </c>
      <c r="AV129">
        <v>1</v>
      </c>
      <c r="AW129">
        <v>1</v>
      </c>
      <c r="AZ129">
        <v>6.56</v>
      </c>
      <c r="BA129">
        <v>6.56</v>
      </c>
      <c r="BB129">
        <v>6.56</v>
      </c>
      <c r="BC129">
        <v>6.56</v>
      </c>
      <c r="BD129" t="s">
        <v>6</v>
      </c>
      <c r="BE129" t="s">
        <v>6</v>
      </c>
      <c r="BF129" t="s">
        <v>6</v>
      </c>
      <c r="BG129" t="s">
        <v>6</v>
      </c>
      <c r="BH129">
        <v>0</v>
      </c>
      <c r="BI129">
        <v>1</v>
      </c>
      <c r="BJ129" t="s">
        <v>348</v>
      </c>
      <c r="BM129">
        <v>15001</v>
      </c>
      <c r="BN129">
        <v>0</v>
      </c>
      <c r="BO129" t="s">
        <v>6</v>
      </c>
      <c r="BP129">
        <v>0</v>
      </c>
      <c r="BQ129">
        <v>2</v>
      </c>
      <c r="BR129">
        <v>0</v>
      </c>
      <c r="BS129">
        <v>6.56</v>
      </c>
      <c r="BT129">
        <v>1</v>
      </c>
      <c r="BU129">
        <v>1</v>
      </c>
      <c r="BV129">
        <v>1</v>
      </c>
      <c r="BW129">
        <v>1</v>
      </c>
      <c r="BX129">
        <v>1</v>
      </c>
      <c r="BY129" t="s">
        <v>6</v>
      </c>
      <c r="BZ129">
        <v>105</v>
      </c>
      <c r="CA129">
        <v>55</v>
      </c>
      <c r="CF129">
        <v>0</v>
      </c>
      <c r="CG129">
        <v>0</v>
      </c>
      <c r="CM129">
        <v>0</v>
      </c>
      <c r="CN129" t="s">
        <v>6</v>
      </c>
      <c r="CO129">
        <v>0</v>
      </c>
      <c r="CP129">
        <f t="shared" si="136"/>
        <v>8032.11</v>
      </c>
      <c r="CQ129">
        <f t="shared" si="137"/>
        <v>7415.424</v>
      </c>
      <c r="CR129">
        <f t="shared" si="138"/>
        <v>678.17279999999994</v>
      </c>
      <c r="CS129">
        <f t="shared" si="139"/>
        <v>392.94399999999996</v>
      </c>
      <c r="CT129">
        <f t="shared" si="140"/>
        <v>5293.2639999999992</v>
      </c>
      <c r="CU129">
        <f t="shared" si="141"/>
        <v>0</v>
      </c>
      <c r="CV129">
        <f t="shared" si="142"/>
        <v>85.84</v>
      </c>
      <c r="CW129">
        <f t="shared" si="143"/>
        <v>6.29</v>
      </c>
      <c r="CX129">
        <f t="shared" si="144"/>
        <v>0</v>
      </c>
      <c r="CY129">
        <f t="shared" si="145"/>
        <v>3241.1434999999997</v>
      </c>
      <c r="CZ129">
        <f t="shared" si="146"/>
        <v>1603.5130999999999</v>
      </c>
      <c r="DC129" t="s">
        <v>6</v>
      </c>
      <c r="DD129" t="s">
        <v>6</v>
      </c>
      <c r="DE129" t="s">
        <v>6</v>
      </c>
      <c r="DF129" t="s">
        <v>6</v>
      </c>
      <c r="DG129" t="s">
        <v>6</v>
      </c>
      <c r="DH129" t="s">
        <v>6</v>
      </c>
      <c r="DI129" t="s">
        <v>6</v>
      </c>
      <c r="DJ129" t="s">
        <v>6</v>
      </c>
      <c r="DK129" t="s">
        <v>6</v>
      </c>
      <c r="DL129" t="s">
        <v>6</v>
      </c>
      <c r="DM129" t="s">
        <v>6</v>
      </c>
      <c r="DN129">
        <v>0</v>
      </c>
      <c r="DO129">
        <v>0</v>
      </c>
      <c r="DP129">
        <v>1</v>
      </c>
      <c r="DQ129">
        <v>1</v>
      </c>
      <c r="DU129">
        <v>1005</v>
      </c>
      <c r="DV129" t="s">
        <v>20</v>
      </c>
      <c r="DW129" t="s">
        <v>20</v>
      </c>
      <c r="DX129">
        <v>100</v>
      </c>
      <c r="EE129">
        <v>16510513</v>
      </c>
      <c r="EF129">
        <v>2</v>
      </c>
      <c r="EG129" t="s">
        <v>22</v>
      </c>
      <c r="EH129">
        <v>0</v>
      </c>
      <c r="EI129" t="s">
        <v>6</v>
      </c>
      <c r="EJ129">
        <v>1</v>
      </c>
      <c r="EK129">
        <v>15001</v>
      </c>
      <c r="EL129" t="s">
        <v>212</v>
      </c>
      <c r="EM129" t="s">
        <v>213</v>
      </c>
      <c r="EO129" t="s">
        <v>6</v>
      </c>
      <c r="EQ129">
        <v>0</v>
      </c>
      <c r="ER129">
        <v>2040.68</v>
      </c>
      <c r="ES129">
        <v>1130.4000000000001</v>
      </c>
      <c r="ET129">
        <v>103.38</v>
      </c>
      <c r="EU129">
        <v>59.9</v>
      </c>
      <c r="EV129">
        <v>806.9</v>
      </c>
      <c r="EW129">
        <v>85.84</v>
      </c>
      <c r="EX129">
        <v>6.29</v>
      </c>
      <c r="EY129">
        <v>0</v>
      </c>
      <c r="FQ129">
        <v>0</v>
      </c>
      <c r="FR129">
        <f t="shared" si="147"/>
        <v>0</v>
      </c>
      <c r="FS129">
        <v>0</v>
      </c>
      <c r="FT129" t="s">
        <v>25</v>
      </c>
      <c r="FU129" t="s">
        <v>26</v>
      </c>
      <c r="FX129">
        <v>94.5</v>
      </c>
      <c r="FY129">
        <v>46.75</v>
      </c>
      <c r="GA129" t="s">
        <v>6</v>
      </c>
      <c r="GD129">
        <v>0</v>
      </c>
      <c r="GF129">
        <v>2119154356</v>
      </c>
      <c r="GG129">
        <v>1</v>
      </c>
      <c r="GH129">
        <v>1</v>
      </c>
      <c r="GI129">
        <v>4</v>
      </c>
      <c r="GJ129">
        <v>0</v>
      </c>
      <c r="GK129">
        <f>ROUND(R129*(R12)/100,2)</f>
        <v>0</v>
      </c>
      <c r="GL129">
        <f t="shared" si="148"/>
        <v>0</v>
      </c>
      <c r="GM129">
        <f t="shared" si="149"/>
        <v>12876.76</v>
      </c>
      <c r="GN129">
        <f t="shared" si="150"/>
        <v>12876.76</v>
      </c>
      <c r="GO129">
        <f t="shared" si="151"/>
        <v>0</v>
      </c>
      <c r="GP129">
        <f t="shared" si="152"/>
        <v>0</v>
      </c>
      <c r="GR129">
        <v>0</v>
      </c>
      <c r="GS129">
        <v>3</v>
      </c>
      <c r="GT129">
        <v>0</v>
      </c>
      <c r="GU129" t="s">
        <v>6</v>
      </c>
      <c r="GV129">
        <f t="shared" si="153"/>
        <v>0</v>
      </c>
      <c r="GW129">
        <v>1</v>
      </c>
      <c r="GX129">
        <f t="shared" si="154"/>
        <v>0</v>
      </c>
      <c r="HA129">
        <v>0</v>
      </c>
      <c r="HB129">
        <v>0</v>
      </c>
      <c r="IK129">
        <v>0</v>
      </c>
    </row>
    <row r="130" spans="1:245" x14ac:dyDescent="0.2">
      <c r="A130">
        <v>17</v>
      </c>
      <c r="B130">
        <v>1</v>
      </c>
      <c r="C130">
        <f>ROW(SmtRes!A186)</f>
        <v>186</v>
      </c>
      <c r="D130">
        <f>ROW(EtalonRes!A180)</f>
        <v>180</v>
      </c>
      <c r="E130" t="s">
        <v>349</v>
      </c>
      <c r="F130" t="s">
        <v>350</v>
      </c>
      <c r="G130" t="s">
        <v>351</v>
      </c>
      <c r="H130" t="s">
        <v>20</v>
      </c>
      <c r="I130">
        <f>ROUND(71/100,9)</f>
        <v>0.71</v>
      </c>
      <c r="J130">
        <v>0</v>
      </c>
      <c r="O130">
        <f t="shared" si="121"/>
        <v>3175.13</v>
      </c>
      <c r="P130">
        <f t="shared" si="122"/>
        <v>2014.64</v>
      </c>
      <c r="Q130">
        <f t="shared" si="123"/>
        <v>32.93</v>
      </c>
      <c r="R130">
        <f t="shared" si="124"/>
        <v>9.5500000000000007</v>
      </c>
      <c r="S130">
        <f t="shared" si="125"/>
        <v>1127.56</v>
      </c>
      <c r="T130">
        <f t="shared" si="126"/>
        <v>0</v>
      </c>
      <c r="U130">
        <f t="shared" si="127"/>
        <v>19.894199999999998</v>
      </c>
      <c r="V130">
        <f t="shared" si="128"/>
        <v>0.11359999999999999</v>
      </c>
      <c r="W130">
        <f t="shared" si="129"/>
        <v>0</v>
      </c>
      <c r="X130">
        <f t="shared" si="130"/>
        <v>909.69</v>
      </c>
      <c r="Y130">
        <f t="shared" si="131"/>
        <v>568.55999999999995</v>
      </c>
      <c r="AA130">
        <v>16748969</v>
      </c>
      <c r="AB130">
        <f t="shared" si="132"/>
        <v>681.71</v>
      </c>
      <c r="AC130">
        <f t="shared" si="133"/>
        <v>432.55</v>
      </c>
      <c r="AD130">
        <f t="shared" si="116"/>
        <v>7.07</v>
      </c>
      <c r="AE130">
        <f t="shared" si="117"/>
        <v>2.0499999999999998</v>
      </c>
      <c r="AF130">
        <f t="shared" si="118"/>
        <v>242.09</v>
      </c>
      <c r="AG130">
        <f t="shared" si="134"/>
        <v>0</v>
      </c>
      <c r="AH130">
        <f t="shared" si="119"/>
        <v>28.02</v>
      </c>
      <c r="AI130">
        <f t="shared" si="120"/>
        <v>0.16</v>
      </c>
      <c r="AJ130">
        <f t="shared" si="135"/>
        <v>0</v>
      </c>
      <c r="AK130">
        <v>681.71</v>
      </c>
      <c r="AL130">
        <v>432.55</v>
      </c>
      <c r="AM130">
        <v>7.07</v>
      </c>
      <c r="AN130">
        <v>2.0499999999999998</v>
      </c>
      <c r="AO130">
        <v>242.09</v>
      </c>
      <c r="AP130">
        <v>0</v>
      </c>
      <c r="AQ130">
        <v>28.02</v>
      </c>
      <c r="AR130">
        <v>0.16</v>
      </c>
      <c r="AS130">
        <v>0</v>
      </c>
      <c r="AT130">
        <v>80</v>
      </c>
      <c r="AU130">
        <v>50</v>
      </c>
      <c r="AV130">
        <v>1</v>
      </c>
      <c r="AW130">
        <v>1</v>
      </c>
      <c r="AZ130">
        <v>6.56</v>
      </c>
      <c r="BA130">
        <v>6.56</v>
      </c>
      <c r="BB130">
        <v>6.56</v>
      </c>
      <c r="BC130">
        <v>6.56</v>
      </c>
      <c r="BD130" t="s">
        <v>6</v>
      </c>
      <c r="BE130" t="s">
        <v>6</v>
      </c>
      <c r="BF130" t="s">
        <v>6</v>
      </c>
      <c r="BG130" t="s">
        <v>6</v>
      </c>
      <c r="BH130">
        <v>0</v>
      </c>
      <c r="BI130">
        <v>1</v>
      </c>
      <c r="BJ130" t="s">
        <v>352</v>
      </c>
      <c r="BM130">
        <v>62001</v>
      </c>
      <c r="BN130">
        <v>0</v>
      </c>
      <c r="BO130" t="s">
        <v>6</v>
      </c>
      <c r="BP130">
        <v>0</v>
      </c>
      <c r="BQ130">
        <v>6</v>
      </c>
      <c r="BR130">
        <v>0</v>
      </c>
      <c r="BS130">
        <v>6.56</v>
      </c>
      <c r="BT130">
        <v>1</v>
      </c>
      <c r="BU130">
        <v>1</v>
      </c>
      <c r="BV130">
        <v>1</v>
      </c>
      <c r="BW130">
        <v>1</v>
      </c>
      <c r="BX130">
        <v>1</v>
      </c>
      <c r="BY130" t="s">
        <v>6</v>
      </c>
      <c r="BZ130">
        <v>80</v>
      </c>
      <c r="CA130">
        <v>50</v>
      </c>
      <c r="CF130">
        <v>0</v>
      </c>
      <c r="CG130">
        <v>0</v>
      </c>
      <c r="CM130">
        <v>0</v>
      </c>
      <c r="CN130" t="s">
        <v>6</v>
      </c>
      <c r="CO130">
        <v>0</v>
      </c>
      <c r="CP130">
        <f t="shared" si="136"/>
        <v>3175.13</v>
      </c>
      <c r="CQ130">
        <f t="shared" si="137"/>
        <v>2837.5279999999998</v>
      </c>
      <c r="CR130">
        <f t="shared" si="138"/>
        <v>46.379199999999997</v>
      </c>
      <c r="CS130">
        <f t="shared" si="139"/>
        <v>13.447999999999999</v>
      </c>
      <c r="CT130">
        <f t="shared" si="140"/>
        <v>1588.1104</v>
      </c>
      <c r="CU130">
        <f t="shared" si="141"/>
        <v>0</v>
      </c>
      <c r="CV130">
        <f t="shared" si="142"/>
        <v>28.02</v>
      </c>
      <c r="CW130">
        <f t="shared" si="143"/>
        <v>0.16</v>
      </c>
      <c r="CX130">
        <f t="shared" si="144"/>
        <v>0</v>
      </c>
      <c r="CY130">
        <f t="shared" si="145"/>
        <v>909.68799999999987</v>
      </c>
      <c r="CZ130">
        <f t="shared" si="146"/>
        <v>568.55499999999995</v>
      </c>
      <c r="DC130" t="s">
        <v>6</v>
      </c>
      <c r="DD130" t="s">
        <v>6</v>
      </c>
      <c r="DE130" t="s">
        <v>6</v>
      </c>
      <c r="DF130" t="s">
        <v>6</v>
      </c>
      <c r="DG130" t="s">
        <v>6</v>
      </c>
      <c r="DH130" t="s">
        <v>6</v>
      </c>
      <c r="DI130" t="s">
        <v>6</v>
      </c>
      <c r="DJ130" t="s">
        <v>6</v>
      </c>
      <c r="DK130" t="s">
        <v>6</v>
      </c>
      <c r="DL130" t="s">
        <v>6</v>
      </c>
      <c r="DM130" t="s">
        <v>6</v>
      </c>
      <c r="DN130">
        <v>0</v>
      </c>
      <c r="DO130">
        <v>0</v>
      </c>
      <c r="DP130">
        <v>1</v>
      </c>
      <c r="DQ130">
        <v>1</v>
      </c>
      <c r="DU130">
        <v>1005</v>
      </c>
      <c r="DV130" t="s">
        <v>20</v>
      </c>
      <c r="DW130" t="s">
        <v>20</v>
      </c>
      <c r="DX130">
        <v>100</v>
      </c>
      <c r="EE130">
        <v>16510571</v>
      </c>
      <c r="EF130">
        <v>6</v>
      </c>
      <c r="EG130" t="s">
        <v>36</v>
      </c>
      <c r="EH130">
        <v>0</v>
      </c>
      <c r="EI130" t="s">
        <v>6</v>
      </c>
      <c r="EJ130">
        <v>1</v>
      </c>
      <c r="EK130">
        <v>62001</v>
      </c>
      <c r="EL130" t="s">
        <v>353</v>
      </c>
      <c r="EM130" t="s">
        <v>354</v>
      </c>
      <c r="EO130" t="s">
        <v>6</v>
      </c>
      <c r="EQ130">
        <v>131072</v>
      </c>
      <c r="ER130">
        <v>681.71</v>
      </c>
      <c r="ES130">
        <v>432.55</v>
      </c>
      <c r="ET130">
        <v>7.07</v>
      </c>
      <c r="EU130">
        <v>2.0499999999999998</v>
      </c>
      <c r="EV130">
        <v>242.09</v>
      </c>
      <c r="EW130">
        <v>28.02</v>
      </c>
      <c r="EX130">
        <v>0.16</v>
      </c>
      <c r="EY130">
        <v>0</v>
      </c>
      <c r="FQ130">
        <v>0</v>
      </c>
      <c r="FR130">
        <f t="shared" si="147"/>
        <v>0</v>
      </c>
      <c r="FS130">
        <v>0</v>
      </c>
      <c r="FX130">
        <v>80</v>
      </c>
      <c r="FY130">
        <v>50</v>
      </c>
      <c r="GA130" t="s">
        <v>6</v>
      </c>
      <c r="GD130">
        <v>0</v>
      </c>
      <c r="GF130">
        <v>-4588488</v>
      </c>
      <c r="GG130">
        <v>1</v>
      </c>
      <c r="GH130">
        <v>1</v>
      </c>
      <c r="GI130">
        <v>4</v>
      </c>
      <c r="GJ130">
        <v>0</v>
      </c>
      <c r="GK130">
        <f>ROUND(R130*(R12)/100,2)</f>
        <v>0</v>
      </c>
      <c r="GL130">
        <f t="shared" si="148"/>
        <v>0</v>
      </c>
      <c r="GM130">
        <f t="shared" si="149"/>
        <v>4653.38</v>
      </c>
      <c r="GN130">
        <f t="shared" si="150"/>
        <v>4653.38</v>
      </c>
      <c r="GO130">
        <f t="shared" si="151"/>
        <v>0</v>
      </c>
      <c r="GP130">
        <f t="shared" si="152"/>
        <v>0</v>
      </c>
      <c r="GR130">
        <v>0</v>
      </c>
      <c r="GS130">
        <v>3</v>
      </c>
      <c r="GT130">
        <v>0</v>
      </c>
      <c r="GU130" t="s">
        <v>6</v>
      </c>
      <c r="GV130">
        <f t="shared" si="153"/>
        <v>0</v>
      </c>
      <c r="GW130">
        <v>1</v>
      </c>
      <c r="GX130">
        <f t="shared" si="154"/>
        <v>0</v>
      </c>
      <c r="HA130">
        <v>0</v>
      </c>
      <c r="HB130">
        <v>0</v>
      </c>
      <c r="IK130">
        <v>0</v>
      </c>
    </row>
    <row r="131" spans="1:245" x14ac:dyDescent="0.2">
      <c r="A131">
        <v>18</v>
      </c>
      <c r="B131">
        <v>1</v>
      </c>
      <c r="C131">
        <v>185</v>
      </c>
      <c r="E131" t="s">
        <v>355</v>
      </c>
      <c r="F131" t="s">
        <v>356</v>
      </c>
      <c r="G131" t="s">
        <v>357</v>
      </c>
      <c r="H131" t="s">
        <v>71</v>
      </c>
      <c r="I131">
        <f>I130*J131</f>
        <v>4.7570000000000001E-2</v>
      </c>
      <c r="J131">
        <v>6.7000000000000004E-2</v>
      </c>
      <c r="O131">
        <f t="shared" si="121"/>
        <v>2654.06</v>
      </c>
      <c r="P131">
        <f t="shared" si="122"/>
        <v>2654.06</v>
      </c>
      <c r="Q131">
        <f t="shared" si="123"/>
        <v>0</v>
      </c>
      <c r="R131">
        <f t="shared" si="124"/>
        <v>0</v>
      </c>
      <c r="S131">
        <f t="shared" si="125"/>
        <v>0</v>
      </c>
      <c r="T131">
        <f t="shared" si="126"/>
        <v>0</v>
      </c>
      <c r="U131">
        <f t="shared" si="127"/>
        <v>0</v>
      </c>
      <c r="V131">
        <f t="shared" si="128"/>
        <v>0</v>
      </c>
      <c r="W131">
        <f t="shared" si="129"/>
        <v>0</v>
      </c>
      <c r="X131">
        <f t="shared" si="130"/>
        <v>0</v>
      </c>
      <c r="Y131">
        <f t="shared" si="131"/>
        <v>0</v>
      </c>
      <c r="AA131">
        <v>16748969</v>
      </c>
      <c r="AB131">
        <f t="shared" si="132"/>
        <v>8505</v>
      </c>
      <c r="AC131">
        <f t="shared" si="133"/>
        <v>8505</v>
      </c>
      <c r="AD131">
        <f t="shared" si="116"/>
        <v>0</v>
      </c>
      <c r="AE131">
        <f t="shared" si="117"/>
        <v>0</v>
      </c>
      <c r="AF131">
        <f t="shared" si="118"/>
        <v>0</v>
      </c>
      <c r="AG131">
        <f t="shared" si="134"/>
        <v>0</v>
      </c>
      <c r="AH131">
        <f t="shared" si="119"/>
        <v>0</v>
      </c>
      <c r="AI131">
        <f t="shared" si="120"/>
        <v>0</v>
      </c>
      <c r="AJ131">
        <f t="shared" si="135"/>
        <v>0</v>
      </c>
      <c r="AK131">
        <v>8505</v>
      </c>
      <c r="AL131">
        <v>8505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95</v>
      </c>
      <c r="AU131">
        <v>47</v>
      </c>
      <c r="AV131">
        <v>1</v>
      </c>
      <c r="AW131">
        <v>1</v>
      </c>
      <c r="AZ131">
        <v>6.56</v>
      </c>
      <c r="BA131">
        <v>1</v>
      </c>
      <c r="BB131">
        <v>1</v>
      </c>
      <c r="BC131">
        <v>6.56</v>
      </c>
      <c r="BD131" t="s">
        <v>6</v>
      </c>
      <c r="BE131" t="s">
        <v>6</v>
      </c>
      <c r="BF131" t="s">
        <v>6</v>
      </c>
      <c r="BG131" t="s">
        <v>6</v>
      </c>
      <c r="BH131">
        <v>3</v>
      </c>
      <c r="BI131">
        <v>1</v>
      </c>
      <c r="BJ131" t="s">
        <v>358</v>
      </c>
      <c r="BM131">
        <v>15001</v>
      </c>
      <c r="BN131">
        <v>0</v>
      </c>
      <c r="BO131" t="s">
        <v>6</v>
      </c>
      <c r="BP131">
        <v>0</v>
      </c>
      <c r="BQ131">
        <v>2</v>
      </c>
      <c r="BR131">
        <v>0</v>
      </c>
      <c r="BS131">
        <v>1</v>
      </c>
      <c r="BT131">
        <v>1</v>
      </c>
      <c r="BU131">
        <v>1</v>
      </c>
      <c r="BV131">
        <v>1</v>
      </c>
      <c r="BW131">
        <v>1</v>
      </c>
      <c r="BX131">
        <v>1</v>
      </c>
      <c r="BY131" t="s">
        <v>6</v>
      </c>
      <c r="BZ131">
        <v>105</v>
      </c>
      <c r="CA131">
        <v>55</v>
      </c>
      <c r="CF131">
        <v>0</v>
      </c>
      <c r="CG131">
        <v>0</v>
      </c>
      <c r="CM131">
        <v>0</v>
      </c>
      <c r="CN131" t="s">
        <v>6</v>
      </c>
      <c r="CO131">
        <v>0</v>
      </c>
      <c r="CP131">
        <f t="shared" si="136"/>
        <v>2654.06</v>
      </c>
      <c r="CQ131">
        <f t="shared" si="137"/>
        <v>55792.799999999996</v>
      </c>
      <c r="CR131">
        <f t="shared" si="138"/>
        <v>0</v>
      </c>
      <c r="CS131">
        <f t="shared" si="139"/>
        <v>0</v>
      </c>
      <c r="CT131">
        <f t="shared" si="140"/>
        <v>0</v>
      </c>
      <c r="CU131">
        <f t="shared" si="141"/>
        <v>0</v>
      </c>
      <c r="CV131">
        <f t="shared" si="142"/>
        <v>0</v>
      </c>
      <c r="CW131">
        <f t="shared" si="143"/>
        <v>0</v>
      </c>
      <c r="CX131">
        <f t="shared" si="144"/>
        <v>0</v>
      </c>
      <c r="CY131">
        <f t="shared" si="145"/>
        <v>0</v>
      </c>
      <c r="CZ131">
        <f t="shared" si="146"/>
        <v>0</v>
      </c>
      <c r="DC131" t="s">
        <v>6</v>
      </c>
      <c r="DD131" t="s">
        <v>6</v>
      </c>
      <c r="DE131" t="s">
        <v>6</v>
      </c>
      <c r="DF131" t="s">
        <v>6</v>
      </c>
      <c r="DG131" t="s">
        <v>6</v>
      </c>
      <c r="DH131" t="s">
        <v>6</v>
      </c>
      <c r="DI131" t="s">
        <v>6</v>
      </c>
      <c r="DJ131" t="s">
        <v>6</v>
      </c>
      <c r="DK131" t="s">
        <v>6</v>
      </c>
      <c r="DL131" t="s">
        <v>6</v>
      </c>
      <c r="DM131" t="s">
        <v>6</v>
      </c>
      <c r="DN131">
        <v>0</v>
      </c>
      <c r="DO131">
        <v>0</v>
      </c>
      <c r="DP131">
        <v>1</v>
      </c>
      <c r="DQ131">
        <v>1</v>
      </c>
      <c r="DU131">
        <v>1009</v>
      </c>
      <c r="DV131" t="s">
        <v>71</v>
      </c>
      <c r="DW131" t="s">
        <v>71</v>
      </c>
      <c r="DX131">
        <v>1000</v>
      </c>
      <c r="EE131">
        <v>16510513</v>
      </c>
      <c r="EF131">
        <v>2</v>
      </c>
      <c r="EG131" t="s">
        <v>22</v>
      </c>
      <c r="EH131">
        <v>0</v>
      </c>
      <c r="EI131" t="s">
        <v>6</v>
      </c>
      <c r="EJ131">
        <v>1</v>
      </c>
      <c r="EK131">
        <v>15001</v>
      </c>
      <c r="EL131" t="s">
        <v>212</v>
      </c>
      <c r="EM131" t="s">
        <v>213</v>
      </c>
      <c r="EO131" t="s">
        <v>6</v>
      </c>
      <c r="EQ131">
        <v>0</v>
      </c>
      <c r="ER131">
        <v>8505</v>
      </c>
      <c r="ES131">
        <v>8505</v>
      </c>
      <c r="ET131">
        <v>0</v>
      </c>
      <c r="EU131">
        <v>0</v>
      </c>
      <c r="EV131">
        <v>0</v>
      </c>
      <c r="EW131">
        <v>0</v>
      </c>
      <c r="EX131">
        <v>0</v>
      </c>
      <c r="FQ131">
        <v>0</v>
      </c>
      <c r="FR131">
        <f t="shared" si="147"/>
        <v>0</v>
      </c>
      <c r="FS131">
        <v>0</v>
      </c>
      <c r="FT131" t="s">
        <v>25</v>
      </c>
      <c r="FU131" t="s">
        <v>26</v>
      </c>
      <c r="FX131">
        <v>94.5</v>
      </c>
      <c r="FY131">
        <v>46.75</v>
      </c>
      <c r="GA131" t="s">
        <v>6</v>
      </c>
      <c r="GD131">
        <v>0</v>
      </c>
      <c r="GF131">
        <v>1146787971</v>
      </c>
      <c r="GG131">
        <v>1</v>
      </c>
      <c r="GH131">
        <v>1</v>
      </c>
      <c r="GI131">
        <v>4</v>
      </c>
      <c r="GJ131">
        <v>0</v>
      </c>
      <c r="GK131">
        <f>ROUND(R131*(R12)/100,2)</f>
        <v>0</v>
      </c>
      <c r="GL131">
        <f t="shared" si="148"/>
        <v>0</v>
      </c>
      <c r="GM131">
        <f t="shared" si="149"/>
        <v>2654.06</v>
      </c>
      <c r="GN131">
        <f t="shared" si="150"/>
        <v>2654.06</v>
      </c>
      <c r="GO131">
        <f t="shared" si="151"/>
        <v>0</v>
      </c>
      <c r="GP131">
        <f t="shared" si="152"/>
        <v>0</v>
      </c>
      <c r="GR131">
        <v>0</v>
      </c>
      <c r="GS131">
        <v>3</v>
      </c>
      <c r="GT131">
        <v>0</v>
      </c>
      <c r="GU131" t="s">
        <v>6</v>
      </c>
      <c r="GV131">
        <f t="shared" si="153"/>
        <v>0</v>
      </c>
      <c r="GW131">
        <v>1</v>
      </c>
      <c r="GX131">
        <f t="shared" si="154"/>
        <v>0</v>
      </c>
      <c r="HA131">
        <v>0</v>
      </c>
      <c r="HB131">
        <v>0</v>
      </c>
      <c r="IK131">
        <v>0</v>
      </c>
    </row>
    <row r="132" spans="1:245" x14ac:dyDescent="0.2">
      <c r="A132">
        <v>18</v>
      </c>
      <c r="B132">
        <v>1</v>
      </c>
      <c r="C132">
        <v>184</v>
      </c>
      <c r="E132" t="s">
        <v>359</v>
      </c>
      <c r="F132" t="s">
        <v>223</v>
      </c>
      <c r="G132" t="s">
        <v>224</v>
      </c>
      <c r="H132" t="s">
        <v>71</v>
      </c>
      <c r="I132">
        <f>I130*J132</f>
        <v>4.7570000000000001E-2</v>
      </c>
      <c r="J132">
        <v>6.7000000000000004E-2</v>
      </c>
      <c r="O132">
        <f t="shared" si="121"/>
        <v>0</v>
      </c>
      <c r="P132">
        <f t="shared" si="122"/>
        <v>0</v>
      </c>
      <c r="Q132">
        <f t="shared" si="123"/>
        <v>0</v>
      </c>
      <c r="R132">
        <f t="shared" si="124"/>
        <v>0</v>
      </c>
      <c r="S132">
        <f t="shared" si="125"/>
        <v>0</v>
      </c>
      <c r="T132">
        <f t="shared" si="126"/>
        <v>0</v>
      </c>
      <c r="U132">
        <f t="shared" si="127"/>
        <v>0</v>
      </c>
      <c r="V132">
        <f t="shared" si="128"/>
        <v>0</v>
      </c>
      <c r="W132">
        <f t="shared" si="129"/>
        <v>0</v>
      </c>
      <c r="X132">
        <f t="shared" si="130"/>
        <v>0</v>
      </c>
      <c r="Y132">
        <f t="shared" si="131"/>
        <v>0</v>
      </c>
      <c r="AA132">
        <v>16748969</v>
      </c>
      <c r="AB132">
        <f t="shared" si="132"/>
        <v>0</v>
      </c>
      <c r="AC132">
        <f t="shared" si="133"/>
        <v>0</v>
      </c>
      <c r="AD132">
        <f t="shared" si="116"/>
        <v>0</v>
      </c>
      <c r="AE132">
        <f t="shared" si="117"/>
        <v>0</v>
      </c>
      <c r="AF132">
        <f t="shared" si="118"/>
        <v>0</v>
      </c>
      <c r="AG132">
        <f t="shared" si="134"/>
        <v>0</v>
      </c>
      <c r="AH132">
        <f t="shared" si="119"/>
        <v>0</v>
      </c>
      <c r="AI132">
        <f t="shared" si="120"/>
        <v>0</v>
      </c>
      <c r="AJ132">
        <f t="shared" si="135"/>
        <v>0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  <c r="AS132">
        <v>0</v>
      </c>
      <c r="AT132">
        <v>80</v>
      </c>
      <c r="AU132">
        <v>50</v>
      </c>
      <c r="AV132">
        <v>1</v>
      </c>
      <c r="AW132">
        <v>1</v>
      </c>
      <c r="AZ132">
        <v>6.56</v>
      </c>
      <c r="BA132">
        <v>1</v>
      </c>
      <c r="BB132">
        <v>1</v>
      </c>
      <c r="BC132">
        <v>6.56</v>
      </c>
      <c r="BD132" t="s">
        <v>6</v>
      </c>
      <c r="BE132" t="s">
        <v>6</v>
      </c>
      <c r="BF132" t="s">
        <v>6</v>
      </c>
      <c r="BG132" t="s">
        <v>6</v>
      </c>
      <c r="BH132">
        <v>3</v>
      </c>
      <c r="BI132">
        <v>1</v>
      </c>
      <c r="BJ132" t="s">
        <v>6</v>
      </c>
      <c r="BM132">
        <v>62001</v>
      </c>
      <c r="BN132">
        <v>0</v>
      </c>
      <c r="BO132" t="s">
        <v>6</v>
      </c>
      <c r="BP132">
        <v>0</v>
      </c>
      <c r="BQ132">
        <v>6</v>
      </c>
      <c r="BR132">
        <v>0</v>
      </c>
      <c r="BS132">
        <v>1</v>
      </c>
      <c r="BT132">
        <v>1</v>
      </c>
      <c r="BU132">
        <v>1</v>
      </c>
      <c r="BV132">
        <v>1</v>
      </c>
      <c r="BW132">
        <v>1</v>
      </c>
      <c r="BX132">
        <v>1</v>
      </c>
      <c r="BY132" t="s">
        <v>6</v>
      </c>
      <c r="BZ132">
        <v>80</v>
      </c>
      <c r="CA132">
        <v>50</v>
      </c>
      <c r="CF132">
        <v>0</v>
      </c>
      <c r="CG132">
        <v>0</v>
      </c>
      <c r="CM132">
        <v>0</v>
      </c>
      <c r="CN132" t="s">
        <v>6</v>
      </c>
      <c r="CO132">
        <v>0</v>
      </c>
      <c r="CP132">
        <f t="shared" si="136"/>
        <v>0</v>
      </c>
      <c r="CQ132">
        <f t="shared" si="137"/>
        <v>0</v>
      </c>
      <c r="CR132">
        <f t="shared" si="138"/>
        <v>0</v>
      </c>
      <c r="CS132">
        <f t="shared" si="139"/>
        <v>0</v>
      </c>
      <c r="CT132">
        <f t="shared" si="140"/>
        <v>0</v>
      </c>
      <c r="CU132">
        <f t="shared" si="141"/>
        <v>0</v>
      </c>
      <c r="CV132">
        <f t="shared" si="142"/>
        <v>0</v>
      </c>
      <c r="CW132">
        <f t="shared" si="143"/>
        <v>0</v>
      </c>
      <c r="CX132">
        <f t="shared" si="144"/>
        <v>0</v>
      </c>
      <c r="CY132">
        <f t="shared" si="145"/>
        <v>0</v>
      </c>
      <c r="CZ132">
        <f t="shared" si="146"/>
        <v>0</v>
      </c>
      <c r="DC132" t="s">
        <v>6</v>
      </c>
      <c r="DD132" t="s">
        <v>6</v>
      </c>
      <c r="DE132" t="s">
        <v>6</v>
      </c>
      <c r="DF132" t="s">
        <v>6</v>
      </c>
      <c r="DG132" t="s">
        <v>6</v>
      </c>
      <c r="DH132" t="s">
        <v>6</v>
      </c>
      <c r="DI132" t="s">
        <v>6</v>
      </c>
      <c r="DJ132" t="s">
        <v>6</v>
      </c>
      <c r="DK132" t="s">
        <v>6</v>
      </c>
      <c r="DL132" t="s">
        <v>6</v>
      </c>
      <c r="DM132" t="s">
        <v>6</v>
      </c>
      <c r="DN132">
        <v>0</v>
      </c>
      <c r="DO132">
        <v>0</v>
      </c>
      <c r="DP132">
        <v>1</v>
      </c>
      <c r="DQ132">
        <v>1</v>
      </c>
      <c r="DU132">
        <v>1009</v>
      </c>
      <c r="DV132" t="s">
        <v>71</v>
      </c>
      <c r="DW132" t="s">
        <v>71</v>
      </c>
      <c r="DX132">
        <v>1000</v>
      </c>
      <c r="EE132">
        <v>16510571</v>
      </c>
      <c r="EF132">
        <v>6</v>
      </c>
      <c r="EG132" t="s">
        <v>36</v>
      </c>
      <c r="EH132">
        <v>0</v>
      </c>
      <c r="EI132" t="s">
        <v>6</v>
      </c>
      <c r="EJ132">
        <v>1</v>
      </c>
      <c r="EK132">
        <v>62001</v>
      </c>
      <c r="EL132" t="s">
        <v>353</v>
      </c>
      <c r="EM132" t="s">
        <v>354</v>
      </c>
      <c r="EO132" t="s">
        <v>6</v>
      </c>
      <c r="EQ132">
        <v>0</v>
      </c>
      <c r="ER132">
        <v>0</v>
      </c>
      <c r="ES132">
        <v>0</v>
      </c>
      <c r="ET132">
        <v>0</v>
      </c>
      <c r="EU132">
        <v>0</v>
      </c>
      <c r="EV132">
        <v>0</v>
      </c>
      <c r="EW132">
        <v>0</v>
      </c>
      <c r="EX132">
        <v>0</v>
      </c>
      <c r="FQ132">
        <v>0</v>
      </c>
      <c r="FR132">
        <f t="shared" si="147"/>
        <v>0</v>
      </c>
      <c r="FS132">
        <v>0</v>
      </c>
      <c r="FX132">
        <v>80</v>
      </c>
      <c r="FY132">
        <v>50</v>
      </c>
      <c r="GA132" t="s">
        <v>6</v>
      </c>
      <c r="GD132">
        <v>0</v>
      </c>
      <c r="GF132">
        <v>1891904026</v>
      </c>
      <c r="GG132">
        <v>1</v>
      </c>
      <c r="GH132">
        <v>1</v>
      </c>
      <c r="GI132">
        <v>4</v>
      </c>
      <c r="GJ132">
        <v>0</v>
      </c>
      <c r="GK132">
        <f>ROUND(R132*(R12)/100,2)</f>
        <v>0</v>
      </c>
      <c r="GL132">
        <f t="shared" si="148"/>
        <v>0</v>
      </c>
      <c r="GM132">
        <f t="shared" si="149"/>
        <v>0</v>
      </c>
      <c r="GN132">
        <f t="shared" si="150"/>
        <v>0</v>
      </c>
      <c r="GO132">
        <f t="shared" si="151"/>
        <v>0</v>
      </c>
      <c r="GP132">
        <f t="shared" si="152"/>
        <v>0</v>
      </c>
      <c r="GR132">
        <v>0</v>
      </c>
      <c r="GS132">
        <v>3</v>
      </c>
      <c r="GT132">
        <v>0</v>
      </c>
      <c r="GU132" t="s">
        <v>6</v>
      </c>
      <c r="GV132">
        <f t="shared" si="153"/>
        <v>0</v>
      </c>
      <c r="GW132">
        <v>1</v>
      </c>
      <c r="GX132">
        <f t="shared" si="154"/>
        <v>0</v>
      </c>
      <c r="HA132">
        <v>0</v>
      </c>
      <c r="HB132">
        <v>0</v>
      </c>
      <c r="IK132">
        <v>0</v>
      </c>
    </row>
    <row r="133" spans="1:245" x14ac:dyDescent="0.2">
      <c r="A133">
        <v>17</v>
      </c>
      <c r="B133">
        <v>1</v>
      </c>
      <c r="C133">
        <f>ROW(SmtRes!A197)</f>
        <v>197</v>
      </c>
      <c r="D133">
        <f>ROW(EtalonRes!A191)</f>
        <v>191</v>
      </c>
      <c r="E133" t="s">
        <v>360</v>
      </c>
      <c r="F133" t="s">
        <v>361</v>
      </c>
      <c r="G133" t="s">
        <v>362</v>
      </c>
      <c r="H133" t="s">
        <v>20</v>
      </c>
      <c r="I133">
        <f>ROUND(215.43/100,9)</f>
        <v>2.1543000000000001</v>
      </c>
      <c r="J133">
        <v>0</v>
      </c>
      <c r="O133">
        <f t="shared" si="121"/>
        <v>5933.69</v>
      </c>
      <c r="P133">
        <f t="shared" si="122"/>
        <v>1709.15</v>
      </c>
      <c r="Q133">
        <f t="shared" si="123"/>
        <v>13.71</v>
      </c>
      <c r="R133">
        <f t="shared" si="124"/>
        <v>3.67</v>
      </c>
      <c r="S133">
        <f t="shared" si="125"/>
        <v>4210.83</v>
      </c>
      <c r="T133">
        <f t="shared" si="126"/>
        <v>0</v>
      </c>
      <c r="U133">
        <f t="shared" si="127"/>
        <v>72.449109000000007</v>
      </c>
      <c r="V133">
        <f t="shared" si="128"/>
        <v>4.3086000000000006E-2</v>
      </c>
      <c r="W133">
        <f t="shared" si="129"/>
        <v>0</v>
      </c>
      <c r="X133">
        <f t="shared" si="130"/>
        <v>4003.78</v>
      </c>
      <c r="Y133">
        <f t="shared" si="131"/>
        <v>1980.82</v>
      </c>
      <c r="AA133">
        <v>16748969</v>
      </c>
      <c r="AB133">
        <f t="shared" si="132"/>
        <v>419.87</v>
      </c>
      <c r="AC133">
        <f t="shared" si="133"/>
        <v>120.94</v>
      </c>
      <c r="AD133">
        <f t="shared" si="116"/>
        <v>0.97</v>
      </c>
      <c r="AE133">
        <f t="shared" si="117"/>
        <v>0.26</v>
      </c>
      <c r="AF133">
        <f t="shared" si="118"/>
        <v>297.95999999999998</v>
      </c>
      <c r="AG133">
        <f t="shared" si="134"/>
        <v>0</v>
      </c>
      <c r="AH133">
        <f t="shared" si="119"/>
        <v>33.630000000000003</v>
      </c>
      <c r="AI133">
        <f t="shared" si="120"/>
        <v>0.02</v>
      </c>
      <c r="AJ133">
        <f t="shared" si="135"/>
        <v>0</v>
      </c>
      <c r="AK133">
        <v>419.87</v>
      </c>
      <c r="AL133">
        <v>120.94</v>
      </c>
      <c r="AM133">
        <v>0.97</v>
      </c>
      <c r="AN133">
        <v>0.26</v>
      </c>
      <c r="AO133">
        <v>297.95999999999998</v>
      </c>
      <c r="AP133">
        <v>0</v>
      </c>
      <c r="AQ133">
        <v>33.630000000000003</v>
      </c>
      <c r="AR133">
        <v>0.02</v>
      </c>
      <c r="AS133">
        <v>0</v>
      </c>
      <c r="AT133">
        <v>95</v>
      </c>
      <c r="AU133">
        <v>47</v>
      </c>
      <c r="AV133">
        <v>1</v>
      </c>
      <c r="AW133">
        <v>1</v>
      </c>
      <c r="AZ133">
        <v>6.56</v>
      </c>
      <c r="BA133">
        <v>6.56</v>
      </c>
      <c r="BB133">
        <v>6.56</v>
      </c>
      <c r="BC133">
        <v>6.56</v>
      </c>
      <c r="BD133" t="s">
        <v>6</v>
      </c>
      <c r="BE133" t="s">
        <v>6</v>
      </c>
      <c r="BF133" t="s">
        <v>6</v>
      </c>
      <c r="BG133" t="s">
        <v>6</v>
      </c>
      <c r="BH133">
        <v>0</v>
      </c>
      <c r="BI133">
        <v>1</v>
      </c>
      <c r="BJ133" t="s">
        <v>363</v>
      </c>
      <c r="BM133">
        <v>15001</v>
      </c>
      <c r="BN133">
        <v>0</v>
      </c>
      <c r="BO133" t="s">
        <v>6</v>
      </c>
      <c r="BP133">
        <v>0</v>
      </c>
      <c r="BQ133">
        <v>2</v>
      </c>
      <c r="BR133">
        <v>0</v>
      </c>
      <c r="BS133">
        <v>6.56</v>
      </c>
      <c r="BT133">
        <v>1</v>
      </c>
      <c r="BU133">
        <v>1</v>
      </c>
      <c r="BV133">
        <v>1</v>
      </c>
      <c r="BW133">
        <v>1</v>
      </c>
      <c r="BX133">
        <v>1</v>
      </c>
      <c r="BY133" t="s">
        <v>6</v>
      </c>
      <c r="BZ133">
        <v>105</v>
      </c>
      <c r="CA133">
        <v>55</v>
      </c>
      <c r="CF133">
        <v>0</v>
      </c>
      <c r="CG133">
        <v>0</v>
      </c>
      <c r="CM133">
        <v>0</v>
      </c>
      <c r="CN133" t="s">
        <v>6</v>
      </c>
      <c r="CO133">
        <v>0</v>
      </c>
      <c r="CP133">
        <f t="shared" si="136"/>
        <v>5933.6900000000005</v>
      </c>
      <c r="CQ133">
        <f t="shared" si="137"/>
        <v>793.36639999999989</v>
      </c>
      <c r="CR133">
        <f t="shared" si="138"/>
        <v>6.3631999999999991</v>
      </c>
      <c r="CS133">
        <f t="shared" si="139"/>
        <v>1.7056</v>
      </c>
      <c r="CT133">
        <f t="shared" si="140"/>
        <v>1954.6175999999998</v>
      </c>
      <c r="CU133">
        <f t="shared" si="141"/>
        <v>0</v>
      </c>
      <c r="CV133">
        <f t="shared" si="142"/>
        <v>33.630000000000003</v>
      </c>
      <c r="CW133">
        <f t="shared" si="143"/>
        <v>0.02</v>
      </c>
      <c r="CX133">
        <f t="shared" si="144"/>
        <v>0</v>
      </c>
      <c r="CY133">
        <f t="shared" si="145"/>
        <v>4003.7750000000001</v>
      </c>
      <c r="CZ133">
        <f t="shared" si="146"/>
        <v>1980.8150000000001</v>
      </c>
      <c r="DC133" t="s">
        <v>6</v>
      </c>
      <c r="DD133" t="s">
        <v>6</v>
      </c>
      <c r="DE133" t="s">
        <v>6</v>
      </c>
      <c r="DF133" t="s">
        <v>6</v>
      </c>
      <c r="DG133" t="s">
        <v>6</v>
      </c>
      <c r="DH133" t="s">
        <v>6</v>
      </c>
      <c r="DI133" t="s">
        <v>6</v>
      </c>
      <c r="DJ133" t="s">
        <v>6</v>
      </c>
      <c r="DK133" t="s">
        <v>6</v>
      </c>
      <c r="DL133" t="s">
        <v>6</v>
      </c>
      <c r="DM133" t="s">
        <v>6</v>
      </c>
      <c r="DN133">
        <v>0</v>
      </c>
      <c r="DO133">
        <v>0</v>
      </c>
      <c r="DP133">
        <v>1</v>
      </c>
      <c r="DQ133">
        <v>1</v>
      </c>
      <c r="DU133">
        <v>1005</v>
      </c>
      <c r="DV133" t="s">
        <v>20</v>
      </c>
      <c r="DW133" t="s">
        <v>20</v>
      </c>
      <c r="DX133">
        <v>100</v>
      </c>
      <c r="EE133">
        <v>16510513</v>
      </c>
      <c r="EF133">
        <v>2</v>
      </c>
      <c r="EG133" t="s">
        <v>22</v>
      </c>
      <c r="EH133">
        <v>0</v>
      </c>
      <c r="EI133" t="s">
        <v>6</v>
      </c>
      <c r="EJ133">
        <v>1</v>
      </c>
      <c r="EK133">
        <v>15001</v>
      </c>
      <c r="EL133" t="s">
        <v>212</v>
      </c>
      <c r="EM133" t="s">
        <v>213</v>
      </c>
      <c r="EO133" t="s">
        <v>6</v>
      </c>
      <c r="EQ133">
        <v>131072</v>
      </c>
      <c r="ER133">
        <v>419.87</v>
      </c>
      <c r="ES133">
        <v>120.94</v>
      </c>
      <c r="ET133">
        <v>0.97</v>
      </c>
      <c r="EU133">
        <v>0.26</v>
      </c>
      <c r="EV133">
        <v>297.95999999999998</v>
      </c>
      <c r="EW133">
        <v>33.630000000000003</v>
      </c>
      <c r="EX133">
        <v>0.02</v>
      </c>
      <c r="EY133">
        <v>0</v>
      </c>
      <c r="FQ133">
        <v>0</v>
      </c>
      <c r="FR133">
        <f t="shared" si="147"/>
        <v>0</v>
      </c>
      <c r="FS133">
        <v>0</v>
      </c>
      <c r="FT133" t="s">
        <v>25</v>
      </c>
      <c r="FU133" t="s">
        <v>26</v>
      </c>
      <c r="FX133">
        <v>94.5</v>
      </c>
      <c r="FY133">
        <v>46.75</v>
      </c>
      <c r="GA133" t="s">
        <v>6</v>
      </c>
      <c r="GD133">
        <v>0</v>
      </c>
      <c r="GF133">
        <v>33197345</v>
      </c>
      <c r="GG133">
        <v>1</v>
      </c>
      <c r="GH133">
        <v>1</v>
      </c>
      <c r="GI133">
        <v>4</v>
      </c>
      <c r="GJ133">
        <v>0</v>
      </c>
      <c r="GK133">
        <f>ROUND(R133*(R12)/100,2)</f>
        <v>0</v>
      </c>
      <c r="GL133">
        <f t="shared" si="148"/>
        <v>0</v>
      </c>
      <c r="GM133">
        <f t="shared" si="149"/>
        <v>11918.29</v>
      </c>
      <c r="GN133">
        <f t="shared" si="150"/>
        <v>11918.29</v>
      </c>
      <c r="GO133">
        <f t="shared" si="151"/>
        <v>0</v>
      </c>
      <c r="GP133">
        <f t="shared" si="152"/>
        <v>0</v>
      </c>
      <c r="GR133">
        <v>0</v>
      </c>
      <c r="GS133">
        <v>3</v>
      </c>
      <c r="GT133">
        <v>0</v>
      </c>
      <c r="GU133" t="s">
        <v>6</v>
      </c>
      <c r="GV133">
        <f t="shared" si="153"/>
        <v>0</v>
      </c>
      <c r="GW133">
        <v>1</v>
      </c>
      <c r="GX133">
        <f t="shared" si="154"/>
        <v>0</v>
      </c>
      <c r="HA133">
        <v>0</v>
      </c>
      <c r="HB133">
        <v>0</v>
      </c>
      <c r="IK133">
        <v>0</v>
      </c>
    </row>
    <row r="134" spans="1:245" x14ac:dyDescent="0.2">
      <c r="A134">
        <v>18</v>
      </c>
      <c r="B134">
        <v>1</v>
      </c>
      <c r="C134">
        <v>191</v>
      </c>
      <c r="E134" t="s">
        <v>364</v>
      </c>
      <c r="F134" t="s">
        <v>365</v>
      </c>
      <c r="G134" t="s">
        <v>366</v>
      </c>
      <c r="H134" t="s">
        <v>20</v>
      </c>
      <c r="I134">
        <f>I133*J134</f>
        <v>2.4343590000000002</v>
      </c>
      <c r="J134">
        <v>1.1300000000000001</v>
      </c>
      <c r="O134">
        <f t="shared" si="121"/>
        <v>0</v>
      </c>
      <c r="P134">
        <f t="shared" si="122"/>
        <v>0</v>
      </c>
      <c r="Q134">
        <f t="shared" si="123"/>
        <v>0</v>
      </c>
      <c r="R134">
        <f t="shared" si="124"/>
        <v>0</v>
      </c>
      <c r="S134">
        <f t="shared" si="125"/>
        <v>0</v>
      </c>
      <c r="T134">
        <f t="shared" si="126"/>
        <v>0</v>
      </c>
      <c r="U134">
        <f t="shared" si="127"/>
        <v>0</v>
      </c>
      <c r="V134">
        <f t="shared" si="128"/>
        <v>0</v>
      </c>
      <c r="W134">
        <f t="shared" si="129"/>
        <v>0</v>
      </c>
      <c r="X134">
        <f t="shared" si="130"/>
        <v>0</v>
      </c>
      <c r="Y134">
        <f t="shared" si="131"/>
        <v>0</v>
      </c>
      <c r="AA134">
        <v>16748969</v>
      </c>
      <c r="AB134">
        <f t="shared" si="132"/>
        <v>0</v>
      </c>
      <c r="AC134">
        <f t="shared" si="133"/>
        <v>0</v>
      </c>
      <c r="AD134">
        <f t="shared" si="116"/>
        <v>0</v>
      </c>
      <c r="AE134">
        <f t="shared" si="117"/>
        <v>0</v>
      </c>
      <c r="AF134">
        <f t="shared" si="118"/>
        <v>0</v>
      </c>
      <c r="AG134">
        <f t="shared" si="134"/>
        <v>0</v>
      </c>
      <c r="AH134">
        <f t="shared" si="119"/>
        <v>0</v>
      </c>
      <c r="AI134">
        <f t="shared" si="120"/>
        <v>0</v>
      </c>
      <c r="AJ134">
        <f t="shared" si="135"/>
        <v>0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  <c r="AS134">
        <v>0</v>
      </c>
      <c r="AT134">
        <v>95</v>
      </c>
      <c r="AU134">
        <v>47</v>
      </c>
      <c r="AV134">
        <v>1</v>
      </c>
      <c r="AW134">
        <v>1</v>
      </c>
      <c r="AZ134">
        <v>6.56</v>
      </c>
      <c r="BA134">
        <v>1</v>
      </c>
      <c r="BB134">
        <v>1</v>
      </c>
      <c r="BC134">
        <v>6.56</v>
      </c>
      <c r="BD134" t="s">
        <v>6</v>
      </c>
      <c r="BE134" t="s">
        <v>6</v>
      </c>
      <c r="BF134" t="s">
        <v>6</v>
      </c>
      <c r="BG134" t="s">
        <v>6</v>
      </c>
      <c r="BH134">
        <v>3</v>
      </c>
      <c r="BI134">
        <v>1</v>
      </c>
      <c r="BJ134" t="s">
        <v>6</v>
      </c>
      <c r="BM134">
        <v>15001</v>
      </c>
      <c r="BN134">
        <v>0</v>
      </c>
      <c r="BO134" t="s">
        <v>6</v>
      </c>
      <c r="BP134">
        <v>0</v>
      </c>
      <c r="BQ134">
        <v>2</v>
      </c>
      <c r="BR134">
        <v>0</v>
      </c>
      <c r="BS134">
        <v>1</v>
      </c>
      <c r="BT134">
        <v>1</v>
      </c>
      <c r="BU134">
        <v>1</v>
      </c>
      <c r="BV134">
        <v>1</v>
      </c>
      <c r="BW134">
        <v>1</v>
      </c>
      <c r="BX134">
        <v>1</v>
      </c>
      <c r="BY134" t="s">
        <v>6</v>
      </c>
      <c r="BZ134">
        <v>105</v>
      </c>
      <c r="CA134">
        <v>55</v>
      </c>
      <c r="CF134">
        <v>0</v>
      </c>
      <c r="CG134">
        <v>0</v>
      </c>
      <c r="CM134">
        <v>0</v>
      </c>
      <c r="CN134" t="s">
        <v>6</v>
      </c>
      <c r="CO134">
        <v>0</v>
      </c>
      <c r="CP134">
        <f t="shared" si="136"/>
        <v>0</v>
      </c>
      <c r="CQ134">
        <f t="shared" si="137"/>
        <v>0</v>
      </c>
      <c r="CR134">
        <f t="shared" si="138"/>
        <v>0</v>
      </c>
      <c r="CS134">
        <f t="shared" si="139"/>
        <v>0</v>
      </c>
      <c r="CT134">
        <f t="shared" si="140"/>
        <v>0</v>
      </c>
      <c r="CU134">
        <f t="shared" si="141"/>
        <v>0</v>
      </c>
      <c r="CV134">
        <f t="shared" si="142"/>
        <v>0</v>
      </c>
      <c r="CW134">
        <f t="shared" si="143"/>
        <v>0</v>
      </c>
      <c r="CX134">
        <f t="shared" si="144"/>
        <v>0</v>
      </c>
      <c r="CY134">
        <f t="shared" si="145"/>
        <v>0</v>
      </c>
      <c r="CZ134">
        <f t="shared" si="146"/>
        <v>0</v>
      </c>
      <c r="DC134" t="s">
        <v>6</v>
      </c>
      <c r="DD134" t="s">
        <v>6</v>
      </c>
      <c r="DE134" t="s">
        <v>6</v>
      </c>
      <c r="DF134" t="s">
        <v>6</v>
      </c>
      <c r="DG134" t="s">
        <v>6</v>
      </c>
      <c r="DH134" t="s">
        <v>6</v>
      </c>
      <c r="DI134" t="s">
        <v>6</v>
      </c>
      <c r="DJ134" t="s">
        <v>6</v>
      </c>
      <c r="DK134" t="s">
        <v>6</v>
      </c>
      <c r="DL134" t="s">
        <v>6</v>
      </c>
      <c r="DM134" t="s">
        <v>6</v>
      </c>
      <c r="DN134">
        <v>0</v>
      </c>
      <c r="DO134">
        <v>0</v>
      </c>
      <c r="DP134">
        <v>1</v>
      </c>
      <c r="DQ134">
        <v>1</v>
      </c>
      <c r="DU134">
        <v>1005</v>
      </c>
      <c r="DV134" t="s">
        <v>20</v>
      </c>
      <c r="DW134" t="s">
        <v>20</v>
      </c>
      <c r="DX134">
        <v>100</v>
      </c>
      <c r="EE134">
        <v>16510513</v>
      </c>
      <c r="EF134">
        <v>2</v>
      </c>
      <c r="EG134" t="s">
        <v>22</v>
      </c>
      <c r="EH134">
        <v>0</v>
      </c>
      <c r="EI134" t="s">
        <v>6</v>
      </c>
      <c r="EJ134">
        <v>1</v>
      </c>
      <c r="EK134">
        <v>15001</v>
      </c>
      <c r="EL134" t="s">
        <v>212</v>
      </c>
      <c r="EM134" t="s">
        <v>213</v>
      </c>
      <c r="EO134" t="s">
        <v>6</v>
      </c>
      <c r="EQ134">
        <v>0</v>
      </c>
      <c r="ER134">
        <v>0</v>
      </c>
      <c r="ES134">
        <v>0</v>
      </c>
      <c r="ET134">
        <v>0</v>
      </c>
      <c r="EU134">
        <v>0</v>
      </c>
      <c r="EV134">
        <v>0</v>
      </c>
      <c r="EW134">
        <v>0</v>
      </c>
      <c r="EX134">
        <v>0</v>
      </c>
      <c r="FQ134">
        <v>0</v>
      </c>
      <c r="FR134">
        <f t="shared" si="147"/>
        <v>0</v>
      </c>
      <c r="FS134">
        <v>0</v>
      </c>
      <c r="FT134" t="s">
        <v>25</v>
      </c>
      <c r="FU134" t="s">
        <v>26</v>
      </c>
      <c r="FX134">
        <v>94.5</v>
      </c>
      <c r="FY134">
        <v>46.75</v>
      </c>
      <c r="GA134" t="s">
        <v>6</v>
      </c>
      <c r="GD134">
        <v>0</v>
      </c>
      <c r="GF134">
        <v>-93777278</v>
      </c>
      <c r="GG134">
        <v>1</v>
      </c>
      <c r="GH134">
        <v>1</v>
      </c>
      <c r="GI134">
        <v>4</v>
      </c>
      <c r="GJ134">
        <v>0</v>
      </c>
      <c r="GK134">
        <f>ROUND(R134*(R12)/100,2)</f>
        <v>0</v>
      </c>
      <c r="GL134">
        <f t="shared" si="148"/>
        <v>0</v>
      </c>
      <c r="GM134">
        <f t="shared" si="149"/>
        <v>0</v>
      </c>
      <c r="GN134">
        <f t="shared" si="150"/>
        <v>0</v>
      </c>
      <c r="GO134">
        <f t="shared" si="151"/>
        <v>0</v>
      </c>
      <c r="GP134">
        <f t="shared" si="152"/>
        <v>0</v>
      </c>
      <c r="GR134">
        <v>0</v>
      </c>
      <c r="GS134">
        <v>3</v>
      </c>
      <c r="GT134">
        <v>0</v>
      </c>
      <c r="GU134" t="s">
        <v>6</v>
      </c>
      <c r="GV134">
        <f t="shared" si="153"/>
        <v>0</v>
      </c>
      <c r="GW134">
        <v>1</v>
      </c>
      <c r="GX134">
        <f t="shared" si="154"/>
        <v>0</v>
      </c>
      <c r="HA134">
        <v>0</v>
      </c>
      <c r="HB134">
        <v>0</v>
      </c>
      <c r="IK134">
        <v>0</v>
      </c>
    </row>
    <row r="135" spans="1:245" x14ac:dyDescent="0.2">
      <c r="A135">
        <v>17</v>
      </c>
      <c r="B135">
        <v>1</v>
      </c>
      <c r="C135">
        <f>ROW(SmtRes!A200)</f>
        <v>200</v>
      </c>
      <c r="D135">
        <f>ROW(EtalonRes!A193)</f>
        <v>193</v>
      </c>
      <c r="E135" t="s">
        <v>367</v>
      </c>
      <c r="F135" t="s">
        <v>368</v>
      </c>
      <c r="G135" t="s">
        <v>369</v>
      </c>
      <c r="H135" t="s">
        <v>20</v>
      </c>
      <c r="I135">
        <f>ROUND(215.43/100,9)</f>
        <v>2.1543000000000001</v>
      </c>
      <c r="J135">
        <v>0</v>
      </c>
      <c r="O135">
        <f t="shared" si="121"/>
        <v>1139.3399999999999</v>
      </c>
      <c r="P135">
        <f t="shared" si="122"/>
        <v>0</v>
      </c>
      <c r="Q135">
        <f t="shared" si="123"/>
        <v>0</v>
      </c>
      <c r="R135">
        <f t="shared" si="124"/>
        <v>0</v>
      </c>
      <c r="S135">
        <f t="shared" si="125"/>
        <v>1139.3399999999999</v>
      </c>
      <c r="T135">
        <f t="shared" si="126"/>
        <v>0</v>
      </c>
      <c r="U135">
        <f t="shared" si="127"/>
        <v>18.053034000000004</v>
      </c>
      <c r="V135">
        <f t="shared" si="128"/>
        <v>0</v>
      </c>
      <c r="W135">
        <f t="shared" si="129"/>
        <v>0</v>
      </c>
      <c r="X135">
        <f t="shared" si="130"/>
        <v>1082.3699999999999</v>
      </c>
      <c r="Y135">
        <f t="shared" si="131"/>
        <v>535.49</v>
      </c>
      <c r="AA135">
        <v>16748969</v>
      </c>
      <c r="AB135">
        <f t="shared" si="132"/>
        <v>80.62</v>
      </c>
      <c r="AC135">
        <f t="shared" si="133"/>
        <v>0</v>
      </c>
      <c r="AD135">
        <f t="shared" si="116"/>
        <v>0</v>
      </c>
      <c r="AE135">
        <f t="shared" si="117"/>
        <v>0</v>
      </c>
      <c r="AF135">
        <f t="shared" si="118"/>
        <v>80.62</v>
      </c>
      <c r="AG135">
        <f t="shared" si="134"/>
        <v>0</v>
      </c>
      <c r="AH135">
        <f t="shared" si="119"/>
        <v>8.3800000000000008</v>
      </c>
      <c r="AI135">
        <f t="shared" si="120"/>
        <v>0</v>
      </c>
      <c r="AJ135">
        <f t="shared" si="135"/>
        <v>0</v>
      </c>
      <c r="AK135">
        <v>80.62</v>
      </c>
      <c r="AL135">
        <v>0</v>
      </c>
      <c r="AM135">
        <v>0</v>
      </c>
      <c r="AN135">
        <v>0</v>
      </c>
      <c r="AO135">
        <v>80.62</v>
      </c>
      <c r="AP135">
        <v>0</v>
      </c>
      <c r="AQ135">
        <v>8.3800000000000008</v>
      </c>
      <c r="AR135">
        <v>0</v>
      </c>
      <c r="AS135">
        <v>0</v>
      </c>
      <c r="AT135">
        <v>95</v>
      </c>
      <c r="AU135">
        <v>47</v>
      </c>
      <c r="AV135">
        <v>1</v>
      </c>
      <c r="AW135">
        <v>1</v>
      </c>
      <c r="AZ135">
        <v>6.56</v>
      </c>
      <c r="BA135">
        <v>6.56</v>
      </c>
      <c r="BB135">
        <v>6.56</v>
      </c>
      <c r="BC135">
        <v>6.56</v>
      </c>
      <c r="BD135" t="s">
        <v>6</v>
      </c>
      <c r="BE135" t="s">
        <v>6</v>
      </c>
      <c r="BF135" t="s">
        <v>6</v>
      </c>
      <c r="BG135" t="s">
        <v>6</v>
      </c>
      <c r="BH135">
        <v>0</v>
      </c>
      <c r="BI135">
        <v>1</v>
      </c>
      <c r="BJ135" t="s">
        <v>370</v>
      </c>
      <c r="BM135">
        <v>15001</v>
      </c>
      <c r="BN135">
        <v>0</v>
      </c>
      <c r="BO135" t="s">
        <v>6</v>
      </c>
      <c r="BP135">
        <v>0</v>
      </c>
      <c r="BQ135">
        <v>2</v>
      </c>
      <c r="BR135">
        <v>0</v>
      </c>
      <c r="BS135">
        <v>6.56</v>
      </c>
      <c r="BT135">
        <v>1</v>
      </c>
      <c r="BU135">
        <v>1</v>
      </c>
      <c r="BV135">
        <v>1</v>
      </c>
      <c r="BW135">
        <v>1</v>
      </c>
      <c r="BX135">
        <v>1</v>
      </c>
      <c r="BY135" t="s">
        <v>6</v>
      </c>
      <c r="BZ135">
        <v>105</v>
      </c>
      <c r="CA135">
        <v>55</v>
      </c>
      <c r="CF135">
        <v>0</v>
      </c>
      <c r="CG135">
        <v>0</v>
      </c>
      <c r="CM135">
        <v>0</v>
      </c>
      <c r="CN135" t="s">
        <v>6</v>
      </c>
      <c r="CO135">
        <v>0</v>
      </c>
      <c r="CP135">
        <f t="shared" si="136"/>
        <v>1139.3399999999999</v>
      </c>
      <c r="CQ135">
        <f t="shared" si="137"/>
        <v>0</v>
      </c>
      <c r="CR135">
        <f t="shared" si="138"/>
        <v>0</v>
      </c>
      <c r="CS135">
        <f t="shared" si="139"/>
        <v>0</v>
      </c>
      <c r="CT135">
        <f t="shared" si="140"/>
        <v>528.86720000000003</v>
      </c>
      <c r="CU135">
        <f t="shared" si="141"/>
        <v>0</v>
      </c>
      <c r="CV135">
        <f t="shared" si="142"/>
        <v>8.3800000000000008</v>
      </c>
      <c r="CW135">
        <f t="shared" si="143"/>
        <v>0</v>
      </c>
      <c r="CX135">
        <f t="shared" si="144"/>
        <v>0</v>
      </c>
      <c r="CY135">
        <f t="shared" si="145"/>
        <v>1082.3729999999998</v>
      </c>
      <c r="CZ135">
        <f t="shared" si="146"/>
        <v>535.48979999999995</v>
      </c>
      <c r="DC135" t="s">
        <v>6</v>
      </c>
      <c r="DD135" t="s">
        <v>6</v>
      </c>
      <c r="DE135" t="s">
        <v>6</v>
      </c>
      <c r="DF135" t="s">
        <v>6</v>
      </c>
      <c r="DG135" t="s">
        <v>6</v>
      </c>
      <c r="DH135" t="s">
        <v>6</v>
      </c>
      <c r="DI135" t="s">
        <v>6</v>
      </c>
      <c r="DJ135" t="s">
        <v>6</v>
      </c>
      <c r="DK135" t="s">
        <v>6</v>
      </c>
      <c r="DL135" t="s">
        <v>6</v>
      </c>
      <c r="DM135" t="s">
        <v>6</v>
      </c>
      <c r="DN135">
        <v>0</v>
      </c>
      <c r="DO135">
        <v>0</v>
      </c>
      <c r="DP135">
        <v>1</v>
      </c>
      <c r="DQ135">
        <v>1</v>
      </c>
      <c r="DU135">
        <v>1005</v>
      </c>
      <c r="DV135" t="s">
        <v>20</v>
      </c>
      <c r="DW135" t="s">
        <v>20</v>
      </c>
      <c r="DX135">
        <v>100</v>
      </c>
      <c r="EE135">
        <v>16510513</v>
      </c>
      <c r="EF135">
        <v>2</v>
      </c>
      <c r="EG135" t="s">
        <v>22</v>
      </c>
      <c r="EH135">
        <v>0</v>
      </c>
      <c r="EI135" t="s">
        <v>6</v>
      </c>
      <c r="EJ135">
        <v>1</v>
      </c>
      <c r="EK135">
        <v>15001</v>
      </c>
      <c r="EL135" t="s">
        <v>212</v>
      </c>
      <c r="EM135" t="s">
        <v>213</v>
      </c>
      <c r="EO135" t="s">
        <v>6</v>
      </c>
      <c r="EQ135">
        <v>131072</v>
      </c>
      <c r="ER135">
        <v>80.62</v>
      </c>
      <c r="ES135">
        <v>0</v>
      </c>
      <c r="ET135">
        <v>0</v>
      </c>
      <c r="EU135">
        <v>0</v>
      </c>
      <c r="EV135">
        <v>80.62</v>
      </c>
      <c r="EW135">
        <v>8.3800000000000008</v>
      </c>
      <c r="EX135">
        <v>0</v>
      </c>
      <c r="EY135">
        <v>0</v>
      </c>
      <c r="FQ135">
        <v>0</v>
      </c>
      <c r="FR135">
        <f t="shared" si="147"/>
        <v>0</v>
      </c>
      <c r="FS135">
        <v>0</v>
      </c>
      <c r="FT135" t="s">
        <v>25</v>
      </c>
      <c r="FU135" t="s">
        <v>26</v>
      </c>
      <c r="FX135">
        <v>94.5</v>
      </c>
      <c r="FY135">
        <v>46.75</v>
      </c>
      <c r="GA135" t="s">
        <v>6</v>
      </c>
      <c r="GD135">
        <v>0</v>
      </c>
      <c r="GF135">
        <v>-1713052478</v>
      </c>
      <c r="GG135">
        <v>1</v>
      </c>
      <c r="GH135">
        <v>1</v>
      </c>
      <c r="GI135">
        <v>4</v>
      </c>
      <c r="GJ135">
        <v>0</v>
      </c>
      <c r="GK135">
        <f>ROUND(R135*(R12)/100,2)</f>
        <v>0</v>
      </c>
      <c r="GL135">
        <f t="shared" si="148"/>
        <v>0</v>
      </c>
      <c r="GM135">
        <f t="shared" si="149"/>
        <v>2757.2</v>
      </c>
      <c r="GN135">
        <f t="shared" si="150"/>
        <v>2757.2</v>
      </c>
      <c r="GO135">
        <f t="shared" si="151"/>
        <v>0</v>
      </c>
      <c r="GP135">
        <f t="shared" si="152"/>
        <v>0</v>
      </c>
      <c r="GR135">
        <v>0</v>
      </c>
      <c r="GS135">
        <v>3</v>
      </c>
      <c r="GT135">
        <v>0</v>
      </c>
      <c r="GU135" t="s">
        <v>6</v>
      </c>
      <c r="GV135">
        <f t="shared" si="153"/>
        <v>0</v>
      </c>
      <c r="GW135">
        <v>1</v>
      </c>
      <c r="GX135">
        <f t="shared" si="154"/>
        <v>0</v>
      </c>
      <c r="HA135">
        <v>0</v>
      </c>
      <c r="HB135">
        <v>0</v>
      </c>
      <c r="IK135">
        <v>0</v>
      </c>
    </row>
    <row r="136" spans="1:245" x14ac:dyDescent="0.2">
      <c r="A136">
        <v>18</v>
      </c>
      <c r="B136">
        <v>1</v>
      </c>
      <c r="C136">
        <v>199</v>
      </c>
      <c r="E136" t="s">
        <v>371</v>
      </c>
      <c r="F136" t="s">
        <v>356</v>
      </c>
      <c r="G136" t="s">
        <v>357</v>
      </c>
      <c r="H136" t="s">
        <v>71</v>
      </c>
      <c r="I136">
        <f>I135*J136</f>
        <v>3.4469E-2</v>
      </c>
      <c r="J136">
        <v>1.6000092837580651E-2</v>
      </c>
      <c r="O136">
        <f t="shared" si="121"/>
        <v>1923.12</v>
      </c>
      <c r="P136">
        <f t="shared" si="122"/>
        <v>1923.12</v>
      </c>
      <c r="Q136">
        <f t="shared" si="123"/>
        <v>0</v>
      </c>
      <c r="R136">
        <f t="shared" si="124"/>
        <v>0</v>
      </c>
      <c r="S136">
        <f t="shared" si="125"/>
        <v>0</v>
      </c>
      <c r="T136">
        <f t="shared" si="126"/>
        <v>0</v>
      </c>
      <c r="U136">
        <f t="shared" si="127"/>
        <v>0</v>
      </c>
      <c r="V136">
        <f t="shared" si="128"/>
        <v>0</v>
      </c>
      <c r="W136">
        <f t="shared" si="129"/>
        <v>0</v>
      </c>
      <c r="X136">
        <f t="shared" si="130"/>
        <v>0</v>
      </c>
      <c r="Y136">
        <f t="shared" si="131"/>
        <v>0</v>
      </c>
      <c r="AA136">
        <v>16748969</v>
      </c>
      <c r="AB136">
        <f t="shared" si="132"/>
        <v>8505</v>
      </c>
      <c r="AC136">
        <f t="shared" si="133"/>
        <v>8505</v>
      </c>
      <c r="AD136">
        <f t="shared" si="116"/>
        <v>0</v>
      </c>
      <c r="AE136">
        <f t="shared" si="117"/>
        <v>0</v>
      </c>
      <c r="AF136">
        <f t="shared" si="118"/>
        <v>0</v>
      </c>
      <c r="AG136">
        <f t="shared" si="134"/>
        <v>0</v>
      </c>
      <c r="AH136">
        <f t="shared" si="119"/>
        <v>0</v>
      </c>
      <c r="AI136">
        <f t="shared" si="120"/>
        <v>0</v>
      </c>
      <c r="AJ136">
        <f t="shared" si="135"/>
        <v>0</v>
      </c>
      <c r="AK136">
        <v>8505</v>
      </c>
      <c r="AL136">
        <v>8505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  <c r="AS136">
        <v>0</v>
      </c>
      <c r="AT136">
        <v>95</v>
      </c>
      <c r="AU136">
        <v>47</v>
      </c>
      <c r="AV136">
        <v>1</v>
      </c>
      <c r="AW136">
        <v>1</v>
      </c>
      <c r="AZ136">
        <v>6.56</v>
      </c>
      <c r="BA136">
        <v>1</v>
      </c>
      <c r="BB136">
        <v>1</v>
      </c>
      <c r="BC136">
        <v>6.56</v>
      </c>
      <c r="BD136" t="s">
        <v>6</v>
      </c>
      <c r="BE136" t="s">
        <v>6</v>
      </c>
      <c r="BF136" t="s">
        <v>6</v>
      </c>
      <c r="BG136" t="s">
        <v>6</v>
      </c>
      <c r="BH136">
        <v>3</v>
      </c>
      <c r="BI136">
        <v>1</v>
      </c>
      <c r="BJ136" t="s">
        <v>358</v>
      </c>
      <c r="BM136">
        <v>15001</v>
      </c>
      <c r="BN136">
        <v>0</v>
      </c>
      <c r="BO136" t="s">
        <v>6</v>
      </c>
      <c r="BP136">
        <v>0</v>
      </c>
      <c r="BQ136">
        <v>2</v>
      </c>
      <c r="BR136">
        <v>0</v>
      </c>
      <c r="BS136">
        <v>1</v>
      </c>
      <c r="BT136">
        <v>1</v>
      </c>
      <c r="BU136">
        <v>1</v>
      </c>
      <c r="BV136">
        <v>1</v>
      </c>
      <c r="BW136">
        <v>1</v>
      </c>
      <c r="BX136">
        <v>1</v>
      </c>
      <c r="BY136" t="s">
        <v>6</v>
      </c>
      <c r="BZ136">
        <v>105</v>
      </c>
      <c r="CA136">
        <v>55</v>
      </c>
      <c r="CF136">
        <v>0</v>
      </c>
      <c r="CG136">
        <v>0</v>
      </c>
      <c r="CM136">
        <v>0</v>
      </c>
      <c r="CN136" t="s">
        <v>6</v>
      </c>
      <c r="CO136">
        <v>0</v>
      </c>
      <c r="CP136">
        <f t="shared" si="136"/>
        <v>1923.12</v>
      </c>
      <c r="CQ136">
        <f t="shared" si="137"/>
        <v>55792.799999999996</v>
      </c>
      <c r="CR136">
        <f t="shared" si="138"/>
        <v>0</v>
      </c>
      <c r="CS136">
        <f t="shared" si="139"/>
        <v>0</v>
      </c>
      <c r="CT136">
        <f t="shared" si="140"/>
        <v>0</v>
      </c>
      <c r="CU136">
        <f t="shared" si="141"/>
        <v>0</v>
      </c>
      <c r="CV136">
        <f t="shared" si="142"/>
        <v>0</v>
      </c>
      <c r="CW136">
        <f t="shared" si="143"/>
        <v>0</v>
      </c>
      <c r="CX136">
        <f t="shared" si="144"/>
        <v>0</v>
      </c>
      <c r="CY136">
        <f t="shared" si="145"/>
        <v>0</v>
      </c>
      <c r="CZ136">
        <f t="shared" si="146"/>
        <v>0</v>
      </c>
      <c r="DC136" t="s">
        <v>6</v>
      </c>
      <c r="DD136" t="s">
        <v>6</v>
      </c>
      <c r="DE136" t="s">
        <v>6</v>
      </c>
      <c r="DF136" t="s">
        <v>6</v>
      </c>
      <c r="DG136" t="s">
        <v>6</v>
      </c>
      <c r="DH136" t="s">
        <v>6</v>
      </c>
      <c r="DI136" t="s">
        <v>6</v>
      </c>
      <c r="DJ136" t="s">
        <v>6</v>
      </c>
      <c r="DK136" t="s">
        <v>6</v>
      </c>
      <c r="DL136" t="s">
        <v>6</v>
      </c>
      <c r="DM136" t="s">
        <v>6</v>
      </c>
      <c r="DN136">
        <v>0</v>
      </c>
      <c r="DO136">
        <v>0</v>
      </c>
      <c r="DP136">
        <v>1</v>
      </c>
      <c r="DQ136">
        <v>1</v>
      </c>
      <c r="DU136">
        <v>1009</v>
      </c>
      <c r="DV136" t="s">
        <v>71</v>
      </c>
      <c r="DW136" t="s">
        <v>71</v>
      </c>
      <c r="DX136">
        <v>1000</v>
      </c>
      <c r="EE136">
        <v>16510513</v>
      </c>
      <c r="EF136">
        <v>2</v>
      </c>
      <c r="EG136" t="s">
        <v>22</v>
      </c>
      <c r="EH136">
        <v>0</v>
      </c>
      <c r="EI136" t="s">
        <v>6</v>
      </c>
      <c r="EJ136">
        <v>1</v>
      </c>
      <c r="EK136">
        <v>15001</v>
      </c>
      <c r="EL136" t="s">
        <v>212</v>
      </c>
      <c r="EM136" t="s">
        <v>213</v>
      </c>
      <c r="EO136" t="s">
        <v>6</v>
      </c>
      <c r="EQ136">
        <v>0</v>
      </c>
      <c r="ER136">
        <v>8505</v>
      </c>
      <c r="ES136">
        <v>8505</v>
      </c>
      <c r="ET136">
        <v>0</v>
      </c>
      <c r="EU136">
        <v>0</v>
      </c>
      <c r="EV136">
        <v>0</v>
      </c>
      <c r="EW136">
        <v>0</v>
      </c>
      <c r="EX136">
        <v>0</v>
      </c>
      <c r="FQ136">
        <v>0</v>
      </c>
      <c r="FR136">
        <f t="shared" si="147"/>
        <v>0</v>
      </c>
      <c r="FS136">
        <v>0</v>
      </c>
      <c r="FT136" t="s">
        <v>25</v>
      </c>
      <c r="FU136" t="s">
        <v>26</v>
      </c>
      <c r="FX136">
        <v>94.5</v>
      </c>
      <c r="FY136">
        <v>46.75</v>
      </c>
      <c r="GA136" t="s">
        <v>6</v>
      </c>
      <c r="GD136">
        <v>0</v>
      </c>
      <c r="GF136">
        <v>1146787971</v>
      </c>
      <c r="GG136">
        <v>1</v>
      </c>
      <c r="GH136">
        <v>1</v>
      </c>
      <c r="GI136">
        <v>4</v>
      </c>
      <c r="GJ136">
        <v>0</v>
      </c>
      <c r="GK136">
        <f>ROUND(R136*(R12)/100,2)</f>
        <v>0</v>
      </c>
      <c r="GL136">
        <f t="shared" si="148"/>
        <v>0</v>
      </c>
      <c r="GM136">
        <f t="shared" si="149"/>
        <v>1923.12</v>
      </c>
      <c r="GN136">
        <f t="shared" si="150"/>
        <v>1923.12</v>
      </c>
      <c r="GO136">
        <f t="shared" si="151"/>
        <v>0</v>
      </c>
      <c r="GP136">
        <f t="shared" si="152"/>
        <v>0</v>
      </c>
      <c r="GR136">
        <v>0</v>
      </c>
      <c r="GS136">
        <v>3</v>
      </c>
      <c r="GT136">
        <v>0</v>
      </c>
      <c r="GU136" t="s">
        <v>6</v>
      </c>
      <c r="GV136">
        <f t="shared" si="153"/>
        <v>0</v>
      </c>
      <c r="GW136">
        <v>1</v>
      </c>
      <c r="GX136">
        <f t="shared" si="154"/>
        <v>0</v>
      </c>
      <c r="HA136">
        <v>0</v>
      </c>
      <c r="HB136">
        <v>0</v>
      </c>
      <c r="IK136">
        <v>0</v>
      </c>
    </row>
    <row r="137" spans="1:245" x14ac:dyDescent="0.2">
      <c r="A137">
        <v>18</v>
      </c>
      <c r="B137">
        <v>1</v>
      </c>
      <c r="C137">
        <v>200</v>
      </c>
      <c r="E137" t="s">
        <v>372</v>
      </c>
      <c r="F137" t="s">
        <v>373</v>
      </c>
      <c r="G137" t="s">
        <v>374</v>
      </c>
      <c r="H137" t="s">
        <v>71</v>
      </c>
      <c r="I137">
        <f>I135*J137</f>
        <v>3.4469E-2</v>
      </c>
      <c r="J137">
        <v>1.6000092837580651E-2</v>
      </c>
      <c r="O137">
        <f t="shared" si="121"/>
        <v>0</v>
      </c>
      <c r="P137">
        <f t="shared" si="122"/>
        <v>0</v>
      </c>
      <c r="Q137">
        <f t="shared" si="123"/>
        <v>0</v>
      </c>
      <c r="R137">
        <f t="shared" si="124"/>
        <v>0</v>
      </c>
      <c r="S137">
        <f t="shared" si="125"/>
        <v>0</v>
      </c>
      <c r="T137">
        <f t="shared" si="126"/>
        <v>0</v>
      </c>
      <c r="U137">
        <f t="shared" si="127"/>
        <v>0</v>
      </c>
      <c r="V137">
        <f t="shared" si="128"/>
        <v>0</v>
      </c>
      <c r="W137">
        <f t="shared" si="129"/>
        <v>0</v>
      </c>
      <c r="X137">
        <f t="shared" si="130"/>
        <v>0</v>
      </c>
      <c r="Y137">
        <f t="shared" si="131"/>
        <v>0</v>
      </c>
      <c r="AA137">
        <v>16748969</v>
      </c>
      <c r="AB137">
        <f t="shared" si="132"/>
        <v>0</v>
      </c>
      <c r="AC137">
        <f t="shared" si="133"/>
        <v>0</v>
      </c>
      <c r="AD137">
        <f t="shared" si="116"/>
        <v>0</v>
      </c>
      <c r="AE137">
        <f t="shared" si="117"/>
        <v>0</v>
      </c>
      <c r="AF137">
        <f t="shared" si="118"/>
        <v>0</v>
      </c>
      <c r="AG137">
        <f t="shared" si="134"/>
        <v>0</v>
      </c>
      <c r="AH137">
        <f t="shared" si="119"/>
        <v>0</v>
      </c>
      <c r="AI137">
        <f t="shared" si="120"/>
        <v>0</v>
      </c>
      <c r="AJ137">
        <f t="shared" si="135"/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95</v>
      </c>
      <c r="AU137">
        <v>47</v>
      </c>
      <c r="AV137">
        <v>1</v>
      </c>
      <c r="AW137">
        <v>1</v>
      </c>
      <c r="AZ137">
        <v>6.56</v>
      </c>
      <c r="BA137">
        <v>1</v>
      </c>
      <c r="BB137">
        <v>1</v>
      </c>
      <c r="BC137">
        <v>6.56</v>
      </c>
      <c r="BD137" t="s">
        <v>6</v>
      </c>
      <c r="BE137" t="s">
        <v>6</v>
      </c>
      <c r="BF137" t="s">
        <v>6</v>
      </c>
      <c r="BG137" t="s">
        <v>6</v>
      </c>
      <c r="BH137">
        <v>3</v>
      </c>
      <c r="BI137">
        <v>1</v>
      </c>
      <c r="BJ137" t="s">
        <v>6</v>
      </c>
      <c r="BM137">
        <v>15001</v>
      </c>
      <c r="BN137">
        <v>0</v>
      </c>
      <c r="BO137" t="s">
        <v>6</v>
      </c>
      <c r="BP137">
        <v>0</v>
      </c>
      <c r="BQ137">
        <v>2</v>
      </c>
      <c r="BR137">
        <v>0</v>
      </c>
      <c r="BS137">
        <v>1</v>
      </c>
      <c r="BT137">
        <v>1</v>
      </c>
      <c r="BU137">
        <v>1</v>
      </c>
      <c r="BV137">
        <v>1</v>
      </c>
      <c r="BW137">
        <v>1</v>
      </c>
      <c r="BX137">
        <v>1</v>
      </c>
      <c r="BY137" t="s">
        <v>6</v>
      </c>
      <c r="BZ137">
        <v>105</v>
      </c>
      <c r="CA137">
        <v>55</v>
      </c>
      <c r="CF137">
        <v>0</v>
      </c>
      <c r="CG137">
        <v>0</v>
      </c>
      <c r="CM137">
        <v>0</v>
      </c>
      <c r="CN137" t="s">
        <v>6</v>
      </c>
      <c r="CO137">
        <v>0</v>
      </c>
      <c r="CP137">
        <f t="shared" si="136"/>
        <v>0</v>
      </c>
      <c r="CQ137">
        <f t="shared" si="137"/>
        <v>0</v>
      </c>
      <c r="CR137">
        <f t="shared" si="138"/>
        <v>0</v>
      </c>
      <c r="CS137">
        <f t="shared" si="139"/>
        <v>0</v>
      </c>
      <c r="CT137">
        <f t="shared" si="140"/>
        <v>0</v>
      </c>
      <c r="CU137">
        <f t="shared" si="141"/>
        <v>0</v>
      </c>
      <c r="CV137">
        <f t="shared" si="142"/>
        <v>0</v>
      </c>
      <c r="CW137">
        <f t="shared" si="143"/>
        <v>0</v>
      </c>
      <c r="CX137">
        <f t="shared" si="144"/>
        <v>0</v>
      </c>
      <c r="CY137">
        <f t="shared" si="145"/>
        <v>0</v>
      </c>
      <c r="CZ137">
        <f t="shared" si="146"/>
        <v>0</v>
      </c>
      <c r="DC137" t="s">
        <v>6</v>
      </c>
      <c r="DD137" t="s">
        <v>6</v>
      </c>
      <c r="DE137" t="s">
        <v>6</v>
      </c>
      <c r="DF137" t="s">
        <v>6</v>
      </c>
      <c r="DG137" t="s">
        <v>6</v>
      </c>
      <c r="DH137" t="s">
        <v>6</v>
      </c>
      <c r="DI137" t="s">
        <v>6</v>
      </c>
      <c r="DJ137" t="s">
        <v>6</v>
      </c>
      <c r="DK137" t="s">
        <v>6</v>
      </c>
      <c r="DL137" t="s">
        <v>6</v>
      </c>
      <c r="DM137" t="s">
        <v>6</v>
      </c>
      <c r="DN137">
        <v>0</v>
      </c>
      <c r="DO137">
        <v>0</v>
      </c>
      <c r="DP137">
        <v>1</v>
      </c>
      <c r="DQ137">
        <v>1</v>
      </c>
      <c r="DU137">
        <v>1009</v>
      </c>
      <c r="DV137" t="s">
        <v>71</v>
      </c>
      <c r="DW137" t="s">
        <v>71</v>
      </c>
      <c r="DX137">
        <v>1000</v>
      </c>
      <c r="EE137">
        <v>16510513</v>
      </c>
      <c r="EF137">
        <v>2</v>
      </c>
      <c r="EG137" t="s">
        <v>22</v>
      </c>
      <c r="EH137">
        <v>0</v>
      </c>
      <c r="EI137" t="s">
        <v>6</v>
      </c>
      <c r="EJ137">
        <v>1</v>
      </c>
      <c r="EK137">
        <v>15001</v>
      </c>
      <c r="EL137" t="s">
        <v>212</v>
      </c>
      <c r="EM137" t="s">
        <v>213</v>
      </c>
      <c r="EO137" t="s">
        <v>6</v>
      </c>
      <c r="EQ137">
        <v>0</v>
      </c>
      <c r="ER137">
        <v>0</v>
      </c>
      <c r="ES137">
        <v>0</v>
      </c>
      <c r="ET137">
        <v>0</v>
      </c>
      <c r="EU137">
        <v>0</v>
      </c>
      <c r="EV137">
        <v>0</v>
      </c>
      <c r="EW137">
        <v>0</v>
      </c>
      <c r="EX137">
        <v>0</v>
      </c>
      <c r="FQ137">
        <v>0</v>
      </c>
      <c r="FR137">
        <f t="shared" si="147"/>
        <v>0</v>
      </c>
      <c r="FS137">
        <v>0</v>
      </c>
      <c r="FT137" t="s">
        <v>25</v>
      </c>
      <c r="FU137" t="s">
        <v>26</v>
      </c>
      <c r="FX137">
        <v>94.5</v>
      </c>
      <c r="FY137">
        <v>46.75</v>
      </c>
      <c r="GA137" t="s">
        <v>6</v>
      </c>
      <c r="GD137">
        <v>0</v>
      </c>
      <c r="GF137">
        <v>973262446</v>
      </c>
      <c r="GG137">
        <v>1</v>
      </c>
      <c r="GH137">
        <v>1</v>
      </c>
      <c r="GI137">
        <v>4</v>
      </c>
      <c r="GJ137">
        <v>0</v>
      </c>
      <c r="GK137">
        <f>ROUND(R137*(R12)/100,2)</f>
        <v>0</v>
      </c>
      <c r="GL137">
        <f t="shared" si="148"/>
        <v>0</v>
      </c>
      <c r="GM137">
        <f t="shared" si="149"/>
        <v>0</v>
      </c>
      <c r="GN137">
        <f t="shared" si="150"/>
        <v>0</v>
      </c>
      <c r="GO137">
        <f t="shared" si="151"/>
        <v>0</v>
      </c>
      <c r="GP137">
        <f t="shared" si="152"/>
        <v>0</v>
      </c>
      <c r="GR137">
        <v>0</v>
      </c>
      <c r="GS137">
        <v>3</v>
      </c>
      <c r="GT137">
        <v>0</v>
      </c>
      <c r="GU137" t="s">
        <v>6</v>
      </c>
      <c r="GV137">
        <f t="shared" si="153"/>
        <v>0</v>
      </c>
      <c r="GW137">
        <v>1</v>
      </c>
      <c r="GX137">
        <f t="shared" si="154"/>
        <v>0</v>
      </c>
      <c r="HA137">
        <v>0</v>
      </c>
      <c r="HB137">
        <v>0</v>
      </c>
      <c r="IK137">
        <v>0</v>
      </c>
    </row>
    <row r="138" spans="1:245" x14ac:dyDescent="0.2">
      <c r="A138">
        <v>17</v>
      </c>
      <c r="B138">
        <v>1</v>
      </c>
      <c r="C138">
        <f>ROW(SmtRes!A208)</f>
        <v>208</v>
      </c>
      <c r="D138">
        <f>ROW(EtalonRes!A201)</f>
        <v>201</v>
      </c>
      <c r="E138" t="s">
        <v>375</v>
      </c>
      <c r="F138" t="s">
        <v>376</v>
      </c>
      <c r="G138" t="s">
        <v>377</v>
      </c>
      <c r="H138" t="s">
        <v>20</v>
      </c>
      <c r="I138">
        <f>ROUND(2.8/100,9)</f>
        <v>2.8000000000000001E-2</v>
      </c>
      <c r="J138">
        <v>0</v>
      </c>
      <c r="O138">
        <f t="shared" si="121"/>
        <v>630.70000000000005</v>
      </c>
      <c r="P138">
        <f t="shared" si="122"/>
        <v>527.09</v>
      </c>
      <c r="Q138">
        <f t="shared" si="123"/>
        <v>0.44</v>
      </c>
      <c r="R138">
        <f t="shared" si="124"/>
        <v>0.17</v>
      </c>
      <c r="S138">
        <f t="shared" si="125"/>
        <v>103.17</v>
      </c>
      <c r="T138">
        <f t="shared" si="126"/>
        <v>0</v>
      </c>
      <c r="U138">
        <f t="shared" si="127"/>
        <v>1.8437719999999997</v>
      </c>
      <c r="V138">
        <f t="shared" si="128"/>
        <v>2.0999999999999999E-3</v>
      </c>
      <c r="W138">
        <f t="shared" si="129"/>
        <v>0</v>
      </c>
      <c r="X138">
        <f t="shared" si="130"/>
        <v>98.17</v>
      </c>
      <c r="Y138">
        <f t="shared" si="131"/>
        <v>48.57</v>
      </c>
      <c r="AA138">
        <v>16748969</v>
      </c>
      <c r="AB138">
        <f t="shared" si="132"/>
        <v>3433.66</v>
      </c>
      <c r="AC138">
        <f t="shared" si="133"/>
        <v>2869.6</v>
      </c>
      <c r="AD138">
        <f>ROUND(((((ET138*1.25))-((EU138*1.25)))+AE138),2)</f>
        <v>2.37</v>
      </c>
      <c r="AE138">
        <f>ROUND(((EU138*1.25)),2)</f>
        <v>0.93</v>
      </c>
      <c r="AF138">
        <f>ROUND(((EV138*1.15)),2)</f>
        <v>561.69000000000005</v>
      </c>
      <c r="AG138">
        <f t="shared" si="134"/>
        <v>0</v>
      </c>
      <c r="AH138">
        <f>((EW138*1.15))</f>
        <v>65.84899999999999</v>
      </c>
      <c r="AI138">
        <f>((EX138*1.25))</f>
        <v>7.4999999999999997E-2</v>
      </c>
      <c r="AJ138">
        <f t="shared" si="135"/>
        <v>0</v>
      </c>
      <c r="AK138">
        <v>3359.92</v>
      </c>
      <c r="AL138">
        <v>2869.6</v>
      </c>
      <c r="AM138">
        <v>1.89</v>
      </c>
      <c r="AN138">
        <v>0.74</v>
      </c>
      <c r="AO138">
        <v>488.43</v>
      </c>
      <c r="AP138">
        <v>0</v>
      </c>
      <c r="AQ138">
        <v>57.26</v>
      </c>
      <c r="AR138">
        <v>0.06</v>
      </c>
      <c r="AS138">
        <v>0</v>
      </c>
      <c r="AT138">
        <v>95</v>
      </c>
      <c r="AU138">
        <v>47</v>
      </c>
      <c r="AV138">
        <v>1</v>
      </c>
      <c r="AW138">
        <v>1</v>
      </c>
      <c r="AZ138">
        <v>6.56</v>
      </c>
      <c r="BA138">
        <v>6.56</v>
      </c>
      <c r="BB138">
        <v>6.56</v>
      </c>
      <c r="BC138">
        <v>6.56</v>
      </c>
      <c r="BD138" t="s">
        <v>6</v>
      </c>
      <c r="BE138" t="s">
        <v>6</v>
      </c>
      <c r="BF138" t="s">
        <v>6</v>
      </c>
      <c r="BG138" t="s">
        <v>6</v>
      </c>
      <c r="BH138">
        <v>0</v>
      </c>
      <c r="BI138">
        <v>1</v>
      </c>
      <c r="BJ138" t="s">
        <v>378</v>
      </c>
      <c r="BM138">
        <v>15001</v>
      </c>
      <c r="BN138">
        <v>0</v>
      </c>
      <c r="BO138" t="s">
        <v>6</v>
      </c>
      <c r="BP138">
        <v>0</v>
      </c>
      <c r="BQ138">
        <v>2</v>
      </c>
      <c r="BR138">
        <v>0</v>
      </c>
      <c r="BS138">
        <v>6.56</v>
      </c>
      <c r="BT138">
        <v>1</v>
      </c>
      <c r="BU138">
        <v>1</v>
      </c>
      <c r="BV138">
        <v>1</v>
      </c>
      <c r="BW138">
        <v>1</v>
      </c>
      <c r="BX138">
        <v>1</v>
      </c>
      <c r="BY138" t="s">
        <v>6</v>
      </c>
      <c r="BZ138">
        <v>105</v>
      </c>
      <c r="CA138">
        <v>55</v>
      </c>
      <c r="CF138">
        <v>0</v>
      </c>
      <c r="CG138">
        <v>0</v>
      </c>
      <c r="CM138">
        <v>0</v>
      </c>
      <c r="CN138" t="s">
        <v>1609</v>
      </c>
      <c r="CO138">
        <v>0</v>
      </c>
      <c r="CP138">
        <f t="shared" si="136"/>
        <v>630.70000000000005</v>
      </c>
      <c r="CQ138">
        <f t="shared" si="137"/>
        <v>18824.575999999997</v>
      </c>
      <c r="CR138">
        <f t="shared" si="138"/>
        <v>15.5472</v>
      </c>
      <c r="CS138">
        <f t="shared" si="139"/>
        <v>6.1007999999999996</v>
      </c>
      <c r="CT138">
        <f t="shared" si="140"/>
        <v>3684.6864</v>
      </c>
      <c r="CU138">
        <f t="shared" si="141"/>
        <v>0</v>
      </c>
      <c r="CV138">
        <f t="shared" si="142"/>
        <v>65.84899999999999</v>
      </c>
      <c r="CW138">
        <f t="shared" si="143"/>
        <v>7.4999999999999997E-2</v>
      </c>
      <c r="CX138">
        <f t="shared" si="144"/>
        <v>0</v>
      </c>
      <c r="CY138">
        <f t="shared" si="145"/>
        <v>98.173000000000016</v>
      </c>
      <c r="CZ138">
        <f t="shared" si="146"/>
        <v>48.569800000000008</v>
      </c>
      <c r="DC138" t="s">
        <v>6</v>
      </c>
      <c r="DD138" t="s">
        <v>6</v>
      </c>
      <c r="DE138" t="s">
        <v>172</v>
      </c>
      <c r="DF138" t="s">
        <v>172</v>
      </c>
      <c r="DG138" t="s">
        <v>173</v>
      </c>
      <c r="DH138" t="s">
        <v>6</v>
      </c>
      <c r="DI138" t="s">
        <v>173</v>
      </c>
      <c r="DJ138" t="s">
        <v>172</v>
      </c>
      <c r="DK138" t="s">
        <v>6</v>
      </c>
      <c r="DL138" t="s">
        <v>6</v>
      </c>
      <c r="DM138" t="s">
        <v>6</v>
      </c>
      <c r="DN138">
        <v>0</v>
      </c>
      <c r="DO138">
        <v>0</v>
      </c>
      <c r="DP138">
        <v>1</v>
      </c>
      <c r="DQ138">
        <v>1</v>
      </c>
      <c r="DU138">
        <v>1005</v>
      </c>
      <c r="DV138" t="s">
        <v>20</v>
      </c>
      <c r="DW138" t="s">
        <v>20</v>
      </c>
      <c r="DX138">
        <v>100</v>
      </c>
      <c r="EE138">
        <v>16510513</v>
      </c>
      <c r="EF138">
        <v>2</v>
      </c>
      <c r="EG138" t="s">
        <v>22</v>
      </c>
      <c r="EH138">
        <v>0</v>
      </c>
      <c r="EI138" t="s">
        <v>6</v>
      </c>
      <c r="EJ138">
        <v>1</v>
      </c>
      <c r="EK138">
        <v>15001</v>
      </c>
      <c r="EL138" t="s">
        <v>212</v>
      </c>
      <c r="EM138" t="s">
        <v>213</v>
      </c>
      <c r="EO138" t="s">
        <v>176</v>
      </c>
      <c r="EQ138">
        <v>131072</v>
      </c>
      <c r="ER138">
        <v>3359.92</v>
      </c>
      <c r="ES138">
        <v>2869.6</v>
      </c>
      <c r="ET138">
        <v>1.89</v>
      </c>
      <c r="EU138">
        <v>0.74</v>
      </c>
      <c r="EV138">
        <v>488.43</v>
      </c>
      <c r="EW138">
        <v>57.26</v>
      </c>
      <c r="EX138">
        <v>0.06</v>
      </c>
      <c r="EY138">
        <v>0</v>
      </c>
      <c r="FQ138">
        <v>0</v>
      </c>
      <c r="FR138">
        <f t="shared" si="147"/>
        <v>0</v>
      </c>
      <c r="FS138">
        <v>0</v>
      </c>
      <c r="FT138" t="s">
        <v>25</v>
      </c>
      <c r="FU138" t="s">
        <v>26</v>
      </c>
      <c r="FX138">
        <v>94.5</v>
      </c>
      <c r="FY138">
        <v>46.75</v>
      </c>
      <c r="GA138" t="s">
        <v>6</v>
      </c>
      <c r="GD138">
        <v>0</v>
      </c>
      <c r="GF138">
        <v>-889341211</v>
      </c>
      <c r="GG138">
        <v>1</v>
      </c>
      <c r="GH138">
        <v>1</v>
      </c>
      <c r="GI138">
        <v>4</v>
      </c>
      <c r="GJ138">
        <v>0</v>
      </c>
      <c r="GK138">
        <f>ROUND(R138*(R12)/100,2)</f>
        <v>0</v>
      </c>
      <c r="GL138">
        <f t="shared" si="148"/>
        <v>0</v>
      </c>
      <c r="GM138">
        <f t="shared" si="149"/>
        <v>777.44</v>
      </c>
      <c r="GN138">
        <f t="shared" si="150"/>
        <v>777.44</v>
      </c>
      <c r="GO138">
        <f t="shared" si="151"/>
        <v>0</v>
      </c>
      <c r="GP138">
        <f t="shared" si="152"/>
        <v>0</v>
      </c>
      <c r="GR138">
        <v>0</v>
      </c>
      <c r="GS138">
        <v>3</v>
      </c>
      <c r="GT138">
        <v>0</v>
      </c>
      <c r="GU138" t="s">
        <v>6</v>
      </c>
      <c r="GV138">
        <f t="shared" si="153"/>
        <v>0</v>
      </c>
      <c r="GW138">
        <v>1</v>
      </c>
      <c r="GX138">
        <f t="shared" si="154"/>
        <v>0</v>
      </c>
      <c r="HA138">
        <v>0</v>
      </c>
      <c r="HB138">
        <v>0</v>
      </c>
      <c r="IK138">
        <v>0</v>
      </c>
    </row>
    <row r="139" spans="1:245" x14ac:dyDescent="0.2">
      <c r="A139">
        <v>17</v>
      </c>
      <c r="B139">
        <v>1</v>
      </c>
      <c r="C139">
        <f>ROW(SmtRes!A214)</f>
        <v>214</v>
      </c>
      <c r="D139">
        <f>ROW(EtalonRes!A206)</f>
        <v>206</v>
      </c>
      <c r="E139" t="s">
        <v>379</v>
      </c>
      <c r="F139" t="s">
        <v>380</v>
      </c>
      <c r="G139" t="s">
        <v>381</v>
      </c>
      <c r="H139" t="s">
        <v>20</v>
      </c>
      <c r="I139">
        <f>ROUND(2.8/100,9)</f>
        <v>2.8000000000000001E-2</v>
      </c>
      <c r="J139">
        <v>0</v>
      </c>
      <c r="O139">
        <f t="shared" si="121"/>
        <v>271.39</v>
      </c>
      <c r="P139">
        <f t="shared" si="122"/>
        <v>231.69</v>
      </c>
      <c r="Q139">
        <f t="shared" si="123"/>
        <v>7.85</v>
      </c>
      <c r="R139">
        <f t="shared" si="124"/>
        <v>1.38</v>
      </c>
      <c r="S139">
        <f t="shared" si="125"/>
        <v>31.85</v>
      </c>
      <c r="T139">
        <f t="shared" si="126"/>
        <v>0</v>
      </c>
      <c r="U139">
        <f t="shared" si="127"/>
        <v>0.58926000000000001</v>
      </c>
      <c r="V139">
        <f t="shared" si="128"/>
        <v>1.8200000000000001E-2</v>
      </c>
      <c r="W139">
        <f t="shared" si="129"/>
        <v>0</v>
      </c>
      <c r="X139">
        <f t="shared" si="130"/>
        <v>35.22</v>
      </c>
      <c r="Y139">
        <f t="shared" si="131"/>
        <v>17.940000000000001</v>
      </c>
      <c r="AA139">
        <v>16748969</v>
      </c>
      <c r="AB139">
        <f t="shared" si="132"/>
        <v>1477.49</v>
      </c>
      <c r="AC139">
        <f t="shared" si="133"/>
        <v>1261.3599999999999</v>
      </c>
      <c r="AD139">
        <f>ROUND(((((ET139*1.25))-((EU139*1.25)))+AE139),2)</f>
        <v>42.72</v>
      </c>
      <c r="AE139">
        <f>ROUND(((EU139*1.25)),2)</f>
        <v>7.54</v>
      </c>
      <c r="AF139">
        <f>ROUND(((EV139*1.15)),2)</f>
        <v>173.41</v>
      </c>
      <c r="AG139">
        <f t="shared" si="134"/>
        <v>0</v>
      </c>
      <c r="AH139">
        <f>((EW139*1.15))</f>
        <v>21.044999999999998</v>
      </c>
      <c r="AI139">
        <f>((EX139*1.25))</f>
        <v>0.65</v>
      </c>
      <c r="AJ139">
        <f t="shared" si="135"/>
        <v>0</v>
      </c>
      <c r="AK139">
        <v>1446.32</v>
      </c>
      <c r="AL139">
        <v>1261.3599999999999</v>
      </c>
      <c r="AM139">
        <v>34.17</v>
      </c>
      <c r="AN139">
        <v>6.03</v>
      </c>
      <c r="AO139">
        <v>150.79</v>
      </c>
      <c r="AP139">
        <v>0</v>
      </c>
      <c r="AQ139">
        <v>18.3</v>
      </c>
      <c r="AR139">
        <v>0.52</v>
      </c>
      <c r="AS139">
        <v>0</v>
      </c>
      <c r="AT139">
        <v>106</v>
      </c>
      <c r="AU139">
        <v>54</v>
      </c>
      <c r="AV139">
        <v>1</v>
      </c>
      <c r="AW139">
        <v>1</v>
      </c>
      <c r="AZ139">
        <v>6.56</v>
      </c>
      <c r="BA139">
        <v>6.56</v>
      </c>
      <c r="BB139">
        <v>6.56</v>
      </c>
      <c r="BC139">
        <v>6.56</v>
      </c>
      <c r="BD139" t="s">
        <v>6</v>
      </c>
      <c r="BE139" t="s">
        <v>6</v>
      </c>
      <c r="BF139" t="s">
        <v>6</v>
      </c>
      <c r="BG139" t="s">
        <v>6</v>
      </c>
      <c r="BH139">
        <v>0</v>
      </c>
      <c r="BI139">
        <v>1</v>
      </c>
      <c r="BJ139" t="s">
        <v>382</v>
      </c>
      <c r="BM139">
        <v>10001</v>
      </c>
      <c r="BN139">
        <v>0</v>
      </c>
      <c r="BO139" t="s">
        <v>6</v>
      </c>
      <c r="BP139">
        <v>0</v>
      </c>
      <c r="BQ139">
        <v>2</v>
      </c>
      <c r="BR139">
        <v>0</v>
      </c>
      <c r="BS139">
        <v>6.56</v>
      </c>
      <c r="BT139">
        <v>1</v>
      </c>
      <c r="BU139">
        <v>1</v>
      </c>
      <c r="BV139">
        <v>1</v>
      </c>
      <c r="BW139">
        <v>1</v>
      </c>
      <c r="BX139">
        <v>1</v>
      </c>
      <c r="BY139" t="s">
        <v>6</v>
      </c>
      <c r="BZ139">
        <v>118</v>
      </c>
      <c r="CA139">
        <v>63</v>
      </c>
      <c r="CF139">
        <v>0</v>
      </c>
      <c r="CG139">
        <v>0</v>
      </c>
      <c r="CM139">
        <v>0</v>
      </c>
      <c r="CN139" t="s">
        <v>1609</v>
      </c>
      <c r="CO139">
        <v>0</v>
      </c>
      <c r="CP139">
        <f t="shared" si="136"/>
        <v>271.39</v>
      </c>
      <c r="CQ139">
        <f t="shared" si="137"/>
        <v>8274.5215999999982</v>
      </c>
      <c r="CR139">
        <f t="shared" si="138"/>
        <v>280.2432</v>
      </c>
      <c r="CS139">
        <f t="shared" si="139"/>
        <v>49.462399999999995</v>
      </c>
      <c r="CT139">
        <f t="shared" si="140"/>
        <v>1137.5695999999998</v>
      </c>
      <c r="CU139">
        <f t="shared" si="141"/>
        <v>0</v>
      </c>
      <c r="CV139">
        <f t="shared" si="142"/>
        <v>21.044999999999998</v>
      </c>
      <c r="CW139">
        <f t="shared" si="143"/>
        <v>0.65</v>
      </c>
      <c r="CX139">
        <f t="shared" si="144"/>
        <v>0</v>
      </c>
      <c r="CY139">
        <f t="shared" si="145"/>
        <v>35.223800000000004</v>
      </c>
      <c r="CZ139">
        <f t="shared" si="146"/>
        <v>17.944200000000002</v>
      </c>
      <c r="DC139" t="s">
        <v>6</v>
      </c>
      <c r="DD139" t="s">
        <v>6</v>
      </c>
      <c r="DE139" t="s">
        <v>172</v>
      </c>
      <c r="DF139" t="s">
        <v>172</v>
      </c>
      <c r="DG139" t="s">
        <v>173</v>
      </c>
      <c r="DH139" t="s">
        <v>6</v>
      </c>
      <c r="DI139" t="s">
        <v>173</v>
      </c>
      <c r="DJ139" t="s">
        <v>172</v>
      </c>
      <c r="DK139" t="s">
        <v>6</v>
      </c>
      <c r="DL139" t="s">
        <v>6</v>
      </c>
      <c r="DM139" t="s">
        <v>6</v>
      </c>
      <c r="DN139">
        <v>0</v>
      </c>
      <c r="DO139">
        <v>0</v>
      </c>
      <c r="DP139">
        <v>1</v>
      </c>
      <c r="DQ139">
        <v>1</v>
      </c>
      <c r="DU139">
        <v>1005</v>
      </c>
      <c r="DV139" t="s">
        <v>20</v>
      </c>
      <c r="DW139" t="s">
        <v>20</v>
      </c>
      <c r="DX139">
        <v>100</v>
      </c>
      <c r="EE139">
        <v>16510487</v>
      </c>
      <c r="EF139">
        <v>2</v>
      </c>
      <c r="EG139" t="s">
        <v>22</v>
      </c>
      <c r="EH139">
        <v>0</v>
      </c>
      <c r="EI139" t="s">
        <v>6</v>
      </c>
      <c r="EJ139">
        <v>1</v>
      </c>
      <c r="EK139">
        <v>10001</v>
      </c>
      <c r="EL139" t="s">
        <v>174</v>
      </c>
      <c r="EM139" t="s">
        <v>175</v>
      </c>
      <c r="EO139" t="s">
        <v>176</v>
      </c>
      <c r="EQ139">
        <v>131072</v>
      </c>
      <c r="ER139">
        <v>1446.32</v>
      </c>
      <c r="ES139">
        <v>1261.3599999999999</v>
      </c>
      <c r="ET139">
        <v>34.17</v>
      </c>
      <c r="EU139">
        <v>6.03</v>
      </c>
      <c r="EV139">
        <v>150.79</v>
      </c>
      <c r="EW139">
        <v>18.3</v>
      </c>
      <c r="EX139">
        <v>0.52</v>
      </c>
      <c r="EY139">
        <v>0</v>
      </c>
      <c r="FQ139">
        <v>0</v>
      </c>
      <c r="FR139">
        <f t="shared" si="147"/>
        <v>0</v>
      </c>
      <c r="FS139">
        <v>0</v>
      </c>
      <c r="FT139" t="s">
        <v>25</v>
      </c>
      <c r="FU139" t="s">
        <v>26</v>
      </c>
      <c r="FX139">
        <v>106.2</v>
      </c>
      <c r="FY139">
        <v>53.55</v>
      </c>
      <c r="GA139" t="s">
        <v>6</v>
      </c>
      <c r="GD139">
        <v>0</v>
      </c>
      <c r="GF139">
        <v>285600130</v>
      </c>
      <c r="GG139">
        <v>1</v>
      </c>
      <c r="GH139">
        <v>1</v>
      </c>
      <c r="GI139">
        <v>4</v>
      </c>
      <c r="GJ139">
        <v>0</v>
      </c>
      <c r="GK139">
        <f>ROUND(R139*(R12)/100,2)</f>
        <v>0</v>
      </c>
      <c r="GL139">
        <f t="shared" si="148"/>
        <v>0</v>
      </c>
      <c r="GM139">
        <f t="shared" si="149"/>
        <v>324.55</v>
      </c>
      <c r="GN139">
        <f t="shared" si="150"/>
        <v>324.55</v>
      </c>
      <c r="GO139">
        <f t="shared" si="151"/>
        <v>0</v>
      </c>
      <c r="GP139">
        <f t="shared" si="152"/>
        <v>0</v>
      </c>
      <c r="GR139">
        <v>0</v>
      </c>
      <c r="GS139">
        <v>3</v>
      </c>
      <c r="GT139">
        <v>0</v>
      </c>
      <c r="GU139" t="s">
        <v>6</v>
      </c>
      <c r="GV139">
        <f t="shared" si="153"/>
        <v>0</v>
      </c>
      <c r="GW139">
        <v>1</v>
      </c>
      <c r="GX139">
        <f t="shared" si="154"/>
        <v>0</v>
      </c>
      <c r="HA139">
        <v>0</v>
      </c>
      <c r="HB139">
        <v>0</v>
      </c>
      <c r="IK139">
        <v>0</v>
      </c>
    </row>
    <row r="140" spans="1:245" x14ac:dyDescent="0.2">
      <c r="A140">
        <v>18</v>
      </c>
      <c r="B140">
        <v>1</v>
      </c>
      <c r="C140">
        <v>212</v>
      </c>
      <c r="E140" t="s">
        <v>383</v>
      </c>
      <c r="F140" t="s">
        <v>384</v>
      </c>
      <c r="G140" t="s">
        <v>385</v>
      </c>
      <c r="H140" t="s">
        <v>89</v>
      </c>
      <c r="I140">
        <f>I139*J140</f>
        <v>2.87</v>
      </c>
      <c r="J140">
        <v>102.5</v>
      </c>
      <c r="O140">
        <f t="shared" si="121"/>
        <v>385.39</v>
      </c>
      <c r="P140">
        <f t="shared" si="122"/>
        <v>385.39</v>
      </c>
      <c r="Q140">
        <f t="shared" si="123"/>
        <v>0</v>
      </c>
      <c r="R140">
        <f t="shared" si="124"/>
        <v>0</v>
      </c>
      <c r="S140">
        <f t="shared" si="125"/>
        <v>0</v>
      </c>
      <c r="T140">
        <f t="shared" si="126"/>
        <v>0</v>
      </c>
      <c r="U140">
        <f t="shared" si="127"/>
        <v>0</v>
      </c>
      <c r="V140">
        <f t="shared" si="128"/>
        <v>0</v>
      </c>
      <c r="W140">
        <f t="shared" si="129"/>
        <v>0</v>
      </c>
      <c r="X140">
        <f t="shared" si="130"/>
        <v>0</v>
      </c>
      <c r="Y140">
        <f t="shared" si="131"/>
        <v>0</v>
      </c>
      <c r="AA140">
        <v>16748969</v>
      </c>
      <c r="AB140">
        <f t="shared" si="132"/>
        <v>20.47</v>
      </c>
      <c r="AC140">
        <f t="shared" si="133"/>
        <v>20.47</v>
      </c>
      <c r="AD140">
        <f>ROUND((((ET140)-(EU140))+AE140),2)</f>
        <v>0</v>
      </c>
      <c r="AE140">
        <f>ROUND((EU140),2)</f>
        <v>0</v>
      </c>
      <c r="AF140">
        <f>ROUND((EV140),2)</f>
        <v>0</v>
      </c>
      <c r="AG140">
        <f t="shared" si="134"/>
        <v>0</v>
      </c>
      <c r="AH140">
        <f>(EW140)</f>
        <v>0</v>
      </c>
      <c r="AI140">
        <f>(EX140)</f>
        <v>0</v>
      </c>
      <c r="AJ140">
        <f t="shared" si="135"/>
        <v>0</v>
      </c>
      <c r="AK140">
        <v>20.47</v>
      </c>
      <c r="AL140">
        <v>20.47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106</v>
      </c>
      <c r="AU140">
        <v>54</v>
      </c>
      <c r="AV140">
        <v>1</v>
      </c>
      <c r="AW140">
        <v>1</v>
      </c>
      <c r="AZ140">
        <v>6.56</v>
      </c>
      <c r="BA140">
        <v>1</v>
      </c>
      <c r="BB140">
        <v>1</v>
      </c>
      <c r="BC140">
        <v>6.56</v>
      </c>
      <c r="BD140" t="s">
        <v>6</v>
      </c>
      <c r="BE140" t="s">
        <v>6</v>
      </c>
      <c r="BF140" t="s">
        <v>6</v>
      </c>
      <c r="BG140" t="s">
        <v>6</v>
      </c>
      <c r="BH140">
        <v>3</v>
      </c>
      <c r="BI140">
        <v>1</v>
      </c>
      <c r="BJ140" t="s">
        <v>386</v>
      </c>
      <c r="BM140">
        <v>10001</v>
      </c>
      <c r="BN140">
        <v>0</v>
      </c>
      <c r="BO140" t="s">
        <v>6</v>
      </c>
      <c r="BP140">
        <v>0</v>
      </c>
      <c r="BQ140">
        <v>2</v>
      </c>
      <c r="BR140">
        <v>0</v>
      </c>
      <c r="BS140">
        <v>1</v>
      </c>
      <c r="BT140">
        <v>1</v>
      </c>
      <c r="BU140">
        <v>1</v>
      </c>
      <c r="BV140">
        <v>1</v>
      </c>
      <c r="BW140">
        <v>1</v>
      </c>
      <c r="BX140">
        <v>1</v>
      </c>
      <c r="BY140" t="s">
        <v>6</v>
      </c>
      <c r="BZ140">
        <v>118</v>
      </c>
      <c r="CA140">
        <v>63</v>
      </c>
      <c r="CF140">
        <v>0</v>
      </c>
      <c r="CG140">
        <v>0</v>
      </c>
      <c r="CM140">
        <v>0</v>
      </c>
      <c r="CN140" t="s">
        <v>6</v>
      </c>
      <c r="CO140">
        <v>0</v>
      </c>
      <c r="CP140">
        <f t="shared" si="136"/>
        <v>385.39</v>
      </c>
      <c r="CQ140">
        <f t="shared" si="137"/>
        <v>134.28319999999999</v>
      </c>
      <c r="CR140">
        <f t="shared" si="138"/>
        <v>0</v>
      </c>
      <c r="CS140">
        <f t="shared" si="139"/>
        <v>0</v>
      </c>
      <c r="CT140">
        <f t="shared" si="140"/>
        <v>0</v>
      </c>
      <c r="CU140">
        <f t="shared" si="141"/>
        <v>0</v>
      </c>
      <c r="CV140">
        <f t="shared" si="142"/>
        <v>0</v>
      </c>
      <c r="CW140">
        <f t="shared" si="143"/>
        <v>0</v>
      </c>
      <c r="CX140">
        <f t="shared" si="144"/>
        <v>0</v>
      </c>
      <c r="CY140">
        <f t="shared" si="145"/>
        <v>0</v>
      </c>
      <c r="CZ140">
        <f t="shared" si="146"/>
        <v>0</v>
      </c>
      <c r="DC140" t="s">
        <v>6</v>
      </c>
      <c r="DD140" t="s">
        <v>6</v>
      </c>
      <c r="DE140" t="s">
        <v>6</v>
      </c>
      <c r="DF140" t="s">
        <v>6</v>
      </c>
      <c r="DG140" t="s">
        <v>6</v>
      </c>
      <c r="DH140" t="s">
        <v>6</v>
      </c>
      <c r="DI140" t="s">
        <v>6</v>
      </c>
      <c r="DJ140" t="s">
        <v>6</v>
      </c>
      <c r="DK140" t="s">
        <v>6</v>
      </c>
      <c r="DL140" t="s">
        <v>6</v>
      </c>
      <c r="DM140" t="s">
        <v>6</v>
      </c>
      <c r="DN140">
        <v>0</v>
      </c>
      <c r="DO140">
        <v>0</v>
      </c>
      <c r="DP140">
        <v>1</v>
      </c>
      <c r="DQ140">
        <v>1</v>
      </c>
      <c r="DU140">
        <v>1005</v>
      </c>
      <c r="DV140" t="s">
        <v>89</v>
      </c>
      <c r="DW140" t="s">
        <v>89</v>
      </c>
      <c r="DX140">
        <v>1</v>
      </c>
      <c r="EE140">
        <v>16510487</v>
      </c>
      <c r="EF140">
        <v>2</v>
      </c>
      <c r="EG140" t="s">
        <v>22</v>
      </c>
      <c r="EH140">
        <v>0</v>
      </c>
      <c r="EI140" t="s">
        <v>6</v>
      </c>
      <c r="EJ140">
        <v>1</v>
      </c>
      <c r="EK140">
        <v>10001</v>
      </c>
      <c r="EL140" t="s">
        <v>174</v>
      </c>
      <c r="EM140" t="s">
        <v>175</v>
      </c>
      <c r="EO140" t="s">
        <v>6</v>
      </c>
      <c r="EQ140">
        <v>0</v>
      </c>
      <c r="ER140">
        <v>20.47</v>
      </c>
      <c r="ES140">
        <v>20.47</v>
      </c>
      <c r="ET140">
        <v>0</v>
      </c>
      <c r="EU140">
        <v>0</v>
      </c>
      <c r="EV140">
        <v>0</v>
      </c>
      <c r="EW140">
        <v>0</v>
      </c>
      <c r="EX140">
        <v>0</v>
      </c>
      <c r="FQ140">
        <v>0</v>
      </c>
      <c r="FR140">
        <f t="shared" si="147"/>
        <v>0</v>
      </c>
      <c r="FS140">
        <v>0</v>
      </c>
      <c r="FT140" t="s">
        <v>25</v>
      </c>
      <c r="FU140" t="s">
        <v>26</v>
      </c>
      <c r="FX140">
        <v>106.2</v>
      </c>
      <c r="FY140">
        <v>53.55</v>
      </c>
      <c r="GA140" t="s">
        <v>6</v>
      </c>
      <c r="GD140">
        <v>0</v>
      </c>
      <c r="GF140">
        <v>675650468</v>
      </c>
      <c r="GG140">
        <v>1</v>
      </c>
      <c r="GH140">
        <v>1</v>
      </c>
      <c r="GI140">
        <v>4</v>
      </c>
      <c r="GJ140">
        <v>0</v>
      </c>
      <c r="GK140">
        <f>ROUND(R140*(R12)/100,2)</f>
        <v>0</v>
      </c>
      <c r="GL140">
        <f t="shared" si="148"/>
        <v>0</v>
      </c>
      <c r="GM140">
        <f t="shared" si="149"/>
        <v>385.39</v>
      </c>
      <c r="GN140">
        <f t="shared" si="150"/>
        <v>385.39</v>
      </c>
      <c r="GO140">
        <f t="shared" si="151"/>
        <v>0</v>
      </c>
      <c r="GP140">
        <f t="shared" si="152"/>
        <v>0</v>
      </c>
      <c r="GR140">
        <v>0</v>
      </c>
      <c r="GS140">
        <v>3</v>
      </c>
      <c r="GT140">
        <v>0</v>
      </c>
      <c r="GU140" t="s">
        <v>6</v>
      </c>
      <c r="GV140">
        <f t="shared" si="153"/>
        <v>0</v>
      </c>
      <c r="GW140">
        <v>1</v>
      </c>
      <c r="GX140">
        <f t="shared" si="154"/>
        <v>0</v>
      </c>
      <c r="HA140">
        <v>0</v>
      </c>
      <c r="HB140">
        <v>0</v>
      </c>
      <c r="IK140">
        <v>0</v>
      </c>
    </row>
    <row r="141" spans="1:245" x14ac:dyDescent="0.2">
      <c r="A141">
        <v>18</v>
      </c>
      <c r="B141">
        <v>1</v>
      </c>
      <c r="C141">
        <v>214</v>
      </c>
      <c r="E141" t="s">
        <v>387</v>
      </c>
      <c r="F141" t="s">
        <v>388</v>
      </c>
      <c r="G141" t="s">
        <v>389</v>
      </c>
      <c r="H141" t="s">
        <v>390</v>
      </c>
      <c r="I141">
        <f>I139*J141</f>
        <v>-2.8700000000000002E-3</v>
      </c>
      <c r="J141">
        <v>-0.10250000000000001</v>
      </c>
      <c r="O141">
        <f t="shared" si="121"/>
        <v>-225.93</v>
      </c>
      <c r="P141">
        <f t="shared" si="122"/>
        <v>-225.93</v>
      </c>
      <c r="Q141">
        <f t="shared" si="123"/>
        <v>0</v>
      </c>
      <c r="R141">
        <f t="shared" si="124"/>
        <v>0</v>
      </c>
      <c r="S141">
        <f t="shared" si="125"/>
        <v>0</v>
      </c>
      <c r="T141">
        <f t="shared" si="126"/>
        <v>0</v>
      </c>
      <c r="U141">
        <f t="shared" si="127"/>
        <v>0</v>
      </c>
      <c r="V141">
        <f t="shared" si="128"/>
        <v>0</v>
      </c>
      <c r="W141">
        <f t="shared" si="129"/>
        <v>0</v>
      </c>
      <c r="X141">
        <f t="shared" si="130"/>
        <v>0</v>
      </c>
      <c r="Y141">
        <f t="shared" si="131"/>
        <v>0</v>
      </c>
      <c r="AA141">
        <v>16748969</v>
      </c>
      <c r="AB141">
        <f t="shared" si="132"/>
        <v>12000</v>
      </c>
      <c r="AC141">
        <f t="shared" si="133"/>
        <v>12000</v>
      </c>
      <c r="AD141">
        <f>ROUND((((ET141)-(EU141))+AE141),2)</f>
        <v>0</v>
      </c>
      <c r="AE141">
        <f>ROUND((EU141),2)</f>
        <v>0</v>
      </c>
      <c r="AF141">
        <f>ROUND((EV141),2)</f>
        <v>0</v>
      </c>
      <c r="AG141">
        <f t="shared" si="134"/>
        <v>0</v>
      </c>
      <c r="AH141">
        <f>(EW141)</f>
        <v>0</v>
      </c>
      <c r="AI141">
        <f>(EX141)</f>
        <v>0</v>
      </c>
      <c r="AJ141">
        <f t="shared" si="135"/>
        <v>0</v>
      </c>
      <c r="AK141">
        <v>12000</v>
      </c>
      <c r="AL141">
        <v>12000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106</v>
      </c>
      <c r="AU141">
        <v>54</v>
      </c>
      <c r="AV141">
        <v>1</v>
      </c>
      <c r="AW141">
        <v>1</v>
      </c>
      <c r="AZ141">
        <v>6.56</v>
      </c>
      <c r="BA141">
        <v>1</v>
      </c>
      <c r="BB141">
        <v>1</v>
      </c>
      <c r="BC141">
        <v>6.56</v>
      </c>
      <c r="BD141" t="s">
        <v>6</v>
      </c>
      <c r="BE141" t="s">
        <v>6</v>
      </c>
      <c r="BF141" t="s">
        <v>6</v>
      </c>
      <c r="BG141" t="s">
        <v>6</v>
      </c>
      <c r="BH141">
        <v>3</v>
      </c>
      <c r="BI141">
        <v>1</v>
      </c>
      <c r="BJ141" t="s">
        <v>391</v>
      </c>
      <c r="BM141">
        <v>10001</v>
      </c>
      <c r="BN141">
        <v>0</v>
      </c>
      <c r="BO141" t="s">
        <v>6</v>
      </c>
      <c r="BP141">
        <v>0</v>
      </c>
      <c r="BQ141">
        <v>2</v>
      </c>
      <c r="BR141">
        <v>1</v>
      </c>
      <c r="BS141">
        <v>1</v>
      </c>
      <c r="BT141">
        <v>1</v>
      </c>
      <c r="BU141">
        <v>1</v>
      </c>
      <c r="BV141">
        <v>1</v>
      </c>
      <c r="BW141">
        <v>1</v>
      </c>
      <c r="BX141">
        <v>1</v>
      </c>
      <c r="BY141" t="s">
        <v>6</v>
      </c>
      <c r="BZ141">
        <v>118</v>
      </c>
      <c r="CA141">
        <v>63</v>
      </c>
      <c r="CF141">
        <v>0</v>
      </c>
      <c r="CG141">
        <v>0</v>
      </c>
      <c r="CM141">
        <v>0</v>
      </c>
      <c r="CN141" t="s">
        <v>6</v>
      </c>
      <c r="CO141">
        <v>0</v>
      </c>
      <c r="CP141">
        <f t="shared" si="136"/>
        <v>-225.93</v>
      </c>
      <c r="CQ141">
        <f t="shared" si="137"/>
        <v>78720</v>
      </c>
      <c r="CR141">
        <f t="shared" si="138"/>
        <v>0</v>
      </c>
      <c r="CS141">
        <f t="shared" si="139"/>
        <v>0</v>
      </c>
      <c r="CT141">
        <f t="shared" si="140"/>
        <v>0</v>
      </c>
      <c r="CU141">
        <f t="shared" si="141"/>
        <v>0</v>
      </c>
      <c r="CV141">
        <f t="shared" si="142"/>
        <v>0</v>
      </c>
      <c r="CW141">
        <f t="shared" si="143"/>
        <v>0</v>
      </c>
      <c r="CX141">
        <f t="shared" si="144"/>
        <v>0</v>
      </c>
      <c r="CY141">
        <f t="shared" si="145"/>
        <v>0</v>
      </c>
      <c r="CZ141">
        <f t="shared" si="146"/>
        <v>0</v>
      </c>
      <c r="DC141" t="s">
        <v>6</v>
      </c>
      <c r="DD141" t="s">
        <v>6</v>
      </c>
      <c r="DE141" t="s">
        <v>6</v>
      </c>
      <c r="DF141" t="s">
        <v>6</v>
      </c>
      <c r="DG141" t="s">
        <v>6</v>
      </c>
      <c r="DH141" t="s">
        <v>6</v>
      </c>
      <c r="DI141" t="s">
        <v>6</v>
      </c>
      <c r="DJ141" t="s">
        <v>6</v>
      </c>
      <c r="DK141" t="s">
        <v>6</v>
      </c>
      <c r="DL141" t="s">
        <v>6</v>
      </c>
      <c r="DM141" t="s">
        <v>6</v>
      </c>
      <c r="DN141">
        <v>0</v>
      </c>
      <c r="DO141">
        <v>0</v>
      </c>
      <c r="DP141">
        <v>1</v>
      </c>
      <c r="DQ141">
        <v>1</v>
      </c>
      <c r="DU141">
        <v>1005</v>
      </c>
      <c r="DV141" t="s">
        <v>390</v>
      </c>
      <c r="DW141" t="s">
        <v>390</v>
      </c>
      <c r="DX141">
        <v>1000</v>
      </c>
      <c r="EE141">
        <v>16510487</v>
      </c>
      <c r="EF141">
        <v>2</v>
      </c>
      <c r="EG141" t="s">
        <v>22</v>
      </c>
      <c r="EH141">
        <v>0</v>
      </c>
      <c r="EI141" t="s">
        <v>6</v>
      </c>
      <c r="EJ141">
        <v>1</v>
      </c>
      <c r="EK141">
        <v>10001</v>
      </c>
      <c r="EL141" t="s">
        <v>174</v>
      </c>
      <c r="EM141" t="s">
        <v>175</v>
      </c>
      <c r="EO141" t="s">
        <v>6</v>
      </c>
      <c r="EQ141">
        <v>0</v>
      </c>
      <c r="ER141">
        <v>12000</v>
      </c>
      <c r="ES141">
        <v>12000</v>
      </c>
      <c r="ET141">
        <v>0</v>
      </c>
      <c r="EU141">
        <v>0</v>
      </c>
      <c r="EV141">
        <v>0</v>
      </c>
      <c r="EW141">
        <v>0</v>
      </c>
      <c r="EX141">
        <v>0</v>
      </c>
      <c r="FQ141">
        <v>0</v>
      </c>
      <c r="FR141">
        <f t="shared" si="147"/>
        <v>0</v>
      </c>
      <c r="FS141">
        <v>0</v>
      </c>
      <c r="FT141" t="s">
        <v>25</v>
      </c>
      <c r="FU141" t="s">
        <v>26</v>
      </c>
      <c r="FX141">
        <v>106.2</v>
      </c>
      <c r="FY141">
        <v>53.55</v>
      </c>
      <c r="GA141" t="s">
        <v>6</v>
      </c>
      <c r="GD141">
        <v>0</v>
      </c>
      <c r="GF141">
        <v>1143569307</v>
      </c>
      <c r="GG141">
        <v>1</v>
      </c>
      <c r="GH141">
        <v>1</v>
      </c>
      <c r="GI141">
        <v>4</v>
      </c>
      <c r="GJ141">
        <v>0</v>
      </c>
      <c r="GK141">
        <f>ROUND(R141*(R12)/100,2)</f>
        <v>0</v>
      </c>
      <c r="GL141">
        <f t="shared" si="148"/>
        <v>0</v>
      </c>
      <c r="GM141">
        <f t="shared" si="149"/>
        <v>-225.93</v>
      </c>
      <c r="GN141">
        <f t="shared" si="150"/>
        <v>-225.93</v>
      </c>
      <c r="GO141">
        <f t="shared" si="151"/>
        <v>0</v>
      </c>
      <c r="GP141">
        <f t="shared" si="152"/>
        <v>0</v>
      </c>
      <c r="GR141">
        <v>0</v>
      </c>
      <c r="GS141">
        <v>3</v>
      </c>
      <c r="GT141">
        <v>0</v>
      </c>
      <c r="GU141" t="s">
        <v>6</v>
      </c>
      <c r="GV141">
        <f t="shared" si="153"/>
        <v>0</v>
      </c>
      <c r="GW141">
        <v>1</v>
      </c>
      <c r="GX141">
        <f t="shared" si="154"/>
        <v>0</v>
      </c>
      <c r="HA141">
        <v>0</v>
      </c>
      <c r="HB141">
        <v>0</v>
      </c>
      <c r="IK141">
        <v>0</v>
      </c>
    </row>
    <row r="142" spans="1:245" x14ac:dyDescent="0.2">
      <c r="A142">
        <v>17</v>
      </c>
      <c r="B142">
        <v>1</v>
      </c>
      <c r="C142">
        <f>ROW(SmtRes!A227)</f>
        <v>227</v>
      </c>
      <c r="D142">
        <f>ROW(EtalonRes!A216)</f>
        <v>216</v>
      </c>
      <c r="E142" t="s">
        <v>392</v>
      </c>
      <c r="F142" t="s">
        <v>393</v>
      </c>
      <c r="G142" t="s">
        <v>394</v>
      </c>
      <c r="H142" t="s">
        <v>20</v>
      </c>
      <c r="I142">
        <f>ROUND(60/100,9)</f>
        <v>0.6</v>
      </c>
      <c r="J142">
        <v>0</v>
      </c>
      <c r="O142">
        <f t="shared" si="121"/>
        <v>6803.42</v>
      </c>
      <c r="P142">
        <f t="shared" si="122"/>
        <v>12.52</v>
      </c>
      <c r="Q142">
        <f t="shared" si="123"/>
        <v>156.22</v>
      </c>
      <c r="R142">
        <f t="shared" si="124"/>
        <v>86.24</v>
      </c>
      <c r="S142">
        <f t="shared" si="125"/>
        <v>6634.68</v>
      </c>
      <c r="T142">
        <f t="shared" si="126"/>
        <v>0</v>
      </c>
      <c r="U142">
        <f t="shared" si="127"/>
        <v>110.17229999999998</v>
      </c>
      <c r="V142">
        <f t="shared" si="128"/>
        <v>1.2375</v>
      </c>
      <c r="W142">
        <f t="shared" si="129"/>
        <v>0</v>
      </c>
      <c r="X142">
        <f t="shared" si="130"/>
        <v>6384.87</v>
      </c>
      <c r="Y142">
        <f t="shared" si="131"/>
        <v>3158.83</v>
      </c>
      <c r="AA142">
        <v>16748969</v>
      </c>
      <c r="AB142">
        <f t="shared" si="132"/>
        <v>1728.51</v>
      </c>
      <c r="AC142">
        <f t="shared" si="133"/>
        <v>3.18</v>
      </c>
      <c r="AD142">
        <f>ROUND(((((ET142*1.25))-((EU142*1.25)))+AE142),2)</f>
        <v>39.69</v>
      </c>
      <c r="AE142">
        <f>ROUND(((EU142*1.25)),2)</f>
        <v>21.91</v>
      </c>
      <c r="AF142">
        <f>ROUND(((EV142*1.15)),2)</f>
        <v>1685.64</v>
      </c>
      <c r="AG142">
        <f t="shared" si="134"/>
        <v>0</v>
      </c>
      <c r="AH142">
        <f>((EW142*1.15))</f>
        <v>183.62049999999996</v>
      </c>
      <c r="AI142">
        <f>((EX142*1.25))</f>
        <v>2.0625</v>
      </c>
      <c r="AJ142">
        <f t="shared" si="135"/>
        <v>0</v>
      </c>
      <c r="AK142">
        <v>1500.7</v>
      </c>
      <c r="AL142">
        <v>3.18</v>
      </c>
      <c r="AM142">
        <v>31.75</v>
      </c>
      <c r="AN142">
        <v>17.53</v>
      </c>
      <c r="AO142">
        <v>1465.77</v>
      </c>
      <c r="AP142">
        <v>0</v>
      </c>
      <c r="AQ142">
        <v>159.66999999999999</v>
      </c>
      <c r="AR142">
        <v>1.65</v>
      </c>
      <c r="AS142">
        <v>0</v>
      </c>
      <c r="AT142">
        <v>95</v>
      </c>
      <c r="AU142">
        <v>47</v>
      </c>
      <c r="AV142">
        <v>1</v>
      </c>
      <c r="AW142">
        <v>1</v>
      </c>
      <c r="AZ142">
        <v>6.56</v>
      </c>
      <c r="BA142">
        <v>6.56</v>
      </c>
      <c r="BB142">
        <v>6.56</v>
      </c>
      <c r="BC142">
        <v>6.56</v>
      </c>
      <c r="BD142" t="s">
        <v>6</v>
      </c>
      <c r="BE142" t="s">
        <v>6</v>
      </c>
      <c r="BF142" t="s">
        <v>6</v>
      </c>
      <c r="BG142" t="s">
        <v>6</v>
      </c>
      <c r="BH142">
        <v>0</v>
      </c>
      <c r="BI142">
        <v>1</v>
      </c>
      <c r="BJ142" t="s">
        <v>395</v>
      </c>
      <c r="BM142">
        <v>15001</v>
      </c>
      <c r="BN142">
        <v>0</v>
      </c>
      <c r="BO142" t="s">
        <v>6</v>
      </c>
      <c r="BP142">
        <v>0</v>
      </c>
      <c r="BQ142">
        <v>2</v>
      </c>
      <c r="BR142">
        <v>0</v>
      </c>
      <c r="BS142">
        <v>6.56</v>
      </c>
      <c r="BT142">
        <v>1</v>
      </c>
      <c r="BU142">
        <v>1</v>
      </c>
      <c r="BV142">
        <v>1</v>
      </c>
      <c r="BW142">
        <v>1</v>
      </c>
      <c r="BX142">
        <v>1</v>
      </c>
      <c r="BY142" t="s">
        <v>6</v>
      </c>
      <c r="BZ142">
        <v>105</v>
      </c>
      <c r="CA142">
        <v>55</v>
      </c>
      <c r="CF142">
        <v>0</v>
      </c>
      <c r="CG142">
        <v>0</v>
      </c>
      <c r="CM142">
        <v>0</v>
      </c>
      <c r="CN142" t="s">
        <v>1609</v>
      </c>
      <c r="CO142">
        <v>0</v>
      </c>
      <c r="CP142">
        <f t="shared" si="136"/>
        <v>6803.42</v>
      </c>
      <c r="CQ142">
        <f t="shared" si="137"/>
        <v>20.860800000000001</v>
      </c>
      <c r="CR142">
        <f t="shared" si="138"/>
        <v>260.36639999999994</v>
      </c>
      <c r="CS142">
        <f t="shared" si="139"/>
        <v>143.7296</v>
      </c>
      <c r="CT142">
        <f t="shared" si="140"/>
        <v>11057.7984</v>
      </c>
      <c r="CU142">
        <f t="shared" si="141"/>
        <v>0</v>
      </c>
      <c r="CV142">
        <f t="shared" si="142"/>
        <v>183.62049999999996</v>
      </c>
      <c r="CW142">
        <f t="shared" si="143"/>
        <v>2.0625</v>
      </c>
      <c r="CX142">
        <f t="shared" si="144"/>
        <v>0</v>
      </c>
      <c r="CY142">
        <f t="shared" si="145"/>
        <v>6384.8739999999998</v>
      </c>
      <c r="CZ142">
        <f t="shared" si="146"/>
        <v>3158.8323999999998</v>
      </c>
      <c r="DC142" t="s">
        <v>6</v>
      </c>
      <c r="DD142" t="s">
        <v>6</v>
      </c>
      <c r="DE142" t="s">
        <v>172</v>
      </c>
      <c r="DF142" t="s">
        <v>172</v>
      </c>
      <c r="DG142" t="s">
        <v>173</v>
      </c>
      <c r="DH142" t="s">
        <v>6</v>
      </c>
      <c r="DI142" t="s">
        <v>173</v>
      </c>
      <c r="DJ142" t="s">
        <v>172</v>
      </c>
      <c r="DK142" t="s">
        <v>6</v>
      </c>
      <c r="DL142" t="s">
        <v>6</v>
      </c>
      <c r="DM142" t="s">
        <v>6</v>
      </c>
      <c r="DN142">
        <v>0</v>
      </c>
      <c r="DO142">
        <v>0</v>
      </c>
      <c r="DP142">
        <v>1</v>
      </c>
      <c r="DQ142">
        <v>1</v>
      </c>
      <c r="DU142">
        <v>1005</v>
      </c>
      <c r="DV142" t="s">
        <v>20</v>
      </c>
      <c r="DW142" t="s">
        <v>20</v>
      </c>
      <c r="DX142">
        <v>100</v>
      </c>
      <c r="EE142">
        <v>16510513</v>
      </c>
      <c r="EF142">
        <v>2</v>
      </c>
      <c r="EG142" t="s">
        <v>22</v>
      </c>
      <c r="EH142">
        <v>0</v>
      </c>
      <c r="EI142" t="s">
        <v>6</v>
      </c>
      <c r="EJ142">
        <v>1</v>
      </c>
      <c r="EK142">
        <v>15001</v>
      </c>
      <c r="EL142" t="s">
        <v>212</v>
      </c>
      <c r="EM142" t="s">
        <v>213</v>
      </c>
      <c r="EO142" t="s">
        <v>176</v>
      </c>
      <c r="EQ142">
        <v>131072</v>
      </c>
      <c r="ER142">
        <v>1500.7</v>
      </c>
      <c r="ES142">
        <v>3.18</v>
      </c>
      <c r="ET142">
        <v>31.75</v>
      </c>
      <c r="EU142">
        <v>17.53</v>
      </c>
      <c r="EV142">
        <v>1465.77</v>
      </c>
      <c r="EW142">
        <v>159.66999999999999</v>
      </c>
      <c r="EX142">
        <v>1.65</v>
      </c>
      <c r="EY142">
        <v>0</v>
      </c>
      <c r="FQ142">
        <v>0</v>
      </c>
      <c r="FR142">
        <f t="shared" si="147"/>
        <v>0</v>
      </c>
      <c r="FS142">
        <v>0</v>
      </c>
      <c r="FT142" t="s">
        <v>25</v>
      </c>
      <c r="FU142" t="s">
        <v>26</v>
      </c>
      <c r="FX142">
        <v>94.5</v>
      </c>
      <c r="FY142">
        <v>46.75</v>
      </c>
      <c r="GA142" t="s">
        <v>6</v>
      </c>
      <c r="GD142">
        <v>0</v>
      </c>
      <c r="GF142">
        <v>2062515713</v>
      </c>
      <c r="GG142">
        <v>1</v>
      </c>
      <c r="GH142">
        <v>1</v>
      </c>
      <c r="GI142">
        <v>4</v>
      </c>
      <c r="GJ142">
        <v>0</v>
      </c>
      <c r="GK142">
        <f>ROUND(R142*(R12)/100,2)</f>
        <v>0</v>
      </c>
      <c r="GL142">
        <f t="shared" si="148"/>
        <v>0</v>
      </c>
      <c r="GM142">
        <f t="shared" si="149"/>
        <v>16347.12</v>
      </c>
      <c r="GN142">
        <f t="shared" si="150"/>
        <v>16347.12</v>
      </c>
      <c r="GO142">
        <f t="shared" si="151"/>
        <v>0</v>
      </c>
      <c r="GP142">
        <f t="shared" si="152"/>
        <v>0</v>
      </c>
      <c r="GR142">
        <v>0</v>
      </c>
      <c r="GS142">
        <v>3</v>
      </c>
      <c r="GT142">
        <v>0</v>
      </c>
      <c r="GU142" t="s">
        <v>6</v>
      </c>
      <c r="GV142">
        <f t="shared" si="153"/>
        <v>0</v>
      </c>
      <c r="GW142">
        <v>1</v>
      </c>
      <c r="GX142">
        <f t="shared" si="154"/>
        <v>0</v>
      </c>
      <c r="HA142">
        <v>0</v>
      </c>
      <c r="HB142">
        <v>0</v>
      </c>
      <c r="IK142">
        <v>0</v>
      </c>
    </row>
    <row r="143" spans="1:245" x14ac:dyDescent="0.2">
      <c r="A143">
        <v>18</v>
      </c>
      <c r="B143">
        <v>1</v>
      </c>
      <c r="C143">
        <v>222</v>
      </c>
      <c r="E143" t="s">
        <v>396</v>
      </c>
      <c r="F143" t="s">
        <v>343</v>
      </c>
      <c r="G143" t="s">
        <v>397</v>
      </c>
      <c r="H143" t="s">
        <v>71</v>
      </c>
      <c r="I143">
        <f>I142*J143</f>
        <v>0.03</v>
      </c>
      <c r="J143">
        <v>0.05</v>
      </c>
      <c r="O143">
        <f t="shared" si="121"/>
        <v>0</v>
      </c>
      <c r="P143">
        <f t="shared" si="122"/>
        <v>0</v>
      </c>
      <c r="Q143">
        <f t="shared" si="123"/>
        <v>0</v>
      </c>
      <c r="R143">
        <f t="shared" si="124"/>
        <v>0</v>
      </c>
      <c r="S143">
        <f t="shared" si="125"/>
        <v>0</v>
      </c>
      <c r="T143">
        <f t="shared" si="126"/>
        <v>0</v>
      </c>
      <c r="U143">
        <f t="shared" si="127"/>
        <v>0</v>
      </c>
      <c r="V143">
        <f t="shared" si="128"/>
        <v>0</v>
      </c>
      <c r="W143">
        <f t="shared" si="129"/>
        <v>0</v>
      </c>
      <c r="X143">
        <f t="shared" si="130"/>
        <v>0</v>
      </c>
      <c r="Y143">
        <f t="shared" si="131"/>
        <v>0</v>
      </c>
      <c r="AA143">
        <v>16748969</v>
      </c>
      <c r="AB143">
        <f t="shared" si="132"/>
        <v>0</v>
      </c>
      <c r="AC143">
        <f t="shared" si="133"/>
        <v>0</v>
      </c>
      <c r="AD143">
        <f t="shared" ref="AD143:AD148" si="155">ROUND((((ET143)-(EU143))+AE143),2)</f>
        <v>0</v>
      </c>
      <c r="AE143">
        <f t="shared" ref="AE143:AF148" si="156">ROUND((EU143),2)</f>
        <v>0</v>
      </c>
      <c r="AF143">
        <f t="shared" si="156"/>
        <v>0</v>
      </c>
      <c r="AG143">
        <f t="shared" si="134"/>
        <v>0</v>
      </c>
      <c r="AH143">
        <f t="shared" ref="AH143:AI148" si="157">(EW143)</f>
        <v>0</v>
      </c>
      <c r="AI143">
        <f t="shared" si="157"/>
        <v>0</v>
      </c>
      <c r="AJ143">
        <f t="shared" si="135"/>
        <v>0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95</v>
      </c>
      <c r="AU143">
        <v>47</v>
      </c>
      <c r="AV143">
        <v>1</v>
      </c>
      <c r="AW143">
        <v>1</v>
      </c>
      <c r="AZ143">
        <v>6.56</v>
      </c>
      <c r="BA143">
        <v>1</v>
      </c>
      <c r="BB143">
        <v>1</v>
      </c>
      <c r="BC143">
        <v>6.56</v>
      </c>
      <c r="BD143" t="s">
        <v>6</v>
      </c>
      <c r="BE143" t="s">
        <v>6</v>
      </c>
      <c r="BF143" t="s">
        <v>6</v>
      </c>
      <c r="BG143" t="s">
        <v>6</v>
      </c>
      <c r="BH143">
        <v>3</v>
      </c>
      <c r="BI143">
        <v>1</v>
      </c>
      <c r="BJ143" t="s">
        <v>6</v>
      </c>
      <c r="BM143">
        <v>15001</v>
      </c>
      <c r="BN143">
        <v>0</v>
      </c>
      <c r="BO143" t="s">
        <v>6</v>
      </c>
      <c r="BP143">
        <v>0</v>
      </c>
      <c r="BQ143">
        <v>2</v>
      </c>
      <c r="BR143">
        <v>0</v>
      </c>
      <c r="BS143">
        <v>1</v>
      </c>
      <c r="BT143">
        <v>1</v>
      </c>
      <c r="BU143">
        <v>1</v>
      </c>
      <c r="BV143">
        <v>1</v>
      </c>
      <c r="BW143">
        <v>1</v>
      </c>
      <c r="BX143">
        <v>1</v>
      </c>
      <c r="BY143" t="s">
        <v>6</v>
      </c>
      <c r="BZ143">
        <v>105</v>
      </c>
      <c r="CA143">
        <v>55</v>
      </c>
      <c r="CF143">
        <v>0</v>
      </c>
      <c r="CG143">
        <v>0</v>
      </c>
      <c r="CM143">
        <v>0</v>
      </c>
      <c r="CN143" t="s">
        <v>6</v>
      </c>
      <c r="CO143">
        <v>0</v>
      </c>
      <c r="CP143">
        <f t="shared" si="136"/>
        <v>0</v>
      </c>
      <c r="CQ143">
        <f t="shared" si="137"/>
        <v>0</v>
      </c>
      <c r="CR143">
        <f t="shared" si="138"/>
        <v>0</v>
      </c>
      <c r="CS143">
        <f t="shared" si="139"/>
        <v>0</v>
      </c>
      <c r="CT143">
        <f t="shared" si="140"/>
        <v>0</v>
      </c>
      <c r="CU143">
        <f t="shared" si="141"/>
        <v>0</v>
      </c>
      <c r="CV143">
        <f t="shared" si="142"/>
        <v>0</v>
      </c>
      <c r="CW143">
        <f t="shared" si="143"/>
        <v>0</v>
      </c>
      <c r="CX143">
        <f t="shared" si="144"/>
        <v>0</v>
      </c>
      <c r="CY143">
        <f t="shared" si="145"/>
        <v>0</v>
      </c>
      <c r="CZ143">
        <f t="shared" si="146"/>
        <v>0</v>
      </c>
      <c r="DC143" t="s">
        <v>6</v>
      </c>
      <c r="DD143" t="s">
        <v>6</v>
      </c>
      <c r="DE143" t="s">
        <v>6</v>
      </c>
      <c r="DF143" t="s">
        <v>6</v>
      </c>
      <c r="DG143" t="s">
        <v>6</v>
      </c>
      <c r="DH143" t="s">
        <v>6</v>
      </c>
      <c r="DI143" t="s">
        <v>6</v>
      </c>
      <c r="DJ143" t="s">
        <v>6</v>
      </c>
      <c r="DK143" t="s">
        <v>6</v>
      </c>
      <c r="DL143" t="s">
        <v>6</v>
      </c>
      <c r="DM143" t="s">
        <v>6</v>
      </c>
      <c r="DN143">
        <v>0</v>
      </c>
      <c r="DO143">
        <v>0</v>
      </c>
      <c r="DP143">
        <v>1</v>
      </c>
      <c r="DQ143">
        <v>1</v>
      </c>
      <c r="DU143">
        <v>1009</v>
      </c>
      <c r="DV143" t="s">
        <v>71</v>
      </c>
      <c r="DW143" t="s">
        <v>71</v>
      </c>
      <c r="DX143">
        <v>1000</v>
      </c>
      <c r="EE143">
        <v>16510513</v>
      </c>
      <c r="EF143">
        <v>2</v>
      </c>
      <c r="EG143" t="s">
        <v>22</v>
      </c>
      <c r="EH143">
        <v>0</v>
      </c>
      <c r="EI143" t="s">
        <v>6</v>
      </c>
      <c r="EJ143">
        <v>1</v>
      </c>
      <c r="EK143">
        <v>15001</v>
      </c>
      <c r="EL143" t="s">
        <v>212</v>
      </c>
      <c r="EM143" t="s">
        <v>213</v>
      </c>
      <c r="EO143" t="s">
        <v>6</v>
      </c>
      <c r="EQ143">
        <v>0</v>
      </c>
      <c r="ER143">
        <v>0</v>
      </c>
      <c r="ES143">
        <v>0</v>
      </c>
      <c r="ET143">
        <v>0</v>
      </c>
      <c r="EU143">
        <v>0</v>
      </c>
      <c r="EV143">
        <v>0</v>
      </c>
      <c r="EW143">
        <v>0</v>
      </c>
      <c r="EX143">
        <v>0</v>
      </c>
      <c r="FQ143">
        <v>0</v>
      </c>
      <c r="FR143">
        <f t="shared" si="147"/>
        <v>0</v>
      </c>
      <c r="FS143">
        <v>0</v>
      </c>
      <c r="FT143" t="s">
        <v>25</v>
      </c>
      <c r="FU143" t="s">
        <v>26</v>
      </c>
      <c r="FX143">
        <v>94.5</v>
      </c>
      <c r="FY143">
        <v>46.75</v>
      </c>
      <c r="GA143" t="s">
        <v>6</v>
      </c>
      <c r="GD143">
        <v>0</v>
      </c>
      <c r="GF143">
        <v>1531120620</v>
      </c>
      <c r="GG143">
        <v>1</v>
      </c>
      <c r="GH143">
        <v>1</v>
      </c>
      <c r="GI143">
        <v>4</v>
      </c>
      <c r="GJ143">
        <v>0</v>
      </c>
      <c r="GK143">
        <f>ROUND(R143*(R12)/100,2)</f>
        <v>0</v>
      </c>
      <c r="GL143">
        <f t="shared" si="148"/>
        <v>0</v>
      </c>
      <c r="GM143">
        <f t="shared" si="149"/>
        <v>0</v>
      </c>
      <c r="GN143">
        <f t="shared" si="150"/>
        <v>0</v>
      </c>
      <c r="GO143">
        <f t="shared" si="151"/>
        <v>0</v>
      </c>
      <c r="GP143">
        <f t="shared" si="152"/>
        <v>0</v>
      </c>
      <c r="GR143">
        <v>0</v>
      </c>
      <c r="GS143">
        <v>3</v>
      </c>
      <c r="GT143">
        <v>0</v>
      </c>
      <c r="GU143" t="s">
        <v>6</v>
      </c>
      <c r="GV143">
        <f t="shared" si="153"/>
        <v>0</v>
      </c>
      <c r="GW143">
        <v>1</v>
      </c>
      <c r="GX143">
        <f t="shared" si="154"/>
        <v>0</v>
      </c>
      <c r="HA143">
        <v>0</v>
      </c>
      <c r="HB143">
        <v>0</v>
      </c>
      <c r="IK143">
        <v>0</v>
      </c>
    </row>
    <row r="144" spans="1:245" x14ac:dyDescent="0.2">
      <c r="A144">
        <v>18</v>
      </c>
      <c r="B144">
        <v>1</v>
      </c>
      <c r="C144">
        <v>223</v>
      </c>
      <c r="E144" t="s">
        <v>398</v>
      </c>
      <c r="F144" t="s">
        <v>399</v>
      </c>
      <c r="G144" t="s">
        <v>400</v>
      </c>
      <c r="H144" t="s">
        <v>71</v>
      </c>
      <c r="I144">
        <f>I142*J144</f>
        <v>0.03</v>
      </c>
      <c r="J144">
        <v>0.05</v>
      </c>
      <c r="O144">
        <f t="shared" si="121"/>
        <v>1771.2</v>
      </c>
      <c r="P144">
        <f t="shared" si="122"/>
        <v>1771.2</v>
      </c>
      <c r="Q144">
        <f t="shared" si="123"/>
        <v>0</v>
      </c>
      <c r="R144">
        <f t="shared" si="124"/>
        <v>0</v>
      </c>
      <c r="S144">
        <f t="shared" si="125"/>
        <v>0</v>
      </c>
      <c r="T144">
        <f t="shared" si="126"/>
        <v>0</v>
      </c>
      <c r="U144">
        <f t="shared" si="127"/>
        <v>0</v>
      </c>
      <c r="V144">
        <f t="shared" si="128"/>
        <v>0</v>
      </c>
      <c r="W144">
        <f t="shared" si="129"/>
        <v>0</v>
      </c>
      <c r="X144">
        <f t="shared" si="130"/>
        <v>0</v>
      </c>
      <c r="Y144">
        <f t="shared" si="131"/>
        <v>0</v>
      </c>
      <c r="AA144">
        <v>16748969</v>
      </c>
      <c r="AB144">
        <f t="shared" si="132"/>
        <v>9000</v>
      </c>
      <c r="AC144">
        <f t="shared" si="133"/>
        <v>9000</v>
      </c>
      <c r="AD144">
        <f t="shared" si="155"/>
        <v>0</v>
      </c>
      <c r="AE144">
        <f t="shared" si="156"/>
        <v>0</v>
      </c>
      <c r="AF144">
        <f t="shared" si="156"/>
        <v>0</v>
      </c>
      <c r="AG144">
        <f t="shared" si="134"/>
        <v>0</v>
      </c>
      <c r="AH144">
        <f t="shared" si="157"/>
        <v>0</v>
      </c>
      <c r="AI144">
        <f t="shared" si="157"/>
        <v>0</v>
      </c>
      <c r="AJ144">
        <f t="shared" si="135"/>
        <v>0</v>
      </c>
      <c r="AK144">
        <v>9000</v>
      </c>
      <c r="AL144">
        <v>9000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  <c r="AS144">
        <v>0</v>
      </c>
      <c r="AT144">
        <v>95</v>
      </c>
      <c r="AU144">
        <v>47</v>
      </c>
      <c r="AV144">
        <v>1</v>
      </c>
      <c r="AW144">
        <v>1</v>
      </c>
      <c r="AZ144">
        <v>6.56</v>
      </c>
      <c r="BA144">
        <v>1</v>
      </c>
      <c r="BB144">
        <v>1</v>
      </c>
      <c r="BC144">
        <v>6.56</v>
      </c>
      <c r="BD144" t="s">
        <v>6</v>
      </c>
      <c r="BE144" t="s">
        <v>6</v>
      </c>
      <c r="BF144" t="s">
        <v>6</v>
      </c>
      <c r="BG144" t="s">
        <v>6</v>
      </c>
      <c r="BH144">
        <v>3</v>
      </c>
      <c r="BI144">
        <v>1</v>
      </c>
      <c r="BJ144" t="s">
        <v>401</v>
      </c>
      <c r="BM144">
        <v>15001</v>
      </c>
      <c r="BN144">
        <v>0</v>
      </c>
      <c r="BO144" t="s">
        <v>6</v>
      </c>
      <c r="BP144">
        <v>0</v>
      </c>
      <c r="BQ144">
        <v>2</v>
      </c>
      <c r="BR144">
        <v>0</v>
      </c>
      <c r="BS144">
        <v>1</v>
      </c>
      <c r="BT144">
        <v>1</v>
      </c>
      <c r="BU144">
        <v>1</v>
      </c>
      <c r="BV144">
        <v>1</v>
      </c>
      <c r="BW144">
        <v>1</v>
      </c>
      <c r="BX144">
        <v>1</v>
      </c>
      <c r="BY144" t="s">
        <v>6</v>
      </c>
      <c r="BZ144">
        <v>105</v>
      </c>
      <c r="CA144">
        <v>55</v>
      </c>
      <c r="CF144">
        <v>0</v>
      </c>
      <c r="CG144">
        <v>0</v>
      </c>
      <c r="CM144">
        <v>0</v>
      </c>
      <c r="CN144" t="s">
        <v>6</v>
      </c>
      <c r="CO144">
        <v>0</v>
      </c>
      <c r="CP144">
        <f t="shared" si="136"/>
        <v>1771.2</v>
      </c>
      <c r="CQ144">
        <f t="shared" si="137"/>
        <v>59040</v>
      </c>
      <c r="CR144">
        <f t="shared" si="138"/>
        <v>0</v>
      </c>
      <c r="CS144">
        <f t="shared" si="139"/>
        <v>0</v>
      </c>
      <c r="CT144">
        <f t="shared" si="140"/>
        <v>0</v>
      </c>
      <c r="CU144">
        <f t="shared" si="141"/>
        <v>0</v>
      </c>
      <c r="CV144">
        <f t="shared" si="142"/>
        <v>0</v>
      </c>
      <c r="CW144">
        <f t="shared" si="143"/>
        <v>0</v>
      </c>
      <c r="CX144">
        <f t="shared" si="144"/>
        <v>0</v>
      </c>
      <c r="CY144">
        <f t="shared" si="145"/>
        <v>0</v>
      </c>
      <c r="CZ144">
        <f t="shared" si="146"/>
        <v>0</v>
      </c>
      <c r="DC144" t="s">
        <v>6</v>
      </c>
      <c r="DD144" t="s">
        <v>6</v>
      </c>
      <c r="DE144" t="s">
        <v>6</v>
      </c>
      <c r="DF144" t="s">
        <v>6</v>
      </c>
      <c r="DG144" t="s">
        <v>6</v>
      </c>
      <c r="DH144" t="s">
        <v>6</v>
      </c>
      <c r="DI144" t="s">
        <v>6</v>
      </c>
      <c r="DJ144" t="s">
        <v>6</v>
      </c>
      <c r="DK144" t="s">
        <v>6</v>
      </c>
      <c r="DL144" t="s">
        <v>6</v>
      </c>
      <c r="DM144" t="s">
        <v>6</v>
      </c>
      <c r="DN144">
        <v>0</v>
      </c>
      <c r="DO144">
        <v>0</v>
      </c>
      <c r="DP144">
        <v>1</v>
      </c>
      <c r="DQ144">
        <v>1</v>
      </c>
      <c r="DU144">
        <v>1009</v>
      </c>
      <c r="DV144" t="s">
        <v>71</v>
      </c>
      <c r="DW144" t="s">
        <v>71</v>
      </c>
      <c r="DX144">
        <v>1000</v>
      </c>
      <c r="EE144">
        <v>16510513</v>
      </c>
      <c r="EF144">
        <v>2</v>
      </c>
      <c r="EG144" t="s">
        <v>22</v>
      </c>
      <c r="EH144">
        <v>0</v>
      </c>
      <c r="EI144" t="s">
        <v>6</v>
      </c>
      <c r="EJ144">
        <v>1</v>
      </c>
      <c r="EK144">
        <v>15001</v>
      </c>
      <c r="EL144" t="s">
        <v>212</v>
      </c>
      <c r="EM144" t="s">
        <v>213</v>
      </c>
      <c r="EO144" t="s">
        <v>6</v>
      </c>
      <c r="EQ144">
        <v>0</v>
      </c>
      <c r="ER144">
        <v>9000</v>
      </c>
      <c r="ES144">
        <v>9000</v>
      </c>
      <c r="ET144">
        <v>0</v>
      </c>
      <c r="EU144">
        <v>0</v>
      </c>
      <c r="EV144">
        <v>0</v>
      </c>
      <c r="EW144">
        <v>0</v>
      </c>
      <c r="EX144">
        <v>0</v>
      </c>
      <c r="FQ144">
        <v>0</v>
      </c>
      <c r="FR144">
        <f t="shared" si="147"/>
        <v>0</v>
      </c>
      <c r="FS144">
        <v>0</v>
      </c>
      <c r="FT144" t="s">
        <v>25</v>
      </c>
      <c r="FU144" t="s">
        <v>26</v>
      </c>
      <c r="FX144">
        <v>94.5</v>
      </c>
      <c r="FY144">
        <v>46.75</v>
      </c>
      <c r="GA144" t="s">
        <v>6</v>
      </c>
      <c r="GD144">
        <v>0</v>
      </c>
      <c r="GF144">
        <v>-195795605</v>
      </c>
      <c r="GG144">
        <v>1</v>
      </c>
      <c r="GH144">
        <v>1</v>
      </c>
      <c r="GI144">
        <v>4</v>
      </c>
      <c r="GJ144">
        <v>0</v>
      </c>
      <c r="GK144">
        <f>ROUND(R144*(R12)/100,2)</f>
        <v>0</v>
      </c>
      <c r="GL144">
        <f t="shared" si="148"/>
        <v>0</v>
      </c>
      <c r="GM144">
        <f t="shared" si="149"/>
        <v>1771.2</v>
      </c>
      <c r="GN144">
        <f t="shared" si="150"/>
        <v>1771.2</v>
      </c>
      <c r="GO144">
        <f t="shared" si="151"/>
        <v>0</v>
      </c>
      <c r="GP144">
        <f t="shared" si="152"/>
        <v>0</v>
      </c>
      <c r="GR144">
        <v>0</v>
      </c>
      <c r="GS144">
        <v>3</v>
      </c>
      <c r="GT144">
        <v>0</v>
      </c>
      <c r="GU144" t="s">
        <v>6</v>
      </c>
      <c r="GV144">
        <f t="shared" si="153"/>
        <v>0</v>
      </c>
      <c r="GW144">
        <v>1</v>
      </c>
      <c r="GX144">
        <f t="shared" si="154"/>
        <v>0</v>
      </c>
      <c r="HA144">
        <v>0</v>
      </c>
      <c r="HB144">
        <v>0</v>
      </c>
      <c r="IK144">
        <v>0</v>
      </c>
    </row>
    <row r="145" spans="1:245" x14ac:dyDescent="0.2">
      <c r="A145">
        <v>18</v>
      </c>
      <c r="B145">
        <v>1</v>
      </c>
      <c r="C145">
        <v>224</v>
      </c>
      <c r="E145" t="s">
        <v>402</v>
      </c>
      <c r="F145" t="s">
        <v>403</v>
      </c>
      <c r="G145" t="s">
        <v>404</v>
      </c>
      <c r="H145" t="s">
        <v>89</v>
      </c>
      <c r="I145">
        <f>I142*J145</f>
        <v>60</v>
      </c>
      <c r="J145">
        <v>100</v>
      </c>
      <c r="O145">
        <f t="shared" si="121"/>
        <v>42556.03</v>
      </c>
      <c r="P145">
        <f t="shared" si="122"/>
        <v>42556.03</v>
      </c>
      <c r="Q145">
        <f t="shared" si="123"/>
        <v>0</v>
      </c>
      <c r="R145">
        <f t="shared" si="124"/>
        <v>0</v>
      </c>
      <c r="S145">
        <f t="shared" si="125"/>
        <v>0</v>
      </c>
      <c r="T145">
        <f t="shared" si="126"/>
        <v>0</v>
      </c>
      <c r="U145">
        <f t="shared" si="127"/>
        <v>0</v>
      </c>
      <c r="V145">
        <f t="shared" si="128"/>
        <v>0</v>
      </c>
      <c r="W145">
        <f t="shared" si="129"/>
        <v>0</v>
      </c>
      <c r="X145">
        <f t="shared" si="130"/>
        <v>0</v>
      </c>
      <c r="Y145">
        <f t="shared" si="131"/>
        <v>0</v>
      </c>
      <c r="AA145">
        <v>16748969</v>
      </c>
      <c r="AB145">
        <f t="shared" si="132"/>
        <v>108.12</v>
      </c>
      <c r="AC145">
        <f t="shared" si="133"/>
        <v>108.12</v>
      </c>
      <c r="AD145">
        <f t="shared" si="155"/>
        <v>0</v>
      </c>
      <c r="AE145">
        <f t="shared" si="156"/>
        <v>0</v>
      </c>
      <c r="AF145">
        <f t="shared" si="156"/>
        <v>0</v>
      </c>
      <c r="AG145">
        <f t="shared" si="134"/>
        <v>0</v>
      </c>
      <c r="AH145">
        <f t="shared" si="157"/>
        <v>0</v>
      </c>
      <c r="AI145">
        <f t="shared" si="157"/>
        <v>0</v>
      </c>
      <c r="AJ145">
        <f t="shared" si="135"/>
        <v>0</v>
      </c>
      <c r="AK145">
        <v>108.12</v>
      </c>
      <c r="AL145">
        <v>108.12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95</v>
      </c>
      <c r="AU145">
        <v>47</v>
      </c>
      <c r="AV145">
        <v>1</v>
      </c>
      <c r="AW145">
        <v>1</v>
      </c>
      <c r="AZ145">
        <v>6.56</v>
      </c>
      <c r="BA145">
        <v>1</v>
      </c>
      <c r="BB145">
        <v>1</v>
      </c>
      <c r="BC145">
        <v>6.56</v>
      </c>
      <c r="BD145" t="s">
        <v>6</v>
      </c>
      <c r="BE145" t="s">
        <v>6</v>
      </c>
      <c r="BF145" t="s">
        <v>6</v>
      </c>
      <c r="BG145" t="s">
        <v>6</v>
      </c>
      <c r="BH145">
        <v>3</v>
      </c>
      <c r="BI145">
        <v>1</v>
      </c>
      <c r="BJ145" t="s">
        <v>405</v>
      </c>
      <c r="BM145">
        <v>15001</v>
      </c>
      <c r="BN145">
        <v>0</v>
      </c>
      <c r="BO145" t="s">
        <v>6</v>
      </c>
      <c r="BP145">
        <v>0</v>
      </c>
      <c r="BQ145">
        <v>2</v>
      </c>
      <c r="BR145">
        <v>0</v>
      </c>
      <c r="BS145">
        <v>1</v>
      </c>
      <c r="BT145">
        <v>1</v>
      </c>
      <c r="BU145">
        <v>1</v>
      </c>
      <c r="BV145">
        <v>1</v>
      </c>
      <c r="BW145">
        <v>1</v>
      </c>
      <c r="BX145">
        <v>1</v>
      </c>
      <c r="BY145" t="s">
        <v>6</v>
      </c>
      <c r="BZ145">
        <v>105</v>
      </c>
      <c r="CA145">
        <v>55</v>
      </c>
      <c r="CF145">
        <v>0</v>
      </c>
      <c r="CG145">
        <v>0</v>
      </c>
      <c r="CM145">
        <v>0</v>
      </c>
      <c r="CN145" t="s">
        <v>6</v>
      </c>
      <c r="CO145">
        <v>0</v>
      </c>
      <c r="CP145">
        <f t="shared" si="136"/>
        <v>42556.03</v>
      </c>
      <c r="CQ145">
        <f t="shared" si="137"/>
        <v>709.2672</v>
      </c>
      <c r="CR145">
        <f t="shared" si="138"/>
        <v>0</v>
      </c>
      <c r="CS145">
        <f t="shared" si="139"/>
        <v>0</v>
      </c>
      <c r="CT145">
        <f t="shared" si="140"/>
        <v>0</v>
      </c>
      <c r="CU145">
        <f t="shared" si="141"/>
        <v>0</v>
      </c>
      <c r="CV145">
        <f t="shared" si="142"/>
        <v>0</v>
      </c>
      <c r="CW145">
        <f t="shared" si="143"/>
        <v>0</v>
      </c>
      <c r="CX145">
        <f t="shared" si="144"/>
        <v>0</v>
      </c>
      <c r="CY145">
        <f t="shared" si="145"/>
        <v>0</v>
      </c>
      <c r="CZ145">
        <f t="shared" si="146"/>
        <v>0</v>
      </c>
      <c r="DC145" t="s">
        <v>6</v>
      </c>
      <c r="DD145" t="s">
        <v>6</v>
      </c>
      <c r="DE145" t="s">
        <v>6</v>
      </c>
      <c r="DF145" t="s">
        <v>6</v>
      </c>
      <c r="DG145" t="s">
        <v>6</v>
      </c>
      <c r="DH145" t="s">
        <v>6</v>
      </c>
      <c r="DI145" t="s">
        <v>6</v>
      </c>
      <c r="DJ145" t="s">
        <v>6</v>
      </c>
      <c r="DK145" t="s">
        <v>6</v>
      </c>
      <c r="DL145" t="s">
        <v>6</v>
      </c>
      <c r="DM145" t="s">
        <v>6</v>
      </c>
      <c r="DN145">
        <v>0</v>
      </c>
      <c r="DO145">
        <v>0</v>
      </c>
      <c r="DP145">
        <v>1</v>
      </c>
      <c r="DQ145">
        <v>1</v>
      </c>
      <c r="DU145">
        <v>1005</v>
      </c>
      <c r="DV145" t="s">
        <v>89</v>
      </c>
      <c r="DW145" t="s">
        <v>89</v>
      </c>
      <c r="DX145">
        <v>1</v>
      </c>
      <c r="EE145">
        <v>16510513</v>
      </c>
      <c r="EF145">
        <v>2</v>
      </c>
      <c r="EG145" t="s">
        <v>22</v>
      </c>
      <c r="EH145">
        <v>0</v>
      </c>
      <c r="EI145" t="s">
        <v>6</v>
      </c>
      <c r="EJ145">
        <v>1</v>
      </c>
      <c r="EK145">
        <v>15001</v>
      </c>
      <c r="EL145" t="s">
        <v>212</v>
      </c>
      <c r="EM145" t="s">
        <v>213</v>
      </c>
      <c r="EO145" t="s">
        <v>6</v>
      </c>
      <c r="EQ145">
        <v>0</v>
      </c>
      <c r="ER145">
        <v>108.12</v>
      </c>
      <c r="ES145">
        <v>108.12</v>
      </c>
      <c r="ET145">
        <v>0</v>
      </c>
      <c r="EU145">
        <v>0</v>
      </c>
      <c r="EV145">
        <v>0</v>
      </c>
      <c r="EW145">
        <v>0</v>
      </c>
      <c r="EX145">
        <v>0</v>
      </c>
      <c r="FQ145">
        <v>0</v>
      </c>
      <c r="FR145">
        <f t="shared" si="147"/>
        <v>0</v>
      </c>
      <c r="FS145">
        <v>0</v>
      </c>
      <c r="FT145" t="s">
        <v>25</v>
      </c>
      <c r="FU145" t="s">
        <v>26</v>
      </c>
      <c r="FX145">
        <v>94.5</v>
      </c>
      <c r="FY145">
        <v>46.75</v>
      </c>
      <c r="GA145" t="s">
        <v>6</v>
      </c>
      <c r="GD145">
        <v>0</v>
      </c>
      <c r="GF145">
        <v>-1231952768</v>
      </c>
      <c r="GG145">
        <v>1</v>
      </c>
      <c r="GH145">
        <v>1</v>
      </c>
      <c r="GI145">
        <v>4</v>
      </c>
      <c r="GJ145">
        <v>0</v>
      </c>
      <c r="GK145">
        <f>ROUND(R145*(R12)/100,2)</f>
        <v>0</v>
      </c>
      <c r="GL145">
        <f t="shared" si="148"/>
        <v>0</v>
      </c>
      <c r="GM145">
        <f t="shared" si="149"/>
        <v>42556.03</v>
      </c>
      <c r="GN145">
        <f t="shared" si="150"/>
        <v>42556.03</v>
      </c>
      <c r="GO145">
        <f t="shared" si="151"/>
        <v>0</v>
      </c>
      <c r="GP145">
        <f t="shared" si="152"/>
        <v>0</v>
      </c>
      <c r="GR145">
        <v>0</v>
      </c>
      <c r="GS145">
        <v>3</v>
      </c>
      <c r="GT145">
        <v>0</v>
      </c>
      <c r="GU145" t="s">
        <v>6</v>
      </c>
      <c r="GV145">
        <f t="shared" si="153"/>
        <v>0</v>
      </c>
      <c r="GW145">
        <v>1</v>
      </c>
      <c r="GX145">
        <f t="shared" si="154"/>
        <v>0</v>
      </c>
      <c r="HA145">
        <v>0</v>
      </c>
      <c r="HB145">
        <v>0</v>
      </c>
      <c r="IK145">
        <v>0</v>
      </c>
    </row>
    <row r="146" spans="1:245" x14ac:dyDescent="0.2">
      <c r="A146">
        <v>18</v>
      </c>
      <c r="B146">
        <v>1</v>
      </c>
      <c r="C146">
        <v>227</v>
      </c>
      <c r="E146" t="s">
        <v>406</v>
      </c>
      <c r="F146" t="s">
        <v>407</v>
      </c>
      <c r="G146" t="s">
        <v>408</v>
      </c>
      <c r="H146" t="s">
        <v>71</v>
      </c>
      <c r="I146">
        <f>I142*J146</f>
        <v>0.22499999999999998</v>
      </c>
      <c r="J146">
        <v>0.375</v>
      </c>
      <c r="O146">
        <f t="shared" si="121"/>
        <v>8276.94</v>
      </c>
      <c r="P146">
        <f t="shared" si="122"/>
        <v>8276.94</v>
      </c>
      <c r="Q146">
        <f t="shared" si="123"/>
        <v>0</v>
      </c>
      <c r="R146">
        <f t="shared" si="124"/>
        <v>0</v>
      </c>
      <c r="S146">
        <f t="shared" si="125"/>
        <v>0</v>
      </c>
      <c r="T146">
        <f t="shared" si="126"/>
        <v>0</v>
      </c>
      <c r="U146">
        <f t="shared" si="127"/>
        <v>0</v>
      </c>
      <c r="V146">
        <f t="shared" si="128"/>
        <v>0</v>
      </c>
      <c r="W146">
        <f t="shared" si="129"/>
        <v>0</v>
      </c>
      <c r="X146">
        <f t="shared" si="130"/>
        <v>0</v>
      </c>
      <c r="Y146">
        <f t="shared" si="131"/>
        <v>0</v>
      </c>
      <c r="AA146">
        <v>16748969</v>
      </c>
      <c r="AB146">
        <f t="shared" si="132"/>
        <v>5607.68</v>
      </c>
      <c r="AC146">
        <f t="shared" si="133"/>
        <v>5607.68</v>
      </c>
      <c r="AD146">
        <f t="shared" si="155"/>
        <v>0</v>
      </c>
      <c r="AE146">
        <f t="shared" si="156"/>
        <v>0</v>
      </c>
      <c r="AF146">
        <f t="shared" si="156"/>
        <v>0</v>
      </c>
      <c r="AG146">
        <f t="shared" si="134"/>
        <v>0</v>
      </c>
      <c r="AH146">
        <f t="shared" si="157"/>
        <v>0</v>
      </c>
      <c r="AI146">
        <f t="shared" si="157"/>
        <v>0</v>
      </c>
      <c r="AJ146">
        <f t="shared" si="135"/>
        <v>0</v>
      </c>
      <c r="AK146">
        <v>5607.68</v>
      </c>
      <c r="AL146">
        <v>5607.68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v>95</v>
      </c>
      <c r="AU146">
        <v>47</v>
      </c>
      <c r="AV146">
        <v>1</v>
      </c>
      <c r="AW146">
        <v>1</v>
      </c>
      <c r="AZ146">
        <v>6.56</v>
      </c>
      <c r="BA146">
        <v>1</v>
      </c>
      <c r="BB146">
        <v>1</v>
      </c>
      <c r="BC146">
        <v>6.56</v>
      </c>
      <c r="BD146" t="s">
        <v>6</v>
      </c>
      <c r="BE146" t="s">
        <v>6</v>
      </c>
      <c r="BF146" t="s">
        <v>6</v>
      </c>
      <c r="BG146" t="s">
        <v>6</v>
      </c>
      <c r="BH146">
        <v>3</v>
      </c>
      <c r="BI146">
        <v>1</v>
      </c>
      <c r="BJ146" t="s">
        <v>409</v>
      </c>
      <c r="BM146">
        <v>15001</v>
      </c>
      <c r="BN146">
        <v>0</v>
      </c>
      <c r="BO146" t="s">
        <v>6</v>
      </c>
      <c r="BP146">
        <v>0</v>
      </c>
      <c r="BQ146">
        <v>2</v>
      </c>
      <c r="BR146">
        <v>0</v>
      </c>
      <c r="BS146">
        <v>1</v>
      </c>
      <c r="BT146">
        <v>1</v>
      </c>
      <c r="BU146">
        <v>1</v>
      </c>
      <c r="BV146">
        <v>1</v>
      </c>
      <c r="BW146">
        <v>1</v>
      </c>
      <c r="BX146">
        <v>1</v>
      </c>
      <c r="BY146" t="s">
        <v>6</v>
      </c>
      <c r="BZ146">
        <v>105</v>
      </c>
      <c r="CA146">
        <v>55</v>
      </c>
      <c r="CF146">
        <v>0</v>
      </c>
      <c r="CG146">
        <v>0</v>
      </c>
      <c r="CM146">
        <v>0</v>
      </c>
      <c r="CN146" t="s">
        <v>6</v>
      </c>
      <c r="CO146">
        <v>0</v>
      </c>
      <c r="CP146">
        <f t="shared" si="136"/>
        <v>8276.94</v>
      </c>
      <c r="CQ146">
        <f t="shared" si="137"/>
        <v>36786.380799999999</v>
      </c>
      <c r="CR146">
        <f t="shared" si="138"/>
        <v>0</v>
      </c>
      <c r="CS146">
        <f t="shared" si="139"/>
        <v>0</v>
      </c>
      <c r="CT146">
        <f t="shared" si="140"/>
        <v>0</v>
      </c>
      <c r="CU146">
        <f t="shared" si="141"/>
        <v>0</v>
      </c>
      <c r="CV146">
        <f t="shared" si="142"/>
        <v>0</v>
      </c>
      <c r="CW146">
        <f t="shared" si="143"/>
        <v>0</v>
      </c>
      <c r="CX146">
        <f t="shared" si="144"/>
        <v>0</v>
      </c>
      <c r="CY146">
        <f t="shared" si="145"/>
        <v>0</v>
      </c>
      <c r="CZ146">
        <f t="shared" si="146"/>
        <v>0</v>
      </c>
      <c r="DC146" t="s">
        <v>6</v>
      </c>
      <c r="DD146" t="s">
        <v>6</v>
      </c>
      <c r="DE146" t="s">
        <v>6</v>
      </c>
      <c r="DF146" t="s">
        <v>6</v>
      </c>
      <c r="DG146" t="s">
        <v>6</v>
      </c>
      <c r="DH146" t="s">
        <v>6</v>
      </c>
      <c r="DI146" t="s">
        <v>6</v>
      </c>
      <c r="DJ146" t="s">
        <v>6</v>
      </c>
      <c r="DK146" t="s">
        <v>6</v>
      </c>
      <c r="DL146" t="s">
        <v>6</v>
      </c>
      <c r="DM146" t="s">
        <v>6</v>
      </c>
      <c r="DN146">
        <v>0</v>
      </c>
      <c r="DO146">
        <v>0</v>
      </c>
      <c r="DP146">
        <v>1</v>
      </c>
      <c r="DQ146">
        <v>1</v>
      </c>
      <c r="DU146">
        <v>1009</v>
      </c>
      <c r="DV146" t="s">
        <v>71</v>
      </c>
      <c r="DW146" t="s">
        <v>71</v>
      </c>
      <c r="DX146">
        <v>1000</v>
      </c>
      <c r="EE146">
        <v>16510513</v>
      </c>
      <c r="EF146">
        <v>2</v>
      </c>
      <c r="EG146" t="s">
        <v>22</v>
      </c>
      <c r="EH146">
        <v>0</v>
      </c>
      <c r="EI146" t="s">
        <v>6</v>
      </c>
      <c r="EJ146">
        <v>1</v>
      </c>
      <c r="EK146">
        <v>15001</v>
      </c>
      <c r="EL146" t="s">
        <v>212</v>
      </c>
      <c r="EM146" t="s">
        <v>213</v>
      </c>
      <c r="EO146" t="s">
        <v>6</v>
      </c>
      <c r="EQ146">
        <v>0</v>
      </c>
      <c r="ER146">
        <v>5607.68</v>
      </c>
      <c r="ES146">
        <v>5607.68</v>
      </c>
      <c r="ET146">
        <v>0</v>
      </c>
      <c r="EU146">
        <v>0</v>
      </c>
      <c r="EV146">
        <v>0</v>
      </c>
      <c r="EW146">
        <v>0</v>
      </c>
      <c r="EX146">
        <v>0</v>
      </c>
      <c r="FQ146">
        <v>0</v>
      </c>
      <c r="FR146">
        <f t="shared" si="147"/>
        <v>0</v>
      </c>
      <c r="FS146">
        <v>0</v>
      </c>
      <c r="FT146" t="s">
        <v>25</v>
      </c>
      <c r="FU146" t="s">
        <v>26</v>
      </c>
      <c r="FX146">
        <v>94.5</v>
      </c>
      <c r="FY146">
        <v>46.75</v>
      </c>
      <c r="GA146" t="s">
        <v>6</v>
      </c>
      <c r="GD146">
        <v>0</v>
      </c>
      <c r="GF146">
        <v>43784864</v>
      </c>
      <c r="GG146">
        <v>1</v>
      </c>
      <c r="GH146">
        <v>1</v>
      </c>
      <c r="GI146">
        <v>4</v>
      </c>
      <c r="GJ146">
        <v>0</v>
      </c>
      <c r="GK146">
        <f>ROUND(R146*(R12)/100,2)</f>
        <v>0</v>
      </c>
      <c r="GL146">
        <f t="shared" si="148"/>
        <v>0</v>
      </c>
      <c r="GM146">
        <f t="shared" si="149"/>
        <v>8276.94</v>
      </c>
      <c r="GN146">
        <f t="shared" si="150"/>
        <v>8276.94</v>
      </c>
      <c r="GO146">
        <f t="shared" si="151"/>
        <v>0</v>
      </c>
      <c r="GP146">
        <f t="shared" si="152"/>
        <v>0</v>
      </c>
      <c r="GR146">
        <v>0</v>
      </c>
      <c r="GS146">
        <v>3</v>
      </c>
      <c r="GT146">
        <v>0</v>
      </c>
      <c r="GU146" t="s">
        <v>6</v>
      </c>
      <c r="GV146">
        <f t="shared" si="153"/>
        <v>0</v>
      </c>
      <c r="GW146">
        <v>1</v>
      </c>
      <c r="GX146">
        <f t="shared" si="154"/>
        <v>0</v>
      </c>
      <c r="HA146">
        <v>0</v>
      </c>
      <c r="HB146">
        <v>0</v>
      </c>
      <c r="IK146">
        <v>0</v>
      </c>
    </row>
    <row r="147" spans="1:245" x14ac:dyDescent="0.2">
      <c r="A147">
        <v>18</v>
      </c>
      <c r="B147">
        <v>1</v>
      </c>
      <c r="C147">
        <v>225</v>
      </c>
      <c r="E147" t="s">
        <v>410</v>
      </c>
      <c r="F147" t="s">
        <v>411</v>
      </c>
      <c r="G147" t="s">
        <v>412</v>
      </c>
      <c r="H147" t="s">
        <v>89</v>
      </c>
      <c r="I147">
        <f>I142*J147</f>
        <v>60</v>
      </c>
      <c r="J147">
        <v>100</v>
      </c>
      <c r="O147">
        <f t="shared" si="121"/>
        <v>0</v>
      </c>
      <c r="P147">
        <f t="shared" si="122"/>
        <v>0</v>
      </c>
      <c r="Q147">
        <f t="shared" si="123"/>
        <v>0</v>
      </c>
      <c r="R147">
        <f t="shared" si="124"/>
        <v>0</v>
      </c>
      <c r="S147">
        <f t="shared" si="125"/>
        <v>0</v>
      </c>
      <c r="T147">
        <f t="shared" si="126"/>
        <v>0</v>
      </c>
      <c r="U147">
        <f t="shared" si="127"/>
        <v>0</v>
      </c>
      <c r="V147">
        <f t="shared" si="128"/>
        <v>0</v>
      </c>
      <c r="W147">
        <f t="shared" si="129"/>
        <v>0</v>
      </c>
      <c r="X147">
        <f t="shared" si="130"/>
        <v>0</v>
      </c>
      <c r="Y147">
        <f t="shared" si="131"/>
        <v>0</v>
      </c>
      <c r="AA147">
        <v>16748969</v>
      </c>
      <c r="AB147">
        <f t="shared" si="132"/>
        <v>0</v>
      </c>
      <c r="AC147">
        <f t="shared" si="133"/>
        <v>0</v>
      </c>
      <c r="AD147">
        <f t="shared" si="155"/>
        <v>0</v>
      </c>
      <c r="AE147">
        <f t="shared" si="156"/>
        <v>0</v>
      </c>
      <c r="AF147">
        <f t="shared" si="156"/>
        <v>0</v>
      </c>
      <c r="AG147">
        <f t="shared" si="134"/>
        <v>0</v>
      </c>
      <c r="AH147">
        <f t="shared" si="157"/>
        <v>0</v>
      </c>
      <c r="AI147">
        <f t="shared" si="157"/>
        <v>0</v>
      </c>
      <c r="AJ147">
        <f t="shared" si="135"/>
        <v>0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95</v>
      </c>
      <c r="AU147">
        <v>47</v>
      </c>
      <c r="AV147">
        <v>1</v>
      </c>
      <c r="AW147">
        <v>1</v>
      </c>
      <c r="AZ147">
        <v>6.56</v>
      </c>
      <c r="BA147">
        <v>1</v>
      </c>
      <c r="BB147">
        <v>1</v>
      </c>
      <c r="BC147">
        <v>6.56</v>
      </c>
      <c r="BD147" t="s">
        <v>6</v>
      </c>
      <c r="BE147" t="s">
        <v>6</v>
      </c>
      <c r="BF147" t="s">
        <v>6</v>
      </c>
      <c r="BG147" t="s">
        <v>6</v>
      </c>
      <c r="BH147">
        <v>3</v>
      </c>
      <c r="BI147">
        <v>1</v>
      </c>
      <c r="BJ147" t="s">
        <v>6</v>
      </c>
      <c r="BM147">
        <v>15001</v>
      </c>
      <c r="BN147">
        <v>0</v>
      </c>
      <c r="BO147" t="s">
        <v>6</v>
      </c>
      <c r="BP147">
        <v>0</v>
      </c>
      <c r="BQ147">
        <v>2</v>
      </c>
      <c r="BR147">
        <v>0</v>
      </c>
      <c r="BS147">
        <v>1</v>
      </c>
      <c r="BT147">
        <v>1</v>
      </c>
      <c r="BU147">
        <v>1</v>
      </c>
      <c r="BV147">
        <v>1</v>
      </c>
      <c r="BW147">
        <v>1</v>
      </c>
      <c r="BX147">
        <v>1</v>
      </c>
      <c r="BY147" t="s">
        <v>6</v>
      </c>
      <c r="BZ147">
        <v>105</v>
      </c>
      <c r="CA147">
        <v>55</v>
      </c>
      <c r="CF147">
        <v>0</v>
      </c>
      <c r="CG147">
        <v>0</v>
      </c>
      <c r="CM147">
        <v>0</v>
      </c>
      <c r="CN147" t="s">
        <v>6</v>
      </c>
      <c r="CO147">
        <v>0</v>
      </c>
      <c r="CP147">
        <f t="shared" si="136"/>
        <v>0</v>
      </c>
      <c r="CQ147">
        <f t="shared" si="137"/>
        <v>0</v>
      </c>
      <c r="CR147">
        <f t="shared" si="138"/>
        <v>0</v>
      </c>
      <c r="CS147">
        <f t="shared" si="139"/>
        <v>0</v>
      </c>
      <c r="CT147">
        <f t="shared" si="140"/>
        <v>0</v>
      </c>
      <c r="CU147">
        <f t="shared" si="141"/>
        <v>0</v>
      </c>
      <c r="CV147">
        <f t="shared" si="142"/>
        <v>0</v>
      </c>
      <c r="CW147">
        <f t="shared" si="143"/>
        <v>0</v>
      </c>
      <c r="CX147">
        <f t="shared" si="144"/>
        <v>0</v>
      </c>
      <c r="CY147">
        <f t="shared" si="145"/>
        <v>0</v>
      </c>
      <c r="CZ147">
        <f t="shared" si="146"/>
        <v>0</v>
      </c>
      <c r="DC147" t="s">
        <v>6</v>
      </c>
      <c r="DD147" t="s">
        <v>6</v>
      </c>
      <c r="DE147" t="s">
        <v>6</v>
      </c>
      <c r="DF147" t="s">
        <v>6</v>
      </c>
      <c r="DG147" t="s">
        <v>6</v>
      </c>
      <c r="DH147" t="s">
        <v>6</v>
      </c>
      <c r="DI147" t="s">
        <v>6</v>
      </c>
      <c r="DJ147" t="s">
        <v>6</v>
      </c>
      <c r="DK147" t="s">
        <v>6</v>
      </c>
      <c r="DL147" t="s">
        <v>6</v>
      </c>
      <c r="DM147" t="s">
        <v>6</v>
      </c>
      <c r="DN147">
        <v>0</v>
      </c>
      <c r="DO147">
        <v>0</v>
      </c>
      <c r="DP147">
        <v>1</v>
      </c>
      <c r="DQ147">
        <v>1</v>
      </c>
      <c r="DU147">
        <v>1005</v>
      </c>
      <c r="DV147" t="s">
        <v>89</v>
      </c>
      <c r="DW147" t="s">
        <v>89</v>
      </c>
      <c r="DX147">
        <v>1</v>
      </c>
      <c r="EE147">
        <v>16510513</v>
      </c>
      <c r="EF147">
        <v>2</v>
      </c>
      <c r="EG147" t="s">
        <v>22</v>
      </c>
      <c r="EH147">
        <v>0</v>
      </c>
      <c r="EI147" t="s">
        <v>6</v>
      </c>
      <c r="EJ147">
        <v>1</v>
      </c>
      <c r="EK147">
        <v>15001</v>
      </c>
      <c r="EL147" t="s">
        <v>212</v>
      </c>
      <c r="EM147" t="s">
        <v>213</v>
      </c>
      <c r="EO147" t="s">
        <v>6</v>
      </c>
      <c r="EQ147">
        <v>0</v>
      </c>
      <c r="ER147">
        <v>0</v>
      </c>
      <c r="ES147">
        <v>0</v>
      </c>
      <c r="ET147">
        <v>0</v>
      </c>
      <c r="EU147">
        <v>0</v>
      </c>
      <c r="EV147">
        <v>0</v>
      </c>
      <c r="EW147">
        <v>0</v>
      </c>
      <c r="EX147">
        <v>0</v>
      </c>
      <c r="FQ147">
        <v>0</v>
      </c>
      <c r="FR147">
        <f t="shared" si="147"/>
        <v>0</v>
      </c>
      <c r="FS147">
        <v>0</v>
      </c>
      <c r="FT147" t="s">
        <v>25</v>
      </c>
      <c r="FU147" t="s">
        <v>26</v>
      </c>
      <c r="FX147">
        <v>94.5</v>
      </c>
      <c r="FY147">
        <v>46.75</v>
      </c>
      <c r="GA147" t="s">
        <v>6</v>
      </c>
      <c r="GD147">
        <v>0</v>
      </c>
      <c r="GF147">
        <v>1109111119</v>
      </c>
      <c r="GG147">
        <v>1</v>
      </c>
      <c r="GH147">
        <v>1</v>
      </c>
      <c r="GI147">
        <v>4</v>
      </c>
      <c r="GJ147">
        <v>0</v>
      </c>
      <c r="GK147">
        <f>ROUND(R147*(R12)/100,2)</f>
        <v>0</v>
      </c>
      <c r="GL147">
        <f t="shared" si="148"/>
        <v>0</v>
      </c>
      <c r="GM147">
        <f t="shared" si="149"/>
        <v>0</v>
      </c>
      <c r="GN147">
        <f t="shared" si="150"/>
        <v>0</v>
      </c>
      <c r="GO147">
        <f t="shared" si="151"/>
        <v>0</v>
      </c>
      <c r="GP147">
        <f t="shared" si="152"/>
        <v>0</v>
      </c>
      <c r="GR147">
        <v>0</v>
      </c>
      <c r="GS147">
        <v>3</v>
      </c>
      <c r="GT147">
        <v>0</v>
      </c>
      <c r="GU147" t="s">
        <v>6</v>
      </c>
      <c r="GV147">
        <f t="shared" si="153"/>
        <v>0</v>
      </c>
      <c r="GW147">
        <v>1</v>
      </c>
      <c r="GX147">
        <f t="shared" si="154"/>
        <v>0</v>
      </c>
      <c r="HA147">
        <v>0</v>
      </c>
      <c r="HB147">
        <v>0</v>
      </c>
      <c r="IK147">
        <v>0</v>
      </c>
    </row>
    <row r="148" spans="1:245" x14ac:dyDescent="0.2">
      <c r="A148">
        <v>18</v>
      </c>
      <c r="B148">
        <v>1</v>
      </c>
      <c r="C148">
        <v>226</v>
      </c>
      <c r="E148" t="s">
        <v>413</v>
      </c>
      <c r="F148" t="s">
        <v>414</v>
      </c>
      <c r="G148" t="s">
        <v>415</v>
      </c>
      <c r="H148" t="s">
        <v>71</v>
      </c>
      <c r="I148">
        <f>I142*J148</f>
        <v>0.22499999999999998</v>
      </c>
      <c r="J148">
        <v>0.375</v>
      </c>
      <c r="O148">
        <f t="shared" si="121"/>
        <v>0</v>
      </c>
      <c r="P148">
        <f t="shared" si="122"/>
        <v>0</v>
      </c>
      <c r="Q148">
        <f t="shared" si="123"/>
        <v>0</v>
      </c>
      <c r="R148">
        <f t="shared" si="124"/>
        <v>0</v>
      </c>
      <c r="S148">
        <f t="shared" si="125"/>
        <v>0</v>
      </c>
      <c r="T148">
        <f t="shared" si="126"/>
        <v>0</v>
      </c>
      <c r="U148">
        <f t="shared" si="127"/>
        <v>0</v>
      </c>
      <c r="V148">
        <f t="shared" si="128"/>
        <v>0</v>
      </c>
      <c r="W148">
        <f t="shared" si="129"/>
        <v>0</v>
      </c>
      <c r="X148">
        <f t="shared" si="130"/>
        <v>0</v>
      </c>
      <c r="Y148">
        <f t="shared" si="131"/>
        <v>0</v>
      </c>
      <c r="AA148">
        <v>16748969</v>
      </c>
      <c r="AB148">
        <f t="shared" si="132"/>
        <v>0</v>
      </c>
      <c r="AC148">
        <f t="shared" si="133"/>
        <v>0</v>
      </c>
      <c r="AD148">
        <f t="shared" si="155"/>
        <v>0</v>
      </c>
      <c r="AE148">
        <f t="shared" si="156"/>
        <v>0</v>
      </c>
      <c r="AF148">
        <f t="shared" si="156"/>
        <v>0</v>
      </c>
      <c r="AG148">
        <f t="shared" si="134"/>
        <v>0</v>
      </c>
      <c r="AH148">
        <f t="shared" si="157"/>
        <v>0</v>
      </c>
      <c r="AI148">
        <f t="shared" si="157"/>
        <v>0</v>
      </c>
      <c r="AJ148">
        <f t="shared" si="135"/>
        <v>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95</v>
      </c>
      <c r="AU148">
        <v>47</v>
      </c>
      <c r="AV148">
        <v>1</v>
      </c>
      <c r="AW148">
        <v>1</v>
      </c>
      <c r="AZ148">
        <v>6.56</v>
      </c>
      <c r="BA148">
        <v>1</v>
      </c>
      <c r="BB148">
        <v>1</v>
      </c>
      <c r="BC148">
        <v>6.56</v>
      </c>
      <c r="BD148" t="s">
        <v>6</v>
      </c>
      <c r="BE148" t="s">
        <v>6</v>
      </c>
      <c r="BF148" t="s">
        <v>6</v>
      </c>
      <c r="BG148" t="s">
        <v>6</v>
      </c>
      <c r="BH148">
        <v>3</v>
      </c>
      <c r="BI148">
        <v>1</v>
      </c>
      <c r="BJ148" t="s">
        <v>6</v>
      </c>
      <c r="BM148">
        <v>15001</v>
      </c>
      <c r="BN148">
        <v>0</v>
      </c>
      <c r="BO148" t="s">
        <v>6</v>
      </c>
      <c r="BP148">
        <v>0</v>
      </c>
      <c r="BQ148">
        <v>2</v>
      </c>
      <c r="BR148">
        <v>0</v>
      </c>
      <c r="BS148">
        <v>1</v>
      </c>
      <c r="BT148">
        <v>1</v>
      </c>
      <c r="BU148">
        <v>1</v>
      </c>
      <c r="BV148">
        <v>1</v>
      </c>
      <c r="BW148">
        <v>1</v>
      </c>
      <c r="BX148">
        <v>1</v>
      </c>
      <c r="BY148" t="s">
        <v>6</v>
      </c>
      <c r="BZ148">
        <v>105</v>
      </c>
      <c r="CA148">
        <v>55</v>
      </c>
      <c r="CF148">
        <v>0</v>
      </c>
      <c r="CG148">
        <v>0</v>
      </c>
      <c r="CM148">
        <v>0</v>
      </c>
      <c r="CN148" t="s">
        <v>6</v>
      </c>
      <c r="CO148">
        <v>0</v>
      </c>
      <c r="CP148">
        <f t="shared" si="136"/>
        <v>0</v>
      </c>
      <c r="CQ148">
        <f t="shared" si="137"/>
        <v>0</v>
      </c>
      <c r="CR148">
        <f t="shared" si="138"/>
        <v>0</v>
      </c>
      <c r="CS148">
        <f t="shared" si="139"/>
        <v>0</v>
      </c>
      <c r="CT148">
        <f t="shared" si="140"/>
        <v>0</v>
      </c>
      <c r="CU148">
        <f t="shared" si="141"/>
        <v>0</v>
      </c>
      <c r="CV148">
        <f t="shared" si="142"/>
        <v>0</v>
      </c>
      <c r="CW148">
        <f t="shared" si="143"/>
        <v>0</v>
      </c>
      <c r="CX148">
        <f t="shared" si="144"/>
        <v>0</v>
      </c>
      <c r="CY148">
        <f t="shared" si="145"/>
        <v>0</v>
      </c>
      <c r="CZ148">
        <f t="shared" si="146"/>
        <v>0</v>
      </c>
      <c r="DC148" t="s">
        <v>6</v>
      </c>
      <c r="DD148" t="s">
        <v>6</v>
      </c>
      <c r="DE148" t="s">
        <v>6</v>
      </c>
      <c r="DF148" t="s">
        <v>6</v>
      </c>
      <c r="DG148" t="s">
        <v>6</v>
      </c>
      <c r="DH148" t="s">
        <v>6</v>
      </c>
      <c r="DI148" t="s">
        <v>6</v>
      </c>
      <c r="DJ148" t="s">
        <v>6</v>
      </c>
      <c r="DK148" t="s">
        <v>6</v>
      </c>
      <c r="DL148" t="s">
        <v>6</v>
      </c>
      <c r="DM148" t="s">
        <v>6</v>
      </c>
      <c r="DN148">
        <v>0</v>
      </c>
      <c r="DO148">
        <v>0</v>
      </c>
      <c r="DP148">
        <v>1</v>
      </c>
      <c r="DQ148">
        <v>1</v>
      </c>
      <c r="DU148">
        <v>1009</v>
      </c>
      <c r="DV148" t="s">
        <v>71</v>
      </c>
      <c r="DW148" t="s">
        <v>71</v>
      </c>
      <c r="DX148">
        <v>1000</v>
      </c>
      <c r="EE148">
        <v>16510513</v>
      </c>
      <c r="EF148">
        <v>2</v>
      </c>
      <c r="EG148" t="s">
        <v>22</v>
      </c>
      <c r="EH148">
        <v>0</v>
      </c>
      <c r="EI148" t="s">
        <v>6</v>
      </c>
      <c r="EJ148">
        <v>1</v>
      </c>
      <c r="EK148">
        <v>15001</v>
      </c>
      <c r="EL148" t="s">
        <v>212</v>
      </c>
      <c r="EM148" t="s">
        <v>213</v>
      </c>
      <c r="EO148" t="s">
        <v>6</v>
      </c>
      <c r="EQ148">
        <v>0</v>
      </c>
      <c r="ER148">
        <v>0</v>
      </c>
      <c r="ES148">
        <v>0</v>
      </c>
      <c r="ET148">
        <v>0</v>
      </c>
      <c r="EU148">
        <v>0</v>
      </c>
      <c r="EV148">
        <v>0</v>
      </c>
      <c r="EW148">
        <v>0</v>
      </c>
      <c r="EX148">
        <v>0</v>
      </c>
      <c r="FQ148">
        <v>0</v>
      </c>
      <c r="FR148">
        <f t="shared" si="147"/>
        <v>0</v>
      </c>
      <c r="FS148">
        <v>0</v>
      </c>
      <c r="FT148" t="s">
        <v>25</v>
      </c>
      <c r="FU148" t="s">
        <v>26</v>
      </c>
      <c r="FX148">
        <v>94.5</v>
      </c>
      <c r="FY148">
        <v>46.75</v>
      </c>
      <c r="GA148" t="s">
        <v>6</v>
      </c>
      <c r="GD148">
        <v>0</v>
      </c>
      <c r="GF148">
        <v>-1969728098</v>
      </c>
      <c r="GG148">
        <v>1</v>
      </c>
      <c r="GH148">
        <v>1</v>
      </c>
      <c r="GI148">
        <v>4</v>
      </c>
      <c r="GJ148">
        <v>0</v>
      </c>
      <c r="GK148">
        <f>ROUND(R148*(R12)/100,2)</f>
        <v>0</v>
      </c>
      <c r="GL148">
        <f t="shared" si="148"/>
        <v>0</v>
      </c>
      <c r="GM148">
        <f t="shared" si="149"/>
        <v>0</v>
      </c>
      <c r="GN148">
        <f t="shared" si="150"/>
        <v>0</v>
      </c>
      <c r="GO148">
        <f t="shared" si="151"/>
        <v>0</v>
      </c>
      <c r="GP148">
        <f t="shared" si="152"/>
        <v>0</v>
      </c>
      <c r="GR148">
        <v>0</v>
      </c>
      <c r="GS148">
        <v>3</v>
      </c>
      <c r="GT148">
        <v>0</v>
      </c>
      <c r="GU148" t="s">
        <v>6</v>
      </c>
      <c r="GV148">
        <f t="shared" si="153"/>
        <v>0</v>
      </c>
      <c r="GW148">
        <v>1</v>
      </c>
      <c r="GX148">
        <f t="shared" si="154"/>
        <v>0</v>
      </c>
      <c r="HA148">
        <v>0</v>
      </c>
      <c r="HB148">
        <v>0</v>
      </c>
      <c r="IK148">
        <v>0</v>
      </c>
    </row>
    <row r="149" spans="1:245" x14ac:dyDescent="0.2">
      <c r="A149">
        <v>17</v>
      </c>
      <c r="B149">
        <v>1</v>
      </c>
      <c r="C149">
        <f>ROW(SmtRes!A235)</f>
        <v>235</v>
      </c>
      <c r="D149">
        <f>ROW(EtalonRes!A223)</f>
        <v>223</v>
      </c>
      <c r="E149" t="s">
        <v>416</v>
      </c>
      <c r="F149" t="s">
        <v>417</v>
      </c>
      <c r="G149" t="s">
        <v>418</v>
      </c>
      <c r="H149" t="s">
        <v>242</v>
      </c>
      <c r="I149">
        <v>1</v>
      </c>
      <c r="J149">
        <v>0</v>
      </c>
      <c r="O149">
        <f t="shared" ref="O149:O183" si="158">ROUND(CP149,2)</f>
        <v>302.55</v>
      </c>
      <c r="P149">
        <f t="shared" ref="P149:P183" si="159">ROUND(CQ149*I149,2)</f>
        <v>146.03</v>
      </c>
      <c r="Q149">
        <f t="shared" ref="Q149:Q183" si="160">ROUND(CR149*I149,2)</f>
        <v>59.5</v>
      </c>
      <c r="R149">
        <f t="shared" ref="R149:R183" si="161">ROUND(CS149*I149,2)</f>
        <v>3.8</v>
      </c>
      <c r="S149">
        <f t="shared" ref="S149:S183" si="162">ROUND(CT149*I149,2)</f>
        <v>97.02</v>
      </c>
      <c r="T149">
        <f t="shared" ref="T149:T183" si="163">ROUND(CU149*I149,2)</f>
        <v>0</v>
      </c>
      <c r="U149">
        <f t="shared" ref="U149:U183" si="164">CV149*I149</f>
        <v>1.4489999999999998</v>
      </c>
      <c r="V149">
        <f t="shared" ref="V149:V183" si="165">CW149*I149</f>
        <v>0.05</v>
      </c>
      <c r="W149">
        <f t="shared" ref="W149:W183" si="166">ROUND(CX149*I149,2)</f>
        <v>0</v>
      </c>
      <c r="X149">
        <f t="shared" ref="X149:X183" si="167">ROUND(CY149,2)</f>
        <v>115.94</v>
      </c>
      <c r="Y149">
        <f t="shared" ref="Y149:Y183" si="168">ROUND(CZ149,2)</f>
        <v>71.58</v>
      </c>
      <c r="AA149">
        <v>16748969</v>
      </c>
      <c r="AB149">
        <f t="shared" ref="AB149:AB180" si="169">ROUND((AC149+AD149+AF149),2)</f>
        <v>46.12</v>
      </c>
      <c r="AC149">
        <f t="shared" ref="AC149:AC154" si="170">ROUND((ES149),2)</f>
        <v>22.26</v>
      </c>
      <c r="AD149">
        <f>ROUND(((((ET149*1.25))-((EU149*1.25)))+AE149),2)</f>
        <v>9.07</v>
      </c>
      <c r="AE149">
        <f>ROUND(((EU149*1.25)),2)</f>
        <v>0.57999999999999996</v>
      </c>
      <c r="AF149">
        <f>ROUND(((EV149*1.15)),2)</f>
        <v>14.79</v>
      </c>
      <c r="AG149">
        <f t="shared" ref="AG149:AG183" si="171">ROUND((AP149),2)</f>
        <v>0</v>
      </c>
      <c r="AH149">
        <f>((EW149*1.15))</f>
        <v>1.4489999999999998</v>
      </c>
      <c r="AI149">
        <f>((EX149*1.25))</f>
        <v>0.05</v>
      </c>
      <c r="AJ149">
        <f t="shared" ref="AJ149:AJ183" si="172">ROUND((AS149),2)</f>
        <v>0</v>
      </c>
      <c r="AK149">
        <v>42.37</v>
      </c>
      <c r="AL149">
        <v>22.26</v>
      </c>
      <c r="AM149">
        <v>7.25</v>
      </c>
      <c r="AN149">
        <v>0.46</v>
      </c>
      <c r="AO149">
        <v>12.86</v>
      </c>
      <c r="AP149">
        <v>0</v>
      </c>
      <c r="AQ149">
        <v>1.26</v>
      </c>
      <c r="AR149">
        <v>0.04</v>
      </c>
      <c r="AS149">
        <v>0</v>
      </c>
      <c r="AT149">
        <v>115</v>
      </c>
      <c r="AU149">
        <v>71</v>
      </c>
      <c r="AV149">
        <v>1</v>
      </c>
      <c r="AW149">
        <v>1</v>
      </c>
      <c r="AZ149">
        <v>6.56</v>
      </c>
      <c r="BA149">
        <v>6.56</v>
      </c>
      <c r="BB149">
        <v>6.56</v>
      </c>
      <c r="BC149">
        <v>6.56</v>
      </c>
      <c r="BD149" t="s">
        <v>6</v>
      </c>
      <c r="BE149" t="s">
        <v>6</v>
      </c>
      <c r="BF149" t="s">
        <v>6</v>
      </c>
      <c r="BG149" t="s">
        <v>6</v>
      </c>
      <c r="BH149">
        <v>0</v>
      </c>
      <c r="BI149">
        <v>1</v>
      </c>
      <c r="BJ149" t="s">
        <v>419</v>
      </c>
      <c r="BM149">
        <v>20001</v>
      </c>
      <c r="BN149">
        <v>0</v>
      </c>
      <c r="BO149" t="s">
        <v>6</v>
      </c>
      <c r="BP149">
        <v>0</v>
      </c>
      <c r="BQ149">
        <v>2</v>
      </c>
      <c r="BR149">
        <v>0</v>
      </c>
      <c r="BS149">
        <v>6.56</v>
      </c>
      <c r="BT149">
        <v>1</v>
      </c>
      <c r="BU149">
        <v>1</v>
      </c>
      <c r="BV149">
        <v>1</v>
      </c>
      <c r="BW149">
        <v>1</v>
      </c>
      <c r="BX149">
        <v>1</v>
      </c>
      <c r="BY149" t="s">
        <v>6</v>
      </c>
      <c r="BZ149">
        <v>128</v>
      </c>
      <c r="CA149">
        <v>83</v>
      </c>
      <c r="CF149">
        <v>0</v>
      </c>
      <c r="CG149">
        <v>0</v>
      </c>
      <c r="CM149">
        <v>0</v>
      </c>
      <c r="CN149" t="s">
        <v>1609</v>
      </c>
      <c r="CO149">
        <v>0</v>
      </c>
      <c r="CP149">
        <f t="shared" ref="CP149:CP183" si="173">(P149+Q149+S149)</f>
        <v>302.55</v>
      </c>
      <c r="CQ149">
        <f t="shared" ref="CQ149:CQ183" si="174">AC149*BC149</f>
        <v>146.0256</v>
      </c>
      <c r="CR149">
        <f t="shared" ref="CR149:CR183" si="175">AD149*BB149</f>
        <v>59.499200000000002</v>
      </c>
      <c r="CS149">
        <f t="shared" ref="CS149:CS183" si="176">AE149*BS149</f>
        <v>3.8047999999999993</v>
      </c>
      <c r="CT149">
        <f t="shared" ref="CT149:CT183" si="177">AF149*BA149</f>
        <v>97.02239999999999</v>
      </c>
      <c r="CU149">
        <f t="shared" ref="CU149:CU183" si="178">AG149</f>
        <v>0</v>
      </c>
      <c r="CV149">
        <f t="shared" ref="CV149:CV183" si="179">AH149</f>
        <v>1.4489999999999998</v>
      </c>
      <c r="CW149">
        <f t="shared" ref="CW149:CW183" si="180">AI149</f>
        <v>0.05</v>
      </c>
      <c r="CX149">
        <f t="shared" ref="CX149:CX183" si="181">AJ149</f>
        <v>0</v>
      </c>
      <c r="CY149">
        <f t="shared" ref="CY149:CY183" si="182">(((S149+R149)*AT149)/100)</f>
        <v>115.943</v>
      </c>
      <c r="CZ149">
        <f t="shared" ref="CZ149:CZ183" si="183">(((S149+R149)*AU149)/100)</f>
        <v>71.5822</v>
      </c>
      <c r="DC149" t="s">
        <v>6</v>
      </c>
      <c r="DD149" t="s">
        <v>6</v>
      </c>
      <c r="DE149" t="s">
        <v>172</v>
      </c>
      <c r="DF149" t="s">
        <v>172</v>
      </c>
      <c r="DG149" t="s">
        <v>173</v>
      </c>
      <c r="DH149" t="s">
        <v>6</v>
      </c>
      <c r="DI149" t="s">
        <v>173</v>
      </c>
      <c r="DJ149" t="s">
        <v>172</v>
      </c>
      <c r="DK149" t="s">
        <v>6</v>
      </c>
      <c r="DL149" t="s">
        <v>6</v>
      </c>
      <c r="DM149" t="s">
        <v>6</v>
      </c>
      <c r="DN149">
        <v>0</v>
      </c>
      <c r="DO149">
        <v>0</v>
      </c>
      <c r="DP149">
        <v>1</v>
      </c>
      <c r="DQ149">
        <v>1</v>
      </c>
      <c r="DU149">
        <v>1013</v>
      </c>
      <c r="DV149" t="s">
        <v>242</v>
      </c>
      <c r="DW149" t="s">
        <v>242</v>
      </c>
      <c r="DX149">
        <v>1</v>
      </c>
      <c r="EE149">
        <v>16510518</v>
      </c>
      <c r="EF149">
        <v>2</v>
      </c>
      <c r="EG149" t="s">
        <v>22</v>
      </c>
      <c r="EH149">
        <v>0</v>
      </c>
      <c r="EI149" t="s">
        <v>6</v>
      </c>
      <c r="EJ149">
        <v>1</v>
      </c>
      <c r="EK149">
        <v>20001</v>
      </c>
      <c r="EL149" t="s">
        <v>420</v>
      </c>
      <c r="EM149" t="s">
        <v>421</v>
      </c>
      <c r="EO149" t="s">
        <v>176</v>
      </c>
      <c r="EQ149">
        <v>131072</v>
      </c>
      <c r="ER149">
        <v>42.37</v>
      </c>
      <c r="ES149">
        <v>22.26</v>
      </c>
      <c r="ET149">
        <v>7.25</v>
      </c>
      <c r="EU149">
        <v>0.46</v>
      </c>
      <c r="EV149">
        <v>12.86</v>
      </c>
      <c r="EW149">
        <v>1.26</v>
      </c>
      <c r="EX149">
        <v>0.04</v>
      </c>
      <c r="EY149">
        <v>0</v>
      </c>
      <c r="FQ149">
        <v>0</v>
      </c>
      <c r="FR149">
        <f t="shared" ref="FR149:FR185" si="184">ROUND(IF(AND(BH149=3,BI149=3),P149,0),2)</f>
        <v>0</v>
      </c>
      <c r="FS149">
        <v>0</v>
      </c>
      <c r="FT149" t="s">
        <v>25</v>
      </c>
      <c r="FU149" t="s">
        <v>26</v>
      </c>
      <c r="FX149">
        <v>115.2</v>
      </c>
      <c r="FY149">
        <v>70.55</v>
      </c>
      <c r="GA149" t="s">
        <v>6</v>
      </c>
      <c r="GD149">
        <v>0</v>
      </c>
      <c r="GF149">
        <v>-2108331283</v>
      </c>
      <c r="GG149">
        <v>1</v>
      </c>
      <c r="GH149">
        <v>1</v>
      </c>
      <c r="GI149">
        <v>4</v>
      </c>
      <c r="GJ149">
        <v>0</v>
      </c>
      <c r="GK149">
        <f>ROUND(R149*(R12)/100,2)</f>
        <v>0</v>
      </c>
      <c r="GL149">
        <f t="shared" ref="GL149:GL185" si="185">ROUND(IF(AND(BH149=3,BI149=3,FS149&lt;&gt;0),P149,0),2)</f>
        <v>0</v>
      </c>
      <c r="GM149">
        <f t="shared" ref="GM149:GM183" si="186">ROUND(O149+X149+Y149+GK149,2)+GX149</f>
        <v>490.07</v>
      </c>
      <c r="GN149">
        <f t="shared" ref="GN149:GN183" si="187">IF(OR(BI149=0,BI149=1),ROUND(O149+X149+Y149+GK149,2),0)</f>
        <v>490.07</v>
      </c>
      <c r="GO149">
        <f t="shared" ref="GO149:GO183" si="188">IF(BI149=2,ROUND(O149+X149+Y149+GK149,2),0)</f>
        <v>0</v>
      </c>
      <c r="GP149">
        <f t="shared" ref="GP149:GP183" si="189">IF(BI149=4,ROUND(O149+X149+Y149+GK149,2)+GX149,0)</f>
        <v>0</v>
      </c>
      <c r="GR149">
        <v>0</v>
      </c>
      <c r="GS149">
        <v>3</v>
      </c>
      <c r="GT149">
        <v>0</v>
      </c>
      <c r="GU149" t="s">
        <v>6</v>
      </c>
      <c r="GV149">
        <f t="shared" ref="GV149:GV183" si="190">ROUND(GT149,2)</f>
        <v>0</v>
      </c>
      <c r="GW149">
        <v>1</v>
      </c>
      <c r="GX149">
        <f t="shared" ref="GX149:GX180" si="191">ROUND(GV149*GW149*I149,2)</f>
        <v>0</v>
      </c>
      <c r="HA149">
        <v>0</v>
      </c>
      <c r="HB149">
        <v>0</v>
      </c>
      <c r="IK149">
        <v>0</v>
      </c>
    </row>
    <row r="150" spans="1:245" x14ac:dyDescent="0.2">
      <c r="A150">
        <v>18</v>
      </c>
      <c r="B150">
        <v>1</v>
      </c>
      <c r="C150">
        <v>235</v>
      </c>
      <c r="E150" t="s">
        <v>422</v>
      </c>
      <c r="F150" t="s">
        <v>423</v>
      </c>
      <c r="G150" t="s">
        <v>424</v>
      </c>
      <c r="H150" t="s">
        <v>53</v>
      </c>
      <c r="I150">
        <f>I149*J150</f>
        <v>1</v>
      </c>
      <c r="J150">
        <v>1</v>
      </c>
      <c r="O150">
        <f t="shared" si="158"/>
        <v>44.48</v>
      </c>
      <c r="P150">
        <f t="shared" si="159"/>
        <v>44.48</v>
      </c>
      <c r="Q150">
        <f t="shared" si="160"/>
        <v>0</v>
      </c>
      <c r="R150">
        <f t="shared" si="161"/>
        <v>0</v>
      </c>
      <c r="S150">
        <f t="shared" si="162"/>
        <v>0</v>
      </c>
      <c r="T150">
        <f t="shared" si="163"/>
        <v>0</v>
      </c>
      <c r="U150">
        <f t="shared" si="164"/>
        <v>0</v>
      </c>
      <c r="V150">
        <f t="shared" si="165"/>
        <v>0</v>
      </c>
      <c r="W150">
        <f t="shared" si="166"/>
        <v>0</v>
      </c>
      <c r="X150">
        <f t="shared" si="167"/>
        <v>0</v>
      </c>
      <c r="Y150">
        <f t="shared" si="168"/>
        <v>0</v>
      </c>
      <c r="AA150">
        <v>16748969</v>
      </c>
      <c r="AB150">
        <f t="shared" si="169"/>
        <v>6.78</v>
      </c>
      <c r="AC150">
        <f t="shared" si="170"/>
        <v>6.78</v>
      </c>
      <c r="AD150">
        <f>ROUND((((ET150)-(EU150))+AE150),2)</f>
        <v>0</v>
      </c>
      <c r="AE150">
        <f>ROUND((EU150),2)</f>
        <v>0</v>
      </c>
      <c r="AF150">
        <f>ROUND((EV150),2)</f>
        <v>0</v>
      </c>
      <c r="AG150">
        <f t="shared" si="171"/>
        <v>0</v>
      </c>
      <c r="AH150">
        <f>(EW150)</f>
        <v>0</v>
      </c>
      <c r="AI150">
        <f>(EX150)</f>
        <v>0</v>
      </c>
      <c r="AJ150">
        <f t="shared" si="172"/>
        <v>0</v>
      </c>
      <c r="AK150">
        <v>6.78</v>
      </c>
      <c r="AL150">
        <v>6.78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  <c r="AS150">
        <v>0</v>
      </c>
      <c r="AT150">
        <v>115</v>
      </c>
      <c r="AU150">
        <v>71</v>
      </c>
      <c r="AV150">
        <v>1</v>
      </c>
      <c r="AW150">
        <v>1</v>
      </c>
      <c r="AZ150">
        <v>6.56</v>
      </c>
      <c r="BA150">
        <v>1</v>
      </c>
      <c r="BB150">
        <v>1</v>
      </c>
      <c r="BC150">
        <v>6.56</v>
      </c>
      <c r="BD150" t="s">
        <v>6</v>
      </c>
      <c r="BE150" t="s">
        <v>6</v>
      </c>
      <c r="BF150" t="s">
        <v>6</v>
      </c>
      <c r="BG150" t="s">
        <v>6</v>
      </c>
      <c r="BH150">
        <v>3</v>
      </c>
      <c r="BI150">
        <v>1</v>
      </c>
      <c r="BJ150" t="s">
        <v>425</v>
      </c>
      <c r="BM150">
        <v>20001</v>
      </c>
      <c r="BN150">
        <v>0</v>
      </c>
      <c r="BO150" t="s">
        <v>6</v>
      </c>
      <c r="BP150">
        <v>0</v>
      </c>
      <c r="BQ150">
        <v>2</v>
      </c>
      <c r="BR150">
        <v>0</v>
      </c>
      <c r="BS150">
        <v>1</v>
      </c>
      <c r="BT150">
        <v>1</v>
      </c>
      <c r="BU150">
        <v>1</v>
      </c>
      <c r="BV150">
        <v>1</v>
      </c>
      <c r="BW150">
        <v>1</v>
      </c>
      <c r="BX150">
        <v>1</v>
      </c>
      <c r="BY150" t="s">
        <v>6</v>
      </c>
      <c r="BZ150">
        <v>128</v>
      </c>
      <c r="CA150">
        <v>83</v>
      </c>
      <c r="CF150">
        <v>0</v>
      </c>
      <c r="CG150">
        <v>0</v>
      </c>
      <c r="CM150">
        <v>0</v>
      </c>
      <c r="CN150" t="s">
        <v>6</v>
      </c>
      <c r="CO150">
        <v>0</v>
      </c>
      <c r="CP150">
        <f t="shared" si="173"/>
        <v>44.48</v>
      </c>
      <c r="CQ150">
        <f t="shared" si="174"/>
        <v>44.476799999999997</v>
      </c>
      <c r="CR150">
        <f t="shared" si="175"/>
        <v>0</v>
      </c>
      <c r="CS150">
        <f t="shared" si="176"/>
        <v>0</v>
      </c>
      <c r="CT150">
        <f t="shared" si="177"/>
        <v>0</v>
      </c>
      <c r="CU150">
        <f t="shared" si="178"/>
        <v>0</v>
      </c>
      <c r="CV150">
        <f t="shared" si="179"/>
        <v>0</v>
      </c>
      <c r="CW150">
        <f t="shared" si="180"/>
        <v>0</v>
      </c>
      <c r="CX150">
        <f t="shared" si="181"/>
        <v>0</v>
      </c>
      <c r="CY150">
        <f t="shared" si="182"/>
        <v>0</v>
      </c>
      <c r="CZ150">
        <f t="shared" si="183"/>
        <v>0</v>
      </c>
      <c r="DC150" t="s">
        <v>6</v>
      </c>
      <c r="DD150" t="s">
        <v>6</v>
      </c>
      <c r="DE150" t="s">
        <v>6</v>
      </c>
      <c r="DF150" t="s">
        <v>6</v>
      </c>
      <c r="DG150" t="s">
        <v>6</v>
      </c>
      <c r="DH150" t="s">
        <v>6</v>
      </c>
      <c r="DI150" t="s">
        <v>6</v>
      </c>
      <c r="DJ150" t="s">
        <v>6</v>
      </c>
      <c r="DK150" t="s">
        <v>6</v>
      </c>
      <c r="DL150" t="s">
        <v>6</v>
      </c>
      <c r="DM150" t="s">
        <v>6</v>
      </c>
      <c r="DN150">
        <v>0</v>
      </c>
      <c r="DO150">
        <v>0</v>
      </c>
      <c r="DP150">
        <v>1</v>
      </c>
      <c r="DQ150">
        <v>1</v>
      </c>
      <c r="DU150">
        <v>1010</v>
      </c>
      <c r="DV150" t="s">
        <v>53</v>
      </c>
      <c r="DW150" t="s">
        <v>53</v>
      </c>
      <c r="DX150">
        <v>1</v>
      </c>
      <c r="EE150">
        <v>16510518</v>
      </c>
      <c r="EF150">
        <v>2</v>
      </c>
      <c r="EG150" t="s">
        <v>22</v>
      </c>
      <c r="EH150">
        <v>0</v>
      </c>
      <c r="EI150" t="s">
        <v>6</v>
      </c>
      <c r="EJ150">
        <v>1</v>
      </c>
      <c r="EK150">
        <v>20001</v>
      </c>
      <c r="EL150" t="s">
        <v>420</v>
      </c>
      <c r="EM150" t="s">
        <v>421</v>
      </c>
      <c r="EO150" t="s">
        <v>6</v>
      </c>
      <c r="EQ150">
        <v>0</v>
      </c>
      <c r="ER150">
        <v>6.78</v>
      </c>
      <c r="ES150">
        <v>6.78</v>
      </c>
      <c r="ET150">
        <v>0</v>
      </c>
      <c r="EU150">
        <v>0</v>
      </c>
      <c r="EV150">
        <v>0</v>
      </c>
      <c r="EW150">
        <v>0</v>
      </c>
      <c r="EX150">
        <v>0</v>
      </c>
      <c r="FQ150">
        <v>0</v>
      </c>
      <c r="FR150">
        <f t="shared" si="184"/>
        <v>0</v>
      </c>
      <c r="FS150">
        <v>0</v>
      </c>
      <c r="FT150" t="s">
        <v>25</v>
      </c>
      <c r="FU150" t="s">
        <v>26</v>
      </c>
      <c r="FX150">
        <v>115.2</v>
      </c>
      <c r="FY150">
        <v>70.55</v>
      </c>
      <c r="GA150" t="s">
        <v>6</v>
      </c>
      <c r="GD150">
        <v>0</v>
      </c>
      <c r="GF150">
        <v>-978336568</v>
      </c>
      <c r="GG150">
        <v>1</v>
      </c>
      <c r="GH150">
        <v>1</v>
      </c>
      <c r="GI150">
        <v>4</v>
      </c>
      <c r="GJ150">
        <v>0</v>
      </c>
      <c r="GK150">
        <f>ROUND(R150*(R12)/100,2)</f>
        <v>0</v>
      </c>
      <c r="GL150">
        <f t="shared" si="185"/>
        <v>0</v>
      </c>
      <c r="GM150">
        <f t="shared" si="186"/>
        <v>44.48</v>
      </c>
      <c r="GN150">
        <f t="shared" si="187"/>
        <v>44.48</v>
      </c>
      <c r="GO150">
        <f t="shared" si="188"/>
        <v>0</v>
      </c>
      <c r="GP150">
        <f t="shared" si="189"/>
        <v>0</v>
      </c>
      <c r="GR150">
        <v>0</v>
      </c>
      <c r="GS150">
        <v>3</v>
      </c>
      <c r="GT150">
        <v>0</v>
      </c>
      <c r="GU150" t="s">
        <v>6</v>
      </c>
      <c r="GV150">
        <f t="shared" si="190"/>
        <v>0</v>
      </c>
      <c r="GW150">
        <v>1</v>
      </c>
      <c r="GX150">
        <f t="shared" si="191"/>
        <v>0</v>
      </c>
      <c r="HA150">
        <v>0</v>
      </c>
      <c r="HB150">
        <v>0</v>
      </c>
      <c r="IK150">
        <v>0</v>
      </c>
    </row>
    <row r="151" spans="1:245" x14ac:dyDescent="0.2">
      <c r="A151">
        <v>18</v>
      </c>
      <c r="B151">
        <v>1</v>
      </c>
      <c r="C151">
        <v>234</v>
      </c>
      <c r="E151" t="s">
        <v>426</v>
      </c>
      <c r="F151" t="s">
        <v>427</v>
      </c>
      <c r="G151" t="s">
        <v>428</v>
      </c>
      <c r="H151" t="s">
        <v>53</v>
      </c>
      <c r="I151">
        <f>I149*J151</f>
        <v>1</v>
      </c>
      <c r="J151">
        <v>1</v>
      </c>
      <c r="O151">
        <f t="shared" si="158"/>
        <v>0</v>
      </c>
      <c r="P151">
        <f t="shared" si="159"/>
        <v>0</v>
      </c>
      <c r="Q151">
        <f t="shared" si="160"/>
        <v>0</v>
      </c>
      <c r="R151">
        <f t="shared" si="161"/>
        <v>0</v>
      </c>
      <c r="S151">
        <f t="shared" si="162"/>
        <v>0</v>
      </c>
      <c r="T151">
        <f t="shared" si="163"/>
        <v>0</v>
      </c>
      <c r="U151">
        <f t="shared" si="164"/>
        <v>0</v>
      </c>
      <c r="V151">
        <f t="shared" si="165"/>
        <v>0</v>
      </c>
      <c r="W151">
        <f t="shared" si="166"/>
        <v>0</v>
      </c>
      <c r="X151">
        <f t="shared" si="167"/>
        <v>0</v>
      </c>
      <c r="Y151">
        <f t="shared" si="168"/>
        <v>0</v>
      </c>
      <c r="AA151">
        <v>16748969</v>
      </c>
      <c r="AB151">
        <f t="shared" si="169"/>
        <v>0</v>
      </c>
      <c r="AC151">
        <f t="shared" si="170"/>
        <v>0</v>
      </c>
      <c r="AD151">
        <f>ROUND((((ET151)-(EU151))+AE151),2)</f>
        <v>0</v>
      </c>
      <c r="AE151">
        <f>ROUND((EU151),2)</f>
        <v>0</v>
      </c>
      <c r="AF151">
        <f>ROUND((EV151),2)</f>
        <v>0</v>
      </c>
      <c r="AG151">
        <f t="shared" si="171"/>
        <v>0</v>
      </c>
      <c r="AH151">
        <f>(EW151)</f>
        <v>0</v>
      </c>
      <c r="AI151">
        <f>(EX151)</f>
        <v>0</v>
      </c>
      <c r="AJ151">
        <f t="shared" si="172"/>
        <v>0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115</v>
      </c>
      <c r="AU151">
        <v>71</v>
      </c>
      <c r="AV151">
        <v>1</v>
      </c>
      <c r="AW151">
        <v>1</v>
      </c>
      <c r="AZ151">
        <v>6.56</v>
      </c>
      <c r="BA151">
        <v>1</v>
      </c>
      <c r="BB151">
        <v>1</v>
      </c>
      <c r="BC151">
        <v>6.56</v>
      </c>
      <c r="BD151" t="s">
        <v>6</v>
      </c>
      <c r="BE151" t="s">
        <v>6</v>
      </c>
      <c r="BF151" t="s">
        <v>6</v>
      </c>
      <c r="BG151" t="s">
        <v>6</v>
      </c>
      <c r="BH151">
        <v>3</v>
      </c>
      <c r="BI151">
        <v>1</v>
      </c>
      <c r="BJ151" t="s">
        <v>6</v>
      </c>
      <c r="BM151">
        <v>20001</v>
      </c>
      <c r="BN151">
        <v>0</v>
      </c>
      <c r="BO151" t="s">
        <v>6</v>
      </c>
      <c r="BP151">
        <v>0</v>
      </c>
      <c r="BQ151">
        <v>2</v>
      </c>
      <c r="BR151">
        <v>0</v>
      </c>
      <c r="BS151">
        <v>1</v>
      </c>
      <c r="BT151">
        <v>1</v>
      </c>
      <c r="BU151">
        <v>1</v>
      </c>
      <c r="BV151">
        <v>1</v>
      </c>
      <c r="BW151">
        <v>1</v>
      </c>
      <c r="BX151">
        <v>1</v>
      </c>
      <c r="BY151" t="s">
        <v>6</v>
      </c>
      <c r="BZ151">
        <v>128</v>
      </c>
      <c r="CA151">
        <v>83</v>
      </c>
      <c r="CF151">
        <v>0</v>
      </c>
      <c r="CG151">
        <v>0</v>
      </c>
      <c r="CM151">
        <v>0</v>
      </c>
      <c r="CN151" t="s">
        <v>6</v>
      </c>
      <c r="CO151">
        <v>0</v>
      </c>
      <c r="CP151">
        <f t="shared" si="173"/>
        <v>0</v>
      </c>
      <c r="CQ151">
        <f t="shared" si="174"/>
        <v>0</v>
      </c>
      <c r="CR151">
        <f t="shared" si="175"/>
        <v>0</v>
      </c>
      <c r="CS151">
        <f t="shared" si="176"/>
        <v>0</v>
      </c>
      <c r="CT151">
        <f t="shared" si="177"/>
        <v>0</v>
      </c>
      <c r="CU151">
        <f t="shared" si="178"/>
        <v>0</v>
      </c>
      <c r="CV151">
        <f t="shared" si="179"/>
        <v>0</v>
      </c>
      <c r="CW151">
        <f t="shared" si="180"/>
        <v>0</v>
      </c>
      <c r="CX151">
        <f t="shared" si="181"/>
        <v>0</v>
      </c>
      <c r="CY151">
        <f t="shared" si="182"/>
        <v>0</v>
      </c>
      <c r="CZ151">
        <f t="shared" si="183"/>
        <v>0</v>
      </c>
      <c r="DC151" t="s">
        <v>6</v>
      </c>
      <c r="DD151" t="s">
        <v>6</v>
      </c>
      <c r="DE151" t="s">
        <v>6</v>
      </c>
      <c r="DF151" t="s">
        <v>6</v>
      </c>
      <c r="DG151" t="s">
        <v>6</v>
      </c>
      <c r="DH151" t="s">
        <v>6</v>
      </c>
      <c r="DI151" t="s">
        <v>6</v>
      </c>
      <c r="DJ151" t="s">
        <v>6</v>
      </c>
      <c r="DK151" t="s">
        <v>6</v>
      </c>
      <c r="DL151" t="s">
        <v>6</v>
      </c>
      <c r="DM151" t="s">
        <v>6</v>
      </c>
      <c r="DN151">
        <v>0</v>
      </c>
      <c r="DO151">
        <v>0</v>
      </c>
      <c r="DP151">
        <v>1</v>
      </c>
      <c r="DQ151">
        <v>1</v>
      </c>
      <c r="DU151">
        <v>1010</v>
      </c>
      <c r="DV151" t="s">
        <v>53</v>
      </c>
      <c r="DW151" t="s">
        <v>53</v>
      </c>
      <c r="DX151">
        <v>1</v>
      </c>
      <c r="EE151">
        <v>16510518</v>
      </c>
      <c r="EF151">
        <v>2</v>
      </c>
      <c r="EG151" t="s">
        <v>22</v>
      </c>
      <c r="EH151">
        <v>0</v>
      </c>
      <c r="EI151" t="s">
        <v>6</v>
      </c>
      <c r="EJ151">
        <v>1</v>
      </c>
      <c r="EK151">
        <v>20001</v>
      </c>
      <c r="EL151" t="s">
        <v>420</v>
      </c>
      <c r="EM151" t="s">
        <v>421</v>
      </c>
      <c r="EO151" t="s">
        <v>6</v>
      </c>
      <c r="EQ151">
        <v>0</v>
      </c>
      <c r="ER151">
        <v>0</v>
      </c>
      <c r="ES151">
        <v>0</v>
      </c>
      <c r="ET151">
        <v>0</v>
      </c>
      <c r="EU151">
        <v>0</v>
      </c>
      <c r="EV151">
        <v>0</v>
      </c>
      <c r="EW151">
        <v>0</v>
      </c>
      <c r="EX151">
        <v>0</v>
      </c>
      <c r="FQ151">
        <v>0</v>
      </c>
      <c r="FR151">
        <f t="shared" si="184"/>
        <v>0</v>
      </c>
      <c r="FS151">
        <v>0</v>
      </c>
      <c r="FT151" t="s">
        <v>25</v>
      </c>
      <c r="FU151" t="s">
        <v>26</v>
      </c>
      <c r="FX151">
        <v>115.2</v>
      </c>
      <c r="FY151">
        <v>70.55</v>
      </c>
      <c r="GA151" t="s">
        <v>6</v>
      </c>
      <c r="GD151">
        <v>0</v>
      </c>
      <c r="GF151">
        <v>1087564240</v>
      </c>
      <c r="GG151">
        <v>1</v>
      </c>
      <c r="GH151">
        <v>1</v>
      </c>
      <c r="GI151">
        <v>4</v>
      </c>
      <c r="GJ151">
        <v>0</v>
      </c>
      <c r="GK151">
        <f>ROUND(R151*(R12)/100,2)</f>
        <v>0</v>
      </c>
      <c r="GL151">
        <f t="shared" si="185"/>
        <v>0</v>
      </c>
      <c r="GM151">
        <f t="shared" si="186"/>
        <v>0</v>
      </c>
      <c r="GN151">
        <f t="shared" si="187"/>
        <v>0</v>
      </c>
      <c r="GO151">
        <f t="shared" si="188"/>
        <v>0</v>
      </c>
      <c r="GP151">
        <f t="shared" si="189"/>
        <v>0</v>
      </c>
      <c r="GR151">
        <v>0</v>
      </c>
      <c r="GS151">
        <v>3</v>
      </c>
      <c r="GT151">
        <v>0</v>
      </c>
      <c r="GU151" t="s">
        <v>6</v>
      </c>
      <c r="GV151">
        <f t="shared" si="190"/>
        <v>0</v>
      </c>
      <c r="GW151">
        <v>1</v>
      </c>
      <c r="GX151">
        <f t="shared" si="191"/>
        <v>0</v>
      </c>
      <c r="HA151">
        <v>0</v>
      </c>
      <c r="HB151">
        <v>0</v>
      </c>
      <c r="IK151">
        <v>0</v>
      </c>
    </row>
    <row r="152" spans="1:245" x14ac:dyDescent="0.2">
      <c r="A152">
        <v>17</v>
      </c>
      <c r="B152">
        <v>1</v>
      </c>
      <c r="C152">
        <f>ROW(SmtRes!A242)</f>
        <v>242</v>
      </c>
      <c r="D152">
        <f>ROW(EtalonRes!A229)</f>
        <v>229</v>
      </c>
      <c r="E152" t="s">
        <v>429</v>
      </c>
      <c r="F152" t="s">
        <v>430</v>
      </c>
      <c r="G152" t="s">
        <v>431</v>
      </c>
      <c r="H152" t="s">
        <v>20</v>
      </c>
      <c r="I152">
        <f>ROUND(101/100,9)</f>
        <v>1.01</v>
      </c>
      <c r="J152">
        <v>0</v>
      </c>
      <c r="O152">
        <f t="shared" si="158"/>
        <v>2820.78</v>
      </c>
      <c r="P152">
        <f t="shared" si="159"/>
        <v>56.58</v>
      </c>
      <c r="Q152">
        <f t="shared" si="160"/>
        <v>348.31</v>
      </c>
      <c r="R152">
        <f t="shared" si="161"/>
        <v>142.05000000000001</v>
      </c>
      <c r="S152">
        <f t="shared" si="162"/>
        <v>2415.89</v>
      </c>
      <c r="T152">
        <f t="shared" si="163"/>
        <v>0</v>
      </c>
      <c r="U152">
        <f t="shared" si="164"/>
        <v>47.214974999999995</v>
      </c>
      <c r="V152">
        <f t="shared" si="165"/>
        <v>1.603375</v>
      </c>
      <c r="W152">
        <f t="shared" si="166"/>
        <v>0</v>
      </c>
      <c r="X152">
        <f t="shared" si="167"/>
        <v>2839.31</v>
      </c>
      <c r="Y152">
        <f t="shared" si="168"/>
        <v>1637.08</v>
      </c>
      <c r="AA152">
        <v>16748969</v>
      </c>
      <c r="AB152">
        <f t="shared" si="169"/>
        <v>425.74</v>
      </c>
      <c r="AC152">
        <f t="shared" si="170"/>
        <v>8.5399999999999991</v>
      </c>
      <c r="AD152">
        <f>ROUND(((((ET152*1.25))-((EU152*1.25)))+AE152),2)</f>
        <v>52.57</v>
      </c>
      <c r="AE152">
        <f>ROUND(((EU152*1.25)),2)</f>
        <v>21.44</v>
      </c>
      <c r="AF152">
        <f>ROUND(((EV152*1.15)),2)</f>
        <v>364.63</v>
      </c>
      <c r="AG152">
        <f t="shared" si="171"/>
        <v>0</v>
      </c>
      <c r="AH152">
        <f>((EW152*1.15))</f>
        <v>46.747499999999995</v>
      </c>
      <c r="AI152">
        <f>((EX152*1.25))</f>
        <v>1.5874999999999999</v>
      </c>
      <c r="AJ152">
        <f t="shared" si="172"/>
        <v>0</v>
      </c>
      <c r="AK152">
        <v>367.66</v>
      </c>
      <c r="AL152">
        <v>8.5399999999999991</v>
      </c>
      <c r="AM152">
        <v>42.05</v>
      </c>
      <c r="AN152">
        <v>17.149999999999999</v>
      </c>
      <c r="AO152">
        <v>317.07</v>
      </c>
      <c r="AP152">
        <v>0</v>
      </c>
      <c r="AQ152">
        <v>40.65</v>
      </c>
      <c r="AR152">
        <v>1.27</v>
      </c>
      <c r="AS152">
        <v>0</v>
      </c>
      <c r="AT152">
        <v>111</v>
      </c>
      <c r="AU152">
        <v>64</v>
      </c>
      <c r="AV152">
        <v>1</v>
      </c>
      <c r="AW152">
        <v>1</v>
      </c>
      <c r="AZ152">
        <v>6.56</v>
      </c>
      <c r="BA152">
        <v>6.56</v>
      </c>
      <c r="BB152">
        <v>6.56</v>
      </c>
      <c r="BC152">
        <v>6.56</v>
      </c>
      <c r="BD152" t="s">
        <v>6</v>
      </c>
      <c r="BE152" t="s">
        <v>6</v>
      </c>
      <c r="BF152" t="s">
        <v>6</v>
      </c>
      <c r="BG152" t="s">
        <v>6</v>
      </c>
      <c r="BH152">
        <v>0</v>
      </c>
      <c r="BI152">
        <v>1</v>
      </c>
      <c r="BJ152" t="s">
        <v>432</v>
      </c>
      <c r="BM152">
        <v>11001</v>
      </c>
      <c r="BN152">
        <v>0</v>
      </c>
      <c r="BO152" t="s">
        <v>6</v>
      </c>
      <c r="BP152">
        <v>0</v>
      </c>
      <c r="BQ152">
        <v>2</v>
      </c>
      <c r="BR152">
        <v>0</v>
      </c>
      <c r="BS152">
        <v>6.56</v>
      </c>
      <c r="BT152">
        <v>1</v>
      </c>
      <c r="BU152">
        <v>1</v>
      </c>
      <c r="BV152">
        <v>1</v>
      </c>
      <c r="BW152">
        <v>1</v>
      </c>
      <c r="BX152">
        <v>1</v>
      </c>
      <c r="BY152" t="s">
        <v>6</v>
      </c>
      <c r="BZ152">
        <v>123</v>
      </c>
      <c r="CA152">
        <v>75</v>
      </c>
      <c r="CF152">
        <v>0</v>
      </c>
      <c r="CG152">
        <v>0</v>
      </c>
      <c r="CM152">
        <v>0</v>
      </c>
      <c r="CN152" t="s">
        <v>1609</v>
      </c>
      <c r="CO152">
        <v>0</v>
      </c>
      <c r="CP152">
        <f t="shared" si="173"/>
        <v>2820.7799999999997</v>
      </c>
      <c r="CQ152">
        <f t="shared" si="174"/>
        <v>56.02239999999999</v>
      </c>
      <c r="CR152">
        <f t="shared" si="175"/>
        <v>344.85919999999999</v>
      </c>
      <c r="CS152">
        <f t="shared" si="176"/>
        <v>140.6464</v>
      </c>
      <c r="CT152">
        <f t="shared" si="177"/>
        <v>2391.9728</v>
      </c>
      <c r="CU152">
        <f t="shared" si="178"/>
        <v>0</v>
      </c>
      <c r="CV152">
        <f t="shared" si="179"/>
        <v>46.747499999999995</v>
      </c>
      <c r="CW152">
        <f t="shared" si="180"/>
        <v>1.5874999999999999</v>
      </c>
      <c r="CX152">
        <f t="shared" si="181"/>
        <v>0</v>
      </c>
      <c r="CY152">
        <f t="shared" si="182"/>
        <v>2839.3134000000005</v>
      </c>
      <c r="CZ152">
        <f t="shared" si="183"/>
        <v>1637.0816</v>
      </c>
      <c r="DC152" t="s">
        <v>6</v>
      </c>
      <c r="DD152" t="s">
        <v>6</v>
      </c>
      <c r="DE152" t="s">
        <v>172</v>
      </c>
      <c r="DF152" t="s">
        <v>172</v>
      </c>
      <c r="DG152" t="s">
        <v>173</v>
      </c>
      <c r="DH152" t="s">
        <v>6</v>
      </c>
      <c r="DI152" t="s">
        <v>173</v>
      </c>
      <c r="DJ152" t="s">
        <v>172</v>
      </c>
      <c r="DK152" t="s">
        <v>6</v>
      </c>
      <c r="DL152" t="s">
        <v>6</v>
      </c>
      <c r="DM152" t="s">
        <v>6</v>
      </c>
      <c r="DN152">
        <v>0</v>
      </c>
      <c r="DO152">
        <v>0</v>
      </c>
      <c r="DP152">
        <v>1</v>
      </c>
      <c r="DQ152">
        <v>1</v>
      </c>
      <c r="DU152">
        <v>1005</v>
      </c>
      <c r="DV152" t="s">
        <v>20</v>
      </c>
      <c r="DW152" t="s">
        <v>20</v>
      </c>
      <c r="DX152">
        <v>100</v>
      </c>
      <c r="EE152">
        <v>16510488</v>
      </c>
      <c r="EF152">
        <v>2</v>
      </c>
      <c r="EG152" t="s">
        <v>22</v>
      </c>
      <c r="EH152">
        <v>0</v>
      </c>
      <c r="EI152" t="s">
        <v>6</v>
      </c>
      <c r="EJ152">
        <v>1</v>
      </c>
      <c r="EK152">
        <v>11001</v>
      </c>
      <c r="EL152" t="s">
        <v>62</v>
      </c>
      <c r="EM152" t="s">
        <v>433</v>
      </c>
      <c r="EO152" t="s">
        <v>176</v>
      </c>
      <c r="EQ152">
        <v>131072</v>
      </c>
      <c r="ER152">
        <v>367.66</v>
      </c>
      <c r="ES152">
        <v>8.5399999999999991</v>
      </c>
      <c r="ET152">
        <v>42.05</v>
      </c>
      <c r="EU152">
        <v>17.149999999999999</v>
      </c>
      <c r="EV152">
        <v>317.07</v>
      </c>
      <c r="EW152">
        <v>40.65</v>
      </c>
      <c r="EX152">
        <v>1.27</v>
      </c>
      <c r="EY152">
        <v>0</v>
      </c>
      <c r="FQ152">
        <v>0</v>
      </c>
      <c r="FR152">
        <f t="shared" si="184"/>
        <v>0</v>
      </c>
      <c r="FS152">
        <v>0</v>
      </c>
      <c r="FT152" t="s">
        <v>25</v>
      </c>
      <c r="FU152" t="s">
        <v>26</v>
      </c>
      <c r="FX152">
        <v>110.7</v>
      </c>
      <c r="FY152">
        <v>63.75</v>
      </c>
      <c r="GA152" t="s">
        <v>6</v>
      </c>
      <c r="GD152">
        <v>0</v>
      </c>
      <c r="GF152">
        <v>1315376555</v>
      </c>
      <c r="GG152">
        <v>1</v>
      </c>
      <c r="GH152">
        <v>1</v>
      </c>
      <c r="GI152">
        <v>4</v>
      </c>
      <c r="GJ152">
        <v>0</v>
      </c>
      <c r="GK152">
        <f>ROUND(R152*(R12)/100,2)</f>
        <v>0</v>
      </c>
      <c r="GL152">
        <f t="shared" si="185"/>
        <v>0</v>
      </c>
      <c r="GM152">
        <f t="shared" si="186"/>
        <v>7297.17</v>
      </c>
      <c r="GN152">
        <f t="shared" si="187"/>
        <v>7297.17</v>
      </c>
      <c r="GO152">
        <f t="shared" si="188"/>
        <v>0</v>
      </c>
      <c r="GP152">
        <f t="shared" si="189"/>
        <v>0</v>
      </c>
      <c r="GR152">
        <v>0</v>
      </c>
      <c r="GS152">
        <v>3</v>
      </c>
      <c r="GT152">
        <v>0</v>
      </c>
      <c r="GU152" t="s">
        <v>6</v>
      </c>
      <c r="GV152">
        <f t="shared" si="190"/>
        <v>0</v>
      </c>
      <c r="GW152">
        <v>1</v>
      </c>
      <c r="GX152">
        <f t="shared" si="191"/>
        <v>0</v>
      </c>
      <c r="HA152">
        <v>0</v>
      </c>
      <c r="HB152">
        <v>0</v>
      </c>
      <c r="IK152">
        <v>0</v>
      </c>
    </row>
    <row r="153" spans="1:245" x14ac:dyDescent="0.2">
      <c r="A153">
        <v>18</v>
      </c>
      <c r="B153">
        <v>1</v>
      </c>
      <c r="C153">
        <v>241</v>
      </c>
      <c r="E153" t="s">
        <v>434</v>
      </c>
      <c r="F153" t="s">
        <v>435</v>
      </c>
      <c r="G153" t="s">
        <v>436</v>
      </c>
      <c r="H153" t="s">
        <v>283</v>
      </c>
      <c r="I153">
        <f>I152*J153</f>
        <v>2.0604</v>
      </c>
      <c r="J153">
        <v>2.04</v>
      </c>
      <c r="O153">
        <f t="shared" si="158"/>
        <v>8696.74</v>
      </c>
      <c r="P153">
        <f t="shared" si="159"/>
        <v>8696.74</v>
      </c>
      <c r="Q153">
        <f t="shared" si="160"/>
        <v>0</v>
      </c>
      <c r="R153">
        <f t="shared" si="161"/>
        <v>0</v>
      </c>
      <c r="S153">
        <f t="shared" si="162"/>
        <v>0</v>
      </c>
      <c r="T153">
        <f t="shared" si="163"/>
        <v>0</v>
      </c>
      <c r="U153">
        <f t="shared" si="164"/>
        <v>0</v>
      </c>
      <c r="V153">
        <f t="shared" si="165"/>
        <v>0</v>
      </c>
      <c r="W153">
        <f t="shared" si="166"/>
        <v>0</v>
      </c>
      <c r="X153">
        <f t="shared" si="167"/>
        <v>0</v>
      </c>
      <c r="Y153">
        <f t="shared" si="168"/>
        <v>0</v>
      </c>
      <c r="AA153">
        <v>16748969</v>
      </c>
      <c r="AB153">
        <f t="shared" si="169"/>
        <v>643.42999999999995</v>
      </c>
      <c r="AC153">
        <f t="shared" si="170"/>
        <v>643.42999999999995</v>
      </c>
      <c r="AD153">
        <f>ROUND((((ET153)-(EU153))+AE153),2)</f>
        <v>0</v>
      </c>
      <c r="AE153">
        <f>ROUND((EU153),2)</f>
        <v>0</v>
      </c>
      <c r="AF153">
        <f>ROUND((EV153),2)</f>
        <v>0</v>
      </c>
      <c r="AG153">
        <f t="shared" si="171"/>
        <v>0</v>
      </c>
      <c r="AH153">
        <f>(EW153)</f>
        <v>0</v>
      </c>
      <c r="AI153">
        <f>(EX153)</f>
        <v>0</v>
      </c>
      <c r="AJ153">
        <f t="shared" si="172"/>
        <v>0</v>
      </c>
      <c r="AK153">
        <v>643.42999999999995</v>
      </c>
      <c r="AL153">
        <v>643.42999999999995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  <c r="AS153">
        <v>0</v>
      </c>
      <c r="AT153">
        <v>111</v>
      </c>
      <c r="AU153">
        <v>64</v>
      </c>
      <c r="AV153">
        <v>1</v>
      </c>
      <c r="AW153">
        <v>1</v>
      </c>
      <c r="AZ153">
        <v>6.56</v>
      </c>
      <c r="BA153">
        <v>1</v>
      </c>
      <c r="BB153">
        <v>1</v>
      </c>
      <c r="BC153">
        <v>6.56</v>
      </c>
      <c r="BD153" t="s">
        <v>6</v>
      </c>
      <c r="BE153" t="s">
        <v>6</v>
      </c>
      <c r="BF153" t="s">
        <v>6</v>
      </c>
      <c r="BG153" t="s">
        <v>6</v>
      </c>
      <c r="BH153">
        <v>3</v>
      </c>
      <c r="BI153">
        <v>1</v>
      </c>
      <c r="BJ153" t="s">
        <v>437</v>
      </c>
      <c r="BM153">
        <v>11001</v>
      </c>
      <c r="BN153">
        <v>0</v>
      </c>
      <c r="BO153" t="s">
        <v>6</v>
      </c>
      <c r="BP153">
        <v>0</v>
      </c>
      <c r="BQ153">
        <v>2</v>
      </c>
      <c r="BR153">
        <v>0</v>
      </c>
      <c r="BS153">
        <v>1</v>
      </c>
      <c r="BT153">
        <v>1</v>
      </c>
      <c r="BU153">
        <v>1</v>
      </c>
      <c r="BV153">
        <v>1</v>
      </c>
      <c r="BW153">
        <v>1</v>
      </c>
      <c r="BX153">
        <v>1</v>
      </c>
      <c r="BY153" t="s">
        <v>6</v>
      </c>
      <c r="BZ153">
        <v>123</v>
      </c>
      <c r="CA153">
        <v>75</v>
      </c>
      <c r="CF153">
        <v>0</v>
      </c>
      <c r="CG153">
        <v>0</v>
      </c>
      <c r="CM153">
        <v>0</v>
      </c>
      <c r="CN153" t="s">
        <v>6</v>
      </c>
      <c r="CO153">
        <v>0</v>
      </c>
      <c r="CP153">
        <f t="shared" si="173"/>
        <v>8696.74</v>
      </c>
      <c r="CQ153">
        <f t="shared" si="174"/>
        <v>4220.9007999999994</v>
      </c>
      <c r="CR153">
        <f t="shared" si="175"/>
        <v>0</v>
      </c>
      <c r="CS153">
        <f t="shared" si="176"/>
        <v>0</v>
      </c>
      <c r="CT153">
        <f t="shared" si="177"/>
        <v>0</v>
      </c>
      <c r="CU153">
        <f t="shared" si="178"/>
        <v>0</v>
      </c>
      <c r="CV153">
        <f t="shared" si="179"/>
        <v>0</v>
      </c>
      <c r="CW153">
        <f t="shared" si="180"/>
        <v>0</v>
      </c>
      <c r="CX153">
        <f t="shared" si="181"/>
        <v>0</v>
      </c>
      <c r="CY153">
        <f t="shared" si="182"/>
        <v>0</v>
      </c>
      <c r="CZ153">
        <f t="shared" si="183"/>
        <v>0</v>
      </c>
      <c r="DC153" t="s">
        <v>6</v>
      </c>
      <c r="DD153" t="s">
        <v>6</v>
      </c>
      <c r="DE153" t="s">
        <v>6</v>
      </c>
      <c r="DF153" t="s">
        <v>6</v>
      </c>
      <c r="DG153" t="s">
        <v>6</v>
      </c>
      <c r="DH153" t="s">
        <v>6</v>
      </c>
      <c r="DI153" t="s">
        <v>6</v>
      </c>
      <c r="DJ153" t="s">
        <v>6</v>
      </c>
      <c r="DK153" t="s">
        <v>6</v>
      </c>
      <c r="DL153" t="s">
        <v>6</v>
      </c>
      <c r="DM153" t="s">
        <v>6</v>
      </c>
      <c r="DN153">
        <v>0</v>
      </c>
      <c r="DO153">
        <v>0</v>
      </c>
      <c r="DP153">
        <v>1</v>
      </c>
      <c r="DQ153">
        <v>1</v>
      </c>
      <c r="DU153">
        <v>1007</v>
      </c>
      <c r="DV153" t="s">
        <v>283</v>
      </c>
      <c r="DW153" t="s">
        <v>283</v>
      </c>
      <c r="DX153">
        <v>1</v>
      </c>
      <c r="EE153">
        <v>16510488</v>
      </c>
      <c r="EF153">
        <v>2</v>
      </c>
      <c r="EG153" t="s">
        <v>22</v>
      </c>
      <c r="EH153">
        <v>0</v>
      </c>
      <c r="EI153" t="s">
        <v>6</v>
      </c>
      <c r="EJ153">
        <v>1</v>
      </c>
      <c r="EK153">
        <v>11001</v>
      </c>
      <c r="EL153" t="s">
        <v>62</v>
      </c>
      <c r="EM153" t="s">
        <v>433</v>
      </c>
      <c r="EO153" t="s">
        <v>6</v>
      </c>
      <c r="EQ153">
        <v>0</v>
      </c>
      <c r="ER153">
        <v>643.42999999999995</v>
      </c>
      <c r="ES153">
        <v>643.42999999999995</v>
      </c>
      <c r="ET153">
        <v>0</v>
      </c>
      <c r="EU153">
        <v>0</v>
      </c>
      <c r="EV153">
        <v>0</v>
      </c>
      <c r="EW153">
        <v>0</v>
      </c>
      <c r="EX153">
        <v>0</v>
      </c>
      <c r="FQ153">
        <v>0</v>
      </c>
      <c r="FR153">
        <f t="shared" si="184"/>
        <v>0</v>
      </c>
      <c r="FS153">
        <v>0</v>
      </c>
      <c r="FT153" t="s">
        <v>25</v>
      </c>
      <c r="FU153" t="s">
        <v>26</v>
      </c>
      <c r="FX153">
        <v>110.7</v>
      </c>
      <c r="FY153">
        <v>63.75</v>
      </c>
      <c r="GA153" t="s">
        <v>6</v>
      </c>
      <c r="GD153">
        <v>0</v>
      </c>
      <c r="GF153">
        <v>1435212761</v>
      </c>
      <c r="GG153">
        <v>1</v>
      </c>
      <c r="GH153">
        <v>1</v>
      </c>
      <c r="GI153">
        <v>4</v>
      </c>
      <c r="GJ153">
        <v>0</v>
      </c>
      <c r="GK153">
        <f>ROUND(R153*(R12)/100,2)</f>
        <v>0</v>
      </c>
      <c r="GL153">
        <f t="shared" si="185"/>
        <v>0</v>
      </c>
      <c r="GM153">
        <f t="shared" si="186"/>
        <v>8696.74</v>
      </c>
      <c r="GN153">
        <f t="shared" si="187"/>
        <v>8696.74</v>
      </c>
      <c r="GO153">
        <f t="shared" si="188"/>
        <v>0</v>
      </c>
      <c r="GP153">
        <f t="shared" si="189"/>
        <v>0</v>
      </c>
      <c r="GR153">
        <v>0</v>
      </c>
      <c r="GS153">
        <v>3</v>
      </c>
      <c r="GT153">
        <v>0</v>
      </c>
      <c r="GU153" t="s">
        <v>6</v>
      </c>
      <c r="GV153">
        <f t="shared" si="190"/>
        <v>0</v>
      </c>
      <c r="GW153">
        <v>1</v>
      </c>
      <c r="GX153">
        <f t="shared" si="191"/>
        <v>0</v>
      </c>
      <c r="HA153">
        <v>0</v>
      </c>
      <c r="HB153">
        <v>0</v>
      </c>
      <c r="IK153">
        <v>0</v>
      </c>
    </row>
    <row r="154" spans="1:245" x14ac:dyDescent="0.2">
      <c r="A154">
        <v>18</v>
      </c>
      <c r="B154">
        <v>1</v>
      </c>
      <c r="C154">
        <v>242</v>
      </c>
      <c r="E154" t="s">
        <v>438</v>
      </c>
      <c r="F154" t="s">
        <v>439</v>
      </c>
      <c r="G154" t="s">
        <v>440</v>
      </c>
      <c r="H154" t="s">
        <v>283</v>
      </c>
      <c r="I154">
        <f>I152*J154</f>
        <v>2.0604</v>
      </c>
      <c r="J154">
        <v>2.04</v>
      </c>
      <c r="O154">
        <f t="shared" si="158"/>
        <v>0</v>
      </c>
      <c r="P154">
        <f t="shared" si="159"/>
        <v>0</v>
      </c>
      <c r="Q154">
        <f t="shared" si="160"/>
        <v>0</v>
      </c>
      <c r="R154">
        <f t="shared" si="161"/>
        <v>0</v>
      </c>
      <c r="S154">
        <f t="shared" si="162"/>
        <v>0</v>
      </c>
      <c r="T154">
        <f t="shared" si="163"/>
        <v>0</v>
      </c>
      <c r="U154">
        <f t="shared" si="164"/>
        <v>0</v>
      </c>
      <c r="V154">
        <f t="shared" si="165"/>
        <v>0</v>
      </c>
      <c r="W154">
        <f t="shared" si="166"/>
        <v>0</v>
      </c>
      <c r="X154">
        <f t="shared" si="167"/>
        <v>0</v>
      </c>
      <c r="Y154">
        <f t="shared" si="168"/>
        <v>0</v>
      </c>
      <c r="AA154">
        <v>16748969</v>
      </c>
      <c r="AB154">
        <f t="shared" si="169"/>
        <v>0</v>
      </c>
      <c r="AC154">
        <f t="shared" si="170"/>
        <v>0</v>
      </c>
      <c r="AD154">
        <f>ROUND((((ET154)-(EU154))+AE154),2)</f>
        <v>0</v>
      </c>
      <c r="AE154">
        <f>ROUND((EU154),2)</f>
        <v>0</v>
      </c>
      <c r="AF154">
        <f>ROUND((EV154),2)</f>
        <v>0</v>
      </c>
      <c r="AG154">
        <f t="shared" si="171"/>
        <v>0</v>
      </c>
      <c r="AH154">
        <f>(EW154)</f>
        <v>0</v>
      </c>
      <c r="AI154">
        <f>(EX154)</f>
        <v>0</v>
      </c>
      <c r="AJ154">
        <f t="shared" si="172"/>
        <v>0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  <c r="AS154">
        <v>0</v>
      </c>
      <c r="AT154">
        <v>111</v>
      </c>
      <c r="AU154">
        <v>64</v>
      </c>
      <c r="AV154">
        <v>1</v>
      </c>
      <c r="AW154">
        <v>1</v>
      </c>
      <c r="AZ154">
        <v>6.56</v>
      </c>
      <c r="BA154">
        <v>1</v>
      </c>
      <c r="BB154">
        <v>1</v>
      </c>
      <c r="BC154">
        <v>6.56</v>
      </c>
      <c r="BD154" t="s">
        <v>6</v>
      </c>
      <c r="BE154" t="s">
        <v>6</v>
      </c>
      <c r="BF154" t="s">
        <v>6</v>
      </c>
      <c r="BG154" t="s">
        <v>6</v>
      </c>
      <c r="BH154">
        <v>3</v>
      </c>
      <c r="BI154">
        <v>1</v>
      </c>
      <c r="BJ154" t="s">
        <v>6</v>
      </c>
      <c r="BM154">
        <v>11001</v>
      </c>
      <c r="BN154">
        <v>0</v>
      </c>
      <c r="BO154" t="s">
        <v>6</v>
      </c>
      <c r="BP154">
        <v>0</v>
      </c>
      <c r="BQ154">
        <v>2</v>
      </c>
      <c r="BR154">
        <v>0</v>
      </c>
      <c r="BS154">
        <v>1</v>
      </c>
      <c r="BT154">
        <v>1</v>
      </c>
      <c r="BU154">
        <v>1</v>
      </c>
      <c r="BV154">
        <v>1</v>
      </c>
      <c r="BW154">
        <v>1</v>
      </c>
      <c r="BX154">
        <v>1</v>
      </c>
      <c r="BY154" t="s">
        <v>6</v>
      </c>
      <c r="BZ154">
        <v>123</v>
      </c>
      <c r="CA154">
        <v>75</v>
      </c>
      <c r="CF154">
        <v>0</v>
      </c>
      <c r="CG154">
        <v>0</v>
      </c>
      <c r="CM154">
        <v>0</v>
      </c>
      <c r="CN154" t="s">
        <v>6</v>
      </c>
      <c r="CO154">
        <v>0</v>
      </c>
      <c r="CP154">
        <f t="shared" si="173"/>
        <v>0</v>
      </c>
      <c r="CQ154">
        <f t="shared" si="174"/>
        <v>0</v>
      </c>
      <c r="CR154">
        <f t="shared" si="175"/>
        <v>0</v>
      </c>
      <c r="CS154">
        <f t="shared" si="176"/>
        <v>0</v>
      </c>
      <c r="CT154">
        <f t="shared" si="177"/>
        <v>0</v>
      </c>
      <c r="CU154">
        <f t="shared" si="178"/>
        <v>0</v>
      </c>
      <c r="CV154">
        <f t="shared" si="179"/>
        <v>0</v>
      </c>
      <c r="CW154">
        <f t="shared" si="180"/>
        <v>0</v>
      </c>
      <c r="CX154">
        <f t="shared" si="181"/>
        <v>0</v>
      </c>
      <c r="CY154">
        <f t="shared" si="182"/>
        <v>0</v>
      </c>
      <c r="CZ154">
        <f t="shared" si="183"/>
        <v>0</v>
      </c>
      <c r="DC154" t="s">
        <v>6</v>
      </c>
      <c r="DD154" t="s">
        <v>6</v>
      </c>
      <c r="DE154" t="s">
        <v>6</v>
      </c>
      <c r="DF154" t="s">
        <v>6</v>
      </c>
      <c r="DG154" t="s">
        <v>6</v>
      </c>
      <c r="DH154" t="s">
        <v>6</v>
      </c>
      <c r="DI154" t="s">
        <v>6</v>
      </c>
      <c r="DJ154" t="s">
        <v>6</v>
      </c>
      <c r="DK154" t="s">
        <v>6</v>
      </c>
      <c r="DL154" t="s">
        <v>6</v>
      </c>
      <c r="DM154" t="s">
        <v>6</v>
      </c>
      <c r="DN154">
        <v>0</v>
      </c>
      <c r="DO154">
        <v>0</v>
      </c>
      <c r="DP154">
        <v>1</v>
      </c>
      <c r="DQ154">
        <v>1</v>
      </c>
      <c r="DU154">
        <v>1007</v>
      </c>
      <c r="DV154" t="s">
        <v>283</v>
      </c>
      <c r="DW154" t="s">
        <v>283</v>
      </c>
      <c r="DX154">
        <v>1</v>
      </c>
      <c r="EE154">
        <v>16510488</v>
      </c>
      <c r="EF154">
        <v>2</v>
      </c>
      <c r="EG154" t="s">
        <v>22</v>
      </c>
      <c r="EH154">
        <v>0</v>
      </c>
      <c r="EI154" t="s">
        <v>6</v>
      </c>
      <c r="EJ154">
        <v>1</v>
      </c>
      <c r="EK154">
        <v>11001</v>
      </c>
      <c r="EL154" t="s">
        <v>62</v>
      </c>
      <c r="EM154" t="s">
        <v>433</v>
      </c>
      <c r="EO154" t="s">
        <v>6</v>
      </c>
      <c r="EQ154">
        <v>0</v>
      </c>
      <c r="ER154">
        <v>0</v>
      </c>
      <c r="ES154">
        <v>0</v>
      </c>
      <c r="ET154">
        <v>0</v>
      </c>
      <c r="EU154">
        <v>0</v>
      </c>
      <c r="EV154">
        <v>0</v>
      </c>
      <c r="EW154">
        <v>0</v>
      </c>
      <c r="EX154">
        <v>0</v>
      </c>
      <c r="FQ154">
        <v>0</v>
      </c>
      <c r="FR154">
        <f t="shared" si="184"/>
        <v>0</v>
      </c>
      <c r="FS154">
        <v>0</v>
      </c>
      <c r="FT154" t="s">
        <v>25</v>
      </c>
      <c r="FU154" t="s">
        <v>26</v>
      </c>
      <c r="FX154">
        <v>110.7</v>
      </c>
      <c r="FY154">
        <v>63.75</v>
      </c>
      <c r="GA154" t="s">
        <v>6</v>
      </c>
      <c r="GD154">
        <v>0</v>
      </c>
      <c r="GF154">
        <v>-355906858</v>
      </c>
      <c r="GG154">
        <v>1</v>
      </c>
      <c r="GH154">
        <v>1</v>
      </c>
      <c r="GI154">
        <v>4</v>
      </c>
      <c r="GJ154">
        <v>0</v>
      </c>
      <c r="GK154">
        <f>ROUND(R154*(R12)/100,2)</f>
        <v>0</v>
      </c>
      <c r="GL154">
        <f t="shared" si="185"/>
        <v>0</v>
      </c>
      <c r="GM154">
        <f t="shared" si="186"/>
        <v>0</v>
      </c>
      <c r="GN154">
        <f t="shared" si="187"/>
        <v>0</v>
      </c>
      <c r="GO154">
        <f t="shared" si="188"/>
        <v>0</v>
      </c>
      <c r="GP154">
        <f t="shared" si="189"/>
        <v>0</v>
      </c>
      <c r="GR154">
        <v>0</v>
      </c>
      <c r="GS154">
        <v>3</v>
      </c>
      <c r="GT154">
        <v>0</v>
      </c>
      <c r="GU154" t="s">
        <v>6</v>
      </c>
      <c r="GV154">
        <f t="shared" si="190"/>
        <v>0</v>
      </c>
      <c r="GW154">
        <v>1</v>
      </c>
      <c r="GX154">
        <f t="shared" si="191"/>
        <v>0</v>
      </c>
      <c r="HA154">
        <v>0</v>
      </c>
      <c r="HB154">
        <v>0</v>
      </c>
      <c r="IK154">
        <v>0</v>
      </c>
    </row>
    <row r="155" spans="1:245" x14ac:dyDescent="0.2">
      <c r="A155">
        <v>17</v>
      </c>
      <c r="B155">
        <v>1</v>
      </c>
      <c r="C155">
        <f>ROW(SmtRes!A248)</f>
        <v>248</v>
      </c>
      <c r="D155">
        <f>ROW(EtalonRes!A234)</f>
        <v>234</v>
      </c>
      <c r="E155" t="s">
        <v>441</v>
      </c>
      <c r="F155" t="s">
        <v>442</v>
      </c>
      <c r="G155" t="s">
        <v>443</v>
      </c>
      <c r="H155" t="s">
        <v>20</v>
      </c>
      <c r="I155">
        <f>ROUND(101/100,9)</f>
        <v>1.01</v>
      </c>
      <c r="J155">
        <v>0</v>
      </c>
      <c r="O155">
        <f t="shared" si="158"/>
        <v>561.91</v>
      </c>
      <c r="P155">
        <f t="shared" si="159"/>
        <v>0</v>
      </c>
      <c r="Q155">
        <f t="shared" si="160"/>
        <v>383.62</v>
      </c>
      <c r="R155">
        <f t="shared" si="161"/>
        <v>141.13</v>
      </c>
      <c r="S155">
        <f t="shared" si="162"/>
        <v>178.29</v>
      </c>
      <c r="T155">
        <f t="shared" si="163"/>
        <v>0</v>
      </c>
      <c r="U155">
        <f t="shared" si="164"/>
        <v>3.4844999999999997</v>
      </c>
      <c r="V155">
        <f t="shared" si="165"/>
        <v>1.5907500000000001</v>
      </c>
      <c r="W155">
        <f t="shared" si="166"/>
        <v>0</v>
      </c>
      <c r="X155">
        <f t="shared" si="167"/>
        <v>354.56</v>
      </c>
      <c r="Y155">
        <f t="shared" si="168"/>
        <v>204.43</v>
      </c>
      <c r="AA155">
        <v>16748969</v>
      </c>
      <c r="AB155">
        <f t="shared" si="169"/>
        <v>84.81</v>
      </c>
      <c r="AC155">
        <f>ROUND(((ES155*6)),2)</f>
        <v>0</v>
      </c>
      <c r="AD155">
        <f>ROUND(((((ET155*1.25*6))-((EU155*1.25*6)))+AE155),2)</f>
        <v>57.9</v>
      </c>
      <c r="AE155">
        <f>ROUND(((EU155*1.25*6)),2)</f>
        <v>21.3</v>
      </c>
      <c r="AF155">
        <f>ROUND(((EV155*1.15*6)),2)</f>
        <v>26.91</v>
      </c>
      <c r="AG155">
        <f t="shared" si="171"/>
        <v>0</v>
      </c>
      <c r="AH155">
        <f>((EW155*1.15*6))</f>
        <v>3.4499999999999997</v>
      </c>
      <c r="AI155">
        <f>((EX155*1.25*6))</f>
        <v>1.5750000000000002</v>
      </c>
      <c r="AJ155">
        <f t="shared" si="172"/>
        <v>0</v>
      </c>
      <c r="AK155">
        <v>11.62</v>
      </c>
      <c r="AL155">
        <v>0</v>
      </c>
      <c r="AM155">
        <v>7.72</v>
      </c>
      <c r="AN155">
        <v>2.84</v>
      </c>
      <c r="AO155">
        <v>3.9</v>
      </c>
      <c r="AP155">
        <v>0</v>
      </c>
      <c r="AQ155">
        <v>0.5</v>
      </c>
      <c r="AR155">
        <v>0.21</v>
      </c>
      <c r="AS155">
        <v>0</v>
      </c>
      <c r="AT155">
        <v>111</v>
      </c>
      <c r="AU155">
        <v>64</v>
      </c>
      <c r="AV155">
        <v>1</v>
      </c>
      <c r="AW155">
        <v>1</v>
      </c>
      <c r="AZ155">
        <v>6.56</v>
      </c>
      <c r="BA155">
        <v>6.56</v>
      </c>
      <c r="BB155">
        <v>6.56</v>
      </c>
      <c r="BC155">
        <v>6.56</v>
      </c>
      <c r="BD155" t="s">
        <v>6</v>
      </c>
      <c r="BE155" t="s">
        <v>6</v>
      </c>
      <c r="BF155" t="s">
        <v>6</v>
      </c>
      <c r="BG155" t="s">
        <v>6</v>
      </c>
      <c r="BH155">
        <v>0</v>
      </c>
      <c r="BI155">
        <v>1</v>
      </c>
      <c r="BJ155" t="s">
        <v>444</v>
      </c>
      <c r="BM155">
        <v>11001</v>
      </c>
      <c r="BN155">
        <v>0</v>
      </c>
      <c r="BO155" t="s">
        <v>6</v>
      </c>
      <c r="BP155">
        <v>0</v>
      </c>
      <c r="BQ155">
        <v>2</v>
      </c>
      <c r="BR155">
        <v>0</v>
      </c>
      <c r="BS155">
        <v>6.56</v>
      </c>
      <c r="BT155">
        <v>1</v>
      </c>
      <c r="BU155">
        <v>1</v>
      </c>
      <c r="BV155">
        <v>1</v>
      </c>
      <c r="BW155">
        <v>1</v>
      </c>
      <c r="BX155">
        <v>1</v>
      </c>
      <c r="BY155" t="s">
        <v>6</v>
      </c>
      <c r="BZ155">
        <v>123</v>
      </c>
      <c r="CA155">
        <v>75</v>
      </c>
      <c r="CF155">
        <v>0</v>
      </c>
      <c r="CG155">
        <v>0</v>
      </c>
      <c r="CM155">
        <v>0</v>
      </c>
      <c r="CN155" t="s">
        <v>1609</v>
      </c>
      <c r="CO155">
        <v>0</v>
      </c>
      <c r="CP155">
        <f t="shared" si="173"/>
        <v>561.91</v>
      </c>
      <c r="CQ155">
        <f t="shared" si="174"/>
        <v>0</v>
      </c>
      <c r="CR155">
        <f t="shared" si="175"/>
        <v>379.82399999999996</v>
      </c>
      <c r="CS155">
        <f t="shared" si="176"/>
        <v>139.72800000000001</v>
      </c>
      <c r="CT155">
        <f t="shared" si="177"/>
        <v>176.52959999999999</v>
      </c>
      <c r="CU155">
        <f t="shared" si="178"/>
        <v>0</v>
      </c>
      <c r="CV155">
        <f t="shared" si="179"/>
        <v>3.4499999999999997</v>
      </c>
      <c r="CW155">
        <f t="shared" si="180"/>
        <v>1.5750000000000002</v>
      </c>
      <c r="CX155">
        <f t="shared" si="181"/>
        <v>0</v>
      </c>
      <c r="CY155">
        <f t="shared" si="182"/>
        <v>354.55619999999993</v>
      </c>
      <c r="CZ155">
        <f t="shared" si="183"/>
        <v>204.42879999999997</v>
      </c>
      <c r="DC155" t="s">
        <v>6</v>
      </c>
      <c r="DD155" t="s">
        <v>445</v>
      </c>
      <c r="DE155" t="s">
        <v>446</v>
      </c>
      <c r="DF155" t="s">
        <v>446</v>
      </c>
      <c r="DG155" t="s">
        <v>447</v>
      </c>
      <c r="DH155" t="s">
        <v>6</v>
      </c>
      <c r="DI155" t="s">
        <v>447</v>
      </c>
      <c r="DJ155" t="s">
        <v>446</v>
      </c>
      <c r="DK155" t="s">
        <v>6</v>
      </c>
      <c r="DL155" t="s">
        <v>6</v>
      </c>
      <c r="DM155" t="s">
        <v>6</v>
      </c>
      <c r="DN155">
        <v>0</v>
      </c>
      <c r="DO155">
        <v>0</v>
      </c>
      <c r="DP155">
        <v>1</v>
      </c>
      <c r="DQ155">
        <v>1</v>
      </c>
      <c r="DU155">
        <v>1005</v>
      </c>
      <c r="DV155" t="s">
        <v>20</v>
      </c>
      <c r="DW155" t="s">
        <v>20</v>
      </c>
      <c r="DX155">
        <v>100</v>
      </c>
      <c r="EE155">
        <v>16510488</v>
      </c>
      <c r="EF155">
        <v>2</v>
      </c>
      <c r="EG155" t="s">
        <v>22</v>
      </c>
      <c r="EH155">
        <v>0</v>
      </c>
      <c r="EI155" t="s">
        <v>6</v>
      </c>
      <c r="EJ155">
        <v>1</v>
      </c>
      <c r="EK155">
        <v>11001</v>
      </c>
      <c r="EL155" t="s">
        <v>62</v>
      </c>
      <c r="EM155" t="s">
        <v>433</v>
      </c>
      <c r="EO155" t="s">
        <v>176</v>
      </c>
      <c r="EQ155">
        <v>131072</v>
      </c>
      <c r="ER155">
        <v>11.62</v>
      </c>
      <c r="ES155">
        <v>0</v>
      </c>
      <c r="ET155">
        <v>7.72</v>
      </c>
      <c r="EU155">
        <v>2.84</v>
      </c>
      <c r="EV155">
        <v>3.9</v>
      </c>
      <c r="EW155">
        <v>0.5</v>
      </c>
      <c r="EX155">
        <v>0.21</v>
      </c>
      <c r="EY155">
        <v>0</v>
      </c>
      <c r="FQ155">
        <v>0</v>
      </c>
      <c r="FR155">
        <f t="shared" si="184"/>
        <v>0</v>
      </c>
      <c r="FS155">
        <v>0</v>
      </c>
      <c r="FT155" t="s">
        <v>25</v>
      </c>
      <c r="FU155" t="s">
        <v>26</v>
      </c>
      <c r="FX155">
        <v>110.7</v>
      </c>
      <c r="FY155">
        <v>63.75</v>
      </c>
      <c r="GA155" t="s">
        <v>6</v>
      </c>
      <c r="GD155">
        <v>0</v>
      </c>
      <c r="GF155">
        <v>-303907149</v>
      </c>
      <c r="GG155">
        <v>1</v>
      </c>
      <c r="GH155">
        <v>1</v>
      </c>
      <c r="GI155">
        <v>4</v>
      </c>
      <c r="GJ155">
        <v>0</v>
      </c>
      <c r="GK155">
        <f>ROUND(R155*(R12)/100,2)</f>
        <v>0</v>
      </c>
      <c r="GL155">
        <f t="shared" si="185"/>
        <v>0</v>
      </c>
      <c r="GM155">
        <f t="shared" si="186"/>
        <v>1120.9000000000001</v>
      </c>
      <c r="GN155">
        <f t="shared" si="187"/>
        <v>1120.9000000000001</v>
      </c>
      <c r="GO155">
        <f t="shared" si="188"/>
        <v>0</v>
      </c>
      <c r="GP155">
        <f t="shared" si="189"/>
        <v>0</v>
      </c>
      <c r="GR155">
        <v>0</v>
      </c>
      <c r="GS155">
        <v>3</v>
      </c>
      <c r="GT155">
        <v>0</v>
      </c>
      <c r="GU155" t="s">
        <v>6</v>
      </c>
      <c r="GV155">
        <f t="shared" si="190"/>
        <v>0</v>
      </c>
      <c r="GW155">
        <v>1</v>
      </c>
      <c r="GX155">
        <f t="shared" si="191"/>
        <v>0</v>
      </c>
      <c r="HA155">
        <v>0</v>
      </c>
      <c r="HB155">
        <v>0</v>
      </c>
      <c r="IK155">
        <v>0</v>
      </c>
    </row>
    <row r="156" spans="1:245" x14ac:dyDescent="0.2">
      <c r="A156">
        <v>18</v>
      </c>
      <c r="B156">
        <v>1</v>
      </c>
      <c r="C156">
        <v>247</v>
      </c>
      <c r="E156" t="s">
        <v>448</v>
      </c>
      <c r="F156" t="s">
        <v>435</v>
      </c>
      <c r="G156" t="s">
        <v>436</v>
      </c>
      <c r="H156" t="s">
        <v>283</v>
      </c>
      <c r="I156">
        <f>I155*J156</f>
        <v>3.0905999999999998</v>
      </c>
      <c r="J156">
        <v>3.0599999999999996</v>
      </c>
      <c r="O156">
        <f t="shared" si="158"/>
        <v>13045.12</v>
      </c>
      <c r="P156">
        <f t="shared" si="159"/>
        <v>13045.12</v>
      </c>
      <c r="Q156">
        <f t="shared" si="160"/>
        <v>0</v>
      </c>
      <c r="R156">
        <f t="shared" si="161"/>
        <v>0</v>
      </c>
      <c r="S156">
        <f t="shared" si="162"/>
        <v>0</v>
      </c>
      <c r="T156">
        <f t="shared" si="163"/>
        <v>0</v>
      </c>
      <c r="U156">
        <f t="shared" si="164"/>
        <v>0</v>
      </c>
      <c r="V156">
        <f t="shared" si="165"/>
        <v>0</v>
      </c>
      <c r="W156">
        <f t="shared" si="166"/>
        <v>0</v>
      </c>
      <c r="X156">
        <f t="shared" si="167"/>
        <v>0</v>
      </c>
      <c r="Y156">
        <f t="shared" si="168"/>
        <v>0</v>
      </c>
      <c r="AA156">
        <v>16748969</v>
      </c>
      <c r="AB156">
        <f t="shared" si="169"/>
        <v>643.42999999999995</v>
      </c>
      <c r="AC156">
        <f>ROUND((ES156),2)</f>
        <v>643.42999999999995</v>
      </c>
      <c r="AD156">
        <f>ROUND((((ET156)-(EU156))+AE156),2)</f>
        <v>0</v>
      </c>
      <c r="AE156">
        <f>ROUND((EU156),2)</f>
        <v>0</v>
      </c>
      <c r="AF156">
        <f>ROUND((EV156),2)</f>
        <v>0</v>
      </c>
      <c r="AG156">
        <f t="shared" si="171"/>
        <v>0</v>
      </c>
      <c r="AH156">
        <f>(EW156)</f>
        <v>0</v>
      </c>
      <c r="AI156">
        <f>(EX156)</f>
        <v>0</v>
      </c>
      <c r="AJ156">
        <f t="shared" si="172"/>
        <v>0</v>
      </c>
      <c r="AK156">
        <v>643.42999999999995</v>
      </c>
      <c r="AL156">
        <v>643.42999999999995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  <c r="AS156">
        <v>0</v>
      </c>
      <c r="AT156">
        <v>111</v>
      </c>
      <c r="AU156">
        <v>64</v>
      </c>
      <c r="AV156">
        <v>1</v>
      </c>
      <c r="AW156">
        <v>1</v>
      </c>
      <c r="AZ156">
        <v>6.56</v>
      </c>
      <c r="BA156">
        <v>1</v>
      </c>
      <c r="BB156">
        <v>1</v>
      </c>
      <c r="BC156">
        <v>6.56</v>
      </c>
      <c r="BD156" t="s">
        <v>6</v>
      </c>
      <c r="BE156" t="s">
        <v>6</v>
      </c>
      <c r="BF156" t="s">
        <v>6</v>
      </c>
      <c r="BG156" t="s">
        <v>6</v>
      </c>
      <c r="BH156">
        <v>3</v>
      </c>
      <c r="BI156">
        <v>1</v>
      </c>
      <c r="BJ156" t="s">
        <v>437</v>
      </c>
      <c r="BM156">
        <v>11001</v>
      </c>
      <c r="BN156">
        <v>0</v>
      </c>
      <c r="BO156" t="s">
        <v>6</v>
      </c>
      <c r="BP156">
        <v>0</v>
      </c>
      <c r="BQ156">
        <v>2</v>
      </c>
      <c r="BR156">
        <v>0</v>
      </c>
      <c r="BS156">
        <v>1</v>
      </c>
      <c r="BT156">
        <v>1</v>
      </c>
      <c r="BU156">
        <v>1</v>
      </c>
      <c r="BV156">
        <v>1</v>
      </c>
      <c r="BW156">
        <v>1</v>
      </c>
      <c r="BX156">
        <v>1</v>
      </c>
      <c r="BY156" t="s">
        <v>6</v>
      </c>
      <c r="BZ156">
        <v>123</v>
      </c>
      <c r="CA156">
        <v>75</v>
      </c>
      <c r="CF156">
        <v>0</v>
      </c>
      <c r="CG156">
        <v>0</v>
      </c>
      <c r="CM156">
        <v>0</v>
      </c>
      <c r="CN156" t="s">
        <v>1609</v>
      </c>
      <c r="CO156">
        <v>0</v>
      </c>
      <c r="CP156">
        <f t="shared" si="173"/>
        <v>13045.12</v>
      </c>
      <c r="CQ156">
        <f t="shared" si="174"/>
        <v>4220.9007999999994</v>
      </c>
      <c r="CR156">
        <f t="shared" si="175"/>
        <v>0</v>
      </c>
      <c r="CS156">
        <f t="shared" si="176"/>
        <v>0</v>
      </c>
      <c r="CT156">
        <f t="shared" si="177"/>
        <v>0</v>
      </c>
      <c r="CU156">
        <f t="shared" si="178"/>
        <v>0</v>
      </c>
      <c r="CV156">
        <f t="shared" si="179"/>
        <v>0</v>
      </c>
      <c r="CW156">
        <f t="shared" si="180"/>
        <v>0</v>
      </c>
      <c r="CX156">
        <f t="shared" si="181"/>
        <v>0</v>
      </c>
      <c r="CY156">
        <f t="shared" si="182"/>
        <v>0</v>
      </c>
      <c r="CZ156">
        <f t="shared" si="183"/>
        <v>0</v>
      </c>
      <c r="DC156" t="s">
        <v>6</v>
      </c>
      <c r="DD156" t="s">
        <v>6</v>
      </c>
      <c r="DE156" t="s">
        <v>6</v>
      </c>
      <c r="DF156" t="s">
        <v>6</v>
      </c>
      <c r="DG156" t="s">
        <v>6</v>
      </c>
      <c r="DH156" t="s">
        <v>6</v>
      </c>
      <c r="DI156" t="s">
        <v>6</v>
      </c>
      <c r="DJ156" t="s">
        <v>6</v>
      </c>
      <c r="DK156" t="s">
        <v>6</v>
      </c>
      <c r="DL156" t="s">
        <v>6</v>
      </c>
      <c r="DM156" t="s">
        <v>6</v>
      </c>
      <c r="DN156">
        <v>0</v>
      </c>
      <c r="DO156">
        <v>0</v>
      </c>
      <c r="DP156">
        <v>1</v>
      </c>
      <c r="DQ156">
        <v>1</v>
      </c>
      <c r="DU156">
        <v>1007</v>
      </c>
      <c r="DV156" t="s">
        <v>283</v>
      </c>
      <c r="DW156" t="s">
        <v>283</v>
      </c>
      <c r="DX156">
        <v>1</v>
      </c>
      <c r="EE156">
        <v>16510488</v>
      </c>
      <c r="EF156">
        <v>2</v>
      </c>
      <c r="EG156" t="s">
        <v>22</v>
      </c>
      <c r="EH156">
        <v>0</v>
      </c>
      <c r="EI156" t="s">
        <v>6</v>
      </c>
      <c r="EJ156">
        <v>1</v>
      </c>
      <c r="EK156">
        <v>11001</v>
      </c>
      <c r="EL156" t="s">
        <v>62</v>
      </c>
      <c r="EM156" t="s">
        <v>433</v>
      </c>
      <c r="EO156" t="s">
        <v>176</v>
      </c>
      <c r="EQ156">
        <v>0</v>
      </c>
      <c r="ER156">
        <v>643.42999999999995</v>
      </c>
      <c r="ES156">
        <v>643.42999999999995</v>
      </c>
      <c r="ET156">
        <v>0</v>
      </c>
      <c r="EU156">
        <v>0</v>
      </c>
      <c r="EV156">
        <v>0</v>
      </c>
      <c r="EW156">
        <v>0</v>
      </c>
      <c r="EX156">
        <v>0</v>
      </c>
      <c r="FQ156">
        <v>0</v>
      </c>
      <c r="FR156">
        <f t="shared" si="184"/>
        <v>0</v>
      </c>
      <c r="FS156">
        <v>0</v>
      </c>
      <c r="FT156" t="s">
        <v>25</v>
      </c>
      <c r="FU156" t="s">
        <v>26</v>
      </c>
      <c r="FX156">
        <v>110.7</v>
      </c>
      <c r="FY156">
        <v>63.75</v>
      </c>
      <c r="GA156" t="s">
        <v>6</v>
      </c>
      <c r="GD156">
        <v>0</v>
      </c>
      <c r="GF156">
        <v>1435212761</v>
      </c>
      <c r="GG156">
        <v>1</v>
      </c>
      <c r="GH156">
        <v>1</v>
      </c>
      <c r="GI156">
        <v>4</v>
      </c>
      <c r="GJ156">
        <v>0</v>
      </c>
      <c r="GK156">
        <f>ROUND(R156*(R12)/100,2)</f>
        <v>0</v>
      </c>
      <c r="GL156">
        <f t="shared" si="185"/>
        <v>0</v>
      </c>
      <c r="GM156">
        <f t="shared" si="186"/>
        <v>13045.12</v>
      </c>
      <c r="GN156">
        <f t="shared" si="187"/>
        <v>13045.12</v>
      </c>
      <c r="GO156">
        <f t="shared" si="188"/>
        <v>0</v>
      </c>
      <c r="GP156">
        <f t="shared" si="189"/>
        <v>0</v>
      </c>
      <c r="GR156">
        <v>0</v>
      </c>
      <c r="GS156">
        <v>3</v>
      </c>
      <c r="GT156">
        <v>0</v>
      </c>
      <c r="GU156" t="s">
        <v>6</v>
      </c>
      <c r="GV156">
        <f t="shared" si="190"/>
        <v>0</v>
      </c>
      <c r="GW156">
        <v>1</v>
      </c>
      <c r="GX156">
        <f t="shared" si="191"/>
        <v>0</v>
      </c>
      <c r="HA156">
        <v>0</v>
      </c>
      <c r="HB156">
        <v>0</v>
      </c>
      <c r="IK156">
        <v>0</v>
      </c>
    </row>
    <row r="157" spans="1:245" x14ac:dyDescent="0.2">
      <c r="A157">
        <v>18</v>
      </c>
      <c r="B157">
        <v>1</v>
      </c>
      <c r="C157">
        <v>248</v>
      </c>
      <c r="E157" t="s">
        <v>449</v>
      </c>
      <c r="F157" t="s">
        <v>439</v>
      </c>
      <c r="G157" t="s">
        <v>440</v>
      </c>
      <c r="H157" t="s">
        <v>283</v>
      </c>
      <c r="I157">
        <f>I155*J157</f>
        <v>3.0905999999999998</v>
      </c>
      <c r="J157">
        <v>3.0599999999999996</v>
      </c>
      <c r="O157">
        <f t="shared" si="158"/>
        <v>0</v>
      </c>
      <c r="P157">
        <f t="shared" si="159"/>
        <v>0</v>
      </c>
      <c r="Q157">
        <f t="shared" si="160"/>
        <v>0</v>
      </c>
      <c r="R157">
        <f t="shared" si="161"/>
        <v>0</v>
      </c>
      <c r="S157">
        <f t="shared" si="162"/>
        <v>0</v>
      </c>
      <c r="T157">
        <f t="shared" si="163"/>
        <v>0</v>
      </c>
      <c r="U157">
        <f t="shared" si="164"/>
        <v>0</v>
      </c>
      <c r="V157">
        <f t="shared" si="165"/>
        <v>0</v>
      </c>
      <c r="W157">
        <f t="shared" si="166"/>
        <v>0</v>
      </c>
      <c r="X157">
        <f t="shared" si="167"/>
        <v>0</v>
      </c>
      <c r="Y157">
        <f t="shared" si="168"/>
        <v>0</v>
      </c>
      <c r="AA157">
        <v>16748969</v>
      </c>
      <c r="AB157">
        <f t="shared" si="169"/>
        <v>0</v>
      </c>
      <c r="AC157">
        <f>ROUND((ES157),2)</f>
        <v>0</v>
      </c>
      <c r="AD157">
        <f>ROUND((((ET157)-(EU157))+AE157),2)</f>
        <v>0</v>
      </c>
      <c r="AE157">
        <f>ROUND((EU157),2)</f>
        <v>0</v>
      </c>
      <c r="AF157">
        <f>ROUND((EV157),2)</f>
        <v>0</v>
      </c>
      <c r="AG157">
        <f t="shared" si="171"/>
        <v>0</v>
      </c>
      <c r="AH157">
        <f>(EW157)</f>
        <v>0</v>
      </c>
      <c r="AI157">
        <f>(EX157)</f>
        <v>0</v>
      </c>
      <c r="AJ157">
        <f t="shared" si="172"/>
        <v>0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111</v>
      </c>
      <c r="AU157">
        <v>64</v>
      </c>
      <c r="AV157">
        <v>1</v>
      </c>
      <c r="AW157">
        <v>1</v>
      </c>
      <c r="AZ157">
        <v>6.56</v>
      </c>
      <c r="BA157">
        <v>1</v>
      </c>
      <c r="BB157">
        <v>1</v>
      </c>
      <c r="BC157">
        <v>6.56</v>
      </c>
      <c r="BD157" t="s">
        <v>6</v>
      </c>
      <c r="BE157" t="s">
        <v>6</v>
      </c>
      <c r="BF157" t="s">
        <v>6</v>
      </c>
      <c r="BG157" t="s">
        <v>6</v>
      </c>
      <c r="BH157">
        <v>3</v>
      </c>
      <c r="BI157">
        <v>1</v>
      </c>
      <c r="BJ157" t="s">
        <v>6</v>
      </c>
      <c r="BM157">
        <v>11001</v>
      </c>
      <c r="BN157">
        <v>0</v>
      </c>
      <c r="BO157" t="s">
        <v>6</v>
      </c>
      <c r="BP157">
        <v>0</v>
      </c>
      <c r="BQ157">
        <v>2</v>
      </c>
      <c r="BR157">
        <v>0</v>
      </c>
      <c r="BS157">
        <v>1</v>
      </c>
      <c r="BT157">
        <v>1</v>
      </c>
      <c r="BU157">
        <v>1</v>
      </c>
      <c r="BV157">
        <v>1</v>
      </c>
      <c r="BW157">
        <v>1</v>
      </c>
      <c r="BX157">
        <v>1</v>
      </c>
      <c r="BY157" t="s">
        <v>6</v>
      </c>
      <c r="BZ157">
        <v>123</v>
      </c>
      <c r="CA157">
        <v>75</v>
      </c>
      <c r="CF157">
        <v>0</v>
      </c>
      <c r="CG157">
        <v>0</v>
      </c>
      <c r="CM157">
        <v>0</v>
      </c>
      <c r="CN157" t="s">
        <v>1609</v>
      </c>
      <c r="CO157">
        <v>0</v>
      </c>
      <c r="CP157">
        <f t="shared" si="173"/>
        <v>0</v>
      </c>
      <c r="CQ157">
        <f t="shared" si="174"/>
        <v>0</v>
      </c>
      <c r="CR157">
        <f t="shared" si="175"/>
        <v>0</v>
      </c>
      <c r="CS157">
        <f t="shared" si="176"/>
        <v>0</v>
      </c>
      <c r="CT157">
        <f t="shared" si="177"/>
        <v>0</v>
      </c>
      <c r="CU157">
        <f t="shared" si="178"/>
        <v>0</v>
      </c>
      <c r="CV157">
        <f t="shared" si="179"/>
        <v>0</v>
      </c>
      <c r="CW157">
        <f t="shared" si="180"/>
        <v>0</v>
      </c>
      <c r="CX157">
        <f t="shared" si="181"/>
        <v>0</v>
      </c>
      <c r="CY157">
        <f t="shared" si="182"/>
        <v>0</v>
      </c>
      <c r="CZ157">
        <f t="shared" si="183"/>
        <v>0</v>
      </c>
      <c r="DC157" t="s">
        <v>6</v>
      </c>
      <c r="DD157" t="s">
        <v>6</v>
      </c>
      <c r="DE157" t="s">
        <v>6</v>
      </c>
      <c r="DF157" t="s">
        <v>6</v>
      </c>
      <c r="DG157" t="s">
        <v>6</v>
      </c>
      <c r="DH157" t="s">
        <v>6</v>
      </c>
      <c r="DI157" t="s">
        <v>6</v>
      </c>
      <c r="DJ157" t="s">
        <v>6</v>
      </c>
      <c r="DK157" t="s">
        <v>6</v>
      </c>
      <c r="DL157" t="s">
        <v>6</v>
      </c>
      <c r="DM157" t="s">
        <v>6</v>
      </c>
      <c r="DN157">
        <v>0</v>
      </c>
      <c r="DO157">
        <v>0</v>
      </c>
      <c r="DP157">
        <v>1</v>
      </c>
      <c r="DQ157">
        <v>1</v>
      </c>
      <c r="DU157">
        <v>1007</v>
      </c>
      <c r="DV157" t="s">
        <v>283</v>
      </c>
      <c r="DW157" t="s">
        <v>283</v>
      </c>
      <c r="DX157">
        <v>1</v>
      </c>
      <c r="EE157">
        <v>16510488</v>
      </c>
      <c r="EF157">
        <v>2</v>
      </c>
      <c r="EG157" t="s">
        <v>22</v>
      </c>
      <c r="EH157">
        <v>0</v>
      </c>
      <c r="EI157" t="s">
        <v>6</v>
      </c>
      <c r="EJ157">
        <v>1</v>
      </c>
      <c r="EK157">
        <v>11001</v>
      </c>
      <c r="EL157" t="s">
        <v>62</v>
      </c>
      <c r="EM157" t="s">
        <v>433</v>
      </c>
      <c r="EO157" t="s">
        <v>176</v>
      </c>
      <c r="EQ157">
        <v>0</v>
      </c>
      <c r="ER157">
        <v>0</v>
      </c>
      <c r="ES157">
        <v>0</v>
      </c>
      <c r="ET157">
        <v>0</v>
      </c>
      <c r="EU157">
        <v>0</v>
      </c>
      <c r="EV157">
        <v>0</v>
      </c>
      <c r="EW157">
        <v>0</v>
      </c>
      <c r="EX157">
        <v>0</v>
      </c>
      <c r="FQ157">
        <v>0</v>
      </c>
      <c r="FR157">
        <f t="shared" si="184"/>
        <v>0</v>
      </c>
      <c r="FS157">
        <v>0</v>
      </c>
      <c r="FT157" t="s">
        <v>25</v>
      </c>
      <c r="FU157" t="s">
        <v>26</v>
      </c>
      <c r="FX157">
        <v>110.7</v>
      </c>
      <c r="FY157">
        <v>63.75</v>
      </c>
      <c r="GA157" t="s">
        <v>6</v>
      </c>
      <c r="GD157">
        <v>0</v>
      </c>
      <c r="GF157">
        <v>-355906858</v>
      </c>
      <c r="GG157">
        <v>1</v>
      </c>
      <c r="GH157">
        <v>1</v>
      </c>
      <c r="GI157">
        <v>4</v>
      </c>
      <c r="GJ157">
        <v>0</v>
      </c>
      <c r="GK157">
        <f>ROUND(R157*(R12)/100,2)</f>
        <v>0</v>
      </c>
      <c r="GL157">
        <f t="shared" si="185"/>
        <v>0</v>
      </c>
      <c r="GM157">
        <f t="shared" si="186"/>
        <v>0</v>
      </c>
      <c r="GN157">
        <f t="shared" si="187"/>
        <v>0</v>
      </c>
      <c r="GO157">
        <f t="shared" si="188"/>
        <v>0</v>
      </c>
      <c r="GP157">
        <f t="shared" si="189"/>
        <v>0</v>
      </c>
      <c r="GR157">
        <v>0</v>
      </c>
      <c r="GS157">
        <v>3</v>
      </c>
      <c r="GT157">
        <v>0</v>
      </c>
      <c r="GU157" t="s">
        <v>6</v>
      </c>
      <c r="GV157">
        <f t="shared" si="190"/>
        <v>0</v>
      </c>
      <c r="GW157">
        <v>1</v>
      </c>
      <c r="GX157">
        <f t="shared" si="191"/>
        <v>0</v>
      </c>
      <c r="HA157">
        <v>0</v>
      </c>
      <c r="HB157">
        <v>0</v>
      </c>
      <c r="IK157">
        <v>0</v>
      </c>
    </row>
    <row r="158" spans="1:245" x14ac:dyDescent="0.2">
      <c r="A158">
        <v>17</v>
      </c>
      <c r="B158">
        <v>1</v>
      </c>
      <c r="C158">
        <f>ROW(SmtRes!A255)</f>
        <v>255</v>
      </c>
      <c r="D158">
        <f>ROW(EtalonRes!A241)</f>
        <v>241</v>
      </c>
      <c r="E158" t="s">
        <v>450</v>
      </c>
      <c r="F158" t="s">
        <v>451</v>
      </c>
      <c r="G158" t="s">
        <v>452</v>
      </c>
      <c r="H158" t="s">
        <v>20</v>
      </c>
      <c r="I158">
        <f>ROUND(101/100,9)</f>
        <v>1.01</v>
      </c>
      <c r="J158">
        <v>0</v>
      </c>
      <c r="O158">
        <f t="shared" si="158"/>
        <v>73402.7</v>
      </c>
      <c r="P158">
        <f t="shared" si="159"/>
        <v>70902.73</v>
      </c>
      <c r="Q158">
        <f t="shared" si="160"/>
        <v>51.61</v>
      </c>
      <c r="R158">
        <f t="shared" si="161"/>
        <v>16.3</v>
      </c>
      <c r="S158">
        <f t="shared" si="162"/>
        <v>2448.36</v>
      </c>
      <c r="T158">
        <f t="shared" si="163"/>
        <v>0</v>
      </c>
      <c r="U158">
        <f t="shared" si="164"/>
        <v>43.753704999999997</v>
      </c>
      <c r="V158">
        <f t="shared" si="165"/>
        <v>0.21462500000000004</v>
      </c>
      <c r="W158">
        <f t="shared" si="166"/>
        <v>0</v>
      </c>
      <c r="X158">
        <f t="shared" si="167"/>
        <v>2735.77</v>
      </c>
      <c r="Y158">
        <f t="shared" si="168"/>
        <v>1577.38</v>
      </c>
      <c r="AA158">
        <v>16748969</v>
      </c>
      <c r="AB158">
        <f t="shared" si="169"/>
        <v>11078.65</v>
      </c>
      <c r="AC158">
        <f>ROUND((ES158),2)</f>
        <v>10701.33</v>
      </c>
      <c r="AD158">
        <f>ROUND(((((ET158*1.25))-((EU158*1.25)))+AE158),2)</f>
        <v>7.79</v>
      </c>
      <c r="AE158">
        <f>ROUND(((EU158*1.25)),2)</f>
        <v>2.46</v>
      </c>
      <c r="AF158">
        <f>ROUND(((EV158*1.15)),2)</f>
        <v>369.53</v>
      </c>
      <c r="AG158">
        <f t="shared" si="171"/>
        <v>0</v>
      </c>
      <c r="AH158">
        <f>((EW158*1.15))</f>
        <v>43.320499999999996</v>
      </c>
      <c r="AI158">
        <f>((EX158*1.25))</f>
        <v>0.21250000000000002</v>
      </c>
      <c r="AJ158">
        <f t="shared" si="172"/>
        <v>0</v>
      </c>
      <c r="AK158">
        <v>11028.89</v>
      </c>
      <c r="AL158">
        <v>10701.33</v>
      </c>
      <c r="AM158">
        <v>6.23</v>
      </c>
      <c r="AN158">
        <v>1.97</v>
      </c>
      <c r="AO158">
        <v>321.33</v>
      </c>
      <c r="AP158">
        <v>0</v>
      </c>
      <c r="AQ158">
        <v>37.67</v>
      </c>
      <c r="AR158">
        <v>0.17</v>
      </c>
      <c r="AS158">
        <v>0</v>
      </c>
      <c r="AT158">
        <v>111</v>
      </c>
      <c r="AU158">
        <v>64</v>
      </c>
      <c r="AV158">
        <v>1</v>
      </c>
      <c r="AW158">
        <v>1</v>
      </c>
      <c r="AZ158">
        <v>6.56</v>
      </c>
      <c r="BA158">
        <v>6.56</v>
      </c>
      <c r="BB158">
        <v>6.56</v>
      </c>
      <c r="BC158">
        <v>6.56</v>
      </c>
      <c r="BD158" t="s">
        <v>6</v>
      </c>
      <c r="BE158" t="s">
        <v>6</v>
      </c>
      <c r="BF158" t="s">
        <v>6</v>
      </c>
      <c r="BG158" t="s">
        <v>6</v>
      </c>
      <c r="BH158">
        <v>0</v>
      </c>
      <c r="BI158">
        <v>1</v>
      </c>
      <c r="BJ158" t="s">
        <v>453</v>
      </c>
      <c r="BM158">
        <v>11001</v>
      </c>
      <c r="BN158">
        <v>0</v>
      </c>
      <c r="BO158" t="s">
        <v>6</v>
      </c>
      <c r="BP158">
        <v>0</v>
      </c>
      <c r="BQ158">
        <v>2</v>
      </c>
      <c r="BR158">
        <v>0</v>
      </c>
      <c r="BS158">
        <v>6.56</v>
      </c>
      <c r="BT158">
        <v>1</v>
      </c>
      <c r="BU158">
        <v>1</v>
      </c>
      <c r="BV158">
        <v>1</v>
      </c>
      <c r="BW158">
        <v>1</v>
      </c>
      <c r="BX158">
        <v>1</v>
      </c>
      <c r="BY158" t="s">
        <v>6</v>
      </c>
      <c r="BZ158">
        <v>123</v>
      </c>
      <c r="CA158">
        <v>75</v>
      </c>
      <c r="CF158">
        <v>0</v>
      </c>
      <c r="CG158">
        <v>0</v>
      </c>
      <c r="CM158">
        <v>0</v>
      </c>
      <c r="CN158" t="s">
        <v>1609</v>
      </c>
      <c r="CO158">
        <v>0</v>
      </c>
      <c r="CP158">
        <f t="shared" si="173"/>
        <v>73402.7</v>
      </c>
      <c r="CQ158">
        <f t="shared" si="174"/>
        <v>70200.724799999996</v>
      </c>
      <c r="CR158">
        <f t="shared" si="175"/>
        <v>51.102399999999996</v>
      </c>
      <c r="CS158">
        <f t="shared" si="176"/>
        <v>16.137599999999999</v>
      </c>
      <c r="CT158">
        <f t="shared" si="177"/>
        <v>2424.1167999999998</v>
      </c>
      <c r="CU158">
        <f t="shared" si="178"/>
        <v>0</v>
      </c>
      <c r="CV158">
        <f t="shared" si="179"/>
        <v>43.320499999999996</v>
      </c>
      <c r="CW158">
        <f t="shared" si="180"/>
        <v>0.21250000000000002</v>
      </c>
      <c r="CX158">
        <f t="shared" si="181"/>
        <v>0</v>
      </c>
      <c r="CY158">
        <f t="shared" si="182"/>
        <v>2735.7726000000002</v>
      </c>
      <c r="CZ158">
        <f t="shared" si="183"/>
        <v>1577.3824000000002</v>
      </c>
      <c r="DC158" t="s">
        <v>6</v>
      </c>
      <c r="DD158" t="s">
        <v>6</v>
      </c>
      <c r="DE158" t="s">
        <v>172</v>
      </c>
      <c r="DF158" t="s">
        <v>172</v>
      </c>
      <c r="DG158" t="s">
        <v>173</v>
      </c>
      <c r="DH158" t="s">
        <v>6</v>
      </c>
      <c r="DI158" t="s">
        <v>173</v>
      </c>
      <c r="DJ158" t="s">
        <v>172</v>
      </c>
      <c r="DK158" t="s">
        <v>6</v>
      </c>
      <c r="DL158" t="s">
        <v>6</v>
      </c>
      <c r="DM158" t="s">
        <v>6</v>
      </c>
      <c r="DN158">
        <v>0</v>
      </c>
      <c r="DO158">
        <v>0</v>
      </c>
      <c r="DP158">
        <v>1</v>
      </c>
      <c r="DQ158">
        <v>1</v>
      </c>
      <c r="DU158">
        <v>1005</v>
      </c>
      <c r="DV158" t="s">
        <v>20</v>
      </c>
      <c r="DW158" t="s">
        <v>20</v>
      </c>
      <c r="DX158">
        <v>100</v>
      </c>
      <c r="EE158">
        <v>16510488</v>
      </c>
      <c r="EF158">
        <v>2</v>
      </c>
      <c r="EG158" t="s">
        <v>22</v>
      </c>
      <c r="EH158">
        <v>0</v>
      </c>
      <c r="EI158" t="s">
        <v>6</v>
      </c>
      <c r="EJ158">
        <v>1</v>
      </c>
      <c r="EK158">
        <v>11001</v>
      </c>
      <c r="EL158" t="s">
        <v>62</v>
      </c>
      <c r="EM158" t="s">
        <v>433</v>
      </c>
      <c r="EO158" t="s">
        <v>176</v>
      </c>
      <c r="EQ158">
        <v>131072</v>
      </c>
      <c r="ER158">
        <v>11028.89</v>
      </c>
      <c r="ES158">
        <v>10701.33</v>
      </c>
      <c r="ET158">
        <v>6.23</v>
      </c>
      <c r="EU158">
        <v>1.97</v>
      </c>
      <c r="EV158">
        <v>321.33</v>
      </c>
      <c r="EW158">
        <v>37.67</v>
      </c>
      <c r="EX158">
        <v>0.17</v>
      </c>
      <c r="EY158">
        <v>0</v>
      </c>
      <c r="FQ158">
        <v>0</v>
      </c>
      <c r="FR158">
        <f t="shared" si="184"/>
        <v>0</v>
      </c>
      <c r="FS158">
        <v>0</v>
      </c>
      <c r="FT158" t="s">
        <v>25</v>
      </c>
      <c r="FU158" t="s">
        <v>26</v>
      </c>
      <c r="FX158">
        <v>110.7</v>
      </c>
      <c r="FY158">
        <v>63.75</v>
      </c>
      <c r="GA158" t="s">
        <v>6</v>
      </c>
      <c r="GD158">
        <v>0</v>
      </c>
      <c r="GF158">
        <v>1715562049</v>
      </c>
      <c r="GG158">
        <v>1</v>
      </c>
      <c r="GH158">
        <v>1</v>
      </c>
      <c r="GI158">
        <v>4</v>
      </c>
      <c r="GJ158">
        <v>0</v>
      </c>
      <c r="GK158">
        <f>ROUND(R158*(R12)/100,2)</f>
        <v>0</v>
      </c>
      <c r="GL158">
        <f t="shared" si="185"/>
        <v>0</v>
      </c>
      <c r="GM158">
        <f t="shared" si="186"/>
        <v>77715.850000000006</v>
      </c>
      <c r="GN158">
        <f t="shared" si="187"/>
        <v>77715.850000000006</v>
      </c>
      <c r="GO158">
        <f t="shared" si="188"/>
        <v>0</v>
      </c>
      <c r="GP158">
        <f t="shared" si="189"/>
        <v>0</v>
      </c>
      <c r="GR158">
        <v>0</v>
      </c>
      <c r="GS158">
        <v>3</v>
      </c>
      <c r="GT158">
        <v>0</v>
      </c>
      <c r="GU158" t="s">
        <v>6</v>
      </c>
      <c r="GV158">
        <f t="shared" si="190"/>
        <v>0</v>
      </c>
      <c r="GW158">
        <v>1</v>
      </c>
      <c r="GX158">
        <f t="shared" si="191"/>
        <v>0</v>
      </c>
      <c r="HA158">
        <v>0</v>
      </c>
      <c r="HB158">
        <v>0</v>
      </c>
      <c r="IK158">
        <v>0</v>
      </c>
    </row>
    <row r="159" spans="1:245" x14ac:dyDescent="0.2">
      <c r="A159">
        <v>17</v>
      </c>
      <c r="B159">
        <v>1</v>
      </c>
      <c r="C159">
        <f>ROW(SmtRes!A261)</f>
        <v>261</v>
      </c>
      <c r="D159">
        <f>ROW(EtalonRes!A247)</f>
        <v>247</v>
      </c>
      <c r="E159" t="s">
        <v>454</v>
      </c>
      <c r="F159" t="s">
        <v>455</v>
      </c>
      <c r="G159" t="s">
        <v>456</v>
      </c>
      <c r="H159" t="s">
        <v>20</v>
      </c>
      <c r="I159">
        <f>ROUND(101/100,9)</f>
        <v>1.01</v>
      </c>
      <c r="J159">
        <v>0</v>
      </c>
      <c r="O159">
        <f t="shared" si="158"/>
        <v>68707.48</v>
      </c>
      <c r="P159">
        <f t="shared" si="159"/>
        <v>67870.990000000005</v>
      </c>
      <c r="Q159">
        <f t="shared" si="160"/>
        <v>50.16</v>
      </c>
      <c r="R159">
        <f t="shared" si="161"/>
        <v>14.51</v>
      </c>
      <c r="S159">
        <f t="shared" si="162"/>
        <v>786.33</v>
      </c>
      <c r="T159">
        <f t="shared" si="163"/>
        <v>0</v>
      </c>
      <c r="U159">
        <f t="shared" si="164"/>
        <v>14.05415</v>
      </c>
      <c r="V159">
        <f t="shared" si="165"/>
        <v>0.18937500000000002</v>
      </c>
      <c r="W159">
        <f t="shared" si="166"/>
        <v>0</v>
      </c>
      <c r="X159">
        <f t="shared" si="167"/>
        <v>888.93</v>
      </c>
      <c r="Y159">
        <f t="shared" si="168"/>
        <v>512.54</v>
      </c>
      <c r="AA159">
        <v>16748969</v>
      </c>
      <c r="AB159">
        <f t="shared" si="169"/>
        <v>10370</v>
      </c>
      <c r="AC159">
        <f>ROUND(((ES159*5)),2)</f>
        <v>10243.75</v>
      </c>
      <c r="AD159">
        <f>ROUND(((((ET159*1.25*5))-((EU159*1.25*5)))+AE159),2)</f>
        <v>7.57</v>
      </c>
      <c r="AE159">
        <f>ROUND(((EU159*1.25*5)),2)</f>
        <v>2.19</v>
      </c>
      <c r="AF159">
        <f>ROUND(((EV159*1.15*5)),2)</f>
        <v>118.68</v>
      </c>
      <c r="AG159">
        <f t="shared" si="171"/>
        <v>0</v>
      </c>
      <c r="AH159">
        <f>((EW159*1.15*5))</f>
        <v>13.914999999999999</v>
      </c>
      <c r="AI159">
        <f>((EX159*1.25*5))</f>
        <v>0.1875</v>
      </c>
      <c r="AJ159">
        <f t="shared" si="172"/>
        <v>0</v>
      </c>
      <c r="AK159">
        <v>2070.6</v>
      </c>
      <c r="AL159">
        <v>2048.75</v>
      </c>
      <c r="AM159">
        <v>1.21</v>
      </c>
      <c r="AN159">
        <v>0.35</v>
      </c>
      <c r="AO159">
        <v>20.64</v>
      </c>
      <c r="AP159">
        <v>0</v>
      </c>
      <c r="AQ159">
        <v>2.42</v>
      </c>
      <c r="AR159">
        <v>0.03</v>
      </c>
      <c r="AS159">
        <v>0</v>
      </c>
      <c r="AT159">
        <v>111</v>
      </c>
      <c r="AU159">
        <v>64</v>
      </c>
      <c r="AV159">
        <v>1</v>
      </c>
      <c r="AW159">
        <v>1</v>
      </c>
      <c r="AZ159">
        <v>6.56</v>
      </c>
      <c r="BA159">
        <v>6.56</v>
      </c>
      <c r="BB159">
        <v>6.56</v>
      </c>
      <c r="BC159">
        <v>6.56</v>
      </c>
      <c r="BD159" t="s">
        <v>6</v>
      </c>
      <c r="BE159" t="s">
        <v>6</v>
      </c>
      <c r="BF159" t="s">
        <v>6</v>
      </c>
      <c r="BG159" t="s">
        <v>6</v>
      </c>
      <c r="BH159">
        <v>0</v>
      </c>
      <c r="BI159">
        <v>1</v>
      </c>
      <c r="BJ159" t="s">
        <v>457</v>
      </c>
      <c r="BM159">
        <v>11001</v>
      </c>
      <c r="BN159">
        <v>0</v>
      </c>
      <c r="BO159" t="s">
        <v>6</v>
      </c>
      <c r="BP159">
        <v>0</v>
      </c>
      <c r="BQ159">
        <v>2</v>
      </c>
      <c r="BR159">
        <v>0</v>
      </c>
      <c r="BS159">
        <v>6.56</v>
      </c>
      <c r="BT159">
        <v>1</v>
      </c>
      <c r="BU159">
        <v>1</v>
      </c>
      <c r="BV159">
        <v>1</v>
      </c>
      <c r="BW159">
        <v>1</v>
      </c>
      <c r="BX159">
        <v>1</v>
      </c>
      <c r="BY159" t="s">
        <v>6</v>
      </c>
      <c r="BZ159">
        <v>123</v>
      </c>
      <c r="CA159">
        <v>75</v>
      </c>
      <c r="CF159">
        <v>0</v>
      </c>
      <c r="CG159">
        <v>0</v>
      </c>
      <c r="CM159">
        <v>0</v>
      </c>
      <c r="CN159" t="s">
        <v>1609</v>
      </c>
      <c r="CO159">
        <v>0</v>
      </c>
      <c r="CP159">
        <f t="shared" si="173"/>
        <v>68707.48000000001</v>
      </c>
      <c r="CQ159">
        <f t="shared" si="174"/>
        <v>67199</v>
      </c>
      <c r="CR159">
        <f t="shared" si="175"/>
        <v>49.659199999999998</v>
      </c>
      <c r="CS159">
        <f t="shared" si="176"/>
        <v>14.366399999999999</v>
      </c>
      <c r="CT159">
        <f t="shared" si="177"/>
        <v>778.54079999999999</v>
      </c>
      <c r="CU159">
        <f t="shared" si="178"/>
        <v>0</v>
      </c>
      <c r="CV159">
        <f t="shared" si="179"/>
        <v>13.914999999999999</v>
      </c>
      <c r="CW159">
        <f t="shared" si="180"/>
        <v>0.1875</v>
      </c>
      <c r="CX159">
        <f t="shared" si="181"/>
        <v>0</v>
      </c>
      <c r="CY159">
        <f t="shared" si="182"/>
        <v>888.93240000000003</v>
      </c>
      <c r="CZ159">
        <f t="shared" si="183"/>
        <v>512.5376</v>
      </c>
      <c r="DC159" t="s">
        <v>6</v>
      </c>
      <c r="DD159" t="s">
        <v>458</v>
      </c>
      <c r="DE159" t="s">
        <v>459</v>
      </c>
      <c r="DF159" t="s">
        <v>459</v>
      </c>
      <c r="DG159" t="s">
        <v>460</v>
      </c>
      <c r="DH159" t="s">
        <v>6</v>
      </c>
      <c r="DI159" t="s">
        <v>460</v>
      </c>
      <c r="DJ159" t="s">
        <v>459</v>
      </c>
      <c r="DK159" t="s">
        <v>6</v>
      </c>
      <c r="DL159" t="s">
        <v>6</v>
      </c>
      <c r="DM159" t="s">
        <v>6</v>
      </c>
      <c r="DN159">
        <v>0</v>
      </c>
      <c r="DO159">
        <v>0</v>
      </c>
      <c r="DP159">
        <v>1</v>
      </c>
      <c r="DQ159">
        <v>1</v>
      </c>
      <c r="DU159">
        <v>1005</v>
      </c>
      <c r="DV159" t="s">
        <v>20</v>
      </c>
      <c r="DW159" t="s">
        <v>20</v>
      </c>
      <c r="DX159">
        <v>100</v>
      </c>
      <c r="EE159">
        <v>16510488</v>
      </c>
      <c r="EF159">
        <v>2</v>
      </c>
      <c r="EG159" t="s">
        <v>22</v>
      </c>
      <c r="EH159">
        <v>0</v>
      </c>
      <c r="EI159" t="s">
        <v>6</v>
      </c>
      <c r="EJ159">
        <v>1</v>
      </c>
      <c r="EK159">
        <v>11001</v>
      </c>
      <c r="EL159" t="s">
        <v>62</v>
      </c>
      <c r="EM159" t="s">
        <v>433</v>
      </c>
      <c r="EO159" t="s">
        <v>176</v>
      </c>
      <c r="EQ159">
        <v>131072</v>
      </c>
      <c r="ER159">
        <v>2070.6</v>
      </c>
      <c r="ES159">
        <v>2048.75</v>
      </c>
      <c r="ET159">
        <v>1.21</v>
      </c>
      <c r="EU159">
        <v>0.35</v>
      </c>
      <c r="EV159">
        <v>20.64</v>
      </c>
      <c r="EW159">
        <v>2.42</v>
      </c>
      <c r="EX159">
        <v>0.03</v>
      </c>
      <c r="EY159">
        <v>0</v>
      </c>
      <c r="FQ159">
        <v>0</v>
      </c>
      <c r="FR159">
        <f t="shared" si="184"/>
        <v>0</v>
      </c>
      <c r="FS159">
        <v>0</v>
      </c>
      <c r="FT159" t="s">
        <v>25</v>
      </c>
      <c r="FU159" t="s">
        <v>26</v>
      </c>
      <c r="FX159">
        <v>110.7</v>
      </c>
      <c r="FY159">
        <v>63.75</v>
      </c>
      <c r="GA159" t="s">
        <v>6</v>
      </c>
      <c r="GD159">
        <v>0</v>
      </c>
      <c r="GF159">
        <v>1032441513</v>
      </c>
      <c r="GG159">
        <v>1</v>
      </c>
      <c r="GH159">
        <v>1</v>
      </c>
      <c r="GI159">
        <v>4</v>
      </c>
      <c r="GJ159">
        <v>0</v>
      </c>
      <c r="GK159">
        <f>ROUND(R159*(R12)/100,2)</f>
        <v>0</v>
      </c>
      <c r="GL159">
        <f t="shared" si="185"/>
        <v>0</v>
      </c>
      <c r="GM159">
        <f t="shared" si="186"/>
        <v>70108.95</v>
      </c>
      <c r="GN159">
        <f t="shared" si="187"/>
        <v>70108.95</v>
      </c>
      <c r="GO159">
        <f t="shared" si="188"/>
        <v>0</v>
      </c>
      <c r="GP159">
        <f t="shared" si="189"/>
        <v>0</v>
      </c>
      <c r="GR159">
        <v>0</v>
      </c>
      <c r="GS159">
        <v>3</v>
      </c>
      <c r="GT159">
        <v>0</v>
      </c>
      <c r="GU159" t="s">
        <v>6</v>
      </c>
      <c r="GV159">
        <f t="shared" si="190"/>
        <v>0</v>
      </c>
      <c r="GW159">
        <v>1</v>
      </c>
      <c r="GX159">
        <f t="shared" si="191"/>
        <v>0</v>
      </c>
      <c r="HA159">
        <v>0</v>
      </c>
      <c r="HB159">
        <v>0</v>
      </c>
      <c r="IK159">
        <v>0</v>
      </c>
    </row>
    <row r="160" spans="1:245" x14ac:dyDescent="0.2">
      <c r="A160">
        <v>17</v>
      </c>
      <c r="B160">
        <v>1</v>
      </c>
      <c r="C160">
        <f>ROW(SmtRes!A267)</f>
        <v>267</v>
      </c>
      <c r="D160">
        <f>ROW(EtalonRes!A253)</f>
        <v>253</v>
      </c>
      <c r="E160" t="s">
        <v>461</v>
      </c>
      <c r="F160" t="s">
        <v>462</v>
      </c>
      <c r="G160" t="s">
        <v>463</v>
      </c>
      <c r="H160" t="s">
        <v>20</v>
      </c>
      <c r="I160">
        <f>ROUND(23/100,9)</f>
        <v>0.23</v>
      </c>
      <c r="J160">
        <v>0</v>
      </c>
      <c r="O160">
        <f t="shared" si="158"/>
        <v>1729.5</v>
      </c>
      <c r="P160">
        <f t="shared" si="159"/>
        <v>24.59</v>
      </c>
      <c r="Q160">
        <f t="shared" si="160"/>
        <v>445.29</v>
      </c>
      <c r="R160">
        <f t="shared" si="161"/>
        <v>39.67</v>
      </c>
      <c r="S160">
        <f t="shared" si="162"/>
        <v>1259.6199999999999</v>
      </c>
      <c r="T160">
        <f t="shared" si="163"/>
        <v>0</v>
      </c>
      <c r="U160">
        <f t="shared" si="164"/>
        <v>21.170580000000001</v>
      </c>
      <c r="V160">
        <f t="shared" si="165"/>
        <v>0.60087499999999994</v>
      </c>
      <c r="W160">
        <f t="shared" si="166"/>
        <v>0</v>
      </c>
      <c r="X160">
        <f t="shared" si="167"/>
        <v>1442.21</v>
      </c>
      <c r="Y160">
        <f t="shared" si="168"/>
        <v>831.55</v>
      </c>
      <c r="AA160">
        <v>16748969</v>
      </c>
      <c r="AB160">
        <f t="shared" si="169"/>
        <v>1146.28</v>
      </c>
      <c r="AC160">
        <f t="shared" ref="AC160:AC183" si="192">ROUND((ES160),2)</f>
        <v>16.3</v>
      </c>
      <c r="AD160">
        <f>ROUND(((((ET160*1.25))-((EU160*1.25)))+AE160),2)</f>
        <v>295.13</v>
      </c>
      <c r="AE160">
        <f>ROUND(((EU160*1.25)),2)</f>
        <v>26.29</v>
      </c>
      <c r="AF160">
        <f>ROUND(((EV160*1.15)),2)</f>
        <v>834.85</v>
      </c>
      <c r="AG160">
        <f t="shared" si="171"/>
        <v>0</v>
      </c>
      <c r="AH160">
        <f>((EW160*1.15))</f>
        <v>92.046000000000006</v>
      </c>
      <c r="AI160">
        <f>((EX160*1.25))</f>
        <v>2.6124999999999998</v>
      </c>
      <c r="AJ160">
        <f t="shared" si="172"/>
        <v>0</v>
      </c>
      <c r="AK160">
        <v>978.36</v>
      </c>
      <c r="AL160">
        <v>16.3</v>
      </c>
      <c r="AM160">
        <v>236.1</v>
      </c>
      <c r="AN160">
        <v>21.03</v>
      </c>
      <c r="AO160">
        <v>725.96</v>
      </c>
      <c r="AP160">
        <v>0</v>
      </c>
      <c r="AQ160">
        <v>80.040000000000006</v>
      </c>
      <c r="AR160">
        <v>2.09</v>
      </c>
      <c r="AS160">
        <v>0</v>
      </c>
      <c r="AT160">
        <v>111</v>
      </c>
      <c r="AU160">
        <v>64</v>
      </c>
      <c r="AV160">
        <v>1</v>
      </c>
      <c r="AW160">
        <v>1</v>
      </c>
      <c r="AZ160">
        <v>6.56</v>
      </c>
      <c r="BA160">
        <v>6.56</v>
      </c>
      <c r="BB160">
        <v>6.56</v>
      </c>
      <c r="BC160">
        <v>6.56</v>
      </c>
      <c r="BD160" t="s">
        <v>6</v>
      </c>
      <c r="BE160" t="s">
        <v>6</v>
      </c>
      <c r="BF160" t="s">
        <v>6</v>
      </c>
      <c r="BG160" t="s">
        <v>6</v>
      </c>
      <c r="BH160">
        <v>0</v>
      </c>
      <c r="BI160">
        <v>1</v>
      </c>
      <c r="BJ160" t="s">
        <v>464</v>
      </c>
      <c r="BM160">
        <v>11001</v>
      </c>
      <c r="BN160">
        <v>0</v>
      </c>
      <c r="BO160" t="s">
        <v>6</v>
      </c>
      <c r="BP160">
        <v>0</v>
      </c>
      <c r="BQ160">
        <v>2</v>
      </c>
      <c r="BR160">
        <v>0</v>
      </c>
      <c r="BS160">
        <v>6.56</v>
      </c>
      <c r="BT160">
        <v>1</v>
      </c>
      <c r="BU160">
        <v>1</v>
      </c>
      <c r="BV160">
        <v>1</v>
      </c>
      <c r="BW160">
        <v>1</v>
      </c>
      <c r="BX160">
        <v>1</v>
      </c>
      <c r="BY160" t="s">
        <v>6</v>
      </c>
      <c r="BZ160">
        <v>123</v>
      </c>
      <c r="CA160">
        <v>75</v>
      </c>
      <c r="CF160">
        <v>0</v>
      </c>
      <c r="CG160">
        <v>0</v>
      </c>
      <c r="CM160">
        <v>0</v>
      </c>
      <c r="CN160" t="s">
        <v>1609</v>
      </c>
      <c r="CO160">
        <v>0</v>
      </c>
      <c r="CP160">
        <f t="shared" si="173"/>
        <v>1729.5</v>
      </c>
      <c r="CQ160">
        <f t="shared" si="174"/>
        <v>106.928</v>
      </c>
      <c r="CR160">
        <f t="shared" si="175"/>
        <v>1936.0527999999999</v>
      </c>
      <c r="CS160">
        <f t="shared" si="176"/>
        <v>172.46239999999997</v>
      </c>
      <c r="CT160">
        <f t="shared" si="177"/>
        <v>5476.616</v>
      </c>
      <c r="CU160">
        <f t="shared" si="178"/>
        <v>0</v>
      </c>
      <c r="CV160">
        <f t="shared" si="179"/>
        <v>92.046000000000006</v>
      </c>
      <c r="CW160">
        <f t="shared" si="180"/>
        <v>2.6124999999999998</v>
      </c>
      <c r="CX160">
        <f t="shared" si="181"/>
        <v>0</v>
      </c>
      <c r="CY160">
        <f t="shared" si="182"/>
        <v>1442.2119</v>
      </c>
      <c r="CZ160">
        <f t="shared" si="183"/>
        <v>831.54559999999992</v>
      </c>
      <c r="DC160" t="s">
        <v>6</v>
      </c>
      <c r="DD160" t="s">
        <v>6</v>
      </c>
      <c r="DE160" t="s">
        <v>172</v>
      </c>
      <c r="DF160" t="s">
        <v>172</v>
      </c>
      <c r="DG160" t="s">
        <v>173</v>
      </c>
      <c r="DH160" t="s">
        <v>6</v>
      </c>
      <c r="DI160" t="s">
        <v>173</v>
      </c>
      <c r="DJ160" t="s">
        <v>172</v>
      </c>
      <c r="DK160" t="s">
        <v>6</v>
      </c>
      <c r="DL160" t="s">
        <v>6</v>
      </c>
      <c r="DM160" t="s">
        <v>6</v>
      </c>
      <c r="DN160">
        <v>0</v>
      </c>
      <c r="DO160">
        <v>0</v>
      </c>
      <c r="DP160">
        <v>1</v>
      </c>
      <c r="DQ160">
        <v>1</v>
      </c>
      <c r="DU160">
        <v>1005</v>
      </c>
      <c r="DV160" t="s">
        <v>20</v>
      </c>
      <c r="DW160" t="s">
        <v>20</v>
      </c>
      <c r="DX160">
        <v>100</v>
      </c>
      <c r="EE160">
        <v>16510488</v>
      </c>
      <c r="EF160">
        <v>2</v>
      </c>
      <c r="EG160" t="s">
        <v>22</v>
      </c>
      <c r="EH160">
        <v>0</v>
      </c>
      <c r="EI160" t="s">
        <v>6</v>
      </c>
      <c r="EJ160">
        <v>1</v>
      </c>
      <c r="EK160">
        <v>11001</v>
      </c>
      <c r="EL160" t="s">
        <v>62</v>
      </c>
      <c r="EM160" t="s">
        <v>433</v>
      </c>
      <c r="EO160" t="s">
        <v>176</v>
      </c>
      <c r="EQ160">
        <v>0</v>
      </c>
      <c r="ER160">
        <v>978.36</v>
      </c>
      <c r="ES160">
        <v>16.3</v>
      </c>
      <c r="ET160">
        <v>236.1</v>
      </c>
      <c r="EU160">
        <v>21.03</v>
      </c>
      <c r="EV160">
        <v>725.96</v>
      </c>
      <c r="EW160">
        <v>80.040000000000006</v>
      </c>
      <c r="EX160">
        <v>2.09</v>
      </c>
      <c r="EY160">
        <v>0</v>
      </c>
      <c r="FQ160">
        <v>0</v>
      </c>
      <c r="FR160">
        <f t="shared" si="184"/>
        <v>0</v>
      </c>
      <c r="FS160">
        <v>0</v>
      </c>
      <c r="FT160" t="s">
        <v>25</v>
      </c>
      <c r="FU160" t="s">
        <v>26</v>
      </c>
      <c r="FX160">
        <v>110.7</v>
      </c>
      <c r="FY160">
        <v>63.75</v>
      </c>
      <c r="GA160" t="s">
        <v>6</v>
      </c>
      <c r="GD160">
        <v>0</v>
      </c>
      <c r="GF160">
        <v>523124761</v>
      </c>
      <c r="GG160">
        <v>1</v>
      </c>
      <c r="GH160">
        <v>1</v>
      </c>
      <c r="GI160">
        <v>4</v>
      </c>
      <c r="GJ160">
        <v>0</v>
      </c>
      <c r="GK160">
        <f>ROUND(R160*(R12)/100,2)</f>
        <v>0</v>
      </c>
      <c r="GL160">
        <f t="shared" si="185"/>
        <v>0</v>
      </c>
      <c r="GM160">
        <f t="shared" si="186"/>
        <v>4003.26</v>
      </c>
      <c r="GN160">
        <f t="shared" si="187"/>
        <v>4003.26</v>
      </c>
      <c r="GO160">
        <f t="shared" si="188"/>
        <v>0</v>
      </c>
      <c r="GP160">
        <f t="shared" si="189"/>
        <v>0</v>
      </c>
      <c r="GR160">
        <v>0</v>
      </c>
      <c r="GS160">
        <v>3</v>
      </c>
      <c r="GT160">
        <v>0</v>
      </c>
      <c r="GU160" t="s">
        <v>6</v>
      </c>
      <c r="GV160">
        <f t="shared" si="190"/>
        <v>0</v>
      </c>
      <c r="GW160">
        <v>1</v>
      </c>
      <c r="GX160">
        <f t="shared" si="191"/>
        <v>0</v>
      </c>
      <c r="HA160">
        <v>0</v>
      </c>
      <c r="HB160">
        <v>0</v>
      </c>
      <c r="IK160">
        <v>0</v>
      </c>
    </row>
    <row r="161" spans="1:245" x14ac:dyDescent="0.2">
      <c r="A161">
        <v>17</v>
      </c>
      <c r="B161">
        <v>1</v>
      </c>
      <c r="C161">
        <f>ROW(SmtRes!A278)</f>
        <v>278</v>
      </c>
      <c r="D161">
        <f>ROW(EtalonRes!A265)</f>
        <v>265</v>
      </c>
      <c r="E161" t="s">
        <v>465</v>
      </c>
      <c r="F161" t="s">
        <v>466</v>
      </c>
      <c r="G161" t="s">
        <v>467</v>
      </c>
      <c r="H161" t="s">
        <v>20</v>
      </c>
      <c r="I161">
        <f>ROUND(11.4/100,9)</f>
        <v>0.114</v>
      </c>
      <c r="J161">
        <v>0</v>
      </c>
      <c r="O161">
        <f t="shared" si="158"/>
        <v>16444.900000000001</v>
      </c>
      <c r="P161">
        <f t="shared" si="159"/>
        <v>14089.04</v>
      </c>
      <c r="Q161">
        <f t="shared" si="160"/>
        <v>22.58</v>
      </c>
      <c r="R161">
        <f t="shared" si="161"/>
        <v>16.37</v>
      </c>
      <c r="S161">
        <f t="shared" si="162"/>
        <v>2333.2800000000002</v>
      </c>
      <c r="T161">
        <f t="shared" si="163"/>
        <v>0</v>
      </c>
      <c r="U161">
        <f t="shared" si="164"/>
        <v>40.696062000000005</v>
      </c>
      <c r="V161">
        <f t="shared" si="165"/>
        <v>0.24652500000000002</v>
      </c>
      <c r="W161">
        <f t="shared" si="166"/>
        <v>0</v>
      </c>
      <c r="X161">
        <f t="shared" si="167"/>
        <v>2608.11</v>
      </c>
      <c r="Y161">
        <f t="shared" si="168"/>
        <v>1503.78</v>
      </c>
      <c r="AA161">
        <v>16748969</v>
      </c>
      <c r="AB161">
        <f t="shared" si="169"/>
        <v>21989.86</v>
      </c>
      <c r="AC161">
        <f t="shared" si="192"/>
        <v>18839.64</v>
      </c>
      <c r="AD161">
        <f>ROUND(((((ET161*1.25))-((EU161*1.25)))+AE161),2)</f>
        <v>30.19</v>
      </c>
      <c r="AE161">
        <f>ROUND(((EU161*1.25)),2)</f>
        <v>21.89</v>
      </c>
      <c r="AF161">
        <f>ROUND(((EV161*1.15)),2)</f>
        <v>3120.03</v>
      </c>
      <c r="AG161">
        <f t="shared" si="171"/>
        <v>0</v>
      </c>
      <c r="AH161">
        <f>((EW161*1.15))</f>
        <v>356.983</v>
      </c>
      <c r="AI161">
        <f>((EX161*1.25))</f>
        <v>2.1625000000000001</v>
      </c>
      <c r="AJ161">
        <f t="shared" si="172"/>
        <v>0</v>
      </c>
      <c r="AK161">
        <v>21576.86</v>
      </c>
      <c r="AL161">
        <v>18839.64</v>
      </c>
      <c r="AM161">
        <v>24.15</v>
      </c>
      <c r="AN161">
        <v>17.510000000000002</v>
      </c>
      <c r="AO161">
        <v>2713.07</v>
      </c>
      <c r="AP161">
        <v>0</v>
      </c>
      <c r="AQ161">
        <v>310.42</v>
      </c>
      <c r="AR161">
        <v>1.73</v>
      </c>
      <c r="AS161">
        <v>0</v>
      </c>
      <c r="AT161">
        <v>111</v>
      </c>
      <c r="AU161">
        <v>64</v>
      </c>
      <c r="AV161">
        <v>1</v>
      </c>
      <c r="AW161">
        <v>1</v>
      </c>
      <c r="AZ161">
        <v>6.56</v>
      </c>
      <c r="BA161">
        <v>6.56</v>
      </c>
      <c r="BB161">
        <v>6.56</v>
      </c>
      <c r="BC161">
        <v>6.56</v>
      </c>
      <c r="BD161" t="s">
        <v>6</v>
      </c>
      <c r="BE161" t="s">
        <v>6</v>
      </c>
      <c r="BF161" t="s">
        <v>6</v>
      </c>
      <c r="BG161" t="s">
        <v>6</v>
      </c>
      <c r="BH161">
        <v>0</v>
      </c>
      <c r="BI161">
        <v>1</v>
      </c>
      <c r="BJ161" t="s">
        <v>468</v>
      </c>
      <c r="BM161">
        <v>11001</v>
      </c>
      <c r="BN161">
        <v>0</v>
      </c>
      <c r="BO161" t="s">
        <v>6</v>
      </c>
      <c r="BP161">
        <v>0</v>
      </c>
      <c r="BQ161">
        <v>2</v>
      </c>
      <c r="BR161">
        <v>0</v>
      </c>
      <c r="BS161">
        <v>6.56</v>
      </c>
      <c r="BT161">
        <v>1</v>
      </c>
      <c r="BU161">
        <v>1</v>
      </c>
      <c r="BV161">
        <v>1</v>
      </c>
      <c r="BW161">
        <v>1</v>
      </c>
      <c r="BX161">
        <v>1</v>
      </c>
      <c r="BY161" t="s">
        <v>6</v>
      </c>
      <c r="BZ161">
        <v>123</v>
      </c>
      <c r="CA161">
        <v>75</v>
      </c>
      <c r="CF161">
        <v>0</v>
      </c>
      <c r="CG161">
        <v>0</v>
      </c>
      <c r="CM161">
        <v>0</v>
      </c>
      <c r="CN161" t="s">
        <v>1609</v>
      </c>
      <c r="CO161">
        <v>0</v>
      </c>
      <c r="CP161">
        <f t="shared" si="173"/>
        <v>16444.900000000001</v>
      </c>
      <c r="CQ161">
        <f t="shared" si="174"/>
        <v>123588.03839999999</v>
      </c>
      <c r="CR161">
        <f t="shared" si="175"/>
        <v>198.04640000000001</v>
      </c>
      <c r="CS161">
        <f t="shared" si="176"/>
        <v>143.5984</v>
      </c>
      <c r="CT161">
        <f t="shared" si="177"/>
        <v>20467.396799999999</v>
      </c>
      <c r="CU161">
        <f t="shared" si="178"/>
        <v>0</v>
      </c>
      <c r="CV161">
        <f t="shared" si="179"/>
        <v>356.983</v>
      </c>
      <c r="CW161">
        <f t="shared" si="180"/>
        <v>2.1625000000000001</v>
      </c>
      <c r="CX161">
        <f t="shared" si="181"/>
        <v>0</v>
      </c>
      <c r="CY161">
        <f t="shared" si="182"/>
        <v>2608.1115000000004</v>
      </c>
      <c r="CZ161">
        <f t="shared" si="183"/>
        <v>1503.7760000000001</v>
      </c>
      <c r="DC161" t="s">
        <v>6</v>
      </c>
      <c r="DD161" t="s">
        <v>6</v>
      </c>
      <c r="DE161" t="s">
        <v>172</v>
      </c>
      <c r="DF161" t="s">
        <v>172</v>
      </c>
      <c r="DG161" t="s">
        <v>173</v>
      </c>
      <c r="DH161" t="s">
        <v>6</v>
      </c>
      <c r="DI161" t="s">
        <v>173</v>
      </c>
      <c r="DJ161" t="s">
        <v>172</v>
      </c>
      <c r="DK161" t="s">
        <v>6</v>
      </c>
      <c r="DL161" t="s">
        <v>6</v>
      </c>
      <c r="DM161" t="s">
        <v>6</v>
      </c>
      <c r="DN161">
        <v>0</v>
      </c>
      <c r="DO161">
        <v>0</v>
      </c>
      <c r="DP161">
        <v>1</v>
      </c>
      <c r="DQ161">
        <v>1</v>
      </c>
      <c r="DU161">
        <v>1005</v>
      </c>
      <c r="DV161" t="s">
        <v>20</v>
      </c>
      <c r="DW161" t="s">
        <v>20</v>
      </c>
      <c r="DX161">
        <v>100</v>
      </c>
      <c r="EE161">
        <v>16510488</v>
      </c>
      <c r="EF161">
        <v>2</v>
      </c>
      <c r="EG161" t="s">
        <v>22</v>
      </c>
      <c r="EH161">
        <v>0</v>
      </c>
      <c r="EI161" t="s">
        <v>6</v>
      </c>
      <c r="EJ161">
        <v>1</v>
      </c>
      <c r="EK161">
        <v>11001</v>
      </c>
      <c r="EL161" t="s">
        <v>62</v>
      </c>
      <c r="EM161" t="s">
        <v>433</v>
      </c>
      <c r="EO161" t="s">
        <v>176</v>
      </c>
      <c r="EQ161">
        <v>131072</v>
      </c>
      <c r="ER161">
        <v>21576.86</v>
      </c>
      <c r="ES161">
        <v>18839.64</v>
      </c>
      <c r="ET161">
        <v>24.15</v>
      </c>
      <c r="EU161">
        <v>17.510000000000002</v>
      </c>
      <c r="EV161">
        <v>2713.07</v>
      </c>
      <c r="EW161">
        <v>310.42</v>
      </c>
      <c r="EX161">
        <v>1.73</v>
      </c>
      <c r="EY161">
        <v>0</v>
      </c>
      <c r="FQ161">
        <v>0</v>
      </c>
      <c r="FR161">
        <f t="shared" si="184"/>
        <v>0</v>
      </c>
      <c r="FS161">
        <v>0</v>
      </c>
      <c r="FT161" t="s">
        <v>25</v>
      </c>
      <c r="FU161" t="s">
        <v>26</v>
      </c>
      <c r="FX161">
        <v>110.7</v>
      </c>
      <c r="FY161">
        <v>63.75</v>
      </c>
      <c r="GA161" t="s">
        <v>6</v>
      </c>
      <c r="GD161">
        <v>0</v>
      </c>
      <c r="GF161">
        <v>1016495109</v>
      </c>
      <c r="GG161">
        <v>1</v>
      </c>
      <c r="GH161">
        <v>1</v>
      </c>
      <c r="GI161">
        <v>4</v>
      </c>
      <c r="GJ161">
        <v>0</v>
      </c>
      <c r="GK161">
        <f>ROUND(R161*(R12)/100,2)</f>
        <v>0</v>
      </c>
      <c r="GL161">
        <f t="shared" si="185"/>
        <v>0</v>
      </c>
      <c r="GM161">
        <f t="shared" si="186"/>
        <v>20556.79</v>
      </c>
      <c r="GN161">
        <f t="shared" si="187"/>
        <v>20556.79</v>
      </c>
      <c r="GO161">
        <f t="shared" si="188"/>
        <v>0</v>
      </c>
      <c r="GP161">
        <f t="shared" si="189"/>
        <v>0</v>
      </c>
      <c r="GR161">
        <v>0</v>
      </c>
      <c r="GS161">
        <v>3</v>
      </c>
      <c r="GT161">
        <v>0</v>
      </c>
      <c r="GU161" t="s">
        <v>6</v>
      </c>
      <c r="GV161">
        <f t="shared" si="190"/>
        <v>0</v>
      </c>
      <c r="GW161">
        <v>1</v>
      </c>
      <c r="GX161">
        <f t="shared" si="191"/>
        <v>0</v>
      </c>
      <c r="HA161">
        <v>0</v>
      </c>
      <c r="HB161">
        <v>0</v>
      </c>
      <c r="IK161">
        <v>0</v>
      </c>
    </row>
    <row r="162" spans="1:245" x14ac:dyDescent="0.2">
      <c r="A162">
        <v>18</v>
      </c>
      <c r="B162">
        <v>1</v>
      </c>
      <c r="C162">
        <v>276</v>
      </c>
      <c r="E162" t="s">
        <v>469</v>
      </c>
      <c r="F162" t="s">
        <v>470</v>
      </c>
      <c r="G162" t="s">
        <v>471</v>
      </c>
      <c r="H162" t="s">
        <v>89</v>
      </c>
      <c r="I162">
        <f>I161*J162</f>
        <v>-11.628</v>
      </c>
      <c r="J162">
        <v>-102</v>
      </c>
      <c r="O162">
        <f t="shared" si="158"/>
        <v>-10713.48</v>
      </c>
      <c r="P162">
        <f t="shared" si="159"/>
        <v>-10713.48</v>
      </c>
      <c r="Q162">
        <f t="shared" si="160"/>
        <v>0</v>
      </c>
      <c r="R162">
        <f t="shared" si="161"/>
        <v>0</v>
      </c>
      <c r="S162">
        <f t="shared" si="162"/>
        <v>0</v>
      </c>
      <c r="T162">
        <f t="shared" si="163"/>
        <v>0</v>
      </c>
      <c r="U162">
        <f t="shared" si="164"/>
        <v>0</v>
      </c>
      <c r="V162">
        <f t="shared" si="165"/>
        <v>0</v>
      </c>
      <c r="W162">
        <f t="shared" si="166"/>
        <v>0</v>
      </c>
      <c r="X162">
        <f t="shared" si="167"/>
        <v>0</v>
      </c>
      <c r="Y162">
        <f t="shared" si="168"/>
        <v>0</v>
      </c>
      <c r="AA162">
        <v>16748969</v>
      </c>
      <c r="AB162">
        <f t="shared" si="169"/>
        <v>140.44999999999999</v>
      </c>
      <c r="AC162">
        <f t="shared" si="192"/>
        <v>140.44999999999999</v>
      </c>
      <c r="AD162">
        <f>ROUND((((ET162)-(EU162))+AE162),2)</f>
        <v>0</v>
      </c>
      <c r="AE162">
        <f>ROUND((EU162),2)</f>
        <v>0</v>
      </c>
      <c r="AF162">
        <f>ROUND((EV162),2)</f>
        <v>0</v>
      </c>
      <c r="AG162">
        <f t="shared" si="171"/>
        <v>0</v>
      </c>
      <c r="AH162">
        <f>(EW162)</f>
        <v>0</v>
      </c>
      <c r="AI162">
        <f>(EX162)</f>
        <v>0</v>
      </c>
      <c r="AJ162">
        <f t="shared" si="172"/>
        <v>0</v>
      </c>
      <c r="AK162">
        <v>140.44999999999999</v>
      </c>
      <c r="AL162">
        <v>140.44999999999999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111</v>
      </c>
      <c r="AU162">
        <v>64</v>
      </c>
      <c r="AV162">
        <v>1</v>
      </c>
      <c r="AW162">
        <v>1</v>
      </c>
      <c r="AZ162">
        <v>6.56</v>
      </c>
      <c r="BA162">
        <v>1</v>
      </c>
      <c r="BB162">
        <v>1</v>
      </c>
      <c r="BC162">
        <v>6.56</v>
      </c>
      <c r="BD162" t="s">
        <v>6</v>
      </c>
      <c r="BE162" t="s">
        <v>6</v>
      </c>
      <c r="BF162" t="s">
        <v>6</v>
      </c>
      <c r="BG162" t="s">
        <v>6</v>
      </c>
      <c r="BH162">
        <v>3</v>
      </c>
      <c r="BI162">
        <v>1</v>
      </c>
      <c r="BJ162" t="s">
        <v>472</v>
      </c>
      <c r="BM162">
        <v>11001</v>
      </c>
      <c r="BN162">
        <v>0</v>
      </c>
      <c r="BO162" t="s">
        <v>6</v>
      </c>
      <c r="BP162">
        <v>0</v>
      </c>
      <c r="BQ162">
        <v>2</v>
      </c>
      <c r="BR162">
        <v>1</v>
      </c>
      <c r="BS162">
        <v>1</v>
      </c>
      <c r="BT162">
        <v>1</v>
      </c>
      <c r="BU162">
        <v>1</v>
      </c>
      <c r="BV162">
        <v>1</v>
      </c>
      <c r="BW162">
        <v>1</v>
      </c>
      <c r="BX162">
        <v>1</v>
      </c>
      <c r="BY162" t="s">
        <v>6</v>
      </c>
      <c r="BZ162">
        <v>123</v>
      </c>
      <c r="CA162">
        <v>75</v>
      </c>
      <c r="CF162">
        <v>0</v>
      </c>
      <c r="CG162">
        <v>0</v>
      </c>
      <c r="CM162">
        <v>0</v>
      </c>
      <c r="CN162" t="s">
        <v>6</v>
      </c>
      <c r="CO162">
        <v>0</v>
      </c>
      <c r="CP162">
        <f t="shared" si="173"/>
        <v>-10713.48</v>
      </c>
      <c r="CQ162">
        <f t="shared" si="174"/>
        <v>921.35199999999986</v>
      </c>
      <c r="CR162">
        <f t="shared" si="175"/>
        <v>0</v>
      </c>
      <c r="CS162">
        <f t="shared" si="176"/>
        <v>0</v>
      </c>
      <c r="CT162">
        <f t="shared" si="177"/>
        <v>0</v>
      </c>
      <c r="CU162">
        <f t="shared" si="178"/>
        <v>0</v>
      </c>
      <c r="CV162">
        <f t="shared" si="179"/>
        <v>0</v>
      </c>
      <c r="CW162">
        <f t="shared" si="180"/>
        <v>0</v>
      </c>
      <c r="CX162">
        <f t="shared" si="181"/>
        <v>0</v>
      </c>
      <c r="CY162">
        <f t="shared" si="182"/>
        <v>0</v>
      </c>
      <c r="CZ162">
        <f t="shared" si="183"/>
        <v>0</v>
      </c>
      <c r="DC162" t="s">
        <v>6</v>
      </c>
      <c r="DD162" t="s">
        <v>6</v>
      </c>
      <c r="DE162" t="s">
        <v>6</v>
      </c>
      <c r="DF162" t="s">
        <v>6</v>
      </c>
      <c r="DG162" t="s">
        <v>6</v>
      </c>
      <c r="DH162" t="s">
        <v>6</v>
      </c>
      <c r="DI162" t="s">
        <v>6</v>
      </c>
      <c r="DJ162" t="s">
        <v>6</v>
      </c>
      <c r="DK162" t="s">
        <v>6</v>
      </c>
      <c r="DL162" t="s">
        <v>6</v>
      </c>
      <c r="DM162" t="s">
        <v>6</v>
      </c>
      <c r="DN162">
        <v>0</v>
      </c>
      <c r="DO162">
        <v>0</v>
      </c>
      <c r="DP162">
        <v>1</v>
      </c>
      <c r="DQ162">
        <v>1</v>
      </c>
      <c r="DU162">
        <v>1005</v>
      </c>
      <c r="DV162" t="s">
        <v>89</v>
      </c>
      <c r="DW162" t="s">
        <v>89</v>
      </c>
      <c r="DX162">
        <v>1</v>
      </c>
      <c r="EE162">
        <v>16510488</v>
      </c>
      <c r="EF162">
        <v>2</v>
      </c>
      <c r="EG162" t="s">
        <v>22</v>
      </c>
      <c r="EH162">
        <v>0</v>
      </c>
      <c r="EI162" t="s">
        <v>6</v>
      </c>
      <c r="EJ162">
        <v>1</v>
      </c>
      <c r="EK162">
        <v>11001</v>
      </c>
      <c r="EL162" t="s">
        <v>62</v>
      </c>
      <c r="EM162" t="s">
        <v>433</v>
      </c>
      <c r="EO162" t="s">
        <v>6</v>
      </c>
      <c r="EQ162">
        <v>0</v>
      </c>
      <c r="ER162">
        <v>140.44999999999999</v>
      </c>
      <c r="ES162">
        <v>140.44999999999999</v>
      </c>
      <c r="ET162">
        <v>0</v>
      </c>
      <c r="EU162">
        <v>0</v>
      </c>
      <c r="EV162">
        <v>0</v>
      </c>
      <c r="EW162">
        <v>0</v>
      </c>
      <c r="EX162">
        <v>0</v>
      </c>
      <c r="FQ162">
        <v>0</v>
      </c>
      <c r="FR162">
        <f t="shared" si="184"/>
        <v>0</v>
      </c>
      <c r="FS162">
        <v>0</v>
      </c>
      <c r="FT162" t="s">
        <v>25</v>
      </c>
      <c r="FU162" t="s">
        <v>26</v>
      </c>
      <c r="FX162">
        <v>110.7</v>
      </c>
      <c r="FY162">
        <v>63.75</v>
      </c>
      <c r="GA162" t="s">
        <v>6</v>
      </c>
      <c r="GD162">
        <v>0</v>
      </c>
      <c r="GF162">
        <v>2046761779</v>
      </c>
      <c r="GG162">
        <v>1</v>
      </c>
      <c r="GH162">
        <v>1</v>
      </c>
      <c r="GI162">
        <v>4</v>
      </c>
      <c r="GJ162">
        <v>0</v>
      </c>
      <c r="GK162">
        <f>ROUND(R162*(R12)/100,2)</f>
        <v>0</v>
      </c>
      <c r="GL162">
        <f t="shared" si="185"/>
        <v>0</v>
      </c>
      <c r="GM162">
        <f t="shared" si="186"/>
        <v>-10713.48</v>
      </c>
      <c r="GN162">
        <f t="shared" si="187"/>
        <v>-10713.48</v>
      </c>
      <c r="GO162">
        <f t="shared" si="188"/>
        <v>0</v>
      </c>
      <c r="GP162">
        <f t="shared" si="189"/>
        <v>0</v>
      </c>
      <c r="GR162">
        <v>0</v>
      </c>
      <c r="GS162">
        <v>3</v>
      </c>
      <c r="GT162">
        <v>0</v>
      </c>
      <c r="GU162" t="s">
        <v>6</v>
      </c>
      <c r="GV162">
        <f t="shared" si="190"/>
        <v>0</v>
      </c>
      <c r="GW162">
        <v>1</v>
      </c>
      <c r="GX162">
        <f t="shared" si="191"/>
        <v>0</v>
      </c>
      <c r="HA162">
        <v>0</v>
      </c>
      <c r="HB162">
        <v>0</v>
      </c>
      <c r="IK162">
        <v>0</v>
      </c>
    </row>
    <row r="163" spans="1:245" x14ac:dyDescent="0.2">
      <c r="A163">
        <v>18</v>
      </c>
      <c r="B163">
        <v>1</v>
      </c>
      <c r="C163">
        <v>277</v>
      </c>
      <c r="E163" t="s">
        <v>473</v>
      </c>
      <c r="F163" t="s">
        <v>474</v>
      </c>
      <c r="G163" t="s">
        <v>475</v>
      </c>
      <c r="H163" t="s">
        <v>89</v>
      </c>
      <c r="I163">
        <f>I161*J163</f>
        <v>11.628</v>
      </c>
      <c r="J163">
        <v>102</v>
      </c>
      <c r="O163">
        <f t="shared" si="158"/>
        <v>4330.3999999999996</v>
      </c>
      <c r="P163">
        <f t="shared" si="159"/>
        <v>4330.3999999999996</v>
      </c>
      <c r="Q163">
        <f t="shared" si="160"/>
        <v>0</v>
      </c>
      <c r="R163">
        <f t="shared" si="161"/>
        <v>0</v>
      </c>
      <c r="S163">
        <f t="shared" si="162"/>
        <v>0</v>
      </c>
      <c r="T163">
        <f t="shared" si="163"/>
        <v>0</v>
      </c>
      <c r="U163">
        <f t="shared" si="164"/>
        <v>0</v>
      </c>
      <c r="V163">
        <f t="shared" si="165"/>
        <v>0</v>
      </c>
      <c r="W163">
        <f t="shared" si="166"/>
        <v>0</v>
      </c>
      <c r="X163">
        <f t="shared" si="167"/>
        <v>0</v>
      </c>
      <c r="Y163">
        <f t="shared" si="168"/>
        <v>0</v>
      </c>
      <c r="AA163">
        <v>16748969</v>
      </c>
      <c r="AB163">
        <f t="shared" si="169"/>
        <v>56.77</v>
      </c>
      <c r="AC163">
        <f t="shared" si="192"/>
        <v>56.77</v>
      </c>
      <c r="AD163">
        <f>ROUND((((ET163)-(EU163))+AE163),2)</f>
        <v>0</v>
      </c>
      <c r="AE163">
        <f>ROUND((EU163),2)</f>
        <v>0</v>
      </c>
      <c r="AF163">
        <f>ROUND((EV163),2)</f>
        <v>0</v>
      </c>
      <c r="AG163">
        <f t="shared" si="171"/>
        <v>0</v>
      </c>
      <c r="AH163">
        <f>(EW163)</f>
        <v>0</v>
      </c>
      <c r="AI163">
        <f>(EX163)</f>
        <v>0</v>
      </c>
      <c r="AJ163">
        <f t="shared" si="172"/>
        <v>0</v>
      </c>
      <c r="AK163">
        <v>56.77</v>
      </c>
      <c r="AL163">
        <v>56.77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111</v>
      </c>
      <c r="AU163">
        <v>64</v>
      </c>
      <c r="AV163">
        <v>1</v>
      </c>
      <c r="AW163">
        <v>1</v>
      </c>
      <c r="AZ163">
        <v>6.56</v>
      </c>
      <c r="BA163">
        <v>1</v>
      </c>
      <c r="BB163">
        <v>1</v>
      </c>
      <c r="BC163">
        <v>6.56</v>
      </c>
      <c r="BD163" t="s">
        <v>6</v>
      </c>
      <c r="BE163" t="s">
        <v>6</v>
      </c>
      <c r="BF163" t="s">
        <v>6</v>
      </c>
      <c r="BG163" t="s">
        <v>6</v>
      </c>
      <c r="BH163">
        <v>3</v>
      </c>
      <c r="BI163">
        <v>1</v>
      </c>
      <c r="BJ163" t="s">
        <v>476</v>
      </c>
      <c r="BM163">
        <v>11001</v>
      </c>
      <c r="BN163">
        <v>0</v>
      </c>
      <c r="BO163" t="s">
        <v>6</v>
      </c>
      <c r="BP163">
        <v>0</v>
      </c>
      <c r="BQ163">
        <v>2</v>
      </c>
      <c r="BR163">
        <v>0</v>
      </c>
      <c r="BS163">
        <v>1</v>
      </c>
      <c r="BT163">
        <v>1</v>
      </c>
      <c r="BU163">
        <v>1</v>
      </c>
      <c r="BV163">
        <v>1</v>
      </c>
      <c r="BW163">
        <v>1</v>
      </c>
      <c r="BX163">
        <v>1</v>
      </c>
      <c r="BY163" t="s">
        <v>6</v>
      </c>
      <c r="BZ163">
        <v>123</v>
      </c>
      <c r="CA163">
        <v>75</v>
      </c>
      <c r="CF163">
        <v>0</v>
      </c>
      <c r="CG163">
        <v>0</v>
      </c>
      <c r="CM163">
        <v>0</v>
      </c>
      <c r="CN163" t="s">
        <v>6</v>
      </c>
      <c r="CO163">
        <v>0</v>
      </c>
      <c r="CP163">
        <f t="shared" si="173"/>
        <v>4330.3999999999996</v>
      </c>
      <c r="CQ163">
        <f t="shared" si="174"/>
        <v>372.41120000000001</v>
      </c>
      <c r="CR163">
        <f t="shared" si="175"/>
        <v>0</v>
      </c>
      <c r="CS163">
        <f t="shared" si="176"/>
        <v>0</v>
      </c>
      <c r="CT163">
        <f t="shared" si="177"/>
        <v>0</v>
      </c>
      <c r="CU163">
        <f t="shared" si="178"/>
        <v>0</v>
      </c>
      <c r="CV163">
        <f t="shared" si="179"/>
        <v>0</v>
      </c>
      <c r="CW163">
        <f t="shared" si="180"/>
        <v>0</v>
      </c>
      <c r="CX163">
        <f t="shared" si="181"/>
        <v>0</v>
      </c>
      <c r="CY163">
        <f t="shared" si="182"/>
        <v>0</v>
      </c>
      <c r="CZ163">
        <f t="shared" si="183"/>
        <v>0</v>
      </c>
      <c r="DC163" t="s">
        <v>6</v>
      </c>
      <c r="DD163" t="s">
        <v>6</v>
      </c>
      <c r="DE163" t="s">
        <v>6</v>
      </c>
      <c r="DF163" t="s">
        <v>6</v>
      </c>
      <c r="DG163" t="s">
        <v>6</v>
      </c>
      <c r="DH163" t="s">
        <v>6</v>
      </c>
      <c r="DI163" t="s">
        <v>6</v>
      </c>
      <c r="DJ163" t="s">
        <v>6</v>
      </c>
      <c r="DK163" t="s">
        <v>6</v>
      </c>
      <c r="DL163" t="s">
        <v>6</v>
      </c>
      <c r="DM163" t="s">
        <v>6</v>
      </c>
      <c r="DN163">
        <v>0</v>
      </c>
      <c r="DO163">
        <v>0</v>
      </c>
      <c r="DP163">
        <v>1</v>
      </c>
      <c r="DQ163">
        <v>1</v>
      </c>
      <c r="DU163">
        <v>1005</v>
      </c>
      <c r="DV163" t="s">
        <v>89</v>
      </c>
      <c r="DW163" t="s">
        <v>89</v>
      </c>
      <c r="DX163">
        <v>1</v>
      </c>
      <c r="EE163">
        <v>16510488</v>
      </c>
      <c r="EF163">
        <v>2</v>
      </c>
      <c r="EG163" t="s">
        <v>22</v>
      </c>
      <c r="EH163">
        <v>0</v>
      </c>
      <c r="EI163" t="s">
        <v>6</v>
      </c>
      <c r="EJ163">
        <v>1</v>
      </c>
      <c r="EK163">
        <v>11001</v>
      </c>
      <c r="EL163" t="s">
        <v>62</v>
      </c>
      <c r="EM163" t="s">
        <v>433</v>
      </c>
      <c r="EO163" t="s">
        <v>6</v>
      </c>
      <c r="EQ163">
        <v>0</v>
      </c>
      <c r="ER163">
        <v>56.77</v>
      </c>
      <c r="ES163">
        <v>56.77</v>
      </c>
      <c r="ET163">
        <v>0</v>
      </c>
      <c r="EU163">
        <v>0</v>
      </c>
      <c r="EV163">
        <v>0</v>
      </c>
      <c r="EW163">
        <v>0</v>
      </c>
      <c r="EX163">
        <v>0</v>
      </c>
      <c r="FQ163">
        <v>0</v>
      </c>
      <c r="FR163">
        <f t="shared" si="184"/>
        <v>0</v>
      </c>
      <c r="FS163">
        <v>0</v>
      </c>
      <c r="FT163" t="s">
        <v>25</v>
      </c>
      <c r="FU163" t="s">
        <v>26</v>
      </c>
      <c r="FX163">
        <v>110.7</v>
      </c>
      <c r="FY163">
        <v>63.75</v>
      </c>
      <c r="GA163" t="s">
        <v>6</v>
      </c>
      <c r="GD163">
        <v>0</v>
      </c>
      <c r="GF163">
        <v>-1253069128</v>
      </c>
      <c r="GG163">
        <v>1</v>
      </c>
      <c r="GH163">
        <v>1</v>
      </c>
      <c r="GI163">
        <v>4</v>
      </c>
      <c r="GJ163">
        <v>0</v>
      </c>
      <c r="GK163">
        <f>ROUND(R163*(R12)/100,2)</f>
        <v>0</v>
      </c>
      <c r="GL163">
        <f t="shared" si="185"/>
        <v>0</v>
      </c>
      <c r="GM163">
        <f t="shared" si="186"/>
        <v>4330.3999999999996</v>
      </c>
      <c r="GN163">
        <f t="shared" si="187"/>
        <v>4330.3999999999996</v>
      </c>
      <c r="GO163">
        <f t="shared" si="188"/>
        <v>0</v>
      </c>
      <c r="GP163">
        <f t="shared" si="189"/>
        <v>0</v>
      </c>
      <c r="GR163">
        <v>0</v>
      </c>
      <c r="GS163">
        <v>3</v>
      </c>
      <c r="GT163">
        <v>0</v>
      </c>
      <c r="GU163" t="s">
        <v>6</v>
      </c>
      <c r="GV163">
        <f t="shared" si="190"/>
        <v>0</v>
      </c>
      <c r="GW163">
        <v>1</v>
      </c>
      <c r="GX163">
        <f t="shared" si="191"/>
        <v>0</v>
      </c>
      <c r="HA163">
        <v>0</v>
      </c>
      <c r="HB163">
        <v>0</v>
      </c>
      <c r="IK163">
        <v>0</v>
      </c>
    </row>
    <row r="164" spans="1:245" x14ac:dyDescent="0.2">
      <c r="A164">
        <v>17</v>
      </c>
      <c r="B164">
        <v>1</v>
      </c>
      <c r="C164">
        <f>ROW(SmtRes!A290)</f>
        <v>290</v>
      </c>
      <c r="D164">
        <f>ROW(EtalonRes!A277)</f>
        <v>277</v>
      </c>
      <c r="E164" t="s">
        <v>477</v>
      </c>
      <c r="F164" t="s">
        <v>478</v>
      </c>
      <c r="G164" t="s">
        <v>479</v>
      </c>
      <c r="H164" t="s">
        <v>20</v>
      </c>
      <c r="I164">
        <f>ROUND(11.4/100,9)</f>
        <v>0.114</v>
      </c>
      <c r="J164">
        <v>0</v>
      </c>
      <c r="O164">
        <f t="shared" si="158"/>
        <v>918.68</v>
      </c>
      <c r="P164">
        <f t="shared" si="159"/>
        <v>517.97</v>
      </c>
      <c r="Q164">
        <f t="shared" si="160"/>
        <v>146.96</v>
      </c>
      <c r="R164">
        <f t="shared" si="161"/>
        <v>4.9800000000000004</v>
      </c>
      <c r="S164">
        <f t="shared" si="162"/>
        <v>253.75</v>
      </c>
      <c r="T164">
        <f t="shared" si="163"/>
        <v>0</v>
      </c>
      <c r="U164">
        <f t="shared" si="164"/>
        <v>3.5357669999999994</v>
      </c>
      <c r="V164">
        <f t="shared" si="165"/>
        <v>6.1275000000000003E-2</v>
      </c>
      <c r="W164">
        <f t="shared" si="166"/>
        <v>0</v>
      </c>
      <c r="X164">
        <f t="shared" si="167"/>
        <v>287.19</v>
      </c>
      <c r="Y164">
        <f t="shared" si="168"/>
        <v>165.59</v>
      </c>
      <c r="AA164">
        <v>16748969</v>
      </c>
      <c r="AB164">
        <f t="shared" si="169"/>
        <v>1228.44</v>
      </c>
      <c r="AC164">
        <f t="shared" si="192"/>
        <v>692.62</v>
      </c>
      <c r="AD164">
        <f>ROUND(((((ET164*1.25))-((EU164*1.25)))+AE164),2)</f>
        <v>196.51</v>
      </c>
      <c r="AE164">
        <f>ROUND(((EU164*1.25)),2)</f>
        <v>6.66</v>
      </c>
      <c r="AF164">
        <f>ROUND(((EV164*1.15)),2)</f>
        <v>339.31</v>
      </c>
      <c r="AG164">
        <f t="shared" si="171"/>
        <v>0</v>
      </c>
      <c r="AH164">
        <f>((EW164*1.15))</f>
        <v>31.015499999999996</v>
      </c>
      <c r="AI164">
        <f>((EX164*1.25))</f>
        <v>0.53749999999999998</v>
      </c>
      <c r="AJ164">
        <f t="shared" si="172"/>
        <v>0</v>
      </c>
      <c r="AK164">
        <v>1144.8800000000001</v>
      </c>
      <c r="AL164">
        <v>692.62</v>
      </c>
      <c r="AM164">
        <v>157.21</v>
      </c>
      <c r="AN164">
        <v>5.33</v>
      </c>
      <c r="AO164">
        <v>295.05</v>
      </c>
      <c r="AP164">
        <v>0</v>
      </c>
      <c r="AQ164">
        <v>26.97</v>
      </c>
      <c r="AR164">
        <v>0.43</v>
      </c>
      <c r="AS164">
        <v>0</v>
      </c>
      <c r="AT164">
        <v>111</v>
      </c>
      <c r="AU164">
        <v>64</v>
      </c>
      <c r="AV164">
        <v>1</v>
      </c>
      <c r="AW164">
        <v>1</v>
      </c>
      <c r="AZ164">
        <v>6.56</v>
      </c>
      <c r="BA164">
        <v>6.56</v>
      </c>
      <c r="BB164">
        <v>6.56</v>
      </c>
      <c r="BC164">
        <v>6.56</v>
      </c>
      <c r="BD164" t="s">
        <v>6</v>
      </c>
      <c r="BE164" t="s">
        <v>6</v>
      </c>
      <c r="BF164" t="s">
        <v>6</v>
      </c>
      <c r="BG164" t="s">
        <v>6</v>
      </c>
      <c r="BH164">
        <v>0</v>
      </c>
      <c r="BI164">
        <v>1</v>
      </c>
      <c r="BJ164" t="s">
        <v>480</v>
      </c>
      <c r="BM164">
        <v>11001</v>
      </c>
      <c r="BN164">
        <v>0</v>
      </c>
      <c r="BO164" t="s">
        <v>6</v>
      </c>
      <c r="BP164">
        <v>0</v>
      </c>
      <c r="BQ164">
        <v>2</v>
      </c>
      <c r="BR164">
        <v>0</v>
      </c>
      <c r="BS164">
        <v>6.56</v>
      </c>
      <c r="BT164">
        <v>1</v>
      </c>
      <c r="BU164">
        <v>1</v>
      </c>
      <c r="BV164">
        <v>1</v>
      </c>
      <c r="BW164">
        <v>1</v>
      </c>
      <c r="BX164">
        <v>1</v>
      </c>
      <c r="BY164" t="s">
        <v>6</v>
      </c>
      <c r="BZ164">
        <v>123</v>
      </c>
      <c r="CA164">
        <v>75</v>
      </c>
      <c r="CF164">
        <v>0</v>
      </c>
      <c r="CG164">
        <v>0</v>
      </c>
      <c r="CM164">
        <v>0</v>
      </c>
      <c r="CN164" t="s">
        <v>1609</v>
      </c>
      <c r="CO164">
        <v>0</v>
      </c>
      <c r="CP164">
        <f t="shared" si="173"/>
        <v>918.68000000000006</v>
      </c>
      <c r="CQ164">
        <f t="shared" si="174"/>
        <v>4543.5871999999999</v>
      </c>
      <c r="CR164">
        <f t="shared" si="175"/>
        <v>1289.1055999999999</v>
      </c>
      <c r="CS164">
        <f t="shared" si="176"/>
        <v>43.689599999999999</v>
      </c>
      <c r="CT164">
        <f t="shared" si="177"/>
        <v>2225.8735999999999</v>
      </c>
      <c r="CU164">
        <f t="shared" si="178"/>
        <v>0</v>
      </c>
      <c r="CV164">
        <f t="shared" si="179"/>
        <v>31.015499999999996</v>
      </c>
      <c r="CW164">
        <f t="shared" si="180"/>
        <v>0.53749999999999998</v>
      </c>
      <c r="CX164">
        <f t="shared" si="181"/>
        <v>0</v>
      </c>
      <c r="CY164">
        <f t="shared" si="182"/>
        <v>287.19030000000004</v>
      </c>
      <c r="CZ164">
        <f t="shared" si="183"/>
        <v>165.58720000000002</v>
      </c>
      <c r="DC164" t="s">
        <v>6</v>
      </c>
      <c r="DD164" t="s">
        <v>6</v>
      </c>
      <c r="DE164" t="s">
        <v>172</v>
      </c>
      <c r="DF164" t="s">
        <v>172</v>
      </c>
      <c r="DG164" t="s">
        <v>173</v>
      </c>
      <c r="DH164" t="s">
        <v>6</v>
      </c>
      <c r="DI164" t="s">
        <v>173</v>
      </c>
      <c r="DJ164" t="s">
        <v>172</v>
      </c>
      <c r="DK164" t="s">
        <v>6</v>
      </c>
      <c r="DL164" t="s">
        <v>6</v>
      </c>
      <c r="DM164" t="s">
        <v>6</v>
      </c>
      <c r="DN164">
        <v>0</v>
      </c>
      <c r="DO164">
        <v>0</v>
      </c>
      <c r="DP164">
        <v>1</v>
      </c>
      <c r="DQ164">
        <v>1</v>
      </c>
      <c r="DU164">
        <v>1005</v>
      </c>
      <c r="DV164" t="s">
        <v>20</v>
      </c>
      <c r="DW164" t="s">
        <v>20</v>
      </c>
      <c r="DX164">
        <v>100</v>
      </c>
      <c r="EE164">
        <v>16510488</v>
      </c>
      <c r="EF164">
        <v>2</v>
      </c>
      <c r="EG164" t="s">
        <v>22</v>
      </c>
      <c r="EH164">
        <v>0</v>
      </c>
      <c r="EI164" t="s">
        <v>6</v>
      </c>
      <c r="EJ164">
        <v>1</v>
      </c>
      <c r="EK164">
        <v>11001</v>
      </c>
      <c r="EL164" t="s">
        <v>62</v>
      </c>
      <c r="EM164" t="s">
        <v>433</v>
      </c>
      <c r="EO164" t="s">
        <v>176</v>
      </c>
      <c r="EQ164">
        <v>131072</v>
      </c>
      <c r="ER164">
        <v>1144.8800000000001</v>
      </c>
      <c r="ES164">
        <v>692.62</v>
      </c>
      <c r="ET164">
        <v>157.21</v>
      </c>
      <c r="EU164">
        <v>5.33</v>
      </c>
      <c r="EV164">
        <v>295.05</v>
      </c>
      <c r="EW164">
        <v>26.97</v>
      </c>
      <c r="EX164">
        <v>0.43</v>
      </c>
      <c r="EY164">
        <v>0</v>
      </c>
      <c r="FQ164">
        <v>0</v>
      </c>
      <c r="FR164">
        <f t="shared" si="184"/>
        <v>0</v>
      </c>
      <c r="FS164">
        <v>0</v>
      </c>
      <c r="FT164" t="s">
        <v>25</v>
      </c>
      <c r="FU164" t="s">
        <v>26</v>
      </c>
      <c r="FX164">
        <v>110.7</v>
      </c>
      <c r="FY164">
        <v>63.75</v>
      </c>
      <c r="GA164" t="s">
        <v>6</v>
      </c>
      <c r="GD164">
        <v>0</v>
      </c>
      <c r="GF164">
        <v>-565640778</v>
      </c>
      <c r="GG164">
        <v>1</v>
      </c>
      <c r="GH164">
        <v>1</v>
      </c>
      <c r="GI164">
        <v>4</v>
      </c>
      <c r="GJ164">
        <v>0</v>
      </c>
      <c r="GK164">
        <f>ROUND(R164*(R12)/100,2)</f>
        <v>0</v>
      </c>
      <c r="GL164">
        <f t="shared" si="185"/>
        <v>0</v>
      </c>
      <c r="GM164">
        <f t="shared" si="186"/>
        <v>1371.46</v>
      </c>
      <c r="GN164">
        <f t="shared" si="187"/>
        <v>1371.46</v>
      </c>
      <c r="GO164">
        <f t="shared" si="188"/>
        <v>0</v>
      </c>
      <c r="GP164">
        <f t="shared" si="189"/>
        <v>0</v>
      </c>
      <c r="GR164">
        <v>0</v>
      </c>
      <c r="GS164">
        <v>3</v>
      </c>
      <c r="GT164">
        <v>0</v>
      </c>
      <c r="GU164" t="s">
        <v>6</v>
      </c>
      <c r="GV164">
        <f t="shared" si="190"/>
        <v>0</v>
      </c>
      <c r="GW164">
        <v>1</v>
      </c>
      <c r="GX164">
        <f t="shared" si="191"/>
        <v>0</v>
      </c>
      <c r="HA164">
        <v>0</v>
      </c>
      <c r="HB164">
        <v>0</v>
      </c>
      <c r="IK164">
        <v>0</v>
      </c>
    </row>
    <row r="165" spans="1:245" x14ac:dyDescent="0.2">
      <c r="A165">
        <v>17</v>
      </c>
      <c r="B165">
        <v>1</v>
      </c>
      <c r="C165">
        <f>ROW(SmtRes!A296)</f>
        <v>296</v>
      </c>
      <c r="D165">
        <f>ROW(EtalonRes!A282)</f>
        <v>282</v>
      </c>
      <c r="E165" t="s">
        <v>481</v>
      </c>
      <c r="F165" t="s">
        <v>482</v>
      </c>
      <c r="G165" t="s">
        <v>483</v>
      </c>
      <c r="H165" t="s">
        <v>20</v>
      </c>
      <c r="I165">
        <f>ROUND(101/100,9)</f>
        <v>1.01</v>
      </c>
      <c r="J165">
        <v>0</v>
      </c>
      <c r="O165">
        <f t="shared" si="158"/>
        <v>4316.58</v>
      </c>
      <c r="P165">
        <f t="shared" si="159"/>
        <v>2427.9499999999998</v>
      </c>
      <c r="Q165">
        <f t="shared" si="160"/>
        <v>54.4</v>
      </c>
      <c r="R165">
        <f t="shared" si="161"/>
        <v>9.61</v>
      </c>
      <c r="S165">
        <f t="shared" si="162"/>
        <v>1834.23</v>
      </c>
      <c r="T165">
        <f t="shared" si="163"/>
        <v>0</v>
      </c>
      <c r="U165">
        <f t="shared" si="164"/>
        <v>29.746014999999996</v>
      </c>
      <c r="V165">
        <f t="shared" si="165"/>
        <v>0.12625</v>
      </c>
      <c r="W165">
        <f t="shared" si="166"/>
        <v>0</v>
      </c>
      <c r="X165">
        <f t="shared" si="167"/>
        <v>2046.66</v>
      </c>
      <c r="Y165">
        <f t="shared" si="168"/>
        <v>1180.06</v>
      </c>
      <c r="AA165">
        <v>16748969</v>
      </c>
      <c r="AB165">
        <f t="shared" si="169"/>
        <v>651.5</v>
      </c>
      <c r="AC165">
        <f t="shared" si="192"/>
        <v>366.45</v>
      </c>
      <c r="AD165">
        <f>ROUND(((((ET165*1.25))-((EU165*1.25)))+AE165),2)</f>
        <v>8.2100000000000009</v>
      </c>
      <c r="AE165">
        <f>ROUND(((EU165*1.25)),2)</f>
        <v>1.45</v>
      </c>
      <c r="AF165">
        <f>ROUND(((EV165*1.15)),2)</f>
        <v>276.83999999999997</v>
      </c>
      <c r="AG165">
        <f t="shared" si="171"/>
        <v>0</v>
      </c>
      <c r="AH165">
        <f>((EW165*1.15))</f>
        <v>29.451499999999996</v>
      </c>
      <c r="AI165">
        <f>((EX165*1.25))</f>
        <v>0.125</v>
      </c>
      <c r="AJ165">
        <f t="shared" si="172"/>
        <v>0</v>
      </c>
      <c r="AK165">
        <v>613.75</v>
      </c>
      <c r="AL165">
        <v>366.45</v>
      </c>
      <c r="AM165">
        <v>6.57</v>
      </c>
      <c r="AN165">
        <v>1.1599999999999999</v>
      </c>
      <c r="AO165">
        <v>240.73</v>
      </c>
      <c r="AP165">
        <v>0</v>
      </c>
      <c r="AQ165">
        <v>25.61</v>
      </c>
      <c r="AR165">
        <v>0.1</v>
      </c>
      <c r="AS165">
        <v>0</v>
      </c>
      <c r="AT165">
        <v>111</v>
      </c>
      <c r="AU165">
        <v>64</v>
      </c>
      <c r="AV165">
        <v>1</v>
      </c>
      <c r="AW165">
        <v>1</v>
      </c>
      <c r="AZ165">
        <v>6.56</v>
      </c>
      <c r="BA165">
        <v>6.56</v>
      </c>
      <c r="BB165">
        <v>6.56</v>
      </c>
      <c r="BC165">
        <v>6.56</v>
      </c>
      <c r="BD165" t="s">
        <v>6</v>
      </c>
      <c r="BE165" t="s">
        <v>6</v>
      </c>
      <c r="BF165" t="s">
        <v>6</v>
      </c>
      <c r="BG165" t="s">
        <v>6</v>
      </c>
      <c r="BH165">
        <v>0</v>
      </c>
      <c r="BI165">
        <v>1</v>
      </c>
      <c r="BJ165" t="s">
        <v>484</v>
      </c>
      <c r="BM165">
        <v>11001</v>
      </c>
      <c r="BN165">
        <v>0</v>
      </c>
      <c r="BO165" t="s">
        <v>6</v>
      </c>
      <c r="BP165">
        <v>0</v>
      </c>
      <c r="BQ165">
        <v>2</v>
      </c>
      <c r="BR165">
        <v>0</v>
      </c>
      <c r="BS165">
        <v>6.56</v>
      </c>
      <c r="BT165">
        <v>1</v>
      </c>
      <c r="BU165">
        <v>1</v>
      </c>
      <c r="BV165">
        <v>1</v>
      </c>
      <c r="BW165">
        <v>1</v>
      </c>
      <c r="BX165">
        <v>1</v>
      </c>
      <c r="BY165" t="s">
        <v>6</v>
      </c>
      <c r="BZ165">
        <v>123</v>
      </c>
      <c r="CA165">
        <v>75</v>
      </c>
      <c r="CF165">
        <v>0</v>
      </c>
      <c r="CG165">
        <v>0</v>
      </c>
      <c r="CM165">
        <v>0</v>
      </c>
      <c r="CN165" t="s">
        <v>1609</v>
      </c>
      <c r="CO165">
        <v>0</v>
      </c>
      <c r="CP165">
        <f t="shared" si="173"/>
        <v>4316.58</v>
      </c>
      <c r="CQ165">
        <f t="shared" si="174"/>
        <v>2403.9119999999998</v>
      </c>
      <c r="CR165">
        <f t="shared" si="175"/>
        <v>53.857600000000005</v>
      </c>
      <c r="CS165">
        <f t="shared" si="176"/>
        <v>9.5119999999999987</v>
      </c>
      <c r="CT165">
        <f t="shared" si="177"/>
        <v>1816.0703999999998</v>
      </c>
      <c r="CU165">
        <f t="shared" si="178"/>
        <v>0</v>
      </c>
      <c r="CV165">
        <f t="shared" si="179"/>
        <v>29.451499999999996</v>
      </c>
      <c r="CW165">
        <f t="shared" si="180"/>
        <v>0.125</v>
      </c>
      <c r="CX165">
        <f t="shared" si="181"/>
        <v>0</v>
      </c>
      <c r="CY165">
        <f t="shared" si="182"/>
        <v>2046.6623999999999</v>
      </c>
      <c r="CZ165">
        <f t="shared" si="183"/>
        <v>1180.0575999999999</v>
      </c>
      <c r="DC165" t="s">
        <v>6</v>
      </c>
      <c r="DD165" t="s">
        <v>6</v>
      </c>
      <c r="DE165" t="s">
        <v>172</v>
      </c>
      <c r="DF165" t="s">
        <v>172</v>
      </c>
      <c r="DG165" t="s">
        <v>173</v>
      </c>
      <c r="DH165" t="s">
        <v>6</v>
      </c>
      <c r="DI165" t="s">
        <v>173</v>
      </c>
      <c r="DJ165" t="s">
        <v>172</v>
      </c>
      <c r="DK165" t="s">
        <v>6</v>
      </c>
      <c r="DL165" t="s">
        <v>6</v>
      </c>
      <c r="DM165" t="s">
        <v>6</v>
      </c>
      <c r="DN165">
        <v>0</v>
      </c>
      <c r="DO165">
        <v>0</v>
      </c>
      <c r="DP165">
        <v>1</v>
      </c>
      <c r="DQ165">
        <v>1</v>
      </c>
      <c r="DU165">
        <v>1005</v>
      </c>
      <c r="DV165" t="s">
        <v>20</v>
      </c>
      <c r="DW165" t="s">
        <v>20</v>
      </c>
      <c r="DX165">
        <v>100</v>
      </c>
      <c r="EE165">
        <v>16510488</v>
      </c>
      <c r="EF165">
        <v>2</v>
      </c>
      <c r="EG165" t="s">
        <v>22</v>
      </c>
      <c r="EH165">
        <v>0</v>
      </c>
      <c r="EI165" t="s">
        <v>6</v>
      </c>
      <c r="EJ165">
        <v>1</v>
      </c>
      <c r="EK165">
        <v>11001</v>
      </c>
      <c r="EL165" t="s">
        <v>62</v>
      </c>
      <c r="EM165" t="s">
        <v>433</v>
      </c>
      <c r="EO165" t="s">
        <v>176</v>
      </c>
      <c r="EQ165">
        <v>131072</v>
      </c>
      <c r="ER165">
        <v>613.75</v>
      </c>
      <c r="ES165">
        <v>366.45</v>
      </c>
      <c r="ET165">
        <v>6.57</v>
      </c>
      <c r="EU165">
        <v>1.1599999999999999</v>
      </c>
      <c r="EV165">
        <v>240.73</v>
      </c>
      <c r="EW165">
        <v>25.61</v>
      </c>
      <c r="EX165">
        <v>0.1</v>
      </c>
      <c r="EY165">
        <v>0</v>
      </c>
      <c r="FQ165">
        <v>0</v>
      </c>
      <c r="FR165">
        <f t="shared" si="184"/>
        <v>0</v>
      </c>
      <c r="FS165">
        <v>0</v>
      </c>
      <c r="FT165" t="s">
        <v>25</v>
      </c>
      <c r="FU165" t="s">
        <v>26</v>
      </c>
      <c r="FX165">
        <v>110.7</v>
      </c>
      <c r="FY165">
        <v>63.75</v>
      </c>
      <c r="GA165" t="s">
        <v>6</v>
      </c>
      <c r="GD165">
        <v>0</v>
      </c>
      <c r="GF165">
        <v>1120024045</v>
      </c>
      <c r="GG165">
        <v>1</v>
      </c>
      <c r="GH165">
        <v>1</v>
      </c>
      <c r="GI165">
        <v>4</v>
      </c>
      <c r="GJ165">
        <v>0</v>
      </c>
      <c r="GK165">
        <f>ROUND(R165*(R12)/100,2)</f>
        <v>0</v>
      </c>
      <c r="GL165">
        <f t="shared" si="185"/>
        <v>0</v>
      </c>
      <c r="GM165">
        <f t="shared" si="186"/>
        <v>7543.3</v>
      </c>
      <c r="GN165">
        <f t="shared" si="187"/>
        <v>7543.3</v>
      </c>
      <c r="GO165">
        <f t="shared" si="188"/>
        <v>0</v>
      </c>
      <c r="GP165">
        <f t="shared" si="189"/>
        <v>0</v>
      </c>
      <c r="GR165">
        <v>0</v>
      </c>
      <c r="GS165">
        <v>3</v>
      </c>
      <c r="GT165">
        <v>0</v>
      </c>
      <c r="GU165" t="s">
        <v>6</v>
      </c>
      <c r="GV165">
        <f t="shared" si="190"/>
        <v>0</v>
      </c>
      <c r="GW165">
        <v>1</v>
      </c>
      <c r="GX165">
        <f t="shared" si="191"/>
        <v>0</v>
      </c>
      <c r="HA165">
        <v>0</v>
      </c>
      <c r="HB165">
        <v>0</v>
      </c>
      <c r="IK165">
        <v>0</v>
      </c>
    </row>
    <row r="166" spans="1:245" x14ac:dyDescent="0.2">
      <c r="A166">
        <v>18</v>
      </c>
      <c r="B166">
        <v>1</v>
      </c>
      <c r="C166">
        <v>295</v>
      </c>
      <c r="E166" t="s">
        <v>485</v>
      </c>
      <c r="F166" t="s">
        <v>486</v>
      </c>
      <c r="G166" t="s">
        <v>487</v>
      </c>
      <c r="H166" t="s">
        <v>89</v>
      </c>
      <c r="I166">
        <f>I165*J166</f>
        <v>103.52500000000001</v>
      </c>
      <c r="J166">
        <v>102.5</v>
      </c>
      <c r="O166">
        <f t="shared" si="158"/>
        <v>81589.960000000006</v>
      </c>
      <c r="P166">
        <f t="shared" si="159"/>
        <v>81589.960000000006</v>
      </c>
      <c r="Q166">
        <f t="shared" si="160"/>
        <v>0</v>
      </c>
      <c r="R166">
        <f t="shared" si="161"/>
        <v>0</v>
      </c>
      <c r="S166">
        <f t="shared" si="162"/>
        <v>0</v>
      </c>
      <c r="T166">
        <f t="shared" si="163"/>
        <v>0</v>
      </c>
      <c r="U166">
        <f t="shared" si="164"/>
        <v>0</v>
      </c>
      <c r="V166">
        <f t="shared" si="165"/>
        <v>0</v>
      </c>
      <c r="W166">
        <f t="shared" si="166"/>
        <v>0</v>
      </c>
      <c r="X166">
        <f t="shared" si="167"/>
        <v>0</v>
      </c>
      <c r="Y166">
        <f t="shared" si="168"/>
        <v>0</v>
      </c>
      <c r="AA166">
        <v>16748969</v>
      </c>
      <c r="AB166">
        <f t="shared" si="169"/>
        <v>120.14</v>
      </c>
      <c r="AC166">
        <f t="shared" si="192"/>
        <v>120.14</v>
      </c>
      <c r="AD166">
        <f>ROUND((((ET166)-(EU166))+AE166),2)</f>
        <v>0</v>
      </c>
      <c r="AE166">
        <f>ROUND((EU166),2)</f>
        <v>0</v>
      </c>
      <c r="AF166">
        <f>ROUND((EV166),2)</f>
        <v>0</v>
      </c>
      <c r="AG166">
        <f t="shared" si="171"/>
        <v>0</v>
      </c>
      <c r="AH166">
        <f>(EW166)</f>
        <v>0</v>
      </c>
      <c r="AI166">
        <f>(EX166)</f>
        <v>0</v>
      </c>
      <c r="AJ166">
        <f t="shared" si="172"/>
        <v>0</v>
      </c>
      <c r="AK166">
        <v>120.14</v>
      </c>
      <c r="AL166">
        <v>120.14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  <c r="AS166">
        <v>0</v>
      </c>
      <c r="AT166">
        <v>111</v>
      </c>
      <c r="AU166">
        <v>64</v>
      </c>
      <c r="AV166">
        <v>1</v>
      </c>
      <c r="AW166">
        <v>1</v>
      </c>
      <c r="AZ166">
        <v>6.56</v>
      </c>
      <c r="BA166">
        <v>1</v>
      </c>
      <c r="BB166">
        <v>1</v>
      </c>
      <c r="BC166">
        <v>6.56</v>
      </c>
      <c r="BD166" t="s">
        <v>6</v>
      </c>
      <c r="BE166" t="s">
        <v>6</v>
      </c>
      <c r="BF166" t="s">
        <v>6</v>
      </c>
      <c r="BG166" t="s">
        <v>6</v>
      </c>
      <c r="BH166">
        <v>3</v>
      </c>
      <c r="BI166">
        <v>1</v>
      </c>
      <c r="BJ166" t="s">
        <v>488</v>
      </c>
      <c r="BM166">
        <v>11001</v>
      </c>
      <c r="BN166">
        <v>0</v>
      </c>
      <c r="BO166" t="s">
        <v>6</v>
      </c>
      <c r="BP166">
        <v>0</v>
      </c>
      <c r="BQ166">
        <v>2</v>
      </c>
      <c r="BR166">
        <v>0</v>
      </c>
      <c r="BS166">
        <v>1</v>
      </c>
      <c r="BT166">
        <v>1</v>
      </c>
      <c r="BU166">
        <v>1</v>
      </c>
      <c r="BV166">
        <v>1</v>
      </c>
      <c r="BW166">
        <v>1</v>
      </c>
      <c r="BX166">
        <v>1</v>
      </c>
      <c r="BY166" t="s">
        <v>6</v>
      </c>
      <c r="BZ166">
        <v>123</v>
      </c>
      <c r="CA166">
        <v>75</v>
      </c>
      <c r="CF166">
        <v>0</v>
      </c>
      <c r="CG166">
        <v>0</v>
      </c>
      <c r="CM166">
        <v>0</v>
      </c>
      <c r="CN166" t="s">
        <v>6</v>
      </c>
      <c r="CO166">
        <v>0</v>
      </c>
      <c r="CP166">
        <f t="shared" si="173"/>
        <v>81589.960000000006</v>
      </c>
      <c r="CQ166">
        <f t="shared" si="174"/>
        <v>788.11839999999995</v>
      </c>
      <c r="CR166">
        <f t="shared" si="175"/>
        <v>0</v>
      </c>
      <c r="CS166">
        <f t="shared" si="176"/>
        <v>0</v>
      </c>
      <c r="CT166">
        <f t="shared" si="177"/>
        <v>0</v>
      </c>
      <c r="CU166">
        <f t="shared" si="178"/>
        <v>0</v>
      </c>
      <c r="CV166">
        <f t="shared" si="179"/>
        <v>0</v>
      </c>
      <c r="CW166">
        <f t="shared" si="180"/>
        <v>0</v>
      </c>
      <c r="CX166">
        <f t="shared" si="181"/>
        <v>0</v>
      </c>
      <c r="CY166">
        <f t="shared" si="182"/>
        <v>0</v>
      </c>
      <c r="CZ166">
        <f t="shared" si="183"/>
        <v>0</v>
      </c>
      <c r="DC166" t="s">
        <v>6</v>
      </c>
      <c r="DD166" t="s">
        <v>6</v>
      </c>
      <c r="DE166" t="s">
        <v>6</v>
      </c>
      <c r="DF166" t="s">
        <v>6</v>
      </c>
      <c r="DG166" t="s">
        <v>6</v>
      </c>
      <c r="DH166" t="s">
        <v>6</v>
      </c>
      <c r="DI166" t="s">
        <v>6</v>
      </c>
      <c r="DJ166" t="s">
        <v>6</v>
      </c>
      <c r="DK166" t="s">
        <v>6</v>
      </c>
      <c r="DL166" t="s">
        <v>6</v>
      </c>
      <c r="DM166" t="s">
        <v>6</v>
      </c>
      <c r="DN166">
        <v>0</v>
      </c>
      <c r="DO166">
        <v>0</v>
      </c>
      <c r="DP166">
        <v>1</v>
      </c>
      <c r="DQ166">
        <v>1</v>
      </c>
      <c r="DU166">
        <v>1005</v>
      </c>
      <c r="DV166" t="s">
        <v>89</v>
      </c>
      <c r="DW166" t="s">
        <v>89</v>
      </c>
      <c r="DX166">
        <v>1</v>
      </c>
      <c r="EE166">
        <v>16510488</v>
      </c>
      <c r="EF166">
        <v>2</v>
      </c>
      <c r="EG166" t="s">
        <v>22</v>
      </c>
      <c r="EH166">
        <v>0</v>
      </c>
      <c r="EI166" t="s">
        <v>6</v>
      </c>
      <c r="EJ166">
        <v>1</v>
      </c>
      <c r="EK166">
        <v>11001</v>
      </c>
      <c r="EL166" t="s">
        <v>62</v>
      </c>
      <c r="EM166" t="s">
        <v>433</v>
      </c>
      <c r="EO166" t="s">
        <v>6</v>
      </c>
      <c r="EQ166">
        <v>0</v>
      </c>
      <c r="ER166">
        <v>120.14</v>
      </c>
      <c r="ES166">
        <v>120.14</v>
      </c>
      <c r="ET166">
        <v>0</v>
      </c>
      <c r="EU166">
        <v>0</v>
      </c>
      <c r="EV166">
        <v>0</v>
      </c>
      <c r="EW166">
        <v>0</v>
      </c>
      <c r="EX166">
        <v>0</v>
      </c>
      <c r="FQ166">
        <v>0</v>
      </c>
      <c r="FR166">
        <f t="shared" si="184"/>
        <v>0</v>
      </c>
      <c r="FS166">
        <v>0</v>
      </c>
      <c r="FT166" t="s">
        <v>25</v>
      </c>
      <c r="FU166" t="s">
        <v>26</v>
      </c>
      <c r="FX166">
        <v>110.7</v>
      </c>
      <c r="FY166">
        <v>63.75</v>
      </c>
      <c r="GA166" t="s">
        <v>6</v>
      </c>
      <c r="GD166">
        <v>0</v>
      </c>
      <c r="GF166">
        <v>1140903144</v>
      </c>
      <c r="GG166">
        <v>1</v>
      </c>
      <c r="GH166">
        <v>1</v>
      </c>
      <c r="GI166">
        <v>4</v>
      </c>
      <c r="GJ166">
        <v>0</v>
      </c>
      <c r="GK166">
        <f>ROUND(R166*(R12)/100,2)</f>
        <v>0</v>
      </c>
      <c r="GL166">
        <f t="shared" si="185"/>
        <v>0</v>
      </c>
      <c r="GM166">
        <f t="shared" si="186"/>
        <v>81589.960000000006</v>
      </c>
      <c r="GN166">
        <f t="shared" si="187"/>
        <v>81589.960000000006</v>
      </c>
      <c r="GO166">
        <f t="shared" si="188"/>
        <v>0</v>
      </c>
      <c r="GP166">
        <f t="shared" si="189"/>
        <v>0</v>
      </c>
      <c r="GR166">
        <v>0</v>
      </c>
      <c r="GS166">
        <v>3</v>
      </c>
      <c r="GT166">
        <v>0</v>
      </c>
      <c r="GU166" t="s">
        <v>6</v>
      </c>
      <c r="GV166">
        <f t="shared" si="190"/>
        <v>0</v>
      </c>
      <c r="GW166">
        <v>1</v>
      </c>
      <c r="GX166">
        <f t="shared" si="191"/>
        <v>0</v>
      </c>
      <c r="HA166">
        <v>0</v>
      </c>
      <c r="HB166">
        <v>0</v>
      </c>
      <c r="IK166">
        <v>0</v>
      </c>
    </row>
    <row r="167" spans="1:245" x14ac:dyDescent="0.2">
      <c r="A167">
        <v>18</v>
      </c>
      <c r="B167">
        <v>1</v>
      </c>
      <c r="C167">
        <v>294</v>
      </c>
      <c r="E167" t="s">
        <v>489</v>
      </c>
      <c r="F167" t="s">
        <v>490</v>
      </c>
      <c r="G167" t="s">
        <v>491</v>
      </c>
      <c r="H167" t="s">
        <v>89</v>
      </c>
      <c r="I167">
        <f>I165*J167</f>
        <v>103.52500000000001</v>
      </c>
      <c r="J167">
        <v>102.5</v>
      </c>
      <c r="O167">
        <f t="shared" si="158"/>
        <v>0</v>
      </c>
      <c r="P167">
        <f t="shared" si="159"/>
        <v>0</v>
      </c>
      <c r="Q167">
        <f t="shared" si="160"/>
        <v>0</v>
      </c>
      <c r="R167">
        <f t="shared" si="161"/>
        <v>0</v>
      </c>
      <c r="S167">
        <f t="shared" si="162"/>
        <v>0</v>
      </c>
      <c r="T167">
        <f t="shared" si="163"/>
        <v>0</v>
      </c>
      <c r="U167">
        <f t="shared" si="164"/>
        <v>0</v>
      </c>
      <c r="V167">
        <f t="shared" si="165"/>
        <v>0</v>
      </c>
      <c r="W167">
        <f t="shared" si="166"/>
        <v>0</v>
      </c>
      <c r="X167">
        <f t="shared" si="167"/>
        <v>0</v>
      </c>
      <c r="Y167">
        <f t="shared" si="168"/>
        <v>0</v>
      </c>
      <c r="AA167">
        <v>16748969</v>
      </c>
      <c r="AB167">
        <f t="shared" si="169"/>
        <v>0</v>
      </c>
      <c r="AC167">
        <f t="shared" si="192"/>
        <v>0</v>
      </c>
      <c r="AD167">
        <f>ROUND((((ET167)-(EU167))+AE167),2)</f>
        <v>0</v>
      </c>
      <c r="AE167">
        <f>ROUND((EU167),2)</f>
        <v>0</v>
      </c>
      <c r="AF167">
        <f>ROUND((EV167),2)</f>
        <v>0</v>
      </c>
      <c r="AG167">
        <f t="shared" si="171"/>
        <v>0</v>
      </c>
      <c r="AH167">
        <f>(EW167)</f>
        <v>0</v>
      </c>
      <c r="AI167">
        <f>(EX167)</f>
        <v>0</v>
      </c>
      <c r="AJ167">
        <f t="shared" si="172"/>
        <v>0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111</v>
      </c>
      <c r="AU167">
        <v>64</v>
      </c>
      <c r="AV167">
        <v>1</v>
      </c>
      <c r="AW167">
        <v>1</v>
      </c>
      <c r="AZ167">
        <v>6.56</v>
      </c>
      <c r="BA167">
        <v>1</v>
      </c>
      <c r="BB167">
        <v>1</v>
      </c>
      <c r="BC167">
        <v>6.56</v>
      </c>
      <c r="BD167" t="s">
        <v>6</v>
      </c>
      <c r="BE167" t="s">
        <v>6</v>
      </c>
      <c r="BF167" t="s">
        <v>6</v>
      </c>
      <c r="BG167" t="s">
        <v>6</v>
      </c>
      <c r="BH167">
        <v>3</v>
      </c>
      <c r="BI167">
        <v>1</v>
      </c>
      <c r="BJ167" t="s">
        <v>6</v>
      </c>
      <c r="BM167">
        <v>11001</v>
      </c>
      <c r="BN167">
        <v>0</v>
      </c>
      <c r="BO167" t="s">
        <v>6</v>
      </c>
      <c r="BP167">
        <v>0</v>
      </c>
      <c r="BQ167">
        <v>2</v>
      </c>
      <c r="BR167">
        <v>0</v>
      </c>
      <c r="BS167">
        <v>1</v>
      </c>
      <c r="BT167">
        <v>1</v>
      </c>
      <c r="BU167">
        <v>1</v>
      </c>
      <c r="BV167">
        <v>1</v>
      </c>
      <c r="BW167">
        <v>1</v>
      </c>
      <c r="BX167">
        <v>1</v>
      </c>
      <c r="BY167" t="s">
        <v>6</v>
      </c>
      <c r="BZ167">
        <v>123</v>
      </c>
      <c r="CA167">
        <v>75</v>
      </c>
      <c r="CF167">
        <v>0</v>
      </c>
      <c r="CG167">
        <v>0</v>
      </c>
      <c r="CM167">
        <v>0</v>
      </c>
      <c r="CN167" t="s">
        <v>6</v>
      </c>
      <c r="CO167">
        <v>0</v>
      </c>
      <c r="CP167">
        <f t="shared" si="173"/>
        <v>0</v>
      </c>
      <c r="CQ167">
        <f t="shared" si="174"/>
        <v>0</v>
      </c>
      <c r="CR167">
        <f t="shared" si="175"/>
        <v>0</v>
      </c>
      <c r="CS167">
        <f t="shared" si="176"/>
        <v>0</v>
      </c>
      <c r="CT167">
        <f t="shared" si="177"/>
        <v>0</v>
      </c>
      <c r="CU167">
        <f t="shared" si="178"/>
        <v>0</v>
      </c>
      <c r="CV167">
        <f t="shared" si="179"/>
        <v>0</v>
      </c>
      <c r="CW167">
        <f t="shared" si="180"/>
        <v>0</v>
      </c>
      <c r="CX167">
        <f t="shared" si="181"/>
        <v>0</v>
      </c>
      <c r="CY167">
        <f t="shared" si="182"/>
        <v>0</v>
      </c>
      <c r="CZ167">
        <f t="shared" si="183"/>
        <v>0</v>
      </c>
      <c r="DC167" t="s">
        <v>6</v>
      </c>
      <c r="DD167" t="s">
        <v>6</v>
      </c>
      <c r="DE167" t="s">
        <v>6</v>
      </c>
      <c r="DF167" t="s">
        <v>6</v>
      </c>
      <c r="DG167" t="s">
        <v>6</v>
      </c>
      <c r="DH167" t="s">
        <v>6</v>
      </c>
      <c r="DI167" t="s">
        <v>6</v>
      </c>
      <c r="DJ167" t="s">
        <v>6</v>
      </c>
      <c r="DK167" t="s">
        <v>6</v>
      </c>
      <c r="DL167" t="s">
        <v>6</v>
      </c>
      <c r="DM167" t="s">
        <v>6</v>
      </c>
      <c r="DN167">
        <v>0</v>
      </c>
      <c r="DO167">
        <v>0</v>
      </c>
      <c r="DP167">
        <v>1</v>
      </c>
      <c r="DQ167">
        <v>1</v>
      </c>
      <c r="DU167">
        <v>1005</v>
      </c>
      <c r="DV167" t="s">
        <v>89</v>
      </c>
      <c r="DW167" t="s">
        <v>89</v>
      </c>
      <c r="DX167">
        <v>1</v>
      </c>
      <c r="EE167">
        <v>16510488</v>
      </c>
      <c r="EF167">
        <v>2</v>
      </c>
      <c r="EG167" t="s">
        <v>22</v>
      </c>
      <c r="EH167">
        <v>0</v>
      </c>
      <c r="EI167" t="s">
        <v>6</v>
      </c>
      <c r="EJ167">
        <v>1</v>
      </c>
      <c r="EK167">
        <v>11001</v>
      </c>
      <c r="EL167" t="s">
        <v>62</v>
      </c>
      <c r="EM167" t="s">
        <v>433</v>
      </c>
      <c r="EO167" t="s">
        <v>6</v>
      </c>
      <c r="EQ167">
        <v>0</v>
      </c>
      <c r="ER167">
        <v>0</v>
      </c>
      <c r="ES167">
        <v>0</v>
      </c>
      <c r="ET167">
        <v>0</v>
      </c>
      <c r="EU167">
        <v>0</v>
      </c>
      <c r="EV167">
        <v>0</v>
      </c>
      <c r="EW167">
        <v>0</v>
      </c>
      <c r="EX167">
        <v>0</v>
      </c>
      <c r="FQ167">
        <v>0</v>
      </c>
      <c r="FR167">
        <f t="shared" si="184"/>
        <v>0</v>
      </c>
      <c r="FS167">
        <v>0</v>
      </c>
      <c r="FT167" t="s">
        <v>25</v>
      </c>
      <c r="FU167" t="s">
        <v>26</v>
      </c>
      <c r="FX167">
        <v>110.7</v>
      </c>
      <c r="FY167">
        <v>63.75</v>
      </c>
      <c r="GA167" t="s">
        <v>6</v>
      </c>
      <c r="GD167">
        <v>0</v>
      </c>
      <c r="GF167">
        <v>-1235377378</v>
      </c>
      <c r="GG167">
        <v>1</v>
      </c>
      <c r="GH167">
        <v>1</v>
      </c>
      <c r="GI167">
        <v>4</v>
      </c>
      <c r="GJ167">
        <v>0</v>
      </c>
      <c r="GK167">
        <f>ROUND(R167*(R12)/100,2)</f>
        <v>0</v>
      </c>
      <c r="GL167">
        <f t="shared" si="185"/>
        <v>0</v>
      </c>
      <c r="GM167">
        <f t="shared" si="186"/>
        <v>0</v>
      </c>
      <c r="GN167">
        <f t="shared" si="187"/>
        <v>0</v>
      </c>
      <c r="GO167">
        <f t="shared" si="188"/>
        <v>0</v>
      </c>
      <c r="GP167">
        <f t="shared" si="189"/>
        <v>0</v>
      </c>
      <c r="GR167">
        <v>0</v>
      </c>
      <c r="GS167">
        <v>3</v>
      </c>
      <c r="GT167">
        <v>0</v>
      </c>
      <c r="GU167" t="s">
        <v>6</v>
      </c>
      <c r="GV167">
        <f t="shared" si="190"/>
        <v>0</v>
      </c>
      <c r="GW167">
        <v>1</v>
      </c>
      <c r="GX167">
        <f t="shared" si="191"/>
        <v>0</v>
      </c>
      <c r="HA167">
        <v>0</v>
      </c>
      <c r="HB167">
        <v>0</v>
      </c>
      <c r="IK167">
        <v>0</v>
      </c>
    </row>
    <row r="168" spans="1:245" x14ac:dyDescent="0.2">
      <c r="A168">
        <v>17</v>
      </c>
      <c r="B168">
        <v>1</v>
      </c>
      <c r="C168">
        <f>ROW(SmtRes!A303)</f>
        <v>303</v>
      </c>
      <c r="D168">
        <f>ROW(EtalonRes!A288)</f>
        <v>288</v>
      </c>
      <c r="E168" t="s">
        <v>492</v>
      </c>
      <c r="F168" t="s">
        <v>493</v>
      </c>
      <c r="G168" t="s">
        <v>494</v>
      </c>
      <c r="H168" t="s">
        <v>34</v>
      </c>
      <c r="I168">
        <f>ROUND(64.7/100,9)</f>
        <v>0.64700000000000002</v>
      </c>
      <c r="J168">
        <v>0</v>
      </c>
      <c r="O168">
        <f t="shared" si="158"/>
        <v>623.28</v>
      </c>
      <c r="P168">
        <f t="shared" si="159"/>
        <v>182.72</v>
      </c>
      <c r="Q168">
        <f t="shared" si="160"/>
        <v>11.33</v>
      </c>
      <c r="R168">
        <f t="shared" si="161"/>
        <v>2.25</v>
      </c>
      <c r="S168">
        <f t="shared" si="162"/>
        <v>429.23</v>
      </c>
      <c r="T168">
        <f t="shared" si="163"/>
        <v>0</v>
      </c>
      <c r="U168">
        <f t="shared" si="164"/>
        <v>6.7038905</v>
      </c>
      <c r="V168">
        <f t="shared" si="165"/>
        <v>3.2350000000000004E-2</v>
      </c>
      <c r="W168">
        <f t="shared" si="166"/>
        <v>0</v>
      </c>
      <c r="X168">
        <f t="shared" si="167"/>
        <v>478.94</v>
      </c>
      <c r="Y168">
        <f t="shared" si="168"/>
        <v>276.14999999999998</v>
      </c>
      <c r="AA168">
        <v>16748969</v>
      </c>
      <c r="AB168">
        <f t="shared" si="169"/>
        <v>146.85</v>
      </c>
      <c r="AC168">
        <f t="shared" si="192"/>
        <v>43.05</v>
      </c>
      <c r="AD168">
        <f>ROUND(((((ET168*1.25))-((EU168*1.25)))+AE168),2)</f>
        <v>2.67</v>
      </c>
      <c r="AE168">
        <f>ROUND(((EU168*1.25)),2)</f>
        <v>0.53</v>
      </c>
      <c r="AF168">
        <f>ROUND(((EV168*1.15)),2)</f>
        <v>101.13</v>
      </c>
      <c r="AG168">
        <f t="shared" si="171"/>
        <v>0</v>
      </c>
      <c r="AH168">
        <f>((EW168*1.15))</f>
        <v>10.361499999999999</v>
      </c>
      <c r="AI168">
        <f>((EX168*1.25))</f>
        <v>0.05</v>
      </c>
      <c r="AJ168">
        <f t="shared" si="172"/>
        <v>0</v>
      </c>
      <c r="AK168">
        <v>133.12</v>
      </c>
      <c r="AL168">
        <v>43.05</v>
      </c>
      <c r="AM168">
        <v>2.13</v>
      </c>
      <c r="AN168">
        <v>0.42</v>
      </c>
      <c r="AO168">
        <v>87.94</v>
      </c>
      <c r="AP168">
        <v>0</v>
      </c>
      <c r="AQ168">
        <v>9.01</v>
      </c>
      <c r="AR168">
        <v>0.04</v>
      </c>
      <c r="AS168">
        <v>0</v>
      </c>
      <c r="AT168">
        <v>111</v>
      </c>
      <c r="AU168">
        <v>64</v>
      </c>
      <c r="AV168">
        <v>1</v>
      </c>
      <c r="AW168">
        <v>1</v>
      </c>
      <c r="AZ168">
        <v>6.56</v>
      </c>
      <c r="BA168">
        <v>6.56</v>
      </c>
      <c r="BB168">
        <v>6.56</v>
      </c>
      <c r="BC168">
        <v>6.56</v>
      </c>
      <c r="BD168" t="s">
        <v>6</v>
      </c>
      <c r="BE168" t="s">
        <v>6</v>
      </c>
      <c r="BF168" t="s">
        <v>6</v>
      </c>
      <c r="BG168" t="s">
        <v>6</v>
      </c>
      <c r="BH168">
        <v>0</v>
      </c>
      <c r="BI168">
        <v>1</v>
      </c>
      <c r="BJ168" t="s">
        <v>495</v>
      </c>
      <c r="BM168">
        <v>11001</v>
      </c>
      <c r="BN168">
        <v>0</v>
      </c>
      <c r="BO168" t="s">
        <v>6</v>
      </c>
      <c r="BP168">
        <v>0</v>
      </c>
      <c r="BQ168">
        <v>2</v>
      </c>
      <c r="BR168">
        <v>0</v>
      </c>
      <c r="BS168">
        <v>6.56</v>
      </c>
      <c r="BT168">
        <v>1</v>
      </c>
      <c r="BU168">
        <v>1</v>
      </c>
      <c r="BV168">
        <v>1</v>
      </c>
      <c r="BW168">
        <v>1</v>
      </c>
      <c r="BX168">
        <v>1</v>
      </c>
      <c r="BY168" t="s">
        <v>6</v>
      </c>
      <c r="BZ168">
        <v>123</v>
      </c>
      <c r="CA168">
        <v>75</v>
      </c>
      <c r="CF168">
        <v>0</v>
      </c>
      <c r="CG168">
        <v>0</v>
      </c>
      <c r="CM168">
        <v>0</v>
      </c>
      <c r="CN168" t="s">
        <v>1609</v>
      </c>
      <c r="CO168">
        <v>0</v>
      </c>
      <c r="CP168">
        <f t="shared" si="173"/>
        <v>623.28</v>
      </c>
      <c r="CQ168">
        <f t="shared" si="174"/>
        <v>282.40799999999996</v>
      </c>
      <c r="CR168">
        <f t="shared" si="175"/>
        <v>17.5152</v>
      </c>
      <c r="CS168">
        <f t="shared" si="176"/>
        <v>3.4767999999999999</v>
      </c>
      <c r="CT168">
        <f t="shared" si="177"/>
        <v>663.41279999999995</v>
      </c>
      <c r="CU168">
        <f t="shared" si="178"/>
        <v>0</v>
      </c>
      <c r="CV168">
        <f t="shared" si="179"/>
        <v>10.361499999999999</v>
      </c>
      <c r="CW168">
        <f t="shared" si="180"/>
        <v>0.05</v>
      </c>
      <c r="CX168">
        <f t="shared" si="181"/>
        <v>0</v>
      </c>
      <c r="CY168">
        <f t="shared" si="182"/>
        <v>478.94279999999998</v>
      </c>
      <c r="CZ168">
        <f t="shared" si="183"/>
        <v>276.1472</v>
      </c>
      <c r="DC168" t="s">
        <v>6</v>
      </c>
      <c r="DD168" t="s">
        <v>6</v>
      </c>
      <c r="DE168" t="s">
        <v>172</v>
      </c>
      <c r="DF168" t="s">
        <v>172</v>
      </c>
      <c r="DG168" t="s">
        <v>173</v>
      </c>
      <c r="DH168" t="s">
        <v>6</v>
      </c>
      <c r="DI168" t="s">
        <v>173</v>
      </c>
      <c r="DJ168" t="s">
        <v>172</v>
      </c>
      <c r="DK168" t="s">
        <v>6</v>
      </c>
      <c r="DL168" t="s">
        <v>6</v>
      </c>
      <c r="DM168" t="s">
        <v>6</v>
      </c>
      <c r="DN168">
        <v>0</v>
      </c>
      <c r="DO168">
        <v>0</v>
      </c>
      <c r="DP168">
        <v>1</v>
      </c>
      <c r="DQ168">
        <v>1</v>
      </c>
      <c r="DU168">
        <v>1003</v>
      </c>
      <c r="DV168" t="s">
        <v>34</v>
      </c>
      <c r="DW168" t="s">
        <v>34</v>
      </c>
      <c r="DX168">
        <v>100</v>
      </c>
      <c r="EE168">
        <v>16510488</v>
      </c>
      <c r="EF168">
        <v>2</v>
      </c>
      <c r="EG168" t="s">
        <v>22</v>
      </c>
      <c r="EH168">
        <v>0</v>
      </c>
      <c r="EI168" t="s">
        <v>6</v>
      </c>
      <c r="EJ168">
        <v>1</v>
      </c>
      <c r="EK168">
        <v>11001</v>
      </c>
      <c r="EL168" t="s">
        <v>62</v>
      </c>
      <c r="EM168" t="s">
        <v>433</v>
      </c>
      <c r="EO168" t="s">
        <v>176</v>
      </c>
      <c r="EQ168">
        <v>131072</v>
      </c>
      <c r="ER168">
        <v>133.12</v>
      </c>
      <c r="ES168">
        <v>43.05</v>
      </c>
      <c r="ET168">
        <v>2.13</v>
      </c>
      <c r="EU168">
        <v>0.42</v>
      </c>
      <c r="EV168">
        <v>87.94</v>
      </c>
      <c r="EW168">
        <v>9.01</v>
      </c>
      <c r="EX168">
        <v>0.04</v>
      </c>
      <c r="EY168">
        <v>0</v>
      </c>
      <c r="FQ168">
        <v>0</v>
      </c>
      <c r="FR168">
        <f t="shared" si="184"/>
        <v>0</v>
      </c>
      <c r="FS168">
        <v>0</v>
      </c>
      <c r="FT168" t="s">
        <v>25</v>
      </c>
      <c r="FU168" t="s">
        <v>26</v>
      </c>
      <c r="FX168">
        <v>110.7</v>
      </c>
      <c r="FY168">
        <v>63.75</v>
      </c>
      <c r="GA168" t="s">
        <v>6</v>
      </c>
      <c r="GD168">
        <v>0</v>
      </c>
      <c r="GF168">
        <v>1673334608</v>
      </c>
      <c r="GG168">
        <v>1</v>
      </c>
      <c r="GH168">
        <v>1</v>
      </c>
      <c r="GI168">
        <v>4</v>
      </c>
      <c r="GJ168">
        <v>0</v>
      </c>
      <c r="GK168">
        <f>ROUND(R168*(R12)/100,2)</f>
        <v>0</v>
      </c>
      <c r="GL168">
        <f t="shared" si="185"/>
        <v>0</v>
      </c>
      <c r="GM168">
        <f t="shared" si="186"/>
        <v>1378.37</v>
      </c>
      <c r="GN168">
        <f t="shared" si="187"/>
        <v>1378.37</v>
      </c>
      <c r="GO168">
        <f t="shared" si="188"/>
        <v>0</v>
      </c>
      <c r="GP168">
        <f t="shared" si="189"/>
        <v>0</v>
      </c>
      <c r="GR168">
        <v>0</v>
      </c>
      <c r="GS168">
        <v>3</v>
      </c>
      <c r="GT168">
        <v>0</v>
      </c>
      <c r="GU168" t="s">
        <v>6</v>
      </c>
      <c r="GV168">
        <f t="shared" si="190"/>
        <v>0</v>
      </c>
      <c r="GW168">
        <v>1</v>
      </c>
      <c r="GX168">
        <f t="shared" si="191"/>
        <v>0</v>
      </c>
      <c r="HA168">
        <v>0</v>
      </c>
      <c r="HB168">
        <v>0</v>
      </c>
      <c r="IK168">
        <v>0</v>
      </c>
    </row>
    <row r="169" spans="1:245" x14ac:dyDescent="0.2">
      <c r="A169">
        <v>18</v>
      </c>
      <c r="B169">
        <v>1</v>
      </c>
      <c r="C169">
        <v>302</v>
      </c>
      <c r="E169" t="s">
        <v>496</v>
      </c>
      <c r="F169" t="s">
        <v>497</v>
      </c>
      <c r="G169" t="s">
        <v>498</v>
      </c>
      <c r="H169" t="s">
        <v>206</v>
      </c>
      <c r="I169">
        <f>I168*J169</f>
        <v>65.346999999999994</v>
      </c>
      <c r="J169">
        <v>100.99999999999999</v>
      </c>
      <c r="O169">
        <f t="shared" si="158"/>
        <v>8787.86</v>
      </c>
      <c r="P169">
        <f t="shared" si="159"/>
        <v>8787.86</v>
      </c>
      <c r="Q169">
        <f t="shared" si="160"/>
        <v>0</v>
      </c>
      <c r="R169">
        <f t="shared" si="161"/>
        <v>0</v>
      </c>
      <c r="S169">
        <f t="shared" si="162"/>
        <v>0</v>
      </c>
      <c r="T169">
        <f t="shared" si="163"/>
        <v>0</v>
      </c>
      <c r="U169">
        <f t="shared" si="164"/>
        <v>0</v>
      </c>
      <c r="V169">
        <f t="shared" si="165"/>
        <v>0</v>
      </c>
      <c r="W169">
        <f t="shared" si="166"/>
        <v>0</v>
      </c>
      <c r="X169">
        <f t="shared" si="167"/>
        <v>0</v>
      </c>
      <c r="Y169">
        <f t="shared" si="168"/>
        <v>0</v>
      </c>
      <c r="AA169">
        <v>16748969</v>
      </c>
      <c r="AB169">
        <f t="shared" si="169"/>
        <v>20.5</v>
      </c>
      <c r="AC169">
        <f t="shared" si="192"/>
        <v>20.5</v>
      </c>
      <c r="AD169">
        <f>ROUND((((ET169)-(EU169))+AE169),2)</f>
        <v>0</v>
      </c>
      <c r="AE169">
        <f>ROUND((EU169),2)</f>
        <v>0</v>
      </c>
      <c r="AF169">
        <f>ROUND((EV169),2)</f>
        <v>0</v>
      </c>
      <c r="AG169">
        <f t="shared" si="171"/>
        <v>0</v>
      </c>
      <c r="AH169">
        <f>(EW169)</f>
        <v>0</v>
      </c>
      <c r="AI169">
        <f>(EX169)</f>
        <v>0</v>
      </c>
      <c r="AJ169">
        <f t="shared" si="172"/>
        <v>0</v>
      </c>
      <c r="AK169">
        <v>20.5</v>
      </c>
      <c r="AL169">
        <v>20.5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  <c r="AS169">
        <v>0</v>
      </c>
      <c r="AT169">
        <v>111</v>
      </c>
      <c r="AU169">
        <v>64</v>
      </c>
      <c r="AV169">
        <v>1</v>
      </c>
      <c r="AW169">
        <v>1</v>
      </c>
      <c r="AZ169">
        <v>6.56</v>
      </c>
      <c r="BA169">
        <v>1</v>
      </c>
      <c r="BB169">
        <v>1</v>
      </c>
      <c r="BC169">
        <v>6.56</v>
      </c>
      <c r="BD169" t="s">
        <v>6</v>
      </c>
      <c r="BE169" t="s">
        <v>6</v>
      </c>
      <c r="BF169" t="s">
        <v>6</v>
      </c>
      <c r="BG169" t="s">
        <v>6</v>
      </c>
      <c r="BH169">
        <v>3</v>
      </c>
      <c r="BI169">
        <v>1</v>
      </c>
      <c r="BJ169" t="s">
        <v>499</v>
      </c>
      <c r="BM169">
        <v>11001</v>
      </c>
      <c r="BN169">
        <v>0</v>
      </c>
      <c r="BO169" t="s">
        <v>6</v>
      </c>
      <c r="BP169">
        <v>0</v>
      </c>
      <c r="BQ169">
        <v>2</v>
      </c>
      <c r="BR169">
        <v>0</v>
      </c>
      <c r="BS169">
        <v>1</v>
      </c>
      <c r="BT169">
        <v>1</v>
      </c>
      <c r="BU169">
        <v>1</v>
      </c>
      <c r="BV169">
        <v>1</v>
      </c>
      <c r="BW169">
        <v>1</v>
      </c>
      <c r="BX169">
        <v>1</v>
      </c>
      <c r="BY169" t="s">
        <v>6</v>
      </c>
      <c r="BZ169">
        <v>123</v>
      </c>
      <c r="CA169">
        <v>75</v>
      </c>
      <c r="CF169">
        <v>0</v>
      </c>
      <c r="CG169">
        <v>0</v>
      </c>
      <c r="CM169">
        <v>0</v>
      </c>
      <c r="CN169" t="s">
        <v>6</v>
      </c>
      <c r="CO169">
        <v>0</v>
      </c>
      <c r="CP169">
        <f t="shared" si="173"/>
        <v>8787.86</v>
      </c>
      <c r="CQ169">
        <f t="shared" si="174"/>
        <v>134.47999999999999</v>
      </c>
      <c r="CR169">
        <f t="shared" si="175"/>
        <v>0</v>
      </c>
      <c r="CS169">
        <f t="shared" si="176"/>
        <v>0</v>
      </c>
      <c r="CT169">
        <f t="shared" si="177"/>
        <v>0</v>
      </c>
      <c r="CU169">
        <f t="shared" si="178"/>
        <v>0</v>
      </c>
      <c r="CV169">
        <f t="shared" si="179"/>
        <v>0</v>
      </c>
      <c r="CW169">
        <f t="shared" si="180"/>
        <v>0</v>
      </c>
      <c r="CX169">
        <f t="shared" si="181"/>
        <v>0</v>
      </c>
      <c r="CY169">
        <f t="shared" si="182"/>
        <v>0</v>
      </c>
      <c r="CZ169">
        <f t="shared" si="183"/>
        <v>0</v>
      </c>
      <c r="DC169" t="s">
        <v>6</v>
      </c>
      <c r="DD169" t="s">
        <v>6</v>
      </c>
      <c r="DE169" t="s">
        <v>6</v>
      </c>
      <c r="DF169" t="s">
        <v>6</v>
      </c>
      <c r="DG169" t="s">
        <v>6</v>
      </c>
      <c r="DH169" t="s">
        <v>6</v>
      </c>
      <c r="DI169" t="s">
        <v>6</v>
      </c>
      <c r="DJ169" t="s">
        <v>6</v>
      </c>
      <c r="DK169" t="s">
        <v>6</v>
      </c>
      <c r="DL169" t="s">
        <v>6</v>
      </c>
      <c r="DM169" t="s">
        <v>6</v>
      </c>
      <c r="DN169">
        <v>0</v>
      </c>
      <c r="DO169">
        <v>0</v>
      </c>
      <c r="DP169">
        <v>1</v>
      </c>
      <c r="DQ169">
        <v>1</v>
      </c>
      <c r="DU169">
        <v>1003</v>
      </c>
      <c r="DV169" t="s">
        <v>206</v>
      </c>
      <c r="DW169" t="s">
        <v>206</v>
      </c>
      <c r="DX169">
        <v>1</v>
      </c>
      <c r="EE169">
        <v>16510488</v>
      </c>
      <c r="EF169">
        <v>2</v>
      </c>
      <c r="EG169" t="s">
        <v>22</v>
      </c>
      <c r="EH169">
        <v>0</v>
      </c>
      <c r="EI169" t="s">
        <v>6</v>
      </c>
      <c r="EJ169">
        <v>1</v>
      </c>
      <c r="EK169">
        <v>11001</v>
      </c>
      <c r="EL169" t="s">
        <v>62</v>
      </c>
      <c r="EM169" t="s">
        <v>433</v>
      </c>
      <c r="EO169" t="s">
        <v>6</v>
      </c>
      <c r="EQ169">
        <v>0</v>
      </c>
      <c r="ER169">
        <v>20.5</v>
      </c>
      <c r="ES169">
        <v>20.5</v>
      </c>
      <c r="ET169">
        <v>0</v>
      </c>
      <c r="EU169">
        <v>0</v>
      </c>
      <c r="EV169">
        <v>0</v>
      </c>
      <c r="EW169">
        <v>0</v>
      </c>
      <c r="EX169">
        <v>0</v>
      </c>
      <c r="FQ169">
        <v>0</v>
      </c>
      <c r="FR169">
        <f t="shared" si="184"/>
        <v>0</v>
      </c>
      <c r="FS169">
        <v>0</v>
      </c>
      <c r="FT169" t="s">
        <v>25</v>
      </c>
      <c r="FU169" t="s">
        <v>26</v>
      </c>
      <c r="FX169">
        <v>110.7</v>
      </c>
      <c r="FY169">
        <v>63.75</v>
      </c>
      <c r="GA169" t="s">
        <v>6</v>
      </c>
      <c r="GD169">
        <v>0</v>
      </c>
      <c r="GF169">
        <v>1244447769</v>
      </c>
      <c r="GG169">
        <v>1</v>
      </c>
      <c r="GH169">
        <v>1</v>
      </c>
      <c r="GI169">
        <v>4</v>
      </c>
      <c r="GJ169">
        <v>0</v>
      </c>
      <c r="GK169">
        <f>ROUND(R169*(R12)/100,2)</f>
        <v>0</v>
      </c>
      <c r="GL169">
        <f t="shared" si="185"/>
        <v>0</v>
      </c>
      <c r="GM169">
        <f t="shared" si="186"/>
        <v>8787.86</v>
      </c>
      <c r="GN169">
        <f t="shared" si="187"/>
        <v>8787.86</v>
      </c>
      <c r="GO169">
        <f t="shared" si="188"/>
        <v>0</v>
      </c>
      <c r="GP169">
        <f t="shared" si="189"/>
        <v>0</v>
      </c>
      <c r="GR169">
        <v>0</v>
      </c>
      <c r="GS169">
        <v>3</v>
      </c>
      <c r="GT169">
        <v>0</v>
      </c>
      <c r="GU169" t="s">
        <v>6</v>
      </c>
      <c r="GV169">
        <f t="shared" si="190"/>
        <v>0</v>
      </c>
      <c r="GW169">
        <v>1</v>
      </c>
      <c r="GX169">
        <f t="shared" si="191"/>
        <v>0</v>
      </c>
      <c r="HA169">
        <v>0</v>
      </c>
      <c r="HB169">
        <v>0</v>
      </c>
      <c r="IK169">
        <v>0</v>
      </c>
    </row>
    <row r="170" spans="1:245" x14ac:dyDescent="0.2">
      <c r="A170">
        <v>18</v>
      </c>
      <c r="B170">
        <v>1</v>
      </c>
      <c r="C170">
        <v>301</v>
      </c>
      <c r="E170" t="s">
        <v>500</v>
      </c>
      <c r="F170" t="s">
        <v>501</v>
      </c>
      <c r="G170" t="s">
        <v>502</v>
      </c>
      <c r="H170" t="s">
        <v>206</v>
      </c>
      <c r="I170">
        <f>I168*J170</f>
        <v>65.346999999999994</v>
      </c>
      <c r="J170">
        <v>100.99999999999999</v>
      </c>
      <c r="O170">
        <f t="shared" si="158"/>
        <v>0</v>
      </c>
      <c r="P170">
        <f t="shared" si="159"/>
        <v>0</v>
      </c>
      <c r="Q170">
        <f t="shared" si="160"/>
        <v>0</v>
      </c>
      <c r="R170">
        <f t="shared" si="161"/>
        <v>0</v>
      </c>
      <c r="S170">
        <f t="shared" si="162"/>
        <v>0</v>
      </c>
      <c r="T170">
        <f t="shared" si="163"/>
        <v>0</v>
      </c>
      <c r="U170">
        <f t="shared" si="164"/>
        <v>0</v>
      </c>
      <c r="V170">
        <f t="shared" si="165"/>
        <v>0</v>
      </c>
      <c r="W170">
        <f t="shared" si="166"/>
        <v>0</v>
      </c>
      <c r="X170">
        <f t="shared" si="167"/>
        <v>0</v>
      </c>
      <c r="Y170">
        <f t="shared" si="168"/>
        <v>0</v>
      </c>
      <c r="AA170">
        <v>16748969</v>
      </c>
      <c r="AB170">
        <f t="shared" si="169"/>
        <v>0</v>
      </c>
      <c r="AC170">
        <f t="shared" si="192"/>
        <v>0</v>
      </c>
      <c r="AD170">
        <f>ROUND((((ET170)-(EU170))+AE170),2)</f>
        <v>0</v>
      </c>
      <c r="AE170">
        <f>ROUND((EU170),2)</f>
        <v>0</v>
      </c>
      <c r="AF170">
        <f>ROUND((EV170),2)</f>
        <v>0</v>
      </c>
      <c r="AG170">
        <f t="shared" si="171"/>
        <v>0</v>
      </c>
      <c r="AH170">
        <f>(EW170)</f>
        <v>0</v>
      </c>
      <c r="AI170">
        <f>(EX170)</f>
        <v>0</v>
      </c>
      <c r="AJ170">
        <f t="shared" si="172"/>
        <v>0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111</v>
      </c>
      <c r="AU170">
        <v>64</v>
      </c>
      <c r="AV170">
        <v>1</v>
      </c>
      <c r="AW170">
        <v>1</v>
      </c>
      <c r="AZ170">
        <v>6.56</v>
      </c>
      <c r="BA170">
        <v>1</v>
      </c>
      <c r="BB170">
        <v>1</v>
      </c>
      <c r="BC170">
        <v>6.56</v>
      </c>
      <c r="BD170" t="s">
        <v>6</v>
      </c>
      <c r="BE170" t="s">
        <v>6</v>
      </c>
      <c r="BF170" t="s">
        <v>6</v>
      </c>
      <c r="BG170" t="s">
        <v>6</v>
      </c>
      <c r="BH170">
        <v>3</v>
      </c>
      <c r="BI170">
        <v>1</v>
      </c>
      <c r="BJ170" t="s">
        <v>6</v>
      </c>
      <c r="BM170">
        <v>11001</v>
      </c>
      <c r="BN170">
        <v>0</v>
      </c>
      <c r="BO170" t="s">
        <v>6</v>
      </c>
      <c r="BP170">
        <v>0</v>
      </c>
      <c r="BQ170">
        <v>2</v>
      </c>
      <c r="BR170">
        <v>0</v>
      </c>
      <c r="BS170">
        <v>1</v>
      </c>
      <c r="BT170">
        <v>1</v>
      </c>
      <c r="BU170">
        <v>1</v>
      </c>
      <c r="BV170">
        <v>1</v>
      </c>
      <c r="BW170">
        <v>1</v>
      </c>
      <c r="BX170">
        <v>1</v>
      </c>
      <c r="BY170" t="s">
        <v>6</v>
      </c>
      <c r="BZ170">
        <v>123</v>
      </c>
      <c r="CA170">
        <v>75</v>
      </c>
      <c r="CF170">
        <v>0</v>
      </c>
      <c r="CG170">
        <v>0</v>
      </c>
      <c r="CM170">
        <v>0</v>
      </c>
      <c r="CN170" t="s">
        <v>6</v>
      </c>
      <c r="CO170">
        <v>0</v>
      </c>
      <c r="CP170">
        <f t="shared" si="173"/>
        <v>0</v>
      </c>
      <c r="CQ170">
        <f t="shared" si="174"/>
        <v>0</v>
      </c>
      <c r="CR170">
        <f t="shared" si="175"/>
        <v>0</v>
      </c>
      <c r="CS170">
        <f t="shared" si="176"/>
        <v>0</v>
      </c>
      <c r="CT170">
        <f t="shared" si="177"/>
        <v>0</v>
      </c>
      <c r="CU170">
        <f t="shared" si="178"/>
        <v>0</v>
      </c>
      <c r="CV170">
        <f t="shared" si="179"/>
        <v>0</v>
      </c>
      <c r="CW170">
        <f t="shared" si="180"/>
        <v>0</v>
      </c>
      <c r="CX170">
        <f t="shared" si="181"/>
        <v>0</v>
      </c>
      <c r="CY170">
        <f t="shared" si="182"/>
        <v>0</v>
      </c>
      <c r="CZ170">
        <f t="shared" si="183"/>
        <v>0</v>
      </c>
      <c r="DC170" t="s">
        <v>6</v>
      </c>
      <c r="DD170" t="s">
        <v>6</v>
      </c>
      <c r="DE170" t="s">
        <v>6</v>
      </c>
      <c r="DF170" t="s">
        <v>6</v>
      </c>
      <c r="DG170" t="s">
        <v>6</v>
      </c>
      <c r="DH170" t="s">
        <v>6</v>
      </c>
      <c r="DI170" t="s">
        <v>6</v>
      </c>
      <c r="DJ170" t="s">
        <v>6</v>
      </c>
      <c r="DK170" t="s">
        <v>6</v>
      </c>
      <c r="DL170" t="s">
        <v>6</v>
      </c>
      <c r="DM170" t="s">
        <v>6</v>
      </c>
      <c r="DN170">
        <v>0</v>
      </c>
      <c r="DO170">
        <v>0</v>
      </c>
      <c r="DP170">
        <v>1</v>
      </c>
      <c r="DQ170">
        <v>1</v>
      </c>
      <c r="DU170">
        <v>1003</v>
      </c>
      <c r="DV170" t="s">
        <v>206</v>
      </c>
      <c r="DW170" t="s">
        <v>206</v>
      </c>
      <c r="DX170">
        <v>1</v>
      </c>
      <c r="EE170">
        <v>16510488</v>
      </c>
      <c r="EF170">
        <v>2</v>
      </c>
      <c r="EG170" t="s">
        <v>22</v>
      </c>
      <c r="EH170">
        <v>0</v>
      </c>
      <c r="EI170" t="s">
        <v>6</v>
      </c>
      <c r="EJ170">
        <v>1</v>
      </c>
      <c r="EK170">
        <v>11001</v>
      </c>
      <c r="EL170" t="s">
        <v>62</v>
      </c>
      <c r="EM170" t="s">
        <v>433</v>
      </c>
      <c r="EO170" t="s">
        <v>6</v>
      </c>
      <c r="EQ170">
        <v>0</v>
      </c>
      <c r="ER170">
        <v>0</v>
      </c>
      <c r="ES170">
        <v>0</v>
      </c>
      <c r="ET170">
        <v>0</v>
      </c>
      <c r="EU170">
        <v>0</v>
      </c>
      <c r="EV170">
        <v>0</v>
      </c>
      <c r="EW170">
        <v>0</v>
      </c>
      <c r="EX170">
        <v>0</v>
      </c>
      <c r="FQ170">
        <v>0</v>
      </c>
      <c r="FR170">
        <f t="shared" si="184"/>
        <v>0</v>
      </c>
      <c r="FS170">
        <v>0</v>
      </c>
      <c r="FT170" t="s">
        <v>25</v>
      </c>
      <c r="FU170" t="s">
        <v>26</v>
      </c>
      <c r="FX170">
        <v>110.7</v>
      </c>
      <c r="FY170">
        <v>63.75</v>
      </c>
      <c r="GA170" t="s">
        <v>6</v>
      </c>
      <c r="GD170">
        <v>0</v>
      </c>
      <c r="GF170">
        <v>-2049262376</v>
      </c>
      <c r="GG170">
        <v>1</v>
      </c>
      <c r="GH170">
        <v>1</v>
      </c>
      <c r="GI170">
        <v>4</v>
      </c>
      <c r="GJ170">
        <v>0</v>
      </c>
      <c r="GK170">
        <f>ROUND(R170*(R12)/100,2)</f>
        <v>0</v>
      </c>
      <c r="GL170">
        <f t="shared" si="185"/>
        <v>0</v>
      </c>
      <c r="GM170">
        <f t="shared" si="186"/>
        <v>0</v>
      </c>
      <c r="GN170">
        <f t="shared" si="187"/>
        <v>0</v>
      </c>
      <c r="GO170">
        <f t="shared" si="188"/>
        <v>0</v>
      </c>
      <c r="GP170">
        <f t="shared" si="189"/>
        <v>0</v>
      </c>
      <c r="GR170">
        <v>0</v>
      </c>
      <c r="GS170">
        <v>3</v>
      </c>
      <c r="GT170">
        <v>0</v>
      </c>
      <c r="GU170" t="s">
        <v>6</v>
      </c>
      <c r="GV170">
        <f t="shared" si="190"/>
        <v>0</v>
      </c>
      <c r="GW170">
        <v>1</v>
      </c>
      <c r="GX170">
        <f t="shared" si="191"/>
        <v>0</v>
      </c>
      <c r="HA170">
        <v>0</v>
      </c>
      <c r="HB170">
        <v>0</v>
      </c>
      <c r="IK170">
        <v>0</v>
      </c>
    </row>
    <row r="171" spans="1:245" x14ac:dyDescent="0.2">
      <c r="A171">
        <v>17</v>
      </c>
      <c r="B171">
        <v>1</v>
      </c>
      <c r="C171">
        <f>ROW(SmtRes!A309)</f>
        <v>309</v>
      </c>
      <c r="D171">
        <f>ROW(EtalonRes!A294)</f>
        <v>294</v>
      </c>
      <c r="E171" t="s">
        <v>503</v>
      </c>
      <c r="F171" t="s">
        <v>504</v>
      </c>
      <c r="G171" t="s">
        <v>505</v>
      </c>
      <c r="H171" t="s">
        <v>34</v>
      </c>
      <c r="I171">
        <f>ROUND(14/100,9)</f>
        <v>0.14000000000000001</v>
      </c>
      <c r="J171">
        <v>0</v>
      </c>
      <c r="O171">
        <f t="shared" si="158"/>
        <v>245.57</v>
      </c>
      <c r="P171">
        <f t="shared" si="159"/>
        <v>0</v>
      </c>
      <c r="Q171">
        <f t="shared" si="160"/>
        <v>6.32</v>
      </c>
      <c r="R171">
        <f t="shared" si="161"/>
        <v>1.59</v>
      </c>
      <c r="S171">
        <f t="shared" si="162"/>
        <v>239.25</v>
      </c>
      <c r="T171">
        <f t="shared" si="163"/>
        <v>0</v>
      </c>
      <c r="U171">
        <f t="shared" si="164"/>
        <v>3.8350200000000001</v>
      </c>
      <c r="V171">
        <f t="shared" si="165"/>
        <v>1.9250000000000003E-2</v>
      </c>
      <c r="W171">
        <f t="shared" si="166"/>
        <v>0</v>
      </c>
      <c r="X171">
        <f t="shared" si="167"/>
        <v>267.33</v>
      </c>
      <c r="Y171">
        <f t="shared" si="168"/>
        <v>154.13999999999999</v>
      </c>
      <c r="AA171">
        <v>16748969</v>
      </c>
      <c r="AB171">
        <f t="shared" si="169"/>
        <v>267.39</v>
      </c>
      <c r="AC171">
        <f t="shared" si="192"/>
        <v>0</v>
      </c>
      <c r="AD171">
        <f>ROUND(((((ET171*1.25))-((EU171*1.25)))+AE171),2)</f>
        <v>6.88</v>
      </c>
      <c r="AE171">
        <f>ROUND(((EU171*1.25)),2)</f>
        <v>1.73</v>
      </c>
      <c r="AF171">
        <f>ROUND(((EV171*1.15)),2)</f>
        <v>260.51</v>
      </c>
      <c r="AG171">
        <f t="shared" si="171"/>
        <v>0</v>
      </c>
      <c r="AH171">
        <f>((EW171*1.15))</f>
        <v>27.392999999999997</v>
      </c>
      <c r="AI171">
        <f>((EX171*1.25))</f>
        <v>0.13750000000000001</v>
      </c>
      <c r="AJ171">
        <f t="shared" si="172"/>
        <v>0</v>
      </c>
      <c r="AK171">
        <v>232.03</v>
      </c>
      <c r="AL171">
        <v>0</v>
      </c>
      <c r="AM171">
        <v>5.5</v>
      </c>
      <c r="AN171">
        <v>1.38</v>
      </c>
      <c r="AO171">
        <v>226.53</v>
      </c>
      <c r="AP171">
        <v>0</v>
      </c>
      <c r="AQ171">
        <v>23.82</v>
      </c>
      <c r="AR171">
        <v>0.11</v>
      </c>
      <c r="AS171">
        <v>0</v>
      </c>
      <c r="AT171">
        <v>111</v>
      </c>
      <c r="AU171">
        <v>64</v>
      </c>
      <c r="AV171">
        <v>1</v>
      </c>
      <c r="AW171">
        <v>1</v>
      </c>
      <c r="AZ171">
        <v>6.56</v>
      </c>
      <c r="BA171">
        <v>6.56</v>
      </c>
      <c r="BB171">
        <v>6.56</v>
      </c>
      <c r="BC171">
        <v>6.56</v>
      </c>
      <c r="BD171" t="s">
        <v>6</v>
      </c>
      <c r="BE171" t="s">
        <v>6</v>
      </c>
      <c r="BF171" t="s">
        <v>6</v>
      </c>
      <c r="BG171" t="s">
        <v>6</v>
      </c>
      <c r="BH171">
        <v>0</v>
      </c>
      <c r="BI171">
        <v>1</v>
      </c>
      <c r="BJ171" t="s">
        <v>506</v>
      </c>
      <c r="BM171">
        <v>11001</v>
      </c>
      <c r="BN171">
        <v>0</v>
      </c>
      <c r="BO171" t="s">
        <v>6</v>
      </c>
      <c r="BP171">
        <v>0</v>
      </c>
      <c r="BQ171">
        <v>2</v>
      </c>
      <c r="BR171">
        <v>0</v>
      </c>
      <c r="BS171">
        <v>6.56</v>
      </c>
      <c r="BT171">
        <v>1</v>
      </c>
      <c r="BU171">
        <v>1</v>
      </c>
      <c r="BV171">
        <v>1</v>
      </c>
      <c r="BW171">
        <v>1</v>
      </c>
      <c r="BX171">
        <v>1</v>
      </c>
      <c r="BY171" t="s">
        <v>6</v>
      </c>
      <c r="BZ171">
        <v>123</v>
      </c>
      <c r="CA171">
        <v>75</v>
      </c>
      <c r="CF171">
        <v>0</v>
      </c>
      <c r="CG171">
        <v>0</v>
      </c>
      <c r="CM171">
        <v>0</v>
      </c>
      <c r="CN171" t="s">
        <v>1609</v>
      </c>
      <c r="CO171">
        <v>0</v>
      </c>
      <c r="CP171">
        <f t="shared" si="173"/>
        <v>245.57</v>
      </c>
      <c r="CQ171">
        <f t="shared" si="174"/>
        <v>0</v>
      </c>
      <c r="CR171">
        <f t="shared" si="175"/>
        <v>45.132799999999996</v>
      </c>
      <c r="CS171">
        <f t="shared" si="176"/>
        <v>11.348799999999999</v>
      </c>
      <c r="CT171">
        <f t="shared" si="177"/>
        <v>1708.9455999999998</v>
      </c>
      <c r="CU171">
        <f t="shared" si="178"/>
        <v>0</v>
      </c>
      <c r="CV171">
        <f t="shared" si="179"/>
        <v>27.392999999999997</v>
      </c>
      <c r="CW171">
        <f t="shared" si="180"/>
        <v>0.13750000000000001</v>
      </c>
      <c r="CX171">
        <f t="shared" si="181"/>
        <v>0</v>
      </c>
      <c r="CY171">
        <f t="shared" si="182"/>
        <v>267.33240000000001</v>
      </c>
      <c r="CZ171">
        <f t="shared" si="183"/>
        <v>154.13759999999999</v>
      </c>
      <c r="DC171" t="s">
        <v>6</v>
      </c>
      <c r="DD171" t="s">
        <v>6</v>
      </c>
      <c r="DE171" t="s">
        <v>172</v>
      </c>
      <c r="DF171" t="s">
        <v>172</v>
      </c>
      <c r="DG171" t="s">
        <v>173</v>
      </c>
      <c r="DH171" t="s">
        <v>6</v>
      </c>
      <c r="DI171" t="s">
        <v>173</v>
      </c>
      <c r="DJ171" t="s">
        <v>172</v>
      </c>
      <c r="DK171" t="s">
        <v>6</v>
      </c>
      <c r="DL171" t="s">
        <v>6</v>
      </c>
      <c r="DM171" t="s">
        <v>6</v>
      </c>
      <c r="DN171">
        <v>0</v>
      </c>
      <c r="DO171">
        <v>0</v>
      </c>
      <c r="DP171">
        <v>1</v>
      </c>
      <c r="DQ171">
        <v>1</v>
      </c>
      <c r="DU171">
        <v>1003</v>
      </c>
      <c r="DV171" t="s">
        <v>34</v>
      </c>
      <c r="DW171" t="s">
        <v>34</v>
      </c>
      <c r="DX171">
        <v>100</v>
      </c>
      <c r="EE171">
        <v>16510488</v>
      </c>
      <c r="EF171">
        <v>2</v>
      </c>
      <c r="EG171" t="s">
        <v>22</v>
      </c>
      <c r="EH171">
        <v>0</v>
      </c>
      <c r="EI171" t="s">
        <v>6</v>
      </c>
      <c r="EJ171">
        <v>1</v>
      </c>
      <c r="EK171">
        <v>11001</v>
      </c>
      <c r="EL171" t="s">
        <v>62</v>
      </c>
      <c r="EM171" t="s">
        <v>433</v>
      </c>
      <c r="EO171" t="s">
        <v>176</v>
      </c>
      <c r="EQ171">
        <v>131072</v>
      </c>
      <c r="ER171">
        <v>232.03</v>
      </c>
      <c r="ES171">
        <v>0</v>
      </c>
      <c r="ET171">
        <v>5.5</v>
      </c>
      <c r="EU171">
        <v>1.38</v>
      </c>
      <c r="EV171">
        <v>226.53</v>
      </c>
      <c r="EW171">
        <v>23.82</v>
      </c>
      <c r="EX171">
        <v>0.11</v>
      </c>
      <c r="EY171">
        <v>0</v>
      </c>
      <c r="FQ171">
        <v>0</v>
      </c>
      <c r="FR171">
        <f t="shared" si="184"/>
        <v>0</v>
      </c>
      <c r="FS171">
        <v>0</v>
      </c>
      <c r="FT171" t="s">
        <v>25</v>
      </c>
      <c r="FU171" t="s">
        <v>26</v>
      </c>
      <c r="FX171">
        <v>110.7</v>
      </c>
      <c r="FY171">
        <v>63.75</v>
      </c>
      <c r="GA171" t="s">
        <v>6</v>
      </c>
      <c r="GD171">
        <v>0</v>
      </c>
      <c r="GF171">
        <v>1990727352</v>
      </c>
      <c r="GG171">
        <v>1</v>
      </c>
      <c r="GH171">
        <v>1</v>
      </c>
      <c r="GI171">
        <v>4</v>
      </c>
      <c r="GJ171">
        <v>0</v>
      </c>
      <c r="GK171">
        <f>ROUND(R171*(R12)/100,2)</f>
        <v>0</v>
      </c>
      <c r="GL171">
        <f t="shared" si="185"/>
        <v>0</v>
      </c>
      <c r="GM171">
        <f t="shared" si="186"/>
        <v>667.04</v>
      </c>
      <c r="GN171">
        <f t="shared" si="187"/>
        <v>667.04</v>
      </c>
      <c r="GO171">
        <f t="shared" si="188"/>
        <v>0</v>
      </c>
      <c r="GP171">
        <f t="shared" si="189"/>
        <v>0</v>
      </c>
      <c r="GR171">
        <v>0</v>
      </c>
      <c r="GS171">
        <v>3</v>
      </c>
      <c r="GT171">
        <v>0</v>
      </c>
      <c r="GU171" t="s">
        <v>6</v>
      </c>
      <c r="GV171">
        <f t="shared" si="190"/>
        <v>0</v>
      </c>
      <c r="GW171">
        <v>1</v>
      </c>
      <c r="GX171">
        <f t="shared" si="191"/>
        <v>0</v>
      </c>
      <c r="HA171">
        <v>0</v>
      </c>
      <c r="HB171">
        <v>0</v>
      </c>
      <c r="IK171">
        <v>0</v>
      </c>
    </row>
    <row r="172" spans="1:245" x14ac:dyDescent="0.2">
      <c r="A172">
        <v>18</v>
      </c>
      <c r="B172">
        <v>1</v>
      </c>
      <c r="C172">
        <v>309</v>
      </c>
      <c r="E172" t="s">
        <v>507</v>
      </c>
      <c r="F172" t="s">
        <v>508</v>
      </c>
      <c r="G172" t="s">
        <v>509</v>
      </c>
      <c r="H172" t="s">
        <v>206</v>
      </c>
      <c r="I172">
        <f>I171*J172</f>
        <v>14.14</v>
      </c>
      <c r="J172">
        <v>101</v>
      </c>
      <c r="O172">
        <f t="shared" si="158"/>
        <v>2201.16</v>
      </c>
      <c r="P172">
        <f t="shared" si="159"/>
        <v>2201.16</v>
      </c>
      <c r="Q172">
        <f t="shared" si="160"/>
        <v>0</v>
      </c>
      <c r="R172">
        <f t="shared" si="161"/>
        <v>0</v>
      </c>
      <c r="S172">
        <f t="shared" si="162"/>
        <v>0</v>
      </c>
      <c r="T172">
        <f t="shared" si="163"/>
        <v>0</v>
      </c>
      <c r="U172">
        <f t="shared" si="164"/>
        <v>0</v>
      </c>
      <c r="V172">
        <f t="shared" si="165"/>
        <v>0</v>
      </c>
      <c r="W172">
        <f t="shared" si="166"/>
        <v>0</v>
      </c>
      <c r="X172">
        <f t="shared" si="167"/>
        <v>0</v>
      </c>
      <c r="Y172">
        <f t="shared" si="168"/>
        <v>0</v>
      </c>
      <c r="AA172">
        <v>16748969</v>
      </c>
      <c r="AB172">
        <f t="shared" si="169"/>
        <v>23.73</v>
      </c>
      <c r="AC172">
        <f t="shared" si="192"/>
        <v>23.73</v>
      </c>
      <c r="AD172">
        <f>ROUND((((ET172)-(EU172))+AE172),2)</f>
        <v>0</v>
      </c>
      <c r="AE172">
        <f>ROUND((EU172),2)</f>
        <v>0</v>
      </c>
      <c r="AF172">
        <f>ROUND((EV172),2)</f>
        <v>0</v>
      </c>
      <c r="AG172">
        <f t="shared" si="171"/>
        <v>0</v>
      </c>
      <c r="AH172">
        <f>(EW172)</f>
        <v>0</v>
      </c>
      <c r="AI172">
        <f>(EX172)</f>
        <v>0</v>
      </c>
      <c r="AJ172">
        <f t="shared" si="172"/>
        <v>0</v>
      </c>
      <c r="AK172">
        <v>23.73</v>
      </c>
      <c r="AL172">
        <v>23.73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  <c r="AS172">
        <v>0</v>
      </c>
      <c r="AT172">
        <v>111</v>
      </c>
      <c r="AU172">
        <v>64</v>
      </c>
      <c r="AV172">
        <v>1</v>
      </c>
      <c r="AW172">
        <v>1</v>
      </c>
      <c r="AZ172">
        <v>6.56</v>
      </c>
      <c r="BA172">
        <v>1</v>
      </c>
      <c r="BB172">
        <v>1</v>
      </c>
      <c r="BC172">
        <v>6.56</v>
      </c>
      <c r="BD172" t="s">
        <v>6</v>
      </c>
      <c r="BE172" t="s">
        <v>6</v>
      </c>
      <c r="BF172" t="s">
        <v>6</v>
      </c>
      <c r="BG172" t="s">
        <v>6</v>
      </c>
      <c r="BH172">
        <v>3</v>
      </c>
      <c r="BI172">
        <v>1</v>
      </c>
      <c r="BJ172" t="s">
        <v>510</v>
      </c>
      <c r="BM172">
        <v>11001</v>
      </c>
      <c r="BN172">
        <v>0</v>
      </c>
      <c r="BO172" t="s">
        <v>6</v>
      </c>
      <c r="BP172">
        <v>0</v>
      </c>
      <c r="BQ172">
        <v>2</v>
      </c>
      <c r="BR172">
        <v>0</v>
      </c>
      <c r="BS172">
        <v>1</v>
      </c>
      <c r="BT172">
        <v>1</v>
      </c>
      <c r="BU172">
        <v>1</v>
      </c>
      <c r="BV172">
        <v>1</v>
      </c>
      <c r="BW172">
        <v>1</v>
      </c>
      <c r="BX172">
        <v>1</v>
      </c>
      <c r="BY172" t="s">
        <v>6</v>
      </c>
      <c r="BZ172">
        <v>123</v>
      </c>
      <c r="CA172">
        <v>75</v>
      </c>
      <c r="CF172">
        <v>0</v>
      </c>
      <c r="CG172">
        <v>0</v>
      </c>
      <c r="CM172">
        <v>0</v>
      </c>
      <c r="CN172" t="s">
        <v>6</v>
      </c>
      <c r="CO172">
        <v>0</v>
      </c>
      <c r="CP172">
        <f t="shared" si="173"/>
        <v>2201.16</v>
      </c>
      <c r="CQ172">
        <f t="shared" si="174"/>
        <v>155.6688</v>
      </c>
      <c r="CR172">
        <f t="shared" si="175"/>
        <v>0</v>
      </c>
      <c r="CS172">
        <f t="shared" si="176"/>
        <v>0</v>
      </c>
      <c r="CT172">
        <f t="shared" si="177"/>
        <v>0</v>
      </c>
      <c r="CU172">
        <f t="shared" si="178"/>
        <v>0</v>
      </c>
      <c r="CV172">
        <f t="shared" si="179"/>
        <v>0</v>
      </c>
      <c r="CW172">
        <f t="shared" si="180"/>
        <v>0</v>
      </c>
      <c r="CX172">
        <f t="shared" si="181"/>
        <v>0</v>
      </c>
      <c r="CY172">
        <f t="shared" si="182"/>
        <v>0</v>
      </c>
      <c r="CZ172">
        <f t="shared" si="183"/>
        <v>0</v>
      </c>
      <c r="DC172" t="s">
        <v>6</v>
      </c>
      <c r="DD172" t="s">
        <v>6</v>
      </c>
      <c r="DE172" t="s">
        <v>6</v>
      </c>
      <c r="DF172" t="s">
        <v>6</v>
      </c>
      <c r="DG172" t="s">
        <v>6</v>
      </c>
      <c r="DH172" t="s">
        <v>6</v>
      </c>
      <c r="DI172" t="s">
        <v>6</v>
      </c>
      <c r="DJ172" t="s">
        <v>6</v>
      </c>
      <c r="DK172" t="s">
        <v>6</v>
      </c>
      <c r="DL172" t="s">
        <v>6</v>
      </c>
      <c r="DM172" t="s">
        <v>6</v>
      </c>
      <c r="DN172">
        <v>0</v>
      </c>
      <c r="DO172">
        <v>0</v>
      </c>
      <c r="DP172">
        <v>1</v>
      </c>
      <c r="DQ172">
        <v>1</v>
      </c>
      <c r="DU172">
        <v>1003</v>
      </c>
      <c r="DV172" t="s">
        <v>206</v>
      </c>
      <c r="DW172" t="s">
        <v>206</v>
      </c>
      <c r="DX172">
        <v>1</v>
      </c>
      <c r="EE172">
        <v>16510488</v>
      </c>
      <c r="EF172">
        <v>2</v>
      </c>
      <c r="EG172" t="s">
        <v>22</v>
      </c>
      <c r="EH172">
        <v>0</v>
      </c>
      <c r="EI172" t="s">
        <v>6</v>
      </c>
      <c r="EJ172">
        <v>1</v>
      </c>
      <c r="EK172">
        <v>11001</v>
      </c>
      <c r="EL172" t="s">
        <v>62</v>
      </c>
      <c r="EM172" t="s">
        <v>433</v>
      </c>
      <c r="EO172" t="s">
        <v>6</v>
      </c>
      <c r="EQ172">
        <v>0</v>
      </c>
      <c r="ER172">
        <v>23.73</v>
      </c>
      <c r="ES172">
        <v>23.73</v>
      </c>
      <c r="ET172">
        <v>0</v>
      </c>
      <c r="EU172">
        <v>0</v>
      </c>
      <c r="EV172">
        <v>0</v>
      </c>
      <c r="EW172">
        <v>0</v>
      </c>
      <c r="EX172">
        <v>0</v>
      </c>
      <c r="FQ172">
        <v>0</v>
      </c>
      <c r="FR172">
        <f t="shared" si="184"/>
        <v>0</v>
      </c>
      <c r="FS172">
        <v>0</v>
      </c>
      <c r="FT172" t="s">
        <v>25</v>
      </c>
      <c r="FU172" t="s">
        <v>26</v>
      </c>
      <c r="FX172">
        <v>110.7</v>
      </c>
      <c r="FY172">
        <v>63.75</v>
      </c>
      <c r="GA172" t="s">
        <v>6</v>
      </c>
      <c r="GD172">
        <v>0</v>
      </c>
      <c r="GF172">
        <v>831643793</v>
      </c>
      <c r="GG172">
        <v>1</v>
      </c>
      <c r="GH172">
        <v>1</v>
      </c>
      <c r="GI172">
        <v>4</v>
      </c>
      <c r="GJ172">
        <v>0</v>
      </c>
      <c r="GK172">
        <f>ROUND(R172*(R12)/100,2)</f>
        <v>0</v>
      </c>
      <c r="GL172">
        <f t="shared" si="185"/>
        <v>0</v>
      </c>
      <c r="GM172">
        <f t="shared" si="186"/>
        <v>2201.16</v>
      </c>
      <c r="GN172">
        <f t="shared" si="187"/>
        <v>2201.16</v>
      </c>
      <c r="GO172">
        <f t="shared" si="188"/>
        <v>0</v>
      </c>
      <c r="GP172">
        <f t="shared" si="189"/>
        <v>0</v>
      </c>
      <c r="GR172">
        <v>0</v>
      </c>
      <c r="GS172">
        <v>3</v>
      </c>
      <c r="GT172">
        <v>0</v>
      </c>
      <c r="GU172" t="s">
        <v>6</v>
      </c>
      <c r="GV172">
        <f t="shared" si="190"/>
        <v>0</v>
      </c>
      <c r="GW172">
        <v>1</v>
      </c>
      <c r="GX172">
        <f t="shared" si="191"/>
        <v>0</v>
      </c>
      <c r="HA172">
        <v>0</v>
      </c>
      <c r="HB172">
        <v>0</v>
      </c>
      <c r="IK172">
        <v>0</v>
      </c>
    </row>
    <row r="173" spans="1:245" x14ac:dyDescent="0.2">
      <c r="A173">
        <v>18</v>
      </c>
      <c r="B173">
        <v>1</v>
      </c>
      <c r="C173">
        <v>308</v>
      </c>
      <c r="E173" t="s">
        <v>511</v>
      </c>
      <c r="F173" t="s">
        <v>512</v>
      </c>
      <c r="G173" t="s">
        <v>513</v>
      </c>
      <c r="H173" t="s">
        <v>206</v>
      </c>
      <c r="I173">
        <f>I171*J173</f>
        <v>14.14</v>
      </c>
      <c r="J173">
        <v>101</v>
      </c>
      <c r="O173">
        <f t="shared" si="158"/>
        <v>0</v>
      </c>
      <c r="P173">
        <f t="shared" si="159"/>
        <v>0</v>
      </c>
      <c r="Q173">
        <f t="shared" si="160"/>
        <v>0</v>
      </c>
      <c r="R173">
        <f t="shared" si="161"/>
        <v>0</v>
      </c>
      <c r="S173">
        <f t="shared" si="162"/>
        <v>0</v>
      </c>
      <c r="T173">
        <f t="shared" si="163"/>
        <v>0</v>
      </c>
      <c r="U173">
        <f t="shared" si="164"/>
        <v>0</v>
      </c>
      <c r="V173">
        <f t="shared" si="165"/>
        <v>0</v>
      </c>
      <c r="W173">
        <f t="shared" si="166"/>
        <v>0</v>
      </c>
      <c r="X173">
        <f t="shared" si="167"/>
        <v>0</v>
      </c>
      <c r="Y173">
        <f t="shared" si="168"/>
        <v>0</v>
      </c>
      <c r="AA173">
        <v>16748969</v>
      </c>
      <c r="AB173">
        <f t="shared" si="169"/>
        <v>0</v>
      </c>
      <c r="AC173">
        <f t="shared" si="192"/>
        <v>0</v>
      </c>
      <c r="AD173">
        <f>ROUND((((ET173)-(EU173))+AE173),2)</f>
        <v>0</v>
      </c>
      <c r="AE173">
        <f>ROUND((EU173),2)</f>
        <v>0</v>
      </c>
      <c r="AF173">
        <f>ROUND((EV173),2)</f>
        <v>0</v>
      </c>
      <c r="AG173">
        <f t="shared" si="171"/>
        <v>0</v>
      </c>
      <c r="AH173">
        <f>(EW173)</f>
        <v>0</v>
      </c>
      <c r="AI173">
        <f>(EX173)</f>
        <v>0</v>
      </c>
      <c r="AJ173">
        <f t="shared" si="172"/>
        <v>0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111</v>
      </c>
      <c r="AU173">
        <v>64</v>
      </c>
      <c r="AV173">
        <v>1</v>
      </c>
      <c r="AW173">
        <v>1</v>
      </c>
      <c r="AZ173">
        <v>6.56</v>
      </c>
      <c r="BA173">
        <v>1</v>
      </c>
      <c r="BB173">
        <v>1</v>
      </c>
      <c r="BC173">
        <v>6.56</v>
      </c>
      <c r="BD173" t="s">
        <v>6</v>
      </c>
      <c r="BE173" t="s">
        <v>6</v>
      </c>
      <c r="BF173" t="s">
        <v>6</v>
      </c>
      <c r="BG173" t="s">
        <v>6</v>
      </c>
      <c r="BH173">
        <v>3</v>
      </c>
      <c r="BI173">
        <v>1</v>
      </c>
      <c r="BJ173" t="s">
        <v>6</v>
      </c>
      <c r="BM173">
        <v>11001</v>
      </c>
      <c r="BN173">
        <v>0</v>
      </c>
      <c r="BO173" t="s">
        <v>6</v>
      </c>
      <c r="BP173">
        <v>0</v>
      </c>
      <c r="BQ173">
        <v>2</v>
      </c>
      <c r="BR173">
        <v>0</v>
      </c>
      <c r="BS173">
        <v>1</v>
      </c>
      <c r="BT173">
        <v>1</v>
      </c>
      <c r="BU173">
        <v>1</v>
      </c>
      <c r="BV173">
        <v>1</v>
      </c>
      <c r="BW173">
        <v>1</v>
      </c>
      <c r="BX173">
        <v>1</v>
      </c>
      <c r="BY173" t="s">
        <v>6</v>
      </c>
      <c r="BZ173">
        <v>123</v>
      </c>
      <c r="CA173">
        <v>75</v>
      </c>
      <c r="CF173">
        <v>0</v>
      </c>
      <c r="CG173">
        <v>0</v>
      </c>
      <c r="CM173">
        <v>0</v>
      </c>
      <c r="CN173" t="s">
        <v>6</v>
      </c>
      <c r="CO173">
        <v>0</v>
      </c>
      <c r="CP173">
        <f t="shared" si="173"/>
        <v>0</v>
      </c>
      <c r="CQ173">
        <f t="shared" si="174"/>
        <v>0</v>
      </c>
      <c r="CR173">
        <f t="shared" si="175"/>
        <v>0</v>
      </c>
      <c r="CS173">
        <f t="shared" si="176"/>
        <v>0</v>
      </c>
      <c r="CT173">
        <f t="shared" si="177"/>
        <v>0</v>
      </c>
      <c r="CU173">
        <f t="shared" si="178"/>
        <v>0</v>
      </c>
      <c r="CV173">
        <f t="shared" si="179"/>
        <v>0</v>
      </c>
      <c r="CW173">
        <f t="shared" si="180"/>
        <v>0</v>
      </c>
      <c r="CX173">
        <f t="shared" si="181"/>
        <v>0</v>
      </c>
      <c r="CY173">
        <f t="shared" si="182"/>
        <v>0</v>
      </c>
      <c r="CZ173">
        <f t="shared" si="183"/>
        <v>0</v>
      </c>
      <c r="DC173" t="s">
        <v>6</v>
      </c>
      <c r="DD173" t="s">
        <v>6</v>
      </c>
      <c r="DE173" t="s">
        <v>6</v>
      </c>
      <c r="DF173" t="s">
        <v>6</v>
      </c>
      <c r="DG173" t="s">
        <v>6</v>
      </c>
      <c r="DH173" t="s">
        <v>6</v>
      </c>
      <c r="DI173" t="s">
        <v>6</v>
      </c>
      <c r="DJ173" t="s">
        <v>6</v>
      </c>
      <c r="DK173" t="s">
        <v>6</v>
      </c>
      <c r="DL173" t="s">
        <v>6</v>
      </c>
      <c r="DM173" t="s">
        <v>6</v>
      </c>
      <c r="DN173">
        <v>0</v>
      </c>
      <c r="DO173">
        <v>0</v>
      </c>
      <c r="DP173">
        <v>1</v>
      </c>
      <c r="DQ173">
        <v>1</v>
      </c>
      <c r="DU173">
        <v>1003</v>
      </c>
      <c r="DV173" t="s">
        <v>206</v>
      </c>
      <c r="DW173" t="s">
        <v>206</v>
      </c>
      <c r="DX173">
        <v>1</v>
      </c>
      <c r="EE173">
        <v>16510488</v>
      </c>
      <c r="EF173">
        <v>2</v>
      </c>
      <c r="EG173" t="s">
        <v>22</v>
      </c>
      <c r="EH173">
        <v>0</v>
      </c>
      <c r="EI173" t="s">
        <v>6</v>
      </c>
      <c r="EJ173">
        <v>1</v>
      </c>
      <c r="EK173">
        <v>11001</v>
      </c>
      <c r="EL173" t="s">
        <v>62</v>
      </c>
      <c r="EM173" t="s">
        <v>433</v>
      </c>
      <c r="EO173" t="s">
        <v>6</v>
      </c>
      <c r="EQ173">
        <v>0</v>
      </c>
      <c r="ER173">
        <v>0</v>
      </c>
      <c r="ES173">
        <v>0</v>
      </c>
      <c r="ET173">
        <v>0</v>
      </c>
      <c r="EU173">
        <v>0</v>
      </c>
      <c r="EV173">
        <v>0</v>
      </c>
      <c r="EW173">
        <v>0</v>
      </c>
      <c r="EX173">
        <v>0</v>
      </c>
      <c r="FQ173">
        <v>0</v>
      </c>
      <c r="FR173">
        <f t="shared" si="184"/>
        <v>0</v>
      </c>
      <c r="FS173">
        <v>0</v>
      </c>
      <c r="FT173" t="s">
        <v>25</v>
      </c>
      <c r="FU173" t="s">
        <v>26</v>
      </c>
      <c r="FX173">
        <v>110.7</v>
      </c>
      <c r="FY173">
        <v>63.75</v>
      </c>
      <c r="GA173" t="s">
        <v>6</v>
      </c>
      <c r="GD173">
        <v>0</v>
      </c>
      <c r="GF173">
        <v>1949164399</v>
      </c>
      <c r="GG173">
        <v>1</v>
      </c>
      <c r="GH173">
        <v>1</v>
      </c>
      <c r="GI173">
        <v>4</v>
      </c>
      <c r="GJ173">
        <v>0</v>
      </c>
      <c r="GK173">
        <f>ROUND(R173*(R12)/100,2)</f>
        <v>0</v>
      </c>
      <c r="GL173">
        <f t="shared" si="185"/>
        <v>0</v>
      </c>
      <c r="GM173">
        <f t="shared" si="186"/>
        <v>0</v>
      </c>
      <c r="GN173">
        <f t="shared" si="187"/>
        <v>0</v>
      </c>
      <c r="GO173">
        <f t="shared" si="188"/>
        <v>0</v>
      </c>
      <c r="GP173">
        <f t="shared" si="189"/>
        <v>0</v>
      </c>
      <c r="GR173">
        <v>0</v>
      </c>
      <c r="GS173">
        <v>3</v>
      </c>
      <c r="GT173">
        <v>0</v>
      </c>
      <c r="GU173" t="s">
        <v>6</v>
      </c>
      <c r="GV173">
        <f t="shared" si="190"/>
        <v>0</v>
      </c>
      <c r="GW173">
        <v>1</v>
      </c>
      <c r="GX173">
        <f t="shared" si="191"/>
        <v>0</v>
      </c>
      <c r="HA173">
        <v>0</v>
      </c>
      <c r="HB173">
        <v>0</v>
      </c>
      <c r="IK173">
        <v>0</v>
      </c>
    </row>
    <row r="174" spans="1:245" x14ac:dyDescent="0.2">
      <c r="A174">
        <v>17</v>
      </c>
      <c r="B174">
        <v>1</v>
      </c>
      <c r="C174">
        <f>ROW(SmtRes!A314)</f>
        <v>314</v>
      </c>
      <c r="D174">
        <f>ROW(EtalonRes!A297)</f>
        <v>297</v>
      </c>
      <c r="E174" t="s">
        <v>514</v>
      </c>
      <c r="F174" t="s">
        <v>515</v>
      </c>
      <c r="G174" t="s">
        <v>516</v>
      </c>
      <c r="H174" t="s">
        <v>34</v>
      </c>
      <c r="I174">
        <f>ROUND(4.1/100,9)</f>
        <v>4.1000000000000002E-2</v>
      </c>
      <c r="J174">
        <v>0</v>
      </c>
      <c r="O174">
        <f t="shared" si="158"/>
        <v>66.599999999999994</v>
      </c>
      <c r="P174">
        <f t="shared" si="159"/>
        <v>21.62</v>
      </c>
      <c r="Q174">
        <f t="shared" si="160"/>
        <v>0</v>
      </c>
      <c r="R174">
        <f t="shared" si="161"/>
        <v>0</v>
      </c>
      <c r="S174">
        <f t="shared" si="162"/>
        <v>44.98</v>
      </c>
      <c r="T174">
        <f t="shared" si="163"/>
        <v>0</v>
      </c>
      <c r="U174">
        <f t="shared" si="164"/>
        <v>0.78457600000000005</v>
      </c>
      <c r="V174">
        <f t="shared" si="165"/>
        <v>0</v>
      </c>
      <c r="W174">
        <f t="shared" si="166"/>
        <v>0</v>
      </c>
      <c r="X174">
        <f t="shared" si="167"/>
        <v>49.93</v>
      </c>
      <c r="Y174">
        <f t="shared" si="168"/>
        <v>28.79</v>
      </c>
      <c r="AA174">
        <v>16748969</v>
      </c>
      <c r="AB174">
        <f t="shared" si="169"/>
        <v>247.64</v>
      </c>
      <c r="AC174">
        <f t="shared" si="192"/>
        <v>80.400000000000006</v>
      </c>
      <c r="AD174">
        <f>ROUND(((((ET174*1.25))-((EU174*1.25)))+AE174),2)</f>
        <v>0</v>
      </c>
      <c r="AE174">
        <f>ROUND(((EU174*1.25)),2)</f>
        <v>0</v>
      </c>
      <c r="AF174">
        <f>ROUND(((EV174*1.15)),2)</f>
        <v>167.24</v>
      </c>
      <c r="AG174">
        <f t="shared" si="171"/>
        <v>0</v>
      </c>
      <c r="AH174">
        <f>((EW174*1.15))</f>
        <v>19.135999999999999</v>
      </c>
      <c r="AI174">
        <f>((EX174*1.25))</f>
        <v>0</v>
      </c>
      <c r="AJ174">
        <f t="shared" si="172"/>
        <v>0</v>
      </c>
      <c r="AK174">
        <v>225.83</v>
      </c>
      <c r="AL174">
        <v>80.400000000000006</v>
      </c>
      <c r="AM174">
        <v>0</v>
      </c>
      <c r="AN174">
        <v>0</v>
      </c>
      <c r="AO174">
        <v>145.43</v>
      </c>
      <c r="AP174">
        <v>0</v>
      </c>
      <c r="AQ174">
        <v>16.64</v>
      </c>
      <c r="AR174">
        <v>0</v>
      </c>
      <c r="AS174">
        <v>0</v>
      </c>
      <c r="AT174">
        <v>111</v>
      </c>
      <c r="AU174">
        <v>64</v>
      </c>
      <c r="AV174">
        <v>1</v>
      </c>
      <c r="AW174">
        <v>1</v>
      </c>
      <c r="AZ174">
        <v>6.56</v>
      </c>
      <c r="BA174">
        <v>6.56</v>
      </c>
      <c r="BB174">
        <v>6.56</v>
      </c>
      <c r="BC174">
        <v>6.56</v>
      </c>
      <c r="BD174" t="s">
        <v>6</v>
      </c>
      <c r="BE174" t="s">
        <v>6</v>
      </c>
      <c r="BF174" t="s">
        <v>6</v>
      </c>
      <c r="BG174" t="s">
        <v>6</v>
      </c>
      <c r="BH174">
        <v>0</v>
      </c>
      <c r="BI174">
        <v>1</v>
      </c>
      <c r="BJ174" t="s">
        <v>517</v>
      </c>
      <c r="BM174">
        <v>11001</v>
      </c>
      <c r="BN174">
        <v>0</v>
      </c>
      <c r="BO174" t="s">
        <v>6</v>
      </c>
      <c r="BP174">
        <v>0</v>
      </c>
      <c r="BQ174">
        <v>2</v>
      </c>
      <c r="BR174">
        <v>0</v>
      </c>
      <c r="BS174">
        <v>6.56</v>
      </c>
      <c r="BT174">
        <v>1</v>
      </c>
      <c r="BU174">
        <v>1</v>
      </c>
      <c r="BV174">
        <v>1</v>
      </c>
      <c r="BW174">
        <v>1</v>
      </c>
      <c r="BX174">
        <v>1</v>
      </c>
      <c r="BY174" t="s">
        <v>6</v>
      </c>
      <c r="BZ174">
        <v>123</v>
      </c>
      <c r="CA174">
        <v>75</v>
      </c>
      <c r="CF174">
        <v>0</v>
      </c>
      <c r="CG174">
        <v>0</v>
      </c>
      <c r="CM174">
        <v>0</v>
      </c>
      <c r="CN174" t="s">
        <v>1609</v>
      </c>
      <c r="CO174">
        <v>0</v>
      </c>
      <c r="CP174">
        <f t="shared" si="173"/>
        <v>66.599999999999994</v>
      </c>
      <c r="CQ174">
        <f t="shared" si="174"/>
        <v>527.42399999999998</v>
      </c>
      <c r="CR174">
        <f t="shared" si="175"/>
        <v>0</v>
      </c>
      <c r="CS174">
        <f t="shared" si="176"/>
        <v>0</v>
      </c>
      <c r="CT174">
        <f t="shared" si="177"/>
        <v>1097.0944</v>
      </c>
      <c r="CU174">
        <f t="shared" si="178"/>
        <v>0</v>
      </c>
      <c r="CV174">
        <f t="shared" si="179"/>
        <v>19.135999999999999</v>
      </c>
      <c r="CW174">
        <f t="shared" si="180"/>
        <v>0</v>
      </c>
      <c r="CX174">
        <f t="shared" si="181"/>
        <v>0</v>
      </c>
      <c r="CY174">
        <f t="shared" si="182"/>
        <v>49.927799999999998</v>
      </c>
      <c r="CZ174">
        <f t="shared" si="183"/>
        <v>28.787199999999999</v>
      </c>
      <c r="DC174" t="s">
        <v>6</v>
      </c>
      <c r="DD174" t="s">
        <v>6</v>
      </c>
      <c r="DE174" t="s">
        <v>172</v>
      </c>
      <c r="DF174" t="s">
        <v>172</v>
      </c>
      <c r="DG174" t="s">
        <v>173</v>
      </c>
      <c r="DH174" t="s">
        <v>6</v>
      </c>
      <c r="DI174" t="s">
        <v>173</v>
      </c>
      <c r="DJ174" t="s">
        <v>172</v>
      </c>
      <c r="DK174" t="s">
        <v>6</v>
      </c>
      <c r="DL174" t="s">
        <v>6</v>
      </c>
      <c r="DM174" t="s">
        <v>6</v>
      </c>
      <c r="DN174">
        <v>0</v>
      </c>
      <c r="DO174">
        <v>0</v>
      </c>
      <c r="DP174">
        <v>1</v>
      </c>
      <c r="DQ174">
        <v>1</v>
      </c>
      <c r="DU174">
        <v>1003</v>
      </c>
      <c r="DV174" t="s">
        <v>34</v>
      </c>
      <c r="DW174" t="s">
        <v>34</v>
      </c>
      <c r="DX174">
        <v>100</v>
      </c>
      <c r="EE174">
        <v>16510488</v>
      </c>
      <c r="EF174">
        <v>2</v>
      </c>
      <c r="EG174" t="s">
        <v>22</v>
      </c>
      <c r="EH174">
        <v>0</v>
      </c>
      <c r="EI174" t="s">
        <v>6</v>
      </c>
      <c r="EJ174">
        <v>1</v>
      </c>
      <c r="EK174">
        <v>11001</v>
      </c>
      <c r="EL174" t="s">
        <v>62</v>
      </c>
      <c r="EM174" t="s">
        <v>433</v>
      </c>
      <c r="EO174" t="s">
        <v>176</v>
      </c>
      <c r="EQ174">
        <v>131072</v>
      </c>
      <c r="ER174">
        <v>225.83</v>
      </c>
      <c r="ES174">
        <v>80.400000000000006</v>
      </c>
      <c r="ET174">
        <v>0</v>
      </c>
      <c r="EU174">
        <v>0</v>
      </c>
      <c r="EV174">
        <v>145.43</v>
      </c>
      <c r="EW174">
        <v>16.64</v>
      </c>
      <c r="EX174">
        <v>0</v>
      </c>
      <c r="EY174">
        <v>0</v>
      </c>
      <c r="FQ174">
        <v>0</v>
      </c>
      <c r="FR174">
        <f t="shared" si="184"/>
        <v>0</v>
      </c>
      <c r="FS174">
        <v>0</v>
      </c>
      <c r="FT174" t="s">
        <v>25</v>
      </c>
      <c r="FU174" t="s">
        <v>26</v>
      </c>
      <c r="FX174">
        <v>110.7</v>
      </c>
      <c r="FY174">
        <v>63.75</v>
      </c>
      <c r="GA174" t="s">
        <v>6</v>
      </c>
      <c r="GD174">
        <v>0</v>
      </c>
      <c r="GF174">
        <v>30217037</v>
      </c>
      <c r="GG174">
        <v>1</v>
      </c>
      <c r="GH174">
        <v>1</v>
      </c>
      <c r="GI174">
        <v>4</v>
      </c>
      <c r="GJ174">
        <v>0</v>
      </c>
      <c r="GK174">
        <f>ROUND(R174*(R12)/100,2)</f>
        <v>0</v>
      </c>
      <c r="GL174">
        <f t="shared" si="185"/>
        <v>0</v>
      </c>
      <c r="GM174">
        <f t="shared" si="186"/>
        <v>145.32</v>
      </c>
      <c r="GN174">
        <f t="shared" si="187"/>
        <v>145.32</v>
      </c>
      <c r="GO174">
        <f t="shared" si="188"/>
        <v>0</v>
      </c>
      <c r="GP174">
        <f t="shared" si="189"/>
        <v>0</v>
      </c>
      <c r="GR174">
        <v>0</v>
      </c>
      <c r="GS174">
        <v>3</v>
      </c>
      <c r="GT174">
        <v>0</v>
      </c>
      <c r="GU174" t="s">
        <v>6</v>
      </c>
      <c r="GV174">
        <f t="shared" si="190"/>
        <v>0</v>
      </c>
      <c r="GW174">
        <v>1</v>
      </c>
      <c r="GX174">
        <f t="shared" si="191"/>
        <v>0</v>
      </c>
      <c r="HA174">
        <v>0</v>
      </c>
      <c r="HB174">
        <v>0</v>
      </c>
      <c r="IK174">
        <v>0</v>
      </c>
    </row>
    <row r="175" spans="1:245" x14ac:dyDescent="0.2">
      <c r="A175">
        <v>18</v>
      </c>
      <c r="B175">
        <v>1</v>
      </c>
      <c r="C175">
        <v>313</v>
      </c>
      <c r="E175" t="s">
        <v>518</v>
      </c>
      <c r="F175" t="s">
        <v>519</v>
      </c>
      <c r="G175" t="s">
        <v>520</v>
      </c>
      <c r="H175" t="s">
        <v>53</v>
      </c>
      <c r="I175">
        <f>I174*J175</f>
        <v>4</v>
      </c>
      <c r="J175">
        <v>97.560975609756099</v>
      </c>
      <c r="O175">
        <f t="shared" si="158"/>
        <v>395.44</v>
      </c>
      <c r="P175">
        <f t="shared" si="159"/>
        <v>395.44</v>
      </c>
      <c r="Q175">
        <f t="shared" si="160"/>
        <v>0</v>
      </c>
      <c r="R175">
        <f t="shared" si="161"/>
        <v>0</v>
      </c>
      <c r="S175">
        <f t="shared" si="162"/>
        <v>0</v>
      </c>
      <c r="T175">
        <f t="shared" si="163"/>
        <v>0</v>
      </c>
      <c r="U175">
        <f t="shared" si="164"/>
        <v>0</v>
      </c>
      <c r="V175">
        <f t="shared" si="165"/>
        <v>0</v>
      </c>
      <c r="W175">
        <f t="shared" si="166"/>
        <v>0</v>
      </c>
      <c r="X175">
        <f t="shared" si="167"/>
        <v>0</v>
      </c>
      <c r="Y175">
        <f t="shared" si="168"/>
        <v>0</v>
      </c>
      <c r="AA175">
        <v>16748969</v>
      </c>
      <c r="AB175">
        <f t="shared" si="169"/>
        <v>15.07</v>
      </c>
      <c r="AC175">
        <f t="shared" si="192"/>
        <v>15.07</v>
      </c>
      <c r="AD175">
        <f>ROUND((((ET175)-(EU175))+AE175),2)</f>
        <v>0</v>
      </c>
      <c r="AE175">
        <f t="shared" ref="AE175:AF177" si="193">ROUND((EU175),2)</f>
        <v>0</v>
      </c>
      <c r="AF175">
        <f t="shared" si="193"/>
        <v>0</v>
      </c>
      <c r="AG175">
        <f t="shared" si="171"/>
        <v>0</v>
      </c>
      <c r="AH175">
        <f t="shared" ref="AH175:AI177" si="194">(EW175)</f>
        <v>0</v>
      </c>
      <c r="AI175">
        <f t="shared" si="194"/>
        <v>0</v>
      </c>
      <c r="AJ175">
        <f t="shared" si="172"/>
        <v>0</v>
      </c>
      <c r="AK175">
        <v>15.07</v>
      </c>
      <c r="AL175">
        <v>15.07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  <c r="AS175">
        <v>0</v>
      </c>
      <c r="AT175">
        <v>111</v>
      </c>
      <c r="AU175">
        <v>64</v>
      </c>
      <c r="AV175">
        <v>1</v>
      </c>
      <c r="AW175">
        <v>1</v>
      </c>
      <c r="AZ175">
        <v>6.56</v>
      </c>
      <c r="BA175">
        <v>1</v>
      </c>
      <c r="BB175">
        <v>1</v>
      </c>
      <c r="BC175">
        <v>6.56</v>
      </c>
      <c r="BD175" t="s">
        <v>6</v>
      </c>
      <c r="BE175" t="s">
        <v>6</v>
      </c>
      <c r="BF175" t="s">
        <v>6</v>
      </c>
      <c r="BG175" t="s">
        <v>6</v>
      </c>
      <c r="BH175">
        <v>3</v>
      </c>
      <c r="BI175">
        <v>1</v>
      </c>
      <c r="BJ175" t="s">
        <v>521</v>
      </c>
      <c r="BM175">
        <v>11001</v>
      </c>
      <c r="BN175">
        <v>0</v>
      </c>
      <c r="BO175" t="s">
        <v>6</v>
      </c>
      <c r="BP175">
        <v>0</v>
      </c>
      <c r="BQ175">
        <v>2</v>
      </c>
      <c r="BR175">
        <v>0</v>
      </c>
      <c r="BS175">
        <v>1</v>
      </c>
      <c r="BT175">
        <v>1</v>
      </c>
      <c r="BU175">
        <v>1</v>
      </c>
      <c r="BV175">
        <v>1</v>
      </c>
      <c r="BW175">
        <v>1</v>
      </c>
      <c r="BX175">
        <v>1</v>
      </c>
      <c r="BY175" t="s">
        <v>6</v>
      </c>
      <c r="BZ175">
        <v>123</v>
      </c>
      <c r="CA175">
        <v>75</v>
      </c>
      <c r="CF175">
        <v>0</v>
      </c>
      <c r="CG175">
        <v>0</v>
      </c>
      <c r="CM175">
        <v>0</v>
      </c>
      <c r="CN175" t="s">
        <v>6</v>
      </c>
      <c r="CO175">
        <v>0</v>
      </c>
      <c r="CP175">
        <f t="shared" si="173"/>
        <v>395.44</v>
      </c>
      <c r="CQ175">
        <f t="shared" si="174"/>
        <v>98.859200000000001</v>
      </c>
      <c r="CR175">
        <f t="shared" si="175"/>
        <v>0</v>
      </c>
      <c r="CS175">
        <f t="shared" si="176"/>
        <v>0</v>
      </c>
      <c r="CT175">
        <f t="shared" si="177"/>
        <v>0</v>
      </c>
      <c r="CU175">
        <f t="shared" si="178"/>
        <v>0</v>
      </c>
      <c r="CV175">
        <f t="shared" si="179"/>
        <v>0</v>
      </c>
      <c r="CW175">
        <f t="shared" si="180"/>
        <v>0</v>
      </c>
      <c r="CX175">
        <f t="shared" si="181"/>
        <v>0</v>
      </c>
      <c r="CY175">
        <f t="shared" si="182"/>
        <v>0</v>
      </c>
      <c r="CZ175">
        <f t="shared" si="183"/>
        <v>0</v>
      </c>
      <c r="DC175" t="s">
        <v>6</v>
      </c>
      <c r="DD175" t="s">
        <v>6</v>
      </c>
      <c r="DE175" t="s">
        <v>6</v>
      </c>
      <c r="DF175" t="s">
        <v>6</v>
      </c>
      <c r="DG175" t="s">
        <v>6</v>
      </c>
      <c r="DH175" t="s">
        <v>6</v>
      </c>
      <c r="DI175" t="s">
        <v>6</v>
      </c>
      <c r="DJ175" t="s">
        <v>6</v>
      </c>
      <c r="DK175" t="s">
        <v>6</v>
      </c>
      <c r="DL175" t="s">
        <v>6</v>
      </c>
      <c r="DM175" t="s">
        <v>6</v>
      </c>
      <c r="DN175">
        <v>0</v>
      </c>
      <c r="DO175">
        <v>0</v>
      </c>
      <c r="DP175">
        <v>1</v>
      </c>
      <c r="DQ175">
        <v>1</v>
      </c>
      <c r="DU175">
        <v>1010</v>
      </c>
      <c r="DV175" t="s">
        <v>53</v>
      </c>
      <c r="DW175" t="s">
        <v>53</v>
      </c>
      <c r="DX175">
        <v>1</v>
      </c>
      <c r="EE175">
        <v>16510488</v>
      </c>
      <c r="EF175">
        <v>2</v>
      </c>
      <c r="EG175" t="s">
        <v>22</v>
      </c>
      <c r="EH175">
        <v>0</v>
      </c>
      <c r="EI175" t="s">
        <v>6</v>
      </c>
      <c r="EJ175">
        <v>1</v>
      </c>
      <c r="EK175">
        <v>11001</v>
      </c>
      <c r="EL175" t="s">
        <v>62</v>
      </c>
      <c r="EM175" t="s">
        <v>433</v>
      </c>
      <c r="EO175" t="s">
        <v>6</v>
      </c>
      <c r="EQ175">
        <v>0</v>
      </c>
      <c r="ER175">
        <v>15.07</v>
      </c>
      <c r="ES175">
        <v>15.07</v>
      </c>
      <c r="ET175">
        <v>0</v>
      </c>
      <c r="EU175">
        <v>0</v>
      </c>
      <c r="EV175">
        <v>0</v>
      </c>
      <c r="EW175">
        <v>0</v>
      </c>
      <c r="EX175">
        <v>0</v>
      </c>
      <c r="FQ175">
        <v>0</v>
      </c>
      <c r="FR175">
        <f t="shared" si="184"/>
        <v>0</v>
      </c>
      <c r="FS175">
        <v>0</v>
      </c>
      <c r="FT175" t="s">
        <v>25</v>
      </c>
      <c r="FU175" t="s">
        <v>26</v>
      </c>
      <c r="FX175">
        <v>110.7</v>
      </c>
      <c r="FY175">
        <v>63.75</v>
      </c>
      <c r="GA175" t="s">
        <v>6</v>
      </c>
      <c r="GD175">
        <v>0</v>
      </c>
      <c r="GF175">
        <v>-1858633972</v>
      </c>
      <c r="GG175">
        <v>1</v>
      </c>
      <c r="GH175">
        <v>1</v>
      </c>
      <c r="GI175">
        <v>4</v>
      </c>
      <c r="GJ175">
        <v>0</v>
      </c>
      <c r="GK175">
        <f>ROUND(R175*(R12)/100,2)</f>
        <v>0</v>
      </c>
      <c r="GL175">
        <f t="shared" si="185"/>
        <v>0</v>
      </c>
      <c r="GM175">
        <f t="shared" si="186"/>
        <v>395.44</v>
      </c>
      <c r="GN175">
        <f t="shared" si="187"/>
        <v>395.44</v>
      </c>
      <c r="GO175">
        <f t="shared" si="188"/>
        <v>0</v>
      </c>
      <c r="GP175">
        <f t="shared" si="189"/>
        <v>0</v>
      </c>
      <c r="GR175">
        <v>0</v>
      </c>
      <c r="GS175">
        <v>3</v>
      </c>
      <c r="GT175">
        <v>0</v>
      </c>
      <c r="GU175" t="s">
        <v>6</v>
      </c>
      <c r="GV175">
        <f t="shared" si="190"/>
        <v>0</v>
      </c>
      <c r="GW175">
        <v>1</v>
      </c>
      <c r="GX175">
        <f t="shared" si="191"/>
        <v>0</v>
      </c>
      <c r="HA175">
        <v>0</v>
      </c>
      <c r="HB175">
        <v>0</v>
      </c>
      <c r="IK175">
        <v>0</v>
      </c>
    </row>
    <row r="176" spans="1:245" x14ac:dyDescent="0.2">
      <c r="A176">
        <v>18</v>
      </c>
      <c r="B176">
        <v>1</v>
      </c>
      <c r="C176">
        <v>314</v>
      </c>
      <c r="E176" t="s">
        <v>522</v>
      </c>
      <c r="F176" t="s">
        <v>523</v>
      </c>
      <c r="G176" t="s">
        <v>524</v>
      </c>
      <c r="H176" t="s">
        <v>53</v>
      </c>
      <c r="I176">
        <f>I174*J176</f>
        <v>1</v>
      </c>
      <c r="J176">
        <v>24.390243902439025</v>
      </c>
      <c r="O176">
        <f t="shared" si="158"/>
        <v>205.2</v>
      </c>
      <c r="P176">
        <f t="shared" si="159"/>
        <v>205.2</v>
      </c>
      <c r="Q176">
        <f t="shared" si="160"/>
        <v>0</v>
      </c>
      <c r="R176">
        <f t="shared" si="161"/>
        <v>0</v>
      </c>
      <c r="S176">
        <f t="shared" si="162"/>
        <v>0</v>
      </c>
      <c r="T176">
        <f t="shared" si="163"/>
        <v>0</v>
      </c>
      <c r="U176">
        <f t="shared" si="164"/>
        <v>0</v>
      </c>
      <c r="V176">
        <f t="shared" si="165"/>
        <v>0</v>
      </c>
      <c r="W176">
        <f t="shared" si="166"/>
        <v>0</v>
      </c>
      <c r="X176">
        <f t="shared" si="167"/>
        <v>0</v>
      </c>
      <c r="Y176">
        <f t="shared" si="168"/>
        <v>0</v>
      </c>
      <c r="AA176">
        <v>16748969</v>
      </c>
      <c r="AB176">
        <f t="shared" si="169"/>
        <v>31.28</v>
      </c>
      <c r="AC176">
        <f t="shared" si="192"/>
        <v>31.28</v>
      </c>
      <c r="AD176">
        <f>ROUND((((ET176)-(EU176))+AE176),2)</f>
        <v>0</v>
      </c>
      <c r="AE176">
        <f t="shared" si="193"/>
        <v>0</v>
      </c>
      <c r="AF176">
        <f t="shared" si="193"/>
        <v>0</v>
      </c>
      <c r="AG176">
        <f t="shared" si="171"/>
        <v>0</v>
      </c>
      <c r="AH176">
        <f t="shared" si="194"/>
        <v>0</v>
      </c>
      <c r="AI176">
        <f t="shared" si="194"/>
        <v>0</v>
      </c>
      <c r="AJ176">
        <f t="shared" si="172"/>
        <v>0</v>
      </c>
      <c r="AK176">
        <v>31.28</v>
      </c>
      <c r="AL176">
        <v>31.28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111</v>
      </c>
      <c r="AU176">
        <v>64</v>
      </c>
      <c r="AV176">
        <v>1</v>
      </c>
      <c r="AW176">
        <v>1</v>
      </c>
      <c r="AZ176">
        <v>6.56</v>
      </c>
      <c r="BA176">
        <v>1</v>
      </c>
      <c r="BB176">
        <v>1</v>
      </c>
      <c r="BC176">
        <v>6.56</v>
      </c>
      <c r="BD176" t="s">
        <v>6</v>
      </c>
      <c r="BE176" t="s">
        <v>6</v>
      </c>
      <c r="BF176" t="s">
        <v>6</v>
      </c>
      <c r="BG176" t="s">
        <v>6</v>
      </c>
      <c r="BH176">
        <v>3</v>
      </c>
      <c r="BI176">
        <v>1</v>
      </c>
      <c r="BJ176" t="s">
        <v>525</v>
      </c>
      <c r="BM176">
        <v>11001</v>
      </c>
      <c r="BN176">
        <v>0</v>
      </c>
      <c r="BO176" t="s">
        <v>6</v>
      </c>
      <c r="BP176">
        <v>0</v>
      </c>
      <c r="BQ176">
        <v>2</v>
      </c>
      <c r="BR176">
        <v>0</v>
      </c>
      <c r="BS176">
        <v>1</v>
      </c>
      <c r="BT176">
        <v>1</v>
      </c>
      <c r="BU176">
        <v>1</v>
      </c>
      <c r="BV176">
        <v>1</v>
      </c>
      <c r="BW176">
        <v>1</v>
      </c>
      <c r="BX176">
        <v>1</v>
      </c>
      <c r="BY176" t="s">
        <v>6</v>
      </c>
      <c r="BZ176">
        <v>123</v>
      </c>
      <c r="CA176">
        <v>75</v>
      </c>
      <c r="CF176">
        <v>0</v>
      </c>
      <c r="CG176">
        <v>0</v>
      </c>
      <c r="CM176">
        <v>0</v>
      </c>
      <c r="CN176" t="s">
        <v>6</v>
      </c>
      <c r="CO176">
        <v>0</v>
      </c>
      <c r="CP176">
        <f t="shared" si="173"/>
        <v>205.2</v>
      </c>
      <c r="CQ176">
        <f t="shared" si="174"/>
        <v>205.1968</v>
      </c>
      <c r="CR176">
        <f t="shared" si="175"/>
        <v>0</v>
      </c>
      <c r="CS176">
        <f t="shared" si="176"/>
        <v>0</v>
      </c>
      <c r="CT176">
        <f t="shared" si="177"/>
        <v>0</v>
      </c>
      <c r="CU176">
        <f t="shared" si="178"/>
        <v>0</v>
      </c>
      <c r="CV176">
        <f t="shared" si="179"/>
        <v>0</v>
      </c>
      <c r="CW176">
        <f t="shared" si="180"/>
        <v>0</v>
      </c>
      <c r="CX176">
        <f t="shared" si="181"/>
        <v>0</v>
      </c>
      <c r="CY176">
        <f t="shared" si="182"/>
        <v>0</v>
      </c>
      <c r="CZ176">
        <f t="shared" si="183"/>
        <v>0</v>
      </c>
      <c r="DC176" t="s">
        <v>6</v>
      </c>
      <c r="DD176" t="s">
        <v>6</v>
      </c>
      <c r="DE176" t="s">
        <v>6</v>
      </c>
      <c r="DF176" t="s">
        <v>6</v>
      </c>
      <c r="DG176" t="s">
        <v>6</v>
      </c>
      <c r="DH176" t="s">
        <v>6</v>
      </c>
      <c r="DI176" t="s">
        <v>6</v>
      </c>
      <c r="DJ176" t="s">
        <v>6</v>
      </c>
      <c r="DK176" t="s">
        <v>6</v>
      </c>
      <c r="DL176" t="s">
        <v>6</v>
      </c>
      <c r="DM176" t="s">
        <v>6</v>
      </c>
      <c r="DN176">
        <v>0</v>
      </c>
      <c r="DO176">
        <v>0</v>
      </c>
      <c r="DP176">
        <v>1</v>
      </c>
      <c r="DQ176">
        <v>1</v>
      </c>
      <c r="DU176">
        <v>1010</v>
      </c>
      <c r="DV176" t="s">
        <v>53</v>
      </c>
      <c r="DW176" t="s">
        <v>53</v>
      </c>
      <c r="DX176">
        <v>1</v>
      </c>
      <c r="EE176">
        <v>16510488</v>
      </c>
      <c r="EF176">
        <v>2</v>
      </c>
      <c r="EG176" t="s">
        <v>22</v>
      </c>
      <c r="EH176">
        <v>0</v>
      </c>
      <c r="EI176" t="s">
        <v>6</v>
      </c>
      <c r="EJ176">
        <v>1</v>
      </c>
      <c r="EK176">
        <v>11001</v>
      </c>
      <c r="EL176" t="s">
        <v>62</v>
      </c>
      <c r="EM176" t="s">
        <v>433</v>
      </c>
      <c r="EO176" t="s">
        <v>6</v>
      </c>
      <c r="EQ176">
        <v>0</v>
      </c>
      <c r="ER176">
        <v>31.28</v>
      </c>
      <c r="ES176">
        <v>31.28</v>
      </c>
      <c r="ET176">
        <v>0</v>
      </c>
      <c r="EU176">
        <v>0</v>
      </c>
      <c r="EV176">
        <v>0</v>
      </c>
      <c r="EW176">
        <v>0</v>
      </c>
      <c r="EX176">
        <v>0</v>
      </c>
      <c r="FQ176">
        <v>0</v>
      </c>
      <c r="FR176">
        <f t="shared" si="184"/>
        <v>0</v>
      </c>
      <c r="FS176">
        <v>0</v>
      </c>
      <c r="FT176" t="s">
        <v>25</v>
      </c>
      <c r="FU176" t="s">
        <v>26</v>
      </c>
      <c r="FX176">
        <v>110.7</v>
      </c>
      <c r="FY176">
        <v>63.75</v>
      </c>
      <c r="GA176" t="s">
        <v>6</v>
      </c>
      <c r="GD176">
        <v>0</v>
      </c>
      <c r="GF176">
        <v>-94522557</v>
      </c>
      <c r="GG176">
        <v>1</v>
      </c>
      <c r="GH176">
        <v>1</v>
      </c>
      <c r="GI176">
        <v>4</v>
      </c>
      <c r="GJ176">
        <v>0</v>
      </c>
      <c r="GK176">
        <f>ROUND(R176*(R12)/100,2)</f>
        <v>0</v>
      </c>
      <c r="GL176">
        <f t="shared" si="185"/>
        <v>0</v>
      </c>
      <c r="GM176">
        <f t="shared" si="186"/>
        <v>205.2</v>
      </c>
      <c r="GN176">
        <f t="shared" si="187"/>
        <v>205.2</v>
      </c>
      <c r="GO176">
        <f t="shared" si="188"/>
        <v>0</v>
      </c>
      <c r="GP176">
        <f t="shared" si="189"/>
        <v>0</v>
      </c>
      <c r="GR176">
        <v>0</v>
      </c>
      <c r="GS176">
        <v>3</v>
      </c>
      <c r="GT176">
        <v>0</v>
      </c>
      <c r="GU176" t="s">
        <v>6</v>
      </c>
      <c r="GV176">
        <f t="shared" si="190"/>
        <v>0</v>
      </c>
      <c r="GW176">
        <v>1</v>
      </c>
      <c r="GX176">
        <f t="shared" si="191"/>
        <v>0</v>
      </c>
      <c r="HA176">
        <v>0</v>
      </c>
      <c r="HB176">
        <v>0</v>
      </c>
      <c r="IK176">
        <v>0</v>
      </c>
    </row>
    <row r="177" spans="1:245" x14ac:dyDescent="0.2">
      <c r="A177">
        <v>18</v>
      </c>
      <c r="B177">
        <v>1</v>
      </c>
      <c r="C177">
        <v>312</v>
      </c>
      <c r="E177" t="s">
        <v>526</v>
      </c>
      <c r="F177" t="s">
        <v>527</v>
      </c>
      <c r="G177" t="s">
        <v>528</v>
      </c>
      <c r="H177" t="s">
        <v>206</v>
      </c>
      <c r="I177">
        <f>I174*J177</f>
        <v>4.3049999999999997</v>
      </c>
      <c r="J177">
        <v>104.99999999999999</v>
      </c>
      <c r="O177">
        <f t="shared" si="158"/>
        <v>0</v>
      </c>
      <c r="P177">
        <f t="shared" si="159"/>
        <v>0</v>
      </c>
      <c r="Q177">
        <f t="shared" si="160"/>
        <v>0</v>
      </c>
      <c r="R177">
        <f t="shared" si="161"/>
        <v>0</v>
      </c>
      <c r="S177">
        <f t="shared" si="162"/>
        <v>0</v>
      </c>
      <c r="T177">
        <f t="shared" si="163"/>
        <v>0</v>
      </c>
      <c r="U177">
        <f t="shared" si="164"/>
        <v>0</v>
      </c>
      <c r="V177">
        <f t="shared" si="165"/>
        <v>0</v>
      </c>
      <c r="W177">
        <f t="shared" si="166"/>
        <v>0</v>
      </c>
      <c r="X177">
        <f t="shared" si="167"/>
        <v>0</v>
      </c>
      <c r="Y177">
        <f t="shared" si="168"/>
        <v>0</v>
      </c>
      <c r="AA177">
        <v>16748969</v>
      </c>
      <c r="AB177">
        <f t="shared" si="169"/>
        <v>0</v>
      </c>
      <c r="AC177">
        <f t="shared" si="192"/>
        <v>0</v>
      </c>
      <c r="AD177">
        <f>ROUND((((ET177)-(EU177))+AE177),2)</f>
        <v>0</v>
      </c>
      <c r="AE177">
        <f t="shared" si="193"/>
        <v>0</v>
      </c>
      <c r="AF177">
        <f t="shared" si="193"/>
        <v>0</v>
      </c>
      <c r="AG177">
        <f t="shared" si="171"/>
        <v>0</v>
      </c>
      <c r="AH177">
        <f t="shared" si="194"/>
        <v>0</v>
      </c>
      <c r="AI177">
        <f t="shared" si="194"/>
        <v>0</v>
      </c>
      <c r="AJ177">
        <f t="shared" si="172"/>
        <v>0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111</v>
      </c>
      <c r="AU177">
        <v>64</v>
      </c>
      <c r="AV177">
        <v>1</v>
      </c>
      <c r="AW177">
        <v>1</v>
      </c>
      <c r="AZ177">
        <v>6.56</v>
      </c>
      <c r="BA177">
        <v>1</v>
      </c>
      <c r="BB177">
        <v>1</v>
      </c>
      <c r="BC177">
        <v>6.56</v>
      </c>
      <c r="BD177" t="s">
        <v>6</v>
      </c>
      <c r="BE177" t="s">
        <v>6</v>
      </c>
      <c r="BF177" t="s">
        <v>6</v>
      </c>
      <c r="BG177" t="s">
        <v>6</v>
      </c>
      <c r="BH177">
        <v>3</v>
      </c>
      <c r="BI177">
        <v>1</v>
      </c>
      <c r="BJ177" t="s">
        <v>6</v>
      </c>
      <c r="BM177">
        <v>11001</v>
      </c>
      <c r="BN177">
        <v>0</v>
      </c>
      <c r="BO177" t="s">
        <v>6</v>
      </c>
      <c r="BP177">
        <v>0</v>
      </c>
      <c r="BQ177">
        <v>2</v>
      </c>
      <c r="BR177">
        <v>0</v>
      </c>
      <c r="BS177">
        <v>1</v>
      </c>
      <c r="BT177">
        <v>1</v>
      </c>
      <c r="BU177">
        <v>1</v>
      </c>
      <c r="BV177">
        <v>1</v>
      </c>
      <c r="BW177">
        <v>1</v>
      </c>
      <c r="BX177">
        <v>1</v>
      </c>
      <c r="BY177" t="s">
        <v>6</v>
      </c>
      <c r="BZ177">
        <v>123</v>
      </c>
      <c r="CA177">
        <v>75</v>
      </c>
      <c r="CF177">
        <v>0</v>
      </c>
      <c r="CG177">
        <v>0</v>
      </c>
      <c r="CM177">
        <v>0</v>
      </c>
      <c r="CN177" t="s">
        <v>6</v>
      </c>
      <c r="CO177">
        <v>0</v>
      </c>
      <c r="CP177">
        <f t="shared" si="173"/>
        <v>0</v>
      </c>
      <c r="CQ177">
        <f t="shared" si="174"/>
        <v>0</v>
      </c>
      <c r="CR177">
        <f t="shared" si="175"/>
        <v>0</v>
      </c>
      <c r="CS177">
        <f t="shared" si="176"/>
        <v>0</v>
      </c>
      <c r="CT177">
        <f t="shared" si="177"/>
        <v>0</v>
      </c>
      <c r="CU177">
        <f t="shared" si="178"/>
        <v>0</v>
      </c>
      <c r="CV177">
        <f t="shared" si="179"/>
        <v>0</v>
      </c>
      <c r="CW177">
        <f t="shared" si="180"/>
        <v>0</v>
      </c>
      <c r="CX177">
        <f t="shared" si="181"/>
        <v>0</v>
      </c>
      <c r="CY177">
        <f t="shared" si="182"/>
        <v>0</v>
      </c>
      <c r="CZ177">
        <f t="shared" si="183"/>
        <v>0</v>
      </c>
      <c r="DC177" t="s">
        <v>6</v>
      </c>
      <c r="DD177" t="s">
        <v>6</v>
      </c>
      <c r="DE177" t="s">
        <v>6</v>
      </c>
      <c r="DF177" t="s">
        <v>6</v>
      </c>
      <c r="DG177" t="s">
        <v>6</v>
      </c>
      <c r="DH177" t="s">
        <v>6</v>
      </c>
      <c r="DI177" t="s">
        <v>6</v>
      </c>
      <c r="DJ177" t="s">
        <v>6</v>
      </c>
      <c r="DK177" t="s">
        <v>6</v>
      </c>
      <c r="DL177" t="s">
        <v>6</v>
      </c>
      <c r="DM177" t="s">
        <v>6</v>
      </c>
      <c r="DN177">
        <v>0</v>
      </c>
      <c r="DO177">
        <v>0</v>
      </c>
      <c r="DP177">
        <v>1</v>
      </c>
      <c r="DQ177">
        <v>1</v>
      </c>
      <c r="DU177">
        <v>1003</v>
      </c>
      <c r="DV177" t="s">
        <v>206</v>
      </c>
      <c r="DW177" t="s">
        <v>206</v>
      </c>
      <c r="DX177">
        <v>1</v>
      </c>
      <c r="EE177">
        <v>16510488</v>
      </c>
      <c r="EF177">
        <v>2</v>
      </c>
      <c r="EG177" t="s">
        <v>22</v>
      </c>
      <c r="EH177">
        <v>0</v>
      </c>
      <c r="EI177" t="s">
        <v>6</v>
      </c>
      <c r="EJ177">
        <v>1</v>
      </c>
      <c r="EK177">
        <v>11001</v>
      </c>
      <c r="EL177" t="s">
        <v>62</v>
      </c>
      <c r="EM177" t="s">
        <v>433</v>
      </c>
      <c r="EO177" t="s">
        <v>6</v>
      </c>
      <c r="EQ177">
        <v>0</v>
      </c>
      <c r="ER177">
        <v>0</v>
      </c>
      <c r="ES177">
        <v>0</v>
      </c>
      <c r="ET177">
        <v>0</v>
      </c>
      <c r="EU177">
        <v>0</v>
      </c>
      <c r="EV177">
        <v>0</v>
      </c>
      <c r="EW177">
        <v>0</v>
      </c>
      <c r="EX177">
        <v>0</v>
      </c>
      <c r="FQ177">
        <v>0</v>
      </c>
      <c r="FR177">
        <f t="shared" si="184"/>
        <v>0</v>
      </c>
      <c r="FS177">
        <v>0</v>
      </c>
      <c r="FT177" t="s">
        <v>25</v>
      </c>
      <c r="FU177" t="s">
        <v>26</v>
      </c>
      <c r="FX177">
        <v>110.7</v>
      </c>
      <c r="FY177">
        <v>63.75</v>
      </c>
      <c r="GA177" t="s">
        <v>6</v>
      </c>
      <c r="GD177">
        <v>0</v>
      </c>
      <c r="GF177">
        <v>2101938969</v>
      </c>
      <c r="GG177">
        <v>1</v>
      </c>
      <c r="GH177">
        <v>1</v>
      </c>
      <c r="GI177">
        <v>4</v>
      </c>
      <c r="GJ177">
        <v>0</v>
      </c>
      <c r="GK177">
        <f>ROUND(R177*(R12)/100,2)</f>
        <v>0</v>
      </c>
      <c r="GL177">
        <f t="shared" si="185"/>
        <v>0</v>
      </c>
      <c r="GM177">
        <f t="shared" si="186"/>
        <v>0</v>
      </c>
      <c r="GN177">
        <f t="shared" si="187"/>
        <v>0</v>
      </c>
      <c r="GO177">
        <f t="shared" si="188"/>
        <v>0</v>
      </c>
      <c r="GP177">
        <f t="shared" si="189"/>
        <v>0</v>
      </c>
      <c r="GR177">
        <v>0</v>
      </c>
      <c r="GS177">
        <v>3</v>
      </c>
      <c r="GT177">
        <v>0</v>
      </c>
      <c r="GU177" t="s">
        <v>6</v>
      </c>
      <c r="GV177">
        <f t="shared" si="190"/>
        <v>0</v>
      </c>
      <c r="GW177">
        <v>1</v>
      </c>
      <c r="GX177">
        <f t="shared" si="191"/>
        <v>0</v>
      </c>
      <c r="HA177">
        <v>0</v>
      </c>
      <c r="HB177">
        <v>0</v>
      </c>
      <c r="IK177">
        <v>0</v>
      </c>
    </row>
    <row r="178" spans="1:245" x14ac:dyDescent="0.2">
      <c r="A178">
        <v>17</v>
      </c>
      <c r="B178">
        <v>1</v>
      </c>
      <c r="C178">
        <f>ROW(SmtRes!A319)</f>
        <v>319</v>
      </c>
      <c r="D178">
        <f>ROW(EtalonRes!A302)</f>
        <v>302</v>
      </c>
      <c r="E178" t="s">
        <v>529</v>
      </c>
      <c r="F178" t="s">
        <v>530</v>
      </c>
      <c r="G178" t="s">
        <v>531</v>
      </c>
      <c r="H178" t="s">
        <v>20</v>
      </c>
      <c r="I178">
        <f>ROUND(124/100,9)</f>
        <v>1.24</v>
      </c>
      <c r="J178">
        <v>0</v>
      </c>
      <c r="O178">
        <f t="shared" si="158"/>
        <v>55711.53</v>
      </c>
      <c r="P178">
        <f t="shared" si="159"/>
        <v>43400.28</v>
      </c>
      <c r="Q178">
        <f t="shared" si="160"/>
        <v>3301.67</v>
      </c>
      <c r="R178">
        <f t="shared" si="161"/>
        <v>644.57000000000005</v>
      </c>
      <c r="S178">
        <f t="shared" si="162"/>
        <v>9009.58</v>
      </c>
      <c r="T178">
        <f t="shared" si="163"/>
        <v>0</v>
      </c>
      <c r="U178">
        <f t="shared" si="164"/>
        <v>146.10795999999996</v>
      </c>
      <c r="V178">
        <f t="shared" si="165"/>
        <v>8.2769999999999992</v>
      </c>
      <c r="W178">
        <f t="shared" si="166"/>
        <v>0</v>
      </c>
      <c r="X178">
        <f t="shared" si="167"/>
        <v>9171.44</v>
      </c>
      <c r="Y178">
        <f t="shared" si="168"/>
        <v>4537.45</v>
      </c>
      <c r="AA178">
        <v>16748969</v>
      </c>
      <c r="AB178">
        <f t="shared" si="169"/>
        <v>6848.88</v>
      </c>
      <c r="AC178">
        <f t="shared" si="192"/>
        <v>5335.4</v>
      </c>
      <c r="AD178">
        <f>ROUND(((((ET178*1.25))-((EU178*1.25)))+AE178),2)</f>
        <v>405.89</v>
      </c>
      <c r="AE178">
        <f>ROUND(((EU178*1.25)),2)</f>
        <v>79.239999999999995</v>
      </c>
      <c r="AF178">
        <f>ROUND(((EV178*1.15)),2)</f>
        <v>1107.5899999999999</v>
      </c>
      <c r="AG178">
        <f t="shared" si="171"/>
        <v>0</v>
      </c>
      <c r="AH178">
        <f>((EW178*1.15))</f>
        <v>117.82899999999998</v>
      </c>
      <c r="AI178">
        <f>((EX178*1.25))</f>
        <v>6.6749999999999998</v>
      </c>
      <c r="AJ178">
        <f t="shared" si="172"/>
        <v>0</v>
      </c>
      <c r="AK178">
        <v>6623.23</v>
      </c>
      <c r="AL178">
        <v>5335.4</v>
      </c>
      <c r="AM178">
        <v>324.70999999999998</v>
      </c>
      <c r="AN178">
        <v>63.39</v>
      </c>
      <c r="AO178">
        <v>963.12</v>
      </c>
      <c r="AP178">
        <v>0</v>
      </c>
      <c r="AQ178">
        <v>102.46</v>
      </c>
      <c r="AR178">
        <v>5.34</v>
      </c>
      <c r="AS178">
        <v>0</v>
      </c>
      <c r="AT178">
        <v>95</v>
      </c>
      <c r="AU178">
        <v>47</v>
      </c>
      <c r="AV178">
        <v>1</v>
      </c>
      <c r="AW178">
        <v>1</v>
      </c>
      <c r="AZ178">
        <v>6.56</v>
      </c>
      <c r="BA178">
        <v>6.56</v>
      </c>
      <c r="BB178">
        <v>6.56</v>
      </c>
      <c r="BC178">
        <v>6.56</v>
      </c>
      <c r="BD178" t="s">
        <v>6</v>
      </c>
      <c r="BE178" t="s">
        <v>6</v>
      </c>
      <c r="BF178" t="s">
        <v>6</v>
      </c>
      <c r="BG178" t="s">
        <v>6</v>
      </c>
      <c r="BH178">
        <v>0</v>
      </c>
      <c r="BI178">
        <v>1</v>
      </c>
      <c r="BJ178" t="s">
        <v>532</v>
      </c>
      <c r="BM178">
        <v>15001</v>
      </c>
      <c r="BN178">
        <v>0</v>
      </c>
      <c r="BO178" t="s">
        <v>6</v>
      </c>
      <c r="BP178">
        <v>0</v>
      </c>
      <c r="BQ178">
        <v>2</v>
      </c>
      <c r="BR178">
        <v>0</v>
      </c>
      <c r="BS178">
        <v>6.56</v>
      </c>
      <c r="BT178">
        <v>1</v>
      </c>
      <c r="BU178">
        <v>1</v>
      </c>
      <c r="BV178">
        <v>1</v>
      </c>
      <c r="BW178">
        <v>1</v>
      </c>
      <c r="BX178">
        <v>1</v>
      </c>
      <c r="BY178" t="s">
        <v>6</v>
      </c>
      <c r="BZ178">
        <v>105</v>
      </c>
      <c r="CA178">
        <v>55</v>
      </c>
      <c r="CF178">
        <v>0</v>
      </c>
      <c r="CG178">
        <v>0</v>
      </c>
      <c r="CM178">
        <v>0</v>
      </c>
      <c r="CN178" t="s">
        <v>1609</v>
      </c>
      <c r="CO178">
        <v>0</v>
      </c>
      <c r="CP178">
        <f t="shared" si="173"/>
        <v>55711.53</v>
      </c>
      <c r="CQ178">
        <f t="shared" si="174"/>
        <v>35000.223999999995</v>
      </c>
      <c r="CR178">
        <f t="shared" si="175"/>
        <v>2662.6383999999998</v>
      </c>
      <c r="CS178">
        <f t="shared" si="176"/>
        <v>519.81439999999998</v>
      </c>
      <c r="CT178">
        <f t="shared" si="177"/>
        <v>7265.790399999999</v>
      </c>
      <c r="CU178">
        <f t="shared" si="178"/>
        <v>0</v>
      </c>
      <c r="CV178">
        <f t="shared" si="179"/>
        <v>117.82899999999998</v>
      </c>
      <c r="CW178">
        <f t="shared" si="180"/>
        <v>6.6749999999999998</v>
      </c>
      <c r="CX178">
        <f t="shared" si="181"/>
        <v>0</v>
      </c>
      <c r="CY178">
        <f t="shared" si="182"/>
        <v>9171.4424999999992</v>
      </c>
      <c r="CZ178">
        <f t="shared" si="183"/>
        <v>4537.4504999999999</v>
      </c>
      <c r="DC178" t="s">
        <v>6</v>
      </c>
      <c r="DD178" t="s">
        <v>6</v>
      </c>
      <c r="DE178" t="s">
        <v>172</v>
      </c>
      <c r="DF178" t="s">
        <v>172</v>
      </c>
      <c r="DG178" t="s">
        <v>173</v>
      </c>
      <c r="DH178" t="s">
        <v>6</v>
      </c>
      <c r="DI178" t="s">
        <v>173</v>
      </c>
      <c r="DJ178" t="s">
        <v>172</v>
      </c>
      <c r="DK178" t="s">
        <v>6</v>
      </c>
      <c r="DL178" t="s">
        <v>6</v>
      </c>
      <c r="DM178" t="s">
        <v>6</v>
      </c>
      <c r="DN178">
        <v>0</v>
      </c>
      <c r="DO178">
        <v>0</v>
      </c>
      <c r="DP178">
        <v>1</v>
      </c>
      <c r="DQ178">
        <v>1</v>
      </c>
      <c r="DU178">
        <v>1005</v>
      </c>
      <c r="DV178" t="s">
        <v>20</v>
      </c>
      <c r="DW178" t="s">
        <v>20</v>
      </c>
      <c r="DX178">
        <v>100</v>
      </c>
      <c r="EE178">
        <v>16510513</v>
      </c>
      <c r="EF178">
        <v>2</v>
      </c>
      <c r="EG178" t="s">
        <v>22</v>
      </c>
      <c r="EH178">
        <v>0</v>
      </c>
      <c r="EI178" t="s">
        <v>6</v>
      </c>
      <c r="EJ178">
        <v>1</v>
      </c>
      <c r="EK178">
        <v>15001</v>
      </c>
      <c r="EL178" t="s">
        <v>212</v>
      </c>
      <c r="EM178" t="s">
        <v>213</v>
      </c>
      <c r="EO178" t="s">
        <v>176</v>
      </c>
      <c r="EQ178">
        <v>131072</v>
      </c>
      <c r="ER178">
        <v>6623.23</v>
      </c>
      <c r="ES178">
        <v>5335.4</v>
      </c>
      <c r="ET178">
        <v>324.70999999999998</v>
      </c>
      <c r="EU178">
        <v>63.39</v>
      </c>
      <c r="EV178">
        <v>963.12</v>
      </c>
      <c r="EW178">
        <v>102.46</v>
      </c>
      <c r="EX178">
        <v>5.34</v>
      </c>
      <c r="EY178">
        <v>0</v>
      </c>
      <c r="FQ178">
        <v>0</v>
      </c>
      <c r="FR178">
        <f t="shared" si="184"/>
        <v>0</v>
      </c>
      <c r="FS178">
        <v>0</v>
      </c>
      <c r="FT178" t="s">
        <v>25</v>
      </c>
      <c r="FU178" t="s">
        <v>26</v>
      </c>
      <c r="FX178">
        <v>94.5</v>
      </c>
      <c r="FY178">
        <v>46.75</v>
      </c>
      <c r="GA178" t="s">
        <v>6</v>
      </c>
      <c r="GD178">
        <v>0</v>
      </c>
      <c r="GF178">
        <v>-59192285</v>
      </c>
      <c r="GG178">
        <v>1</v>
      </c>
      <c r="GH178">
        <v>1</v>
      </c>
      <c r="GI178">
        <v>4</v>
      </c>
      <c r="GJ178">
        <v>0</v>
      </c>
      <c r="GK178">
        <f>ROUND(R178*(R12)/100,2)</f>
        <v>0</v>
      </c>
      <c r="GL178">
        <f t="shared" si="185"/>
        <v>0</v>
      </c>
      <c r="GM178">
        <f t="shared" si="186"/>
        <v>69420.42</v>
      </c>
      <c r="GN178">
        <f t="shared" si="187"/>
        <v>69420.42</v>
      </c>
      <c r="GO178">
        <f t="shared" si="188"/>
        <v>0</v>
      </c>
      <c r="GP178">
        <f t="shared" si="189"/>
        <v>0</v>
      </c>
      <c r="GR178">
        <v>0</v>
      </c>
      <c r="GS178">
        <v>3</v>
      </c>
      <c r="GT178">
        <v>0</v>
      </c>
      <c r="GU178" t="s">
        <v>6</v>
      </c>
      <c r="GV178">
        <f t="shared" si="190"/>
        <v>0</v>
      </c>
      <c r="GW178">
        <v>1</v>
      </c>
      <c r="GX178">
        <f t="shared" si="191"/>
        <v>0</v>
      </c>
      <c r="HA178">
        <v>0</v>
      </c>
      <c r="HB178">
        <v>0</v>
      </c>
      <c r="IK178">
        <v>0</v>
      </c>
    </row>
    <row r="179" spans="1:245" x14ac:dyDescent="0.2">
      <c r="A179">
        <v>17</v>
      </c>
      <c r="B179">
        <v>1</v>
      </c>
      <c r="C179">
        <f>ROW(SmtRes!A329)</f>
        <v>329</v>
      </c>
      <c r="D179">
        <f>ROW(EtalonRes!A311)</f>
        <v>311</v>
      </c>
      <c r="E179" t="s">
        <v>533</v>
      </c>
      <c r="F179" t="s">
        <v>534</v>
      </c>
      <c r="G179" t="s">
        <v>535</v>
      </c>
      <c r="H179" t="s">
        <v>20</v>
      </c>
      <c r="I179">
        <f>ROUND(11.4/100,9)</f>
        <v>0.114</v>
      </c>
      <c r="J179">
        <v>0</v>
      </c>
      <c r="O179">
        <f t="shared" si="158"/>
        <v>22140.78</v>
      </c>
      <c r="P179">
        <f t="shared" si="159"/>
        <v>21125.51</v>
      </c>
      <c r="Q179">
        <f t="shared" si="160"/>
        <v>139.27000000000001</v>
      </c>
      <c r="R179">
        <f t="shared" si="161"/>
        <v>4.67</v>
      </c>
      <c r="S179">
        <f t="shared" si="162"/>
        <v>876</v>
      </c>
      <c r="T179">
        <f t="shared" si="163"/>
        <v>0</v>
      </c>
      <c r="U179">
        <f t="shared" si="164"/>
        <v>14.205995999999999</v>
      </c>
      <c r="V179">
        <f t="shared" si="165"/>
        <v>5.5575000000000006E-2</v>
      </c>
      <c r="W179">
        <f t="shared" si="166"/>
        <v>0</v>
      </c>
      <c r="X179">
        <f t="shared" si="167"/>
        <v>836.64</v>
      </c>
      <c r="Y179">
        <f t="shared" si="168"/>
        <v>413.91</v>
      </c>
      <c r="AA179">
        <v>16748969</v>
      </c>
      <c r="AB179">
        <f t="shared" si="169"/>
        <v>29606.3</v>
      </c>
      <c r="AC179">
        <f t="shared" si="192"/>
        <v>28248.7</v>
      </c>
      <c r="AD179">
        <f>ROUND(((((ET179*1.25))-((EU179*1.25)))+AE179),2)</f>
        <v>186.23</v>
      </c>
      <c r="AE179">
        <f>ROUND(((EU179*1.25)),2)</f>
        <v>6.25</v>
      </c>
      <c r="AF179">
        <f>ROUND(((EV179*1.15)),2)</f>
        <v>1171.3699999999999</v>
      </c>
      <c r="AG179">
        <f t="shared" si="171"/>
        <v>0</v>
      </c>
      <c r="AH179">
        <f>((EW179*1.15))</f>
        <v>124.61399999999999</v>
      </c>
      <c r="AI179">
        <f>((EX179*1.25))</f>
        <v>0.48750000000000004</v>
      </c>
      <c r="AJ179">
        <f t="shared" si="172"/>
        <v>0</v>
      </c>
      <c r="AK179">
        <v>29416.26</v>
      </c>
      <c r="AL179">
        <v>28248.7</v>
      </c>
      <c r="AM179">
        <v>148.97999999999999</v>
      </c>
      <c r="AN179">
        <v>5</v>
      </c>
      <c r="AO179">
        <v>1018.58</v>
      </c>
      <c r="AP179">
        <v>0</v>
      </c>
      <c r="AQ179">
        <v>108.36</v>
      </c>
      <c r="AR179">
        <v>0.39</v>
      </c>
      <c r="AS179">
        <v>0</v>
      </c>
      <c r="AT179">
        <v>95</v>
      </c>
      <c r="AU179">
        <v>47</v>
      </c>
      <c r="AV179">
        <v>1</v>
      </c>
      <c r="AW179">
        <v>1</v>
      </c>
      <c r="AZ179">
        <v>6.56</v>
      </c>
      <c r="BA179">
        <v>6.56</v>
      </c>
      <c r="BB179">
        <v>6.56</v>
      </c>
      <c r="BC179">
        <v>6.56</v>
      </c>
      <c r="BD179" t="s">
        <v>6</v>
      </c>
      <c r="BE179" t="s">
        <v>6</v>
      </c>
      <c r="BF179" t="s">
        <v>6</v>
      </c>
      <c r="BG179" t="s">
        <v>6</v>
      </c>
      <c r="BH179">
        <v>0</v>
      </c>
      <c r="BI179">
        <v>1</v>
      </c>
      <c r="BJ179" t="s">
        <v>536</v>
      </c>
      <c r="BM179">
        <v>15001</v>
      </c>
      <c r="BN179">
        <v>0</v>
      </c>
      <c r="BO179" t="s">
        <v>6</v>
      </c>
      <c r="BP179">
        <v>0</v>
      </c>
      <c r="BQ179">
        <v>2</v>
      </c>
      <c r="BR179">
        <v>0</v>
      </c>
      <c r="BS179">
        <v>6.56</v>
      </c>
      <c r="BT179">
        <v>1</v>
      </c>
      <c r="BU179">
        <v>1</v>
      </c>
      <c r="BV179">
        <v>1</v>
      </c>
      <c r="BW179">
        <v>1</v>
      </c>
      <c r="BX179">
        <v>1</v>
      </c>
      <c r="BY179" t="s">
        <v>6</v>
      </c>
      <c r="BZ179">
        <v>105</v>
      </c>
      <c r="CA179">
        <v>55</v>
      </c>
      <c r="CF179">
        <v>0</v>
      </c>
      <c r="CG179">
        <v>0</v>
      </c>
      <c r="CM179">
        <v>0</v>
      </c>
      <c r="CN179" t="s">
        <v>1609</v>
      </c>
      <c r="CO179">
        <v>0</v>
      </c>
      <c r="CP179">
        <f t="shared" si="173"/>
        <v>22140.78</v>
      </c>
      <c r="CQ179">
        <f t="shared" si="174"/>
        <v>185311.47199999998</v>
      </c>
      <c r="CR179">
        <f t="shared" si="175"/>
        <v>1221.6687999999999</v>
      </c>
      <c r="CS179">
        <f t="shared" si="176"/>
        <v>41</v>
      </c>
      <c r="CT179">
        <f t="shared" si="177"/>
        <v>7684.1871999999985</v>
      </c>
      <c r="CU179">
        <f t="shared" si="178"/>
        <v>0</v>
      </c>
      <c r="CV179">
        <f t="shared" si="179"/>
        <v>124.61399999999999</v>
      </c>
      <c r="CW179">
        <f t="shared" si="180"/>
        <v>0.48750000000000004</v>
      </c>
      <c r="CX179">
        <f t="shared" si="181"/>
        <v>0</v>
      </c>
      <c r="CY179">
        <f t="shared" si="182"/>
        <v>836.63649999999996</v>
      </c>
      <c r="CZ179">
        <f t="shared" si="183"/>
        <v>413.91489999999999</v>
      </c>
      <c r="DC179" t="s">
        <v>6</v>
      </c>
      <c r="DD179" t="s">
        <v>6</v>
      </c>
      <c r="DE179" t="s">
        <v>172</v>
      </c>
      <c r="DF179" t="s">
        <v>172</v>
      </c>
      <c r="DG179" t="s">
        <v>173</v>
      </c>
      <c r="DH179" t="s">
        <v>6</v>
      </c>
      <c r="DI179" t="s">
        <v>173</v>
      </c>
      <c r="DJ179" t="s">
        <v>172</v>
      </c>
      <c r="DK179" t="s">
        <v>6</v>
      </c>
      <c r="DL179" t="s">
        <v>6</v>
      </c>
      <c r="DM179" t="s">
        <v>6</v>
      </c>
      <c r="DN179">
        <v>0</v>
      </c>
      <c r="DO179">
        <v>0</v>
      </c>
      <c r="DP179">
        <v>1</v>
      </c>
      <c r="DQ179">
        <v>1</v>
      </c>
      <c r="DU179">
        <v>1005</v>
      </c>
      <c r="DV179" t="s">
        <v>20</v>
      </c>
      <c r="DW179" t="s">
        <v>20</v>
      </c>
      <c r="DX179">
        <v>100</v>
      </c>
      <c r="EE179">
        <v>16510513</v>
      </c>
      <c r="EF179">
        <v>2</v>
      </c>
      <c r="EG179" t="s">
        <v>22</v>
      </c>
      <c r="EH179">
        <v>0</v>
      </c>
      <c r="EI179" t="s">
        <v>6</v>
      </c>
      <c r="EJ179">
        <v>1</v>
      </c>
      <c r="EK179">
        <v>15001</v>
      </c>
      <c r="EL179" t="s">
        <v>212</v>
      </c>
      <c r="EM179" t="s">
        <v>213</v>
      </c>
      <c r="EO179" t="s">
        <v>176</v>
      </c>
      <c r="EQ179">
        <v>131072</v>
      </c>
      <c r="ER179">
        <v>29416.26</v>
      </c>
      <c r="ES179">
        <v>28248.7</v>
      </c>
      <c r="ET179">
        <v>148.97999999999999</v>
      </c>
      <c r="EU179">
        <v>5</v>
      </c>
      <c r="EV179">
        <v>1018.58</v>
      </c>
      <c r="EW179">
        <v>108.36</v>
      </c>
      <c r="EX179">
        <v>0.39</v>
      </c>
      <c r="EY179">
        <v>0</v>
      </c>
      <c r="FQ179">
        <v>0</v>
      </c>
      <c r="FR179">
        <f t="shared" si="184"/>
        <v>0</v>
      </c>
      <c r="FS179">
        <v>0</v>
      </c>
      <c r="FT179" t="s">
        <v>25</v>
      </c>
      <c r="FU179" t="s">
        <v>26</v>
      </c>
      <c r="FX179">
        <v>94.5</v>
      </c>
      <c r="FY179">
        <v>46.75</v>
      </c>
      <c r="GA179" t="s">
        <v>6</v>
      </c>
      <c r="GD179">
        <v>0</v>
      </c>
      <c r="GF179">
        <v>-1352553564</v>
      </c>
      <c r="GG179">
        <v>1</v>
      </c>
      <c r="GH179">
        <v>1</v>
      </c>
      <c r="GI179">
        <v>4</v>
      </c>
      <c r="GJ179">
        <v>0</v>
      </c>
      <c r="GK179">
        <f>ROUND(R179*(R12)/100,2)</f>
        <v>0</v>
      </c>
      <c r="GL179">
        <f t="shared" si="185"/>
        <v>0</v>
      </c>
      <c r="GM179">
        <f t="shared" si="186"/>
        <v>23391.33</v>
      </c>
      <c r="GN179">
        <f t="shared" si="187"/>
        <v>23391.33</v>
      </c>
      <c r="GO179">
        <f t="shared" si="188"/>
        <v>0</v>
      </c>
      <c r="GP179">
        <f t="shared" si="189"/>
        <v>0</v>
      </c>
      <c r="GR179">
        <v>0</v>
      </c>
      <c r="GS179">
        <v>3</v>
      </c>
      <c r="GT179">
        <v>0</v>
      </c>
      <c r="GU179" t="s">
        <v>6</v>
      </c>
      <c r="GV179">
        <f t="shared" si="190"/>
        <v>0</v>
      </c>
      <c r="GW179">
        <v>1</v>
      </c>
      <c r="GX179">
        <f t="shared" si="191"/>
        <v>0</v>
      </c>
      <c r="HA179">
        <v>0</v>
      </c>
      <c r="HB179">
        <v>0</v>
      </c>
      <c r="IK179">
        <v>0</v>
      </c>
    </row>
    <row r="180" spans="1:245" x14ac:dyDescent="0.2">
      <c r="A180">
        <v>18</v>
      </c>
      <c r="B180">
        <v>1</v>
      </c>
      <c r="C180">
        <v>327</v>
      </c>
      <c r="E180" t="s">
        <v>537</v>
      </c>
      <c r="F180" t="s">
        <v>538</v>
      </c>
      <c r="G180" t="s">
        <v>539</v>
      </c>
      <c r="H180" t="s">
        <v>206</v>
      </c>
      <c r="I180">
        <f>I179*J180</f>
        <v>6.5068489999999999</v>
      </c>
      <c r="J180">
        <v>57.077622807017541</v>
      </c>
      <c r="O180">
        <f t="shared" si="158"/>
        <v>268.06</v>
      </c>
      <c r="P180">
        <f t="shared" si="159"/>
        <v>268.06</v>
      </c>
      <c r="Q180">
        <f t="shared" si="160"/>
        <v>0</v>
      </c>
      <c r="R180">
        <f t="shared" si="161"/>
        <v>0</v>
      </c>
      <c r="S180">
        <f t="shared" si="162"/>
        <v>0</v>
      </c>
      <c r="T180">
        <f t="shared" si="163"/>
        <v>0</v>
      </c>
      <c r="U180">
        <f t="shared" si="164"/>
        <v>0</v>
      </c>
      <c r="V180">
        <f t="shared" si="165"/>
        <v>0</v>
      </c>
      <c r="W180">
        <f t="shared" si="166"/>
        <v>0</v>
      </c>
      <c r="X180">
        <f t="shared" si="167"/>
        <v>0</v>
      </c>
      <c r="Y180">
        <f t="shared" si="168"/>
        <v>0</v>
      </c>
      <c r="AA180">
        <v>16748969</v>
      </c>
      <c r="AB180">
        <f t="shared" si="169"/>
        <v>6.28</v>
      </c>
      <c r="AC180">
        <f t="shared" si="192"/>
        <v>6.28</v>
      </c>
      <c r="AD180">
        <f>ROUND((((ET180)-(EU180))+AE180),2)</f>
        <v>0</v>
      </c>
      <c r="AE180">
        <f t="shared" ref="AE180:AF183" si="195">ROUND((EU180),2)</f>
        <v>0</v>
      </c>
      <c r="AF180">
        <f t="shared" si="195"/>
        <v>0</v>
      </c>
      <c r="AG180">
        <f t="shared" si="171"/>
        <v>0</v>
      </c>
      <c r="AH180">
        <f t="shared" ref="AH180:AI183" si="196">(EW180)</f>
        <v>0</v>
      </c>
      <c r="AI180">
        <f t="shared" si="196"/>
        <v>0</v>
      </c>
      <c r="AJ180">
        <f t="shared" si="172"/>
        <v>0</v>
      </c>
      <c r="AK180">
        <v>6.28</v>
      </c>
      <c r="AL180">
        <v>6.28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  <c r="AS180">
        <v>0</v>
      </c>
      <c r="AT180">
        <v>95</v>
      </c>
      <c r="AU180">
        <v>47</v>
      </c>
      <c r="AV180">
        <v>1</v>
      </c>
      <c r="AW180">
        <v>1</v>
      </c>
      <c r="AZ180">
        <v>6.56</v>
      </c>
      <c r="BA180">
        <v>1</v>
      </c>
      <c r="BB180">
        <v>1</v>
      </c>
      <c r="BC180">
        <v>6.56</v>
      </c>
      <c r="BD180" t="s">
        <v>6</v>
      </c>
      <c r="BE180" t="s">
        <v>6</v>
      </c>
      <c r="BF180" t="s">
        <v>6</v>
      </c>
      <c r="BG180" t="s">
        <v>6</v>
      </c>
      <c r="BH180">
        <v>3</v>
      </c>
      <c r="BI180">
        <v>1</v>
      </c>
      <c r="BJ180" t="s">
        <v>540</v>
      </c>
      <c r="BM180">
        <v>15001</v>
      </c>
      <c r="BN180">
        <v>0</v>
      </c>
      <c r="BO180" t="s">
        <v>6</v>
      </c>
      <c r="BP180">
        <v>0</v>
      </c>
      <c r="BQ180">
        <v>2</v>
      </c>
      <c r="BR180">
        <v>0</v>
      </c>
      <c r="BS180">
        <v>1</v>
      </c>
      <c r="BT180">
        <v>1</v>
      </c>
      <c r="BU180">
        <v>1</v>
      </c>
      <c r="BV180">
        <v>1</v>
      </c>
      <c r="BW180">
        <v>1</v>
      </c>
      <c r="BX180">
        <v>1</v>
      </c>
      <c r="BY180" t="s">
        <v>6</v>
      </c>
      <c r="BZ180">
        <v>105</v>
      </c>
      <c r="CA180">
        <v>55</v>
      </c>
      <c r="CF180">
        <v>0</v>
      </c>
      <c r="CG180">
        <v>0</v>
      </c>
      <c r="CM180">
        <v>0</v>
      </c>
      <c r="CN180" t="s">
        <v>6</v>
      </c>
      <c r="CO180">
        <v>0</v>
      </c>
      <c r="CP180">
        <f t="shared" si="173"/>
        <v>268.06</v>
      </c>
      <c r="CQ180">
        <f t="shared" si="174"/>
        <v>41.196799999999996</v>
      </c>
      <c r="CR180">
        <f t="shared" si="175"/>
        <v>0</v>
      </c>
      <c r="CS180">
        <f t="shared" si="176"/>
        <v>0</v>
      </c>
      <c r="CT180">
        <f t="shared" si="177"/>
        <v>0</v>
      </c>
      <c r="CU180">
        <f t="shared" si="178"/>
        <v>0</v>
      </c>
      <c r="CV180">
        <f t="shared" si="179"/>
        <v>0</v>
      </c>
      <c r="CW180">
        <f t="shared" si="180"/>
        <v>0</v>
      </c>
      <c r="CX180">
        <f t="shared" si="181"/>
        <v>0</v>
      </c>
      <c r="CY180">
        <f t="shared" si="182"/>
        <v>0</v>
      </c>
      <c r="CZ180">
        <f t="shared" si="183"/>
        <v>0</v>
      </c>
      <c r="DC180" t="s">
        <v>6</v>
      </c>
      <c r="DD180" t="s">
        <v>6</v>
      </c>
      <c r="DE180" t="s">
        <v>6</v>
      </c>
      <c r="DF180" t="s">
        <v>6</v>
      </c>
      <c r="DG180" t="s">
        <v>6</v>
      </c>
      <c r="DH180" t="s">
        <v>6</v>
      </c>
      <c r="DI180" t="s">
        <v>6</v>
      </c>
      <c r="DJ180" t="s">
        <v>6</v>
      </c>
      <c r="DK180" t="s">
        <v>6</v>
      </c>
      <c r="DL180" t="s">
        <v>6</v>
      </c>
      <c r="DM180" t="s">
        <v>6</v>
      </c>
      <c r="DN180">
        <v>0</v>
      </c>
      <c r="DO180">
        <v>0</v>
      </c>
      <c r="DP180">
        <v>1</v>
      </c>
      <c r="DQ180">
        <v>1</v>
      </c>
      <c r="DU180">
        <v>1003</v>
      </c>
      <c r="DV180" t="s">
        <v>206</v>
      </c>
      <c r="DW180" t="s">
        <v>206</v>
      </c>
      <c r="DX180">
        <v>1</v>
      </c>
      <c r="EE180">
        <v>16510513</v>
      </c>
      <c r="EF180">
        <v>2</v>
      </c>
      <c r="EG180" t="s">
        <v>22</v>
      </c>
      <c r="EH180">
        <v>0</v>
      </c>
      <c r="EI180" t="s">
        <v>6</v>
      </c>
      <c r="EJ180">
        <v>1</v>
      </c>
      <c r="EK180">
        <v>15001</v>
      </c>
      <c r="EL180" t="s">
        <v>212</v>
      </c>
      <c r="EM180" t="s">
        <v>213</v>
      </c>
      <c r="EO180" t="s">
        <v>6</v>
      </c>
      <c r="EQ180">
        <v>0</v>
      </c>
      <c r="ER180">
        <v>6.28</v>
      </c>
      <c r="ES180">
        <v>6.28</v>
      </c>
      <c r="ET180">
        <v>0</v>
      </c>
      <c r="EU180">
        <v>0</v>
      </c>
      <c r="EV180">
        <v>0</v>
      </c>
      <c r="EW180">
        <v>0</v>
      </c>
      <c r="EX180">
        <v>0</v>
      </c>
      <c r="FQ180">
        <v>0</v>
      </c>
      <c r="FR180">
        <f t="shared" si="184"/>
        <v>0</v>
      </c>
      <c r="FS180">
        <v>0</v>
      </c>
      <c r="FT180" t="s">
        <v>25</v>
      </c>
      <c r="FU180" t="s">
        <v>26</v>
      </c>
      <c r="FX180">
        <v>94.5</v>
      </c>
      <c r="FY180">
        <v>46.75</v>
      </c>
      <c r="GA180" t="s">
        <v>6</v>
      </c>
      <c r="GD180">
        <v>0</v>
      </c>
      <c r="GF180">
        <v>956506138</v>
      </c>
      <c r="GG180">
        <v>1</v>
      </c>
      <c r="GH180">
        <v>1</v>
      </c>
      <c r="GI180">
        <v>4</v>
      </c>
      <c r="GJ180">
        <v>0</v>
      </c>
      <c r="GK180">
        <f>ROUND(R180*(R12)/100,2)</f>
        <v>0</v>
      </c>
      <c r="GL180">
        <f t="shared" si="185"/>
        <v>0</v>
      </c>
      <c r="GM180">
        <f t="shared" si="186"/>
        <v>268.06</v>
      </c>
      <c r="GN180">
        <f t="shared" si="187"/>
        <v>268.06</v>
      </c>
      <c r="GO180">
        <f t="shared" si="188"/>
        <v>0</v>
      </c>
      <c r="GP180">
        <f t="shared" si="189"/>
        <v>0</v>
      </c>
      <c r="GR180">
        <v>0</v>
      </c>
      <c r="GS180">
        <v>3</v>
      </c>
      <c r="GT180">
        <v>0</v>
      </c>
      <c r="GU180" t="s">
        <v>6</v>
      </c>
      <c r="GV180">
        <f t="shared" si="190"/>
        <v>0</v>
      </c>
      <c r="GW180">
        <v>1</v>
      </c>
      <c r="GX180">
        <f t="shared" si="191"/>
        <v>0</v>
      </c>
      <c r="HA180">
        <v>0</v>
      </c>
      <c r="HB180">
        <v>0</v>
      </c>
      <c r="IK180">
        <v>0</v>
      </c>
    </row>
    <row r="181" spans="1:245" x14ac:dyDescent="0.2">
      <c r="A181">
        <v>18</v>
      </c>
      <c r="B181">
        <v>1</v>
      </c>
      <c r="C181">
        <v>329</v>
      </c>
      <c r="E181" t="s">
        <v>541</v>
      </c>
      <c r="F181" t="s">
        <v>542</v>
      </c>
      <c r="G181" t="s">
        <v>543</v>
      </c>
      <c r="H181" t="s">
        <v>206</v>
      </c>
      <c r="I181">
        <f>I179*J181</f>
        <v>-119.7</v>
      </c>
      <c r="J181">
        <v>-1050</v>
      </c>
      <c r="O181">
        <f t="shared" si="158"/>
        <v>-19403.080000000002</v>
      </c>
      <c r="P181">
        <f t="shared" si="159"/>
        <v>-19403.080000000002</v>
      </c>
      <c r="Q181">
        <f t="shared" si="160"/>
        <v>0</v>
      </c>
      <c r="R181">
        <f t="shared" si="161"/>
        <v>0</v>
      </c>
      <c r="S181">
        <f t="shared" si="162"/>
        <v>0</v>
      </c>
      <c r="T181">
        <f t="shared" si="163"/>
        <v>0</v>
      </c>
      <c r="U181">
        <f t="shared" si="164"/>
        <v>0</v>
      </c>
      <c r="V181">
        <f t="shared" si="165"/>
        <v>0</v>
      </c>
      <c r="W181">
        <f t="shared" si="166"/>
        <v>0</v>
      </c>
      <c r="X181">
        <f t="shared" si="167"/>
        <v>0</v>
      </c>
      <c r="Y181">
        <f t="shared" si="168"/>
        <v>0</v>
      </c>
      <c r="AA181">
        <v>16748969</v>
      </c>
      <c r="AB181">
        <f t="shared" ref="AB181:AB183" si="197">ROUND((AC181+AD181+AF181),2)</f>
        <v>24.71</v>
      </c>
      <c r="AC181">
        <f t="shared" si="192"/>
        <v>24.71</v>
      </c>
      <c r="AD181">
        <f>ROUND((((ET181)-(EU181))+AE181),2)</f>
        <v>0</v>
      </c>
      <c r="AE181">
        <f t="shared" si="195"/>
        <v>0</v>
      </c>
      <c r="AF181">
        <f t="shared" si="195"/>
        <v>0</v>
      </c>
      <c r="AG181">
        <f t="shared" si="171"/>
        <v>0</v>
      </c>
      <c r="AH181">
        <f t="shared" si="196"/>
        <v>0</v>
      </c>
      <c r="AI181">
        <f t="shared" si="196"/>
        <v>0</v>
      </c>
      <c r="AJ181">
        <f t="shared" si="172"/>
        <v>0</v>
      </c>
      <c r="AK181">
        <v>24.71</v>
      </c>
      <c r="AL181">
        <v>24.71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95</v>
      </c>
      <c r="AU181">
        <v>47</v>
      </c>
      <c r="AV181">
        <v>1</v>
      </c>
      <c r="AW181">
        <v>1</v>
      </c>
      <c r="AZ181">
        <v>6.56</v>
      </c>
      <c r="BA181">
        <v>1</v>
      </c>
      <c r="BB181">
        <v>1</v>
      </c>
      <c r="BC181">
        <v>6.56</v>
      </c>
      <c r="BD181" t="s">
        <v>6</v>
      </c>
      <c r="BE181" t="s">
        <v>6</v>
      </c>
      <c r="BF181" t="s">
        <v>6</v>
      </c>
      <c r="BG181" t="s">
        <v>6</v>
      </c>
      <c r="BH181">
        <v>3</v>
      </c>
      <c r="BI181">
        <v>1</v>
      </c>
      <c r="BJ181" t="s">
        <v>544</v>
      </c>
      <c r="BM181">
        <v>15001</v>
      </c>
      <c r="BN181">
        <v>0</v>
      </c>
      <c r="BO181" t="s">
        <v>6</v>
      </c>
      <c r="BP181">
        <v>0</v>
      </c>
      <c r="BQ181">
        <v>2</v>
      </c>
      <c r="BR181">
        <v>1</v>
      </c>
      <c r="BS181">
        <v>1</v>
      </c>
      <c r="BT181">
        <v>1</v>
      </c>
      <c r="BU181">
        <v>1</v>
      </c>
      <c r="BV181">
        <v>1</v>
      </c>
      <c r="BW181">
        <v>1</v>
      </c>
      <c r="BX181">
        <v>1</v>
      </c>
      <c r="BY181" t="s">
        <v>6</v>
      </c>
      <c r="BZ181">
        <v>105</v>
      </c>
      <c r="CA181">
        <v>55</v>
      </c>
      <c r="CF181">
        <v>0</v>
      </c>
      <c r="CG181">
        <v>0</v>
      </c>
      <c r="CM181">
        <v>0</v>
      </c>
      <c r="CN181" t="s">
        <v>6</v>
      </c>
      <c r="CO181">
        <v>0</v>
      </c>
      <c r="CP181">
        <f t="shared" si="173"/>
        <v>-19403.080000000002</v>
      </c>
      <c r="CQ181">
        <f t="shared" si="174"/>
        <v>162.0976</v>
      </c>
      <c r="CR181">
        <f t="shared" si="175"/>
        <v>0</v>
      </c>
      <c r="CS181">
        <f t="shared" si="176"/>
        <v>0</v>
      </c>
      <c r="CT181">
        <f t="shared" si="177"/>
        <v>0</v>
      </c>
      <c r="CU181">
        <f t="shared" si="178"/>
        <v>0</v>
      </c>
      <c r="CV181">
        <f t="shared" si="179"/>
        <v>0</v>
      </c>
      <c r="CW181">
        <f t="shared" si="180"/>
        <v>0</v>
      </c>
      <c r="CX181">
        <f t="shared" si="181"/>
        <v>0</v>
      </c>
      <c r="CY181">
        <f t="shared" si="182"/>
        <v>0</v>
      </c>
      <c r="CZ181">
        <f t="shared" si="183"/>
        <v>0</v>
      </c>
      <c r="DC181" t="s">
        <v>6</v>
      </c>
      <c r="DD181" t="s">
        <v>6</v>
      </c>
      <c r="DE181" t="s">
        <v>6</v>
      </c>
      <c r="DF181" t="s">
        <v>6</v>
      </c>
      <c r="DG181" t="s">
        <v>6</v>
      </c>
      <c r="DH181" t="s">
        <v>6</v>
      </c>
      <c r="DI181" t="s">
        <v>6</v>
      </c>
      <c r="DJ181" t="s">
        <v>6</v>
      </c>
      <c r="DK181" t="s">
        <v>6</v>
      </c>
      <c r="DL181" t="s">
        <v>6</v>
      </c>
      <c r="DM181" t="s">
        <v>6</v>
      </c>
      <c r="DN181">
        <v>0</v>
      </c>
      <c r="DO181">
        <v>0</v>
      </c>
      <c r="DP181">
        <v>1</v>
      </c>
      <c r="DQ181">
        <v>1</v>
      </c>
      <c r="DU181">
        <v>1003</v>
      </c>
      <c r="DV181" t="s">
        <v>206</v>
      </c>
      <c r="DW181" t="s">
        <v>206</v>
      </c>
      <c r="DX181">
        <v>1</v>
      </c>
      <c r="EE181">
        <v>16510513</v>
      </c>
      <c r="EF181">
        <v>2</v>
      </c>
      <c r="EG181" t="s">
        <v>22</v>
      </c>
      <c r="EH181">
        <v>0</v>
      </c>
      <c r="EI181" t="s">
        <v>6</v>
      </c>
      <c r="EJ181">
        <v>1</v>
      </c>
      <c r="EK181">
        <v>15001</v>
      </c>
      <c r="EL181" t="s">
        <v>212</v>
      </c>
      <c r="EM181" t="s">
        <v>213</v>
      </c>
      <c r="EO181" t="s">
        <v>6</v>
      </c>
      <c r="EQ181">
        <v>0</v>
      </c>
      <c r="ER181">
        <v>24.71</v>
      </c>
      <c r="ES181">
        <v>24.71</v>
      </c>
      <c r="ET181">
        <v>0</v>
      </c>
      <c r="EU181">
        <v>0</v>
      </c>
      <c r="EV181">
        <v>0</v>
      </c>
      <c r="EW181">
        <v>0</v>
      </c>
      <c r="EX181">
        <v>0</v>
      </c>
      <c r="FQ181">
        <v>0</v>
      </c>
      <c r="FR181">
        <f t="shared" si="184"/>
        <v>0</v>
      </c>
      <c r="FS181">
        <v>0</v>
      </c>
      <c r="FT181" t="s">
        <v>25</v>
      </c>
      <c r="FU181" t="s">
        <v>26</v>
      </c>
      <c r="FX181">
        <v>94.5</v>
      </c>
      <c r="FY181">
        <v>46.75</v>
      </c>
      <c r="GA181" t="s">
        <v>6</v>
      </c>
      <c r="GD181">
        <v>0</v>
      </c>
      <c r="GF181">
        <v>1265826934</v>
      </c>
      <c r="GG181">
        <v>1</v>
      </c>
      <c r="GH181">
        <v>1</v>
      </c>
      <c r="GI181">
        <v>4</v>
      </c>
      <c r="GJ181">
        <v>0</v>
      </c>
      <c r="GK181">
        <f>ROUND(R181*(R12)/100,2)</f>
        <v>0</v>
      </c>
      <c r="GL181">
        <f t="shared" si="185"/>
        <v>0</v>
      </c>
      <c r="GM181">
        <f t="shared" si="186"/>
        <v>-19403.080000000002</v>
      </c>
      <c r="GN181">
        <f t="shared" si="187"/>
        <v>-19403.080000000002</v>
      </c>
      <c r="GO181">
        <f t="shared" si="188"/>
        <v>0</v>
      </c>
      <c r="GP181">
        <f t="shared" si="189"/>
        <v>0</v>
      </c>
      <c r="GR181">
        <v>0</v>
      </c>
      <c r="GS181">
        <v>3</v>
      </c>
      <c r="GT181">
        <v>0</v>
      </c>
      <c r="GU181" t="s">
        <v>6</v>
      </c>
      <c r="GV181">
        <f t="shared" si="190"/>
        <v>0</v>
      </c>
      <c r="GW181">
        <v>1</v>
      </c>
      <c r="GX181">
        <f t="shared" ref="GX181:GX185" si="198">ROUND(GV181*GW181*I181,2)</f>
        <v>0</v>
      </c>
      <c r="HA181">
        <v>0</v>
      </c>
      <c r="HB181">
        <v>0</v>
      </c>
      <c r="IK181">
        <v>0</v>
      </c>
    </row>
    <row r="182" spans="1:245" x14ac:dyDescent="0.2">
      <c r="A182">
        <v>18</v>
      </c>
      <c r="B182">
        <v>1</v>
      </c>
      <c r="C182">
        <v>328</v>
      </c>
      <c r="E182" t="s">
        <v>545</v>
      </c>
      <c r="F182" t="s">
        <v>546</v>
      </c>
      <c r="G182" t="s">
        <v>547</v>
      </c>
      <c r="H182" t="s">
        <v>20</v>
      </c>
      <c r="I182">
        <f>I179*J182</f>
        <v>0.114</v>
      </c>
      <c r="J182">
        <v>1</v>
      </c>
      <c r="O182">
        <f t="shared" si="158"/>
        <v>12670.65</v>
      </c>
      <c r="P182">
        <f t="shared" si="159"/>
        <v>12670.65</v>
      </c>
      <c r="Q182">
        <f t="shared" si="160"/>
        <v>0</v>
      </c>
      <c r="R182">
        <f t="shared" si="161"/>
        <v>0</v>
      </c>
      <c r="S182">
        <f t="shared" si="162"/>
        <v>0</v>
      </c>
      <c r="T182">
        <f t="shared" si="163"/>
        <v>0</v>
      </c>
      <c r="U182">
        <f t="shared" si="164"/>
        <v>0</v>
      </c>
      <c r="V182">
        <f t="shared" si="165"/>
        <v>0</v>
      </c>
      <c r="W182">
        <f t="shared" si="166"/>
        <v>0</v>
      </c>
      <c r="X182">
        <f t="shared" si="167"/>
        <v>0</v>
      </c>
      <c r="Y182">
        <f t="shared" si="168"/>
        <v>0</v>
      </c>
      <c r="AA182">
        <v>16748969</v>
      </c>
      <c r="AB182">
        <f t="shared" si="197"/>
        <v>16943</v>
      </c>
      <c r="AC182">
        <f t="shared" si="192"/>
        <v>16943</v>
      </c>
      <c r="AD182">
        <f>ROUND((((ET182)-(EU182))+AE182),2)</f>
        <v>0</v>
      </c>
      <c r="AE182">
        <f t="shared" si="195"/>
        <v>0</v>
      </c>
      <c r="AF182">
        <f t="shared" si="195"/>
        <v>0</v>
      </c>
      <c r="AG182">
        <f t="shared" si="171"/>
        <v>0</v>
      </c>
      <c r="AH182">
        <f t="shared" si="196"/>
        <v>0</v>
      </c>
      <c r="AI182">
        <f t="shared" si="196"/>
        <v>0</v>
      </c>
      <c r="AJ182">
        <f t="shared" si="172"/>
        <v>0</v>
      </c>
      <c r="AK182">
        <v>16943</v>
      </c>
      <c r="AL182">
        <v>16943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>
        <v>0</v>
      </c>
      <c r="AT182">
        <v>95</v>
      </c>
      <c r="AU182">
        <v>47</v>
      </c>
      <c r="AV182">
        <v>1</v>
      </c>
      <c r="AW182">
        <v>1</v>
      </c>
      <c r="AZ182">
        <v>6.56</v>
      </c>
      <c r="BA182">
        <v>1</v>
      </c>
      <c r="BB182">
        <v>1</v>
      </c>
      <c r="BC182">
        <v>6.56</v>
      </c>
      <c r="BD182" t="s">
        <v>6</v>
      </c>
      <c r="BE182" t="s">
        <v>6</v>
      </c>
      <c r="BF182" t="s">
        <v>6</v>
      </c>
      <c r="BG182" t="s">
        <v>6</v>
      </c>
      <c r="BH182">
        <v>3</v>
      </c>
      <c r="BI182">
        <v>1</v>
      </c>
      <c r="BJ182" t="s">
        <v>548</v>
      </c>
      <c r="BM182">
        <v>15001</v>
      </c>
      <c r="BN182">
        <v>0</v>
      </c>
      <c r="BO182" t="s">
        <v>6</v>
      </c>
      <c r="BP182">
        <v>0</v>
      </c>
      <c r="BQ182">
        <v>2</v>
      </c>
      <c r="BR182">
        <v>0</v>
      </c>
      <c r="BS182">
        <v>1</v>
      </c>
      <c r="BT182">
        <v>1</v>
      </c>
      <c r="BU182">
        <v>1</v>
      </c>
      <c r="BV182">
        <v>1</v>
      </c>
      <c r="BW182">
        <v>1</v>
      </c>
      <c r="BX182">
        <v>1</v>
      </c>
      <c r="BY182" t="s">
        <v>6</v>
      </c>
      <c r="BZ182">
        <v>105</v>
      </c>
      <c r="CA182">
        <v>55</v>
      </c>
      <c r="CF182">
        <v>0</v>
      </c>
      <c r="CG182">
        <v>0</v>
      </c>
      <c r="CM182">
        <v>0</v>
      </c>
      <c r="CN182" t="s">
        <v>6</v>
      </c>
      <c r="CO182">
        <v>0</v>
      </c>
      <c r="CP182">
        <f t="shared" si="173"/>
        <v>12670.65</v>
      </c>
      <c r="CQ182">
        <f t="shared" si="174"/>
        <v>111146.07999999999</v>
      </c>
      <c r="CR182">
        <f t="shared" si="175"/>
        <v>0</v>
      </c>
      <c r="CS182">
        <f t="shared" si="176"/>
        <v>0</v>
      </c>
      <c r="CT182">
        <f t="shared" si="177"/>
        <v>0</v>
      </c>
      <c r="CU182">
        <f t="shared" si="178"/>
        <v>0</v>
      </c>
      <c r="CV182">
        <f t="shared" si="179"/>
        <v>0</v>
      </c>
      <c r="CW182">
        <f t="shared" si="180"/>
        <v>0</v>
      </c>
      <c r="CX182">
        <f t="shared" si="181"/>
        <v>0</v>
      </c>
      <c r="CY182">
        <f t="shared" si="182"/>
        <v>0</v>
      </c>
      <c r="CZ182">
        <f t="shared" si="183"/>
        <v>0</v>
      </c>
      <c r="DC182" t="s">
        <v>6</v>
      </c>
      <c r="DD182" t="s">
        <v>6</v>
      </c>
      <c r="DE182" t="s">
        <v>6</v>
      </c>
      <c r="DF182" t="s">
        <v>6</v>
      </c>
      <c r="DG182" t="s">
        <v>6</v>
      </c>
      <c r="DH182" t="s">
        <v>6</v>
      </c>
      <c r="DI182" t="s">
        <v>6</v>
      </c>
      <c r="DJ182" t="s">
        <v>6</v>
      </c>
      <c r="DK182" t="s">
        <v>6</v>
      </c>
      <c r="DL182" t="s">
        <v>6</v>
      </c>
      <c r="DM182" t="s">
        <v>6</v>
      </c>
      <c r="DN182">
        <v>0</v>
      </c>
      <c r="DO182">
        <v>0</v>
      </c>
      <c r="DP182">
        <v>1</v>
      </c>
      <c r="DQ182">
        <v>1</v>
      </c>
      <c r="DU182">
        <v>1005</v>
      </c>
      <c r="DV182" t="s">
        <v>20</v>
      </c>
      <c r="DW182" t="s">
        <v>20</v>
      </c>
      <c r="DX182">
        <v>100</v>
      </c>
      <c r="EE182">
        <v>16510513</v>
      </c>
      <c r="EF182">
        <v>2</v>
      </c>
      <c r="EG182" t="s">
        <v>22</v>
      </c>
      <c r="EH182">
        <v>0</v>
      </c>
      <c r="EI182" t="s">
        <v>6</v>
      </c>
      <c r="EJ182">
        <v>1</v>
      </c>
      <c r="EK182">
        <v>15001</v>
      </c>
      <c r="EL182" t="s">
        <v>212</v>
      </c>
      <c r="EM182" t="s">
        <v>213</v>
      </c>
      <c r="EO182" t="s">
        <v>6</v>
      </c>
      <c r="EQ182">
        <v>0</v>
      </c>
      <c r="ER182">
        <v>16943</v>
      </c>
      <c r="ES182">
        <v>16943</v>
      </c>
      <c r="ET182">
        <v>0</v>
      </c>
      <c r="EU182">
        <v>0</v>
      </c>
      <c r="EV182">
        <v>0</v>
      </c>
      <c r="EW182">
        <v>0</v>
      </c>
      <c r="EX182">
        <v>0</v>
      </c>
      <c r="FQ182">
        <v>0</v>
      </c>
      <c r="FR182">
        <f t="shared" si="184"/>
        <v>0</v>
      </c>
      <c r="FS182">
        <v>0</v>
      </c>
      <c r="FT182" t="s">
        <v>25</v>
      </c>
      <c r="FU182" t="s">
        <v>26</v>
      </c>
      <c r="FX182">
        <v>94.5</v>
      </c>
      <c r="FY182">
        <v>46.75</v>
      </c>
      <c r="GA182" t="s">
        <v>6</v>
      </c>
      <c r="GD182">
        <v>0</v>
      </c>
      <c r="GF182">
        <v>1530368068</v>
      </c>
      <c r="GG182">
        <v>1</v>
      </c>
      <c r="GH182">
        <v>1</v>
      </c>
      <c r="GI182">
        <v>4</v>
      </c>
      <c r="GJ182">
        <v>0</v>
      </c>
      <c r="GK182">
        <f>ROUND(R182*(R12)/100,2)</f>
        <v>0</v>
      </c>
      <c r="GL182">
        <f t="shared" si="185"/>
        <v>0</v>
      </c>
      <c r="GM182">
        <f t="shared" si="186"/>
        <v>12670.65</v>
      </c>
      <c r="GN182">
        <f t="shared" si="187"/>
        <v>12670.65</v>
      </c>
      <c r="GO182">
        <f t="shared" si="188"/>
        <v>0</v>
      </c>
      <c r="GP182">
        <f t="shared" si="189"/>
        <v>0</v>
      </c>
      <c r="GR182">
        <v>0</v>
      </c>
      <c r="GS182">
        <v>3</v>
      </c>
      <c r="GT182">
        <v>0</v>
      </c>
      <c r="GU182" t="s">
        <v>6</v>
      </c>
      <c r="GV182">
        <f t="shared" si="190"/>
        <v>0</v>
      </c>
      <c r="GW182">
        <v>1</v>
      </c>
      <c r="GX182">
        <f t="shared" si="198"/>
        <v>0</v>
      </c>
      <c r="HA182">
        <v>0</v>
      </c>
      <c r="HB182">
        <v>0</v>
      </c>
      <c r="IK182">
        <v>0</v>
      </c>
    </row>
    <row r="183" spans="1:245" x14ac:dyDescent="0.2">
      <c r="A183">
        <v>17</v>
      </c>
      <c r="B183">
        <v>1</v>
      </c>
      <c r="C183">
        <f>ROW(SmtRes!A331)</f>
        <v>331</v>
      </c>
      <c r="D183">
        <f>ROW(EtalonRes!A313)</f>
        <v>313</v>
      </c>
      <c r="E183" t="s">
        <v>549</v>
      </c>
      <c r="F183" t="s">
        <v>550</v>
      </c>
      <c r="G183" t="s">
        <v>551</v>
      </c>
      <c r="H183" t="s">
        <v>71</v>
      </c>
      <c r="I183">
        <v>18</v>
      </c>
      <c r="J183">
        <v>0</v>
      </c>
      <c r="O183">
        <f t="shared" si="158"/>
        <v>2811.48</v>
      </c>
      <c r="P183">
        <f t="shared" si="159"/>
        <v>1936.51</v>
      </c>
      <c r="Q183">
        <f t="shared" si="160"/>
        <v>0</v>
      </c>
      <c r="R183">
        <f t="shared" si="161"/>
        <v>0</v>
      </c>
      <c r="S183">
        <f t="shared" si="162"/>
        <v>874.97</v>
      </c>
      <c r="T183">
        <f t="shared" si="163"/>
        <v>0</v>
      </c>
      <c r="U183">
        <f t="shared" si="164"/>
        <v>18.54</v>
      </c>
      <c r="V183">
        <f t="shared" si="165"/>
        <v>0</v>
      </c>
      <c r="W183">
        <f t="shared" si="166"/>
        <v>0</v>
      </c>
      <c r="X183">
        <f t="shared" si="167"/>
        <v>682.48</v>
      </c>
      <c r="Y183">
        <f t="shared" si="168"/>
        <v>437.49</v>
      </c>
      <c r="AA183">
        <v>16748969</v>
      </c>
      <c r="AB183">
        <f t="shared" si="197"/>
        <v>23.81</v>
      </c>
      <c r="AC183">
        <f t="shared" si="192"/>
        <v>16.399999999999999</v>
      </c>
      <c r="AD183">
        <f>ROUND((((ET183)-(EU183))+AE183),2)</f>
        <v>0</v>
      </c>
      <c r="AE183">
        <f t="shared" si="195"/>
        <v>0</v>
      </c>
      <c r="AF183">
        <f t="shared" si="195"/>
        <v>7.41</v>
      </c>
      <c r="AG183">
        <f t="shared" si="171"/>
        <v>0</v>
      </c>
      <c r="AH183">
        <f t="shared" si="196"/>
        <v>1.03</v>
      </c>
      <c r="AI183">
        <f t="shared" si="196"/>
        <v>0</v>
      </c>
      <c r="AJ183">
        <f t="shared" si="172"/>
        <v>0</v>
      </c>
      <c r="AK183">
        <v>23.81</v>
      </c>
      <c r="AL183">
        <v>16.399999999999999</v>
      </c>
      <c r="AM183">
        <v>0</v>
      </c>
      <c r="AN183">
        <v>0</v>
      </c>
      <c r="AO183">
        <v>7.41</v>
      </c>
      <c r="AP183">
        <v>0</v>
      </c>
      <c r="AQ183">
        <v>1.03</v>
      </c>
      <c r="AR183">
        <v>0</v>
      </c>
      <c r="AS183">
        <v>0</v>
      </c>
      <c r="AT183">
        <v>78</v>
      </c>
      <c r="AU183">
        <v>50</v>
      </c>
      <c r="AV183">
        <v>1</v>
      </c>
      <c r="AW183">
        <v>1</v>
      </c>
      <c r="AZ183">
        <v>6.56</v>
      </c>
      <c r="BA183">
        <v>6.56</v>
      </c>
      <c r="BB183">
        <v>6.56</v>
      </c>
      <c r="BC183">
        <v>6.56</v>
      </c>
      <c r="BD183" t="s">
        <v>6</v>
      </c>
      <c r="BE183" t="s">
        <v>6</v>
      </c>
      <c r="BF183" t="s">
        <v>6</v>
      </c>
      <c r="BG183" t="s">
        <v>6</v>
      </c>
      <c r="BH183">
        <v>0</v>
      </c>
      <c r="BI183">
        <v>1</v>
      </c>
      <c r="BJ183" t="s">
        <v>552</v>
      </c>
      <c r="BM183">
        <v>69001</v>
      </c>
      <c r="BN183">
        <v>0</v>
      </c>
      <c r="BO183" t="s">
        <v>6</v>
      </c>
      <c r="BP183">
        <v>0</v>
      </c>
      <c r="BQ183">
        <v>6</v>
      </c>
      <c r="BR183">
        <v>0</v>
      </c>
      <c r="BS183">
        <v>6.56</v>
      </c>
      <c r="BT183">
        <v>1</v>
      </c>
      <c r="BU183">
        <v>1</v>
      </c>
      <c r="BV183">
        <v>1</v>
      </c>
      <c r="BW183">
        <v>1</v>
      </c>
      <c r="BX183">
        <v>1</v>
      </c>
      <c r="BY183" t="s">
        <v>6</v>
      </c>
      <c r="BZ183">
        <v>78</v>
      </c>
      <c r="CA183">
        <v>50</v>
      </c>
      <c r="CF183">
        <v>0</v>
      </c>
      <c r="CG183">
        <v>0</v>
      </c>
      <c r="CM183">
        <v>0</v>
      </c>
      <c r="CN183" t="s">
        <v>6</v>
      </c>
      <c r="CO183">
        <v>0</v>
      </c>
      <c r="CP183">
        <f t="shared" si="173"/>
        <v>2811.48</v>
      </c>
      <c r="CQ183">
        <f t="shared" si="174"/>
        <v>107.58399999999999</v>
      </c>
      <c r="CR183">
        <f t="shared" si="175"/>
        <v>0</v>
      </c>
      <c r="CS183">
        <f t="shared" si="176"/>
        <v>0</v>
      </c>
      <c r="CT183">
        <f t="shared" si="177"/>
        <v>48.6096</v>
      </c>
      <c r="CU183">
        <f t="shared" si="178"/>
        <v>0</v>
      </c>
      <c r="CV183">
        <f t="shared" si="179"/>
        <v>1.03</v>
      </c>
      <c r="CW183">
        <f t="shared" si="180"/>
        <v>0</v>
      </c>
      <c r="CX183">
        <f t="shared" si="181"/>
        <v>0</v>
      </c>
      <c r="CY183">
        <f t="shared" si="182"/>
        <v>682.47660000000008</v>
      </c>
      <c r="CZ183">
        <f t="shared" si="183"/>
        <v>437.48500000000001</v>
      </c>
      <c r="DC183" t="s">
        <v>6</v>
      </c>
      <c r="DD183" t="s">
        <v>6</v>
      </c>
      <c r="DE183" t="s">
        <v>6</v>
      </c>
      <c r="DF183" t="s">
        <v>6</v>
      </c>
      <c r="DG183" t="s">
        <v>6</v>
      </c>
      <c r="DH183" t="s">
        <v>6</v>
      </c>
      <c r="DI183" t="s">
        <v>6</v>
      </c>
      <c r="DJ183" t="s">
        <v>6</v>
      </c>
      <c r="DK183" t="s">
        <v>6</v>
      </c>
      <c r="DL183" t="s">
        <v>6</v>
      </c>
      <c r="DM183" t="s">
        <v>6</v>
      </c>
      <c r="DN183">
        <v>0</v>
      </c>
      <c r="DO183">
        <v>0</v>
      </c>
      <c r="DP183">
        <v>1</v>
      </c>
      <c r="DQ183">
        <v>1</v>
      </c>
      <c r="DU183">
        <v>1009</v>
      </c>
      <c r="DV183" t="s">
        <v>71</v>
      </c>
      <c r="DW183" t="s">
        <v>71</v>
      </c>
      <c r="DX183">
        <v>1000</v>
      </c>
      <c r="EE183">
        <v>16510614</v>
      </c>
      <c r="EF183">
        <v>6</v>
      </c>
      <c r="EG183" t="s">
        <v>36</v>
      </c>
      <c r="EH183">
        <v>0</v>
      </c>
      <c r="EI183" t="s">
        <v>6</v>
      </c>
      <c r="EJ183">
        <v>1</v>
      </c>
      <c r="EK183">
        <v>69001</v>
      </c>
      <c r="EL183" t="s">
        <v>553</v>
      </c>
      <c r="EM183" t="s">
        <v>554</v>
      </c>
      <c r="EO183" t="s">
        <v>6</v>
      </c>
      <c r="EQ183">
        <v>131072</v>
      </c>
      <c r="ER183">
        <v>23.81</v>
      </c>
      <c r="ES183">
        <v>16.399999999999999</v>
      </c>
      <c r="ET183">
        <v>0</v>
      </c>
      <c r="EU183">
        <v>0</v>
      </c>
      <c r="EV183">
        <v>7.41</v>
      </c>
      <c r="EW183">
        <v>1.03</v>
      </c>
      <c r="EX183">
        <v>0</v>
      </c>
      <c r="EY183">
        <v>0</v>
      </c>
      <c r="FQ183">
        <v>0</v>
      </c>
      <c r="FR183">
        <f t="shared" si="184"/>
        <v>0</v>
      </c>
      <c r="FS183">
        <v>0</v>
      </c>
      <c r="FX183">
        <v>78</v>
      </c>
      <c r="FY183">
        <v>50</v>
      </c>
      <c r="GA183" t="s">
        <v>6</v>
      </c>
      <c r="GD183">
        <v>0</v>
      </c>
      <c r="GF183">
        <v>-38060493</v>
      </c>
      <c r="GG183">
        <v>1</v>
      </c>
      <c r="GH183">
        <v>1</v>
      </c>
      <c r="GI183">
        <v>4</v>
      </c>
      <c r="GJ183">
        <v>0</v>
      </c>
      <c r="GK183">
        <f>ROUND(R183*(R12)/100,2)</f>
        <v>0</v>
      </c>
      <c r="GL183">
        <f t="shared" si="185"/>
        <v>0</v>
      </c>
      <c r="GM183">
        <f t="shared" si="186"/>
        <v>3931.45</v>
      </c>
      <c r="GN183">
        <f t="shared" si="187"/>
        <v>3931.45</v>
      </c>
      <c r="GO183">
        <f t="shared" si="188"/>
        <v>0</v>
      </c>
      <c r="GP183">
        <f t="shared" si="189"/>
        <v>0</v>
      </c>
      <c r="GR183">
        <v>0</v>
      </c>
      <c r="GS183">
        <v>3</v>
      </c>
      <c r="GT183">
        <v>0</v>
      </c>
      <c r="GU183" t="s">
        <v>6</v>
      </c>
      <c r="GV183">
        <f t="shared" si="190"/>
        <v>0</v>
      </c>
      <c r="GW183">
        <v>1</v>
      </c>
      <c r="GX183">
        <f t="shared" si="198"/>
        <v>0</v>
      </c>
      <c r="HA183">
        <v>0</v>
      </c>
      <c r="HB183">
        <v>0</v>
      </c>
      <c r="IK183">
        <v>0</v>
      </c>
    </row>
    <row r="184" spans="1:245" x14ac:dyDescent="0.2">
      <c r="A184">
        <v>17</v>
      </c>
      <c r="B184">
        <v>1</v>
      </c>
      <c r="E184" t="s">
        <v>555</v>
      </c>
      <c r="F184" t="s">
        <v>556</v>
      </c>
      <c r="G184" t="s">
        <v>557</v>
      </c>
      <c r="H184" t="s">
        <v>558</v>
      </c>
      <c r="I184">
        <v>18</v>
      </c>
      <c r="J184">
        <v>0</v>
      </c>
      <c r="O184">
        <f>0</f>
        <v>0</v>
      </c>
      <c r="P184">
        <f>0</f>
        <v>0</v>
      </c>
      <c r="Q184">
        <f>0</f>
        <v>0</v>
      </c>
      <c r="R184">
        <f>0</f>
        <v>0</v>
      </c>
      <c r="S184">
        <f>0</f>
        <v>0</v>
      </c>
      <c r="T184">
        <f>0</f>
        <v>0</v>
      </c>
      <c r="U184">
        <f>0</f>
        <v>0</v>
      </c>
      <c r="V184">
        <f>0</f>
        <v>0</v>
      </c>
      <c r="W184">
        <f>0</f>
        <v>0</v>
      </c>
      <c r="X184">
        <f>0</f>
        <v>0</v>
      </c>
      <c r="Y184">
        <f>0</f>
        <v>0</v>
      </c>
      <c r="AA184">
        <v>16748969</v>
      </c>
      <c r="AB184">
        <f>ROUND((AK184),2)</f>
        <v>42.98</v>
      </c>
      <c r="AC184">
        <f>0</f>
        <v>0</v>
      </c>
      <c r="AD184">
        <f>0</f>
        <v>0</v>
      </c>
      <c r="AE184">
        <f>0</f>
        <v>0</v>
      </c>
      <c r="AF184">
        <f>0</f>
        <v>0</v>
      </c>
      <c r="AG184">
        <f>0</f>
        <v>0</v>
      </c>
      <c r="AH184">
        <f>0</f>
        <v>0</v>
      </c>
      <c r="AI184">
        <f>0</f>
        <v>0</v>
      </c>
      <c r="AJ184">
        <f>0</f>
        <v>0</v>
      </c>
      <c r="AK184">
        <v>42.98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0</v>
      </c>
      <c r="AU184">
        <v>0</v>
      </c>
      <c r="AV184">
        <v>1</v>
      </c>
      <c r="AW184">
        <v>1</v>
      </c>
      <c r="AZ184">
        <v>6.56</v>
      </c>
      <c r="BA184">
        <v>1</v>
      </c>
      <c r="BB184">
        <v>1</v>
      </c>
      <c r="BC184">
        <v>1</v>
      </c>
      <c r="BD184" t="s">
        <v>6</v>
      </c>
      <c r="BE184" t="s">
        <v>6</v>
      </c>
      <c r="BF184" t="s">
        <v>6</v>
      </c>
      <c r="BG184" t="s">
        <v>6</v>
      </c>
      <c r="BH184">
        <v>0</v>
      </c>
      <c r="BI184">
        <v>1</v>
      </c>
      <c r="BJ184" t="s">
        <v>559</v>
      </c>
      <c r="BM184">
        <v>700004</v>
      </c>
      <c r="BN184">
        <v>0</v>
      </c>
      <c r="BO184" t="s">
        <v>6</v>
      </c>
      <c r="BP184">
        <v>0</v>
      </c>
      <c r="BQ184">
        <v>19</v>
      </c>
      <c r="BR184">
        <v>0</v>
      </c>
      <c r="BS184">
        <v>1</v>
      </c>
      <c r="BT184">
        <v>1</v>
      </c>
      <c r="BU184">
        <v>1</v>
      </c>
      <c r="BV184">
        <v>1</v>
      </c>
      <c r="BW184">
        <v>1</v>
      </c>
      <c r="BX184">
        <v>1</v>
      </c>
      <c r="BY184" t="s">
        <v>6</v>
      </c>
      <c r="BZ184">
        <v>0</v>
      </c>
      <c r="CA184">
        <v>0</v>
      </c>
      <c r="CF184">
        <v>0</v>
      </c>
      <c r="CG184">
        <v>0</v>
      </c>
      <c r="CM184">
        <v>0</v>
      </c>
      <c r="CN184" t="s">
        <v>6</v>
      </c>
      <c r="CO184">
        <v>0</v>
      </c>
      <c r="CP184">
        <f>AB184*AZ184</f>
        <v>281.94879999999995</v>
      </c>
      <c r="CQ184">
        <v>0</v>
      </c>
      <c r="CR184">
        <v>0</v>
      </c>
      <c r="CS184">
        <v>0</v>
      </c>
      <c r="CT184">
        <v>0</v>
      </c>
      <c r="CU184">
        <v>0</v>
      </c>
      <c r="CV184">
        <v>0</v>
      </c>
      <c r="CW184">
        <v>0</v>
      </c>
      <c r="CX184">
        <v>0</v>
      </c>
      <c r="CY184">
        <v>0</v>
      </c>
      <c r="CZ184">
        <v>0</v>
      </c>
      <c r="DC184" t="s">
        <v>6</v>
      </c>
      <c r="DD184" t="s">
        <v>6</v>
      </c>
      <c r="DE184" t="s">
        <v>6</v>
      </c>
      <c r="DF184" t="s">
        <v>6</v>
      </c>
      <c r="DG184" t="s">
        <v>6</v>
      </c>
      <c r="DH184" t="s">
        <v>6</v>
      </c>
      <c r="DI184" t="s">
        <v>6</v>
      </c>
      <c r="DJ184" t="s">
        <v>6</v>
      </c>
      <c r="DK184" t="s">
        <v>6</v>
      </c>
      <c r="DL184" t="s">
        <v>6</v>
      </c>
      <c r="DM184" t="s">
        <v>6</v>
      </c>
      <c r="DN184">
        <v>0</v>
      </c>
      <c r="DO184">
        <v>0</v>
      </c>
      <c r="DP184">
        <v>1</v>
      </c>
      <c r="DQ184">
        <v>1</v>
      </c>
      <c r="DU184">
        <v>1013</v>
      </c>
      <c r="DV184" t="s">
        <v>558</v>
      </c>
      <c r="DW184" t="s">
        <v>558</v>
      </c>
      <c r="DX184">
        <v>1</v>
      </c>
      <c r="EE184">
        <v>16510675</v>
      </c>
      <c r="EF184">
        <v>19</v>
      </c>
      <c r="EG184" t="s">
        <v>560</v>
      </c>
      <c r="EH184">
        <v>0</v>
      </c>
      <c r="EI184" t="s">
        <v>6</v>
      </c>
      <c r="EJ184">
        <v>1</v>
      </c>
      <c r="EK184">
        <v>700004</v>
      </c>
      <c r="EL184" t="s">
        <v>561</v>
      </c>
      <c r="EM184" t="s">
        <v>562</v>
      </c>
      <c r="EO184" t="s">
        <v>6</v>
      </c>
      <c r="EQ184">
        <v>131072</v>
      </c>
      <c r="ER184">
        <v>0</v>
      </c>
      <c r="ES184">
        <v>0</v>
      </c>
      <c r="ET184">
        <v>0</v>
      </c>
      <c r="EU184">
        <v>0</v>
      </c>
      <c r="EV184">
        <v>0</v>
      </c>
      <c r="EW184">
        <v>0</v>
      </c>
      <c r="EX184">
        <v>0</v>
      </c>
      <c r="EY184">
        <v>0</v>
      </c>
      <c r="FQ184">
        <v>0</v>
      </c>
      <c r="FR184">
        <f t="shared" si="184"/>
        <v>0</v>
      </c>
      <c r="FS184">
        <v>0</v>
      </c>
      <c r="FX184">
        <v>0</v>
      </c>
      <c r="FY184">
        <v>0</v>
      </c>
      <c r="GA184" t="s">
        <v>6</v>
      </c>
      <c r="GD184">
        <v>0</v>
      </c>
      <c r="GF184">
        <v>811861299</v>
      </c>
      <c r="GG184">
        <v>1</v>
      </c>
      <c r="GH184">
        <v>1</v>
      </c>
      <c r="GI184">
        <v>4</v>
      </c>
      <c r="GJ184">
        <v>2</v>
      </c>
      <c r="GK184">
        <f>ROUND(R184*(R12)/100,2)</f>
        <v>0</v>
      </c>
      <c r="GL184">
        <f t="shared" si="185"/>
        <v>0</v>
      </c>
      <c r="GM184">
        <f>ROUND(CP184*I184,2)</f>
        <v>5075.08</v>
      </c>
      <c r="GN184">
        <f>IF(OR(BI184=0,BI184=1),ROUND(CP184*I184,2),0)</f>
        <v>5075.08</v>
      </c>
      <c r="GO184">
        <f>IF(BI184=2,ROUND(CP184*I184,2),0)</f>
        <v>0</v>
      </c>
      <c r="GP184">
        <f>IF(BI184=4,ROUND(CP184*I184,2)+GX184,0)</f>
        <v>0</v>
      </c>
      <c r="GR184">
        <v>0</v>
      </c>
      <c r="GS184">
        <v>3</v>
      </c>
      <c r="GU184" t="s">
        <v>6</v>
      </c>
      <c r="GV184">
        <f>0</f>
        <v>0</v>
      </c>
      <c r="GW184">
        <v>1</v>
      </c>
      <c r="GX184">
        <f t="shared" si="198"/>
        <v>0</v>
      </c>
      <c r="GY184">
        <v>0</v>
      </c>
      <c r="GZ184">
        <v>0</v>
      </c>
      <c r="HA184">
        <v>0</v>
      </c>
      <c r="HB184">
        <v>0</v>
      </c>
      <c r="IK184">
        <v>0</v>
      </c>
    </row>
    <row r="185" spans="1:245" x14ac:dyDescent="0.2">
      <c r="A185">
        <v>17</v>
      </c>
      <c r="B185">
        <v>1</v>
      </c>
      <c r="E185" t="s">
        <v>563</v>
      </c>
      <c r="F185" t="s">
        <v>564</v>
      </c>
      <c r="G185" t="s">
        <v>565</v>
      </c>
      <c r="H185" t="s">
        <v>558</v>
      </c>
      <c r="I185">
        <v>18</v>
      </c>
      <c r="J185">
        <v>0</v>
      </c>
      <c r="O185">
        <f>0</f>
        <v>0</v>
      </c>
      <c r="P185">
        <f>0</f>
        <v>0</v>
      </c>
      <c r="Q185">
        <f>0</f>
        <v>0</v>
      </c>
      <c r="R185">
        <f>0</f>
        <v>0</v>
      </c>
      <c r="S185">
        <f>0</f>
        <v>0</v>
      </c>
      <c r="T185">
        <f>0</f>
        <v>0</v>
      </c>
      <c r="U185">
        <f>0</f>
        <v>0</v>
      </c>
      <c r="V185">
        <f>0</f>
        <v>0</v>
      </c>
      <c r="W185">
        <f>0</f>
        <v>0</v>
      </c>
      <c r="X185">
        <f>0</f>
        <v>0</v>
      </c>
      <c r="Y185">
        <f>0</f>
        <v>0</v>
      </c>
      <c r="AA185">
        <v>16748969</v>
      </c>
      <c r="AB185">
        <f>ROUND((AK185),2)</f>
        <v>19.54</v>
      </c>
      <c r="AC185">
        <f>0</f>
        <v>0</v>
      </c>
      <c r="AD185">
        <f>0</f>
        <v>0</v>
      </c>
      <c r="AE185">
        <f>0</f>
        <v>0</v>
      </c>
      <c r="AF185">
        <f>0</f>
        <v>0</v>
      </c>
      <c r="AG185">
        <f>0</f>
        <v>0</v>
      </c>
      <c r="AH185">
        <f>0</f>
        <v>0</v>
      </c>
      <c r="AI185">
        <f>0</f>
        <v>0</v>
      </c>
      <c r="AJ185">
        <f>0</f>
        <v>0</v>
      </c>
      <c r="AK185">
        <v>19.54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0</v>
      </c>
      <c r="AV185">
        <v>1</v>
      </c>
      <c r="AW185">
        <v>1</v>
      </c>
      <c r="AZ185">
        <v>6.56</v>
      </c>
      <c r="BA185">
        <v>1</v>
      </c>
      <c r="BB185">
        <v>1</v>
      </c>
      <c r="BC185">
        <v>1</v>
      </c>
      <c r="BD185" t="s">
        <v>6</v>
      </c>
      <c r="BE185" t="s">
        <v>6</v>
      </c>
      <c r="BF185" t="s">
        <v>6</v>
      </c>
      <c r="BG185" t="s">
        <v>6</v>
      </c>
      <c r="BH185">
        <v>0</v>
      </c>
      <c r="BI185">
        <v>1</v>
      </c>
      <c r="BJ185" t="s">
        <v>566</v>
      </c>
      <c r="BM185">
        <v>700005</v>
      </c>
      <c r="BN185">
        <v>0</v>
      </c>
      <c r="BO185" t="s">
        <v>6</v>
      </c>
      <c r="BP185">
        <v>0</v>
      </c>
      <c r="BQ185">
        <v>10</v>
      </c>
      <c r="BR185">
        <v>0</v>
      </c>
      <c r="BS185">
        <v>1</v>
      </c>
      <c r="BT185">
        <v>1</v>
      </c>
      <c r="BU185">
        <v>1</v>
      </c>
      <c r="BV185">
        <v>1</v>
      </c>
      <c r="BW185">
        <v>1</v>
      </c>
      <c r="BX185">
        <v>1</v>
      </c>
      <c r="BY185" t="s">
        <v>6</v>
      </c>
      <c r="BZ185">
        <v>0</v>
      </c>
      <c r="CA185">
        <v>0</v>
      </c>
      <c r="CF185">
        <v>0</v>
      </c>
      <c r="CG185">
        <v>0</v>
      </c>
      <c r="CM185">
        <v>0</v>
      </c>
      <c r="CN185" t="s">
        <v>6</v>
      </c>
      <c r="CO185">
        <v>0</v>
      </c>
      <c r="CP185">
        <f>AB185*AZ185</f>
        <v>128.18239999999997</v>
      </c>
      <c r="CQ185">
        <v>0</v>
      </c>
      <c r="CR185">
        <v>0</v>
      </c>
      <c r="CS185">
        <v>0</v>
      </c>
      <c r="CT185">
        <v>0</v>
      </c>
      <c r="CU185">
        <v>0</v>
      </c>
      <c r="CV185">
        <v>0</v>
      </c>
      <c r="CW185">
        <v>0</v>
      </c>
      <c r="CX185">
        <v>0</v>
      </c>
      <c r="CY185">
        <v>0</v>
      </c>
      <c r="CZ185">
        <v>0</v>
      </c>
      <c r="DC185" t="s">
        <v>6</v>
      </c>
      <c r="DD185" t="s">
        <v>6</v>
      </c>
      <c r="DE185" t="s">
        <v>6</v>
      </c>
      <c r="DF185" t="s">
        <v>6</v>
      </c>
      <c r="DG185" t="s">
        <v>6</v>
      </c>
      <c r="DH185" t="s">
        <v>6</v>
      </c>
      <c r="DI185" t="s">
        <v>6</v>
      </c>
      <c r="DJ185" t="s">
        <v>6</v>
      </c>
      <c r="DK185" t="s">
        <v>6</v>
      </c>
      <c r="DL185" t="s">
        <v>6</v>
      </c>
      <c r="DM185" t="s">
        <v>6</v>
      </c>
      <c r="DN185">
        <v>0</v>
      </c>
      <c r="DO185">
        <v>0</v>
      </c>
      <c r="DP185">
        <v>1</v>
      </c>
      <c r="DQ185">
        <v>1</v>
      </c>
      <c r="DU185">
        <v>1013</v>
      </c>
      <c r="DV185" t="s">
        <v>558</v>
      </c>
      <c r="DW185" t="s">
        <v>558</v>
      </c>
      <c r="DX185">
        <v>1</v>
      </c>
      <c r="EE185">
        <v>16510679</v>
      </c>
      <c r="EF185">
        <v>10</v>
      </c>
      <c r="EG185" t="s">
        <v>567</v>
      </c>
      <c r="EH185">
        <v>0</v>
      </c>
      <c r="EI185" t="s">
        <v>6</v>
      </c>
      <c r="EJ185">
        <v>1</v>
      </c>
      <c r="EK185">
        <v>700005</v>
      </c>
      <c r="EL185" t="s">
        <v>568</v>
      </c>
      <c r="EM185" t="s">
        <v>569</v>
      </c>
      <c r="EO185" t="s">
        <v>6</v>
      </c>
      <c r="EQ185">
        <v>131072</v>
      </c>
      <c r="ER185">
        <v>0</v>
      </c>
      <c r="ES185">
        <v>0</v>
      </c>
      <c r="ET185">
        <v>0</v>
      </c>
      <c r="EU185">
        <v>0</v>
      </c>
      <c r="EV185">
        <v>0</v>
      </c>
      <c r="EW185">
        <v>0</v>
      </c>
      <c r="EX185">
        <v>0</v>
      </c>
      <c r="EY185">
        <v>0</v>
      </c>
      <c r="FQ185">
        <v>0</v>
      </c>
      <c r="FR185">
        <f t="shared" si="184"/>
        <v>0</v>
      </c>
      <c r="FS185">
        <v>0</v>
      </c>
      <c r="FX185">
        <v>0</v>
      </c>
      <c r="FY185">
        <v>0</v>
      </c>
      <c r="GA185" t="s">
        <v>6</v>
      </c>
      <c r="GD185">
        <v>0</v>
      </c>
      <c r="GF185">
        <v>-587392605</v>
      </c>
      <c r="GG185">
        <v>1</v>
      </c>
      <c r="GH185">
        <v>1</v>
      </c>
      <c r="GI185">
        <v>4</v>
      </c>
      <c r="GJ185">
        <v>2</v>
      </c>
      <c r="GK185">
        <f>ROUND(R185*(R12)/100,2)</f>
        <v>0</v>
      </c>
      <c r="GL185">
        <f t="shared" si="185"/>
        <v>0</v>
      </c>
      <c r="GM185">
        <f>ROUND(CP185*I185,2)</f>
        <v>2307.2800000000002</v>
      </c>
      <c r="GN185">
        <f>IF(OR(BI185=0,BI185=1),ROUND(CP185*I185,2),0)</f>
        <v>2307.2800000000002</v>
      </c>
      <c r="GO185">
        <f>IF(BI185=2,ROUND(CP185*I185,2),0)</f>
        <v>0</v>
      </c>
      <c r="GP185">
        <f>IF(BI185=4,ROUND(CP185*I185,2)+GX185,0)</f>
        <v>0</v>
      </c>
      <c r="GR185">
        <v>0</v>
      </c>
      <c r="GS185">
        <v>3</v>
      </c>
      <c r="GU185" t="s">
        <v>6</v>
      </c>
      <c r="GV185">
        <f>0</f>
        <v>0</v>
      </c>
      <c r="GW185">
        <v>1</v>
      </c>
      <c r="GX185">
        <f t="shared" si="198"/>
        <v>0</v>
      </c>
      <c r="GY185">
        <v>0</v>
      </c>
      <c r="GZ185">
        <v>0</v>
      </c>
      <c r="HA185">
        <v>0</v>
      </c>
      <c r="HB185">
        <v>0</v>
      </c>
      <c r="IK185">
        <v>0</v>
      </c>
    </row>
    <row r="187" spans="1:245" x14ac:dyDescent="0.2">
      <c r="A187" s="2">
        <v>51</v>
      </c>
      <c r="B187" s="2">
        <f>B81</f>
        <v>1</v>
      </c>
      <c r="C187" s="2">
        <f>A81</f>
        <v>5</v>
      </c>
      <c r="D187" s="2">
        <f>ROW(A81)</f>
        <v>81</v>
      </c>
      <c r="E187" s="2"/>
      <c r="F187" s="2" t="str">
        <f>IF(F81&lt;&gt;"",F81,"")</f>
        <v>Новый подраздел</v>
      </c>
      <c r="G187" s="2" t="str">
        <f>IF(G81&lt;&gt;"",G81,"")</f>
        <v>2 Монтаж</v>
      </c>
      <c r="H187" s="2">
        <v>0</v>
      </c>
      <c r="I187" s="2"/>
      <c r="J187" s="2"/>
      <c r="K187" s="2"/>
      <c r="L187" s="2"/>
      <c r="M187" s="2"/>
      <c r="N187" s="2"/>
      <c r="O187" s="2">
        <f t="shared" ref="O187:T187" si="199">ROUND(AB187,2)</f>
        <v>1294106.8500000001</v>
      </c>
      <c r="P187" s="2">
        <f t="shared" si="199"/>
        <v>1225693.92</v>
      </c>
      <c r="Q187" s="2">
        <f t="shared" si="199"/>
        <v>9233.9599999999991</v>
      </c>
      <c r="R187" s="2">
        <f t="shared" si="199"/>
        <v>2095.52</v>
      </c>
      <c r="S187" s="2">
        <f t="shared" si="199"/>
        <v>59178.97</v>
      </c>
      <c r="T187" s="2">
        <f t="shared" si="199"/>
        <v>0</v>
      </c>
      <c r="U187" s="2">
        <f>AH187</f>
        <v>1008.9198497499999</v>
      </c>
      <c r="V187" s="2">
        <f>AI187</f>
        <v>27.476148749999997</v>
      </c>
      <c r="W187" s="2">
        <f>ROUND(AJ187,2)</f>
        <v>0</v>
      </c>
      <c r="X187" s="2">
        <f>ROUND(AK187,2)</f>
        <v>59095.61</v>
      </c>
      <c r="Y187" s="2">
        <f>ROUND(AL187,2)</f>
        <v>32675.35</v>
      </c>
      <c r="Z187" s="2"/>
      <c r="AA187" s="2"/>
      <c r="AB187" s="2">
        <f>ROUND(SUMIF(AA85:AA185,"=16748969",O85:O185),2)</f>
        <v>1294106.8500000001</v>
      </c>
      <c r="AC187" s="2">
        <f>ROUND(SUMIF(AA85:AA185,"=16748969",P85:P185),2)</f>
        <v>1225693.92</v>
      </c>
      <c r="AD187" s="2">
        <f>ROUND(SUMIF(AA85:AA185,"=16748969",Q85:Q185),2)</f>
        <v>9233.9599999999991</v>
      </c>
      <c r="AE187" s="2">
        <f>ROUND(SUMIF(AA85:AA185,"=16748969",R85:R185),2)</f>
        <v>2095.52</v>
      </c>
      <c r="AF187" s="2">
        <f>ROUND(SUMIF(AA85:AA185,"=16748969",S85:S185),2)</f>
        <v>59178.97</v>
      </c>
      <c r="AG187" s="2">
        <f>ROUND(SUMIF(AA85:AA185,"=16748969",T85:T185),2)</f>
        <v>0</v>
      </c>
      <c r="AH187" s="2">
        <f>SUMIF(AA85:AA185,"=16748969",U85:U185)</f>
        <v>1008.9198497499999</v>
      </c>
      <c r="AI187" s="2">
        <f>SUMIF(AA85:AA185,"=16748969",V85:V185)</f>
        <v>27.476148749999997</v>
      </c>
      <c r="AJ187" s="2">
        <f>ROUND(SUMIF(AA85:AA185,"=16748969",W85:W185),2)</f>
        <v>0</v>
      </c>
      <c r="AK187" s="2">
        <f>ROUND(SUMIF(AA85:AA185,"=16748969",X85:X185),2)</f>
        <v>59095.61</v>
      </c>
      <c r="AL187" s="2">
        <f>ROUND(SUMIF(AA85:AA185,"=16748969",Y85:Y185),2)</f>
        <v>32675.35</v>
      </c>
      <c r="AM187" s="2"/>
      <c r="AN187" s="2"/>
      <c r="AO187" s="2">
        <f t="shared" ref="AO187:BC187" si="200">ROUND(BX187,2)</f>
        <v>0</v>
      </c>
      <c r="AP187" s="2">
        <f t="shared" si="200"/>
        <v>0</v>
      </c>
      <c r="AQ187" s="2">
        <f t="shared" si="200"/>
        <v>0</v>
      </c>
      <c r="AR187" s="2">
        <f t="shared" si="200"/>
        <v>1393260.17</v>
      </c>
      <c r="AS187" s="2">
        <f t="shared" si="200"/>
        <v>1393260.17</v>
      </c>
      <c r="AT187" s="2">
        <f t="shared" si="200"/>
        <v>0</v>
      </c>
      <c r="AU187" s="2">
        <f t="shared" si="200"/>
        <v>0</v>
      </c>
      <c r="AV187" s="2">
        <f t="shared" si="200"/>
        <v>1225693.92</v>
      </c>
      <c r="AW187" s="2">
        <f t="shared" si="200"/>
        <v>1225693.92</v>
      </c>
      <c r="AX187" s="2">
        <f t="shared" si="200"/>
        <v>0</v>
      </c>
      <c r="AY187" s="2">
        <f t="shared" si="200"/>
        <v>1225693.92</v>
      </c>
      <c r="AZ187" s="2">
        <f t="shared" si="200"/>
        <v>0</v>
      </c>
      <c r="BA187" s="2">
        <f t="shared" si="200"/>
        <v>0</v>
      </c>
      <c r="BB187" s="2">
        <f t="shared" si="200"/>
        <v>0</v>
      </c>
      <c r="BC187" s="2">
        <f t="shared" si="200"/>
        <v>0</v>
      </c>
      <c r="BD187" s="2"/>
      <c r="BE187" s="2"/>
      <c r="BF187" s="2"/>
      <c r="BG187" s="2"/>
      <c r="BH187" s="2"/>
      <c r="BI187" s="2"/>
      <c r="BJ187" s="2"/>
      <c r="BK187" s="2"/>
      <c r="BL187" s="2"/>
      <c r="BM187" s="2"/>
      <c r="BN187" s="2"/>
      <c r="BO187" s="2"/>
      <c r="BP187" s="2"/>
      <c r="BQ187" s="2"/>
      <c r="BR187" s="2"/>
      <c r="BS187" s="2"/>
      <c r="BT187" s="2"/>
      <c r="BU187" s="2"/>
      <c r="BV187" s="2"/>
      <c r="BW187" s="2"/>
      <c r="BX187" s="2">
        <f>ROUND(SUMIF(AA85:AA185,"=16748969",FQ85:FQ185),2)</f>
        <v>0</v>
      </c>
      <c r="BY187" s="2">
        <f>ROUND(SUMIF(AA85:AA185,"=16748969",FR85:FR185),2)</f>
        <v>0</v>
      </c>
      <c r="BZ187" s="2">
        <f>ROUND(SUMIF(AA85:AA185,"=16748969",GL85:GL185),2)</f>
        <v>0</v>
      </c>
      <c r="CA187" s="2">
        <f>ROUND(SUMIF(AA85:AA185,"=16748969",GM85:GM185),2)</f>
        <v>1393260.17</v>
      </c>
      <c r="CB187" s="2">
        <f>ROUND(SUMIF(AA85:AA185,"=16748969",GN85:GN185),2)</f>
        <v>1393260.17</v>
      </c>
      <c r="CC187" s="2">
        <f>ROUND(SUMIF(AA85:AA185,"=16748969",GO85:GO185),2)</f>
        <v>0</v>
      </c>
      <c r="CD187" s="2">
        <f>ROUND(SUMIF(AA85:AA185,"=16748969",GP85:GP185),2)</f>
        <v>0</v>
      </c>
      <c r="CE187" s="2">
        <f>AC187-BX187</f>
        <v>1225693.92</v>
      </c>
      <c r="CF187" s="2">
        <f>AC187-BY187</f>
        <v>1225693.92</v>
      </c>
      <c r="CG187" s="2">
        <f>BX187-BZ187</f>
        <v>0</v>
      </c>
      <c r="CH187" s="2">
        <f>AC187-BX187-BY187+BZ187</f>
        <v>1225693.92</v>
      </c>
      <c r="CI187" s="2">
        <f>BY187-BZ187</f>
        <v>0</v>
      </c>
      <c r="CJ187" s="2">
        <f>ROUND(SUMIF(AA85:AA185,"=16748969",GX85:GX185),2)</f>
        <v>0</v>
      </c>
      <c r="CK187" s="2">
        <f>ROUND(SUMIF(AA85:AA185,"=16748969",GY85:GY185),2)</f>
        <v>0</v>
      </c>
      <c r="CL187" s="2">
        <f>ROUND(SUMIF(AA85:AA185,"=16748969",GZ85:GZ185),2)</f>
        <v>0</v>
      </c>
      <c r="CM187" s="2"/>
      <c r="CN187" s="2"/>
      <c r="CO187" s="2"/>
      <c r="CP187" s="2"/>
      <c r="CQ187" s="2"/>
      <c r="CR187" s="2"/>
      <c r="CS187" s="2"/>
      <c r="CT187" s="2"/>
      <c r="CU187" s="2"/>
      <c r="CV187" s="2"/>
      <c r="CW187" s="2"/>
      <c r="CX187" s="2"/>
      <c r="CY187" s="2"/>
      <c r="CZ187" s="2"/>
      <c r="DA187" s="2"/>
      <c r="DB187" s="2"/>
      <c r="DC187" s="2"/>
      <c r="DD187" s="2"/>
      <c r="DE187" s="2"/>
      <c r="DF187" s="2"/>
      <c r="DG187" s="3"/>
      <c r="DH187" s="3"/>
      <c r="DI187" s="3"/>
      <c r="DJ187" s="3"/>
      <c r="DK187" s="3"/>
      <c r="DL187" s="3"/>
      <c r="DM187" s="3"/>
      <c r="DN187" s="3"/>
      <c r="DO187" s="3"/>
      <c r="DP187" s="3"/>
      <c r="DQ187" s="3"/>
      <c r="DR187" s="3"/>
      <c r="DS187" s="3"/>
      <c r="DT187" s="3"/>
      <c r="DU187" s="3"/>
      <c r="DV187" s="3"/>
      <c r="DW187" s="3"/>
      <c r="DX187" s="3"/>
      <c r="DY187" s="3"/>
      <c r="DZ187" s="3"/>
      <c r="EA187" s="3"/>
      <c r="EB187" s="3"/>
      <c r="EC187" s="3"/>
      <c r="ED187" s="3"/>
      <c r="EE187" s="3"/>
      <c r="EF187" s="3"/>
      <c r="EG187" s="3"/>
      <c r="EH187" s="3"/>
      <c r="EI187" s="3"/>
      <c r="EJ187" s="3"/>
      <c r="EK187" s="3"/>
      <c r="EL187" s="3"/>
      <c r="EM187" s="3"/>
      <c r="EN187" s="3"/>
      <c r="EO187" s="3"/>
      <c r="EP187" s="3"/>
      <c r="EQ187" s="3"/>
      <c r="ER187" s="3"/>
      <c r="ES187" s="3"/>
      <c r="ET187" s="3"/>
      <c r="EU187" s="3"/>
      <c r="EV187" s="3"/>
      <c r="EW187" s="3"/>
      <c r="EX187" s="3"/>
      <c r="EY187" s="3"/>
      <c r="EZ187" s="3"/>
      <c r="FA187" s="3"/>
      <c r="FB187" s="3"/>
      <c r="FC187" s="3"/>
      <c r="FD187" s="3"/>
      <c r="FE187" s="3"/>
      <c r="FF187" s="3"/>
      <c r="FG187" s="3"/>
      <c r="FH187" s="3"/>
      <c r="FI187" s="3"/>
      <c r="FJ187" s="3"/>
      <c r="FK187" s="3"/>
      <c r="FL187" s="3"/>
      <c r="FM187" s="3"/>
      <c r="FN187" s="3"/>
      <c r="FO187" s="3"/>
      <c r="FP187" s="3"/>
      <c r="FQ187" s="3"/>
      <c r="FR187" s="3"/>
      <c r="FS187" s="3"/>
      <c r="FT187" s="3"/>
      <c r="FU187" s="3"/>
      <c r="FV187" s="3"/>
      <c r="FW187" s="3"/>
      <c r="FX187" s="3"/>
      <c r="FY187" s="3"/>
      <c r="FZ187" s="3"/>
      <c r="GA187" s="3"/>
      <c r="GB187" s="3"/>
      <c r="GC187" s="3"/>
      <c r="GD187" s="3"/>
      <c r="GE187" s="3"/>
      <c r="GF187" s="3"/>
      <c r="GG187" s="3"/>
      <c r="GH187" s="3"/>
      <c r="GI187" s="3"/>
      <c r="GJ187" s="3"/>
      <c r="GK187" s="3"/>
      <c r="GL187" s="3"/>
      <c r="GM187" s="3"/>
      <c r="GN187" s="3"/>
      <c r="GO187" s="3"/>
      <c r="GP187" s="3"/>
      <c r="GQ187" s="3"/>
      <c r="GR187" s="3"/>
      <c r="GS187" s="3"/>
      <c r="GT187" s="3"/>
      <c r="GU187" s="3"/>
      <c r="GV187" s="3"/>
      <c r="GW187" s="3"/>
      <c r="GX187" s="3">
        <v>0</v>
      </c>
    </row>
    <row r="189" spans="1:245" x14ac:dyDescent="0.2">
      <c r="A189" s="4">
        <v>50</v>
      </c>
      <c r="B189" s="4">
        <v>0</v>
      </c>
      <c r="C189" s="4">
        <v>0</v>
      </c>
      <c r="D189" s="4">
        <v>1</v>
      </c>
      <c r="E189" s="4">
        <v>201</v>
      </c>
      <c r="F189" s="4">
        <f>ROUND(Source!O187,O189)</f>
        <v>1294106.8500000001</v>
      </c>
      <c r="G189" s="4" t="s">
        <v>115</v>
      </c>
      <c r="H189" s="4" t="s">
        <v>116</v>
      </c>
      <c r="I189" s="4"/>
      <c r="J189" s="4"/>
      <c r="K189" s="4">
        <v>201</v>
      </c>
      <c r="L189" s="4">
        <v>1</v>
      </c>
      <c r="M189" s="4">
        <v>3</v>
      </c>
      <c r="N189" s="4" t="s">
        <v>6</v>
      </c>
      <c r="O189" s="4">
        <v>2</v>
      </c>
      <c r="P189" s="4"/>
      <c r="Q189" s="4"/>
      <c r="R189" s="4"/>
      <c r="S189" s="4"/>
      <c r="T189" s="4"/>
      <c r="U189" s="4"/>
      <c r="V189" s="4"/>
      <c r="W189" s="4"/>
    </row>
    <row r="190" spans="1:245" x14ac:dyDescent="0.2">
      <c r="A190" s="4">
        <v>50</v>
      </c>
      <c r="B190" s="4">
        <v>0</v>
      </c>
      <c r="C190" s="4">
        <v>0</v>
      </c>
      <c r="D190" s="4">
        <v>1</v>
      </c>
      <c r="E190" s="4">
        <v>202</v>
      </c>
      <c r="F190" s="4">
        <f>ROUND(Source!P187,O190)</f>
        <v>1225693.92</v>
      </c>
      <c r="G190" s="4" t="s">
        <v>117</v>
      </c>
      <c r="H190" s="4" t="s">
        <v>118</v>
      </c>
      <c r="I190" s="4"/>
      <c r="J190" s="4"/>
      <c r="K190" s="4">
        <v>202</v>
      </c>
      <c r="L190" s="4">
        <v>2</v>
      </c>
      <c r="M190" s="4">
        <v>3</v>
      </c>
      <c r="N190" s="4" t="s">
        <v>6</v>
      </c>
      <c r="O190" s="4">
        <v>2</v>
      </c>
      <c r="P190" s="4"/>
      <c r="Q190" s="4"/>
      <c r="R190" s="4"/>
      <c r="S190" s="4"/>
      <c r="T190" s="4"/>
      <c r="U190" s="4"/>
      <c r="V190" s="4"/>
      <c r="W190" s="4"/>
    </row>
    <row r="191" spans="1:245" x14ac:dyDescent="0.2">
      <c r="A191" s="4">
        <v>50</v>
      </c>
      <c r="B191" s="4">
        <v>0</v>
      </c>
      <c r="C191" s="4">
        <v>0</v>
      </c>
      <c r="D191" s="4">
        <v>1</v>
      </c>
      <c r="E191" s="4">
        <v>222</v>
      </c>
      <c r="F191" s="4">
        <f>ROUND(Source!AO187,O191)</f>
        <v>0</v>
      </c>
      <c r="G191" s="4" t="s">
        <v>119</v>
      </c>
      <c r="H191" s="4" t="s">
        <v>120</v>
      </c>
      <c r="I191" s="4"/>
      <c r="J191" s="4"/>
      <c r="K191" s="4">
        <v>222</v>
      </c>
      <c r="L191" s="4">
        <v>3</v>
      </c>
      <c r="M191" s="4">
        <v>3</v>
      </c>
      <c r="N191" s="4" t="s">
        <v>6</v>
      </c>
      <c r="O191" s="4">
        <v>2</v>
      </c>
      <c r="P191" s="4"/>
      <c r="Q191" s="4"/>
      <c r="R191" s="4"/>
      <c r="S191" s="4"/>
      <c r="T191" s="4"/>
      <c r="U191" s="4"/>
      <c r="V191" s="4"/>
      <c r="W191" s="4"/>
    </row>
    <row r="192" spans="1:245" x14ac:dyDescent="0.2">
      <c r="A192" s="4">
        <v>50</v>
      </c>
      <c r="B192" s="4">
        <v>0</v>
      </c>
      <c r="C192" s="4">
        <v>0</v>
      </c>
      <c r="D192" s="4">
        <v>1</v>
      </c>
      <c r="E192" s="4">
        <v>225</v>
      </c>
      <c r="F192" s="4">
        <f>ROUND(Source!AV187,O192)</f>
        <v>1225693.92</v>
      </c>
      <c r="G192" s="4" t="s">
        <v>121</v>
      </c>
      <c r="H192" s="4" t="s">
        <v>122</v>
      </c>
      <c r="I192" s="4"/>
      <c r="J192" s="4"/>
      <c r="K192" s="4">
        <v>225</v>
      </c>
      <c r="L192" s="4">
        <v>4</v>
      </c>
      <c r="M192" s="4">
        <v>3</v>
      </c>
      <c r="N192" s="4" t="s">
        <v>6</v>
      </c>
      <c r="O192" s="4">
        <v>2</v>
      </c>
      <c r="P192" s="4"/>
      <c r="Q192" s="4"/>
      <c r="R192" s="4"/>
      <c r="S192" s="4"/>
      <c r="T192" s="4"/>
      <c r="U192" s="4"/>
      <c r="V192" s="4"/>
      <c r="W192" s="4"/>
    </row>
    <row r="193" spans="1:23" x14ac:dyDescent="0.2">
      <c r="A193" s="4">
        <v>50</v>
      </c>
      <c r="B193" s="4">
        <v>0</v>
      </c>
      <c r="C193" s="4">
        <v>0</v>
      </c>
      <c r="D193" s="4">
        <v>1</v>
      </c>
      <c r="E193" s="4">
        <v>226</v>
      </c>
      <c r="F193" s="4">
        <f>ROUND(Source!AW187,O193)</f>
        <v>1225693.92</v>
      </c>
      <c r="G193" s="4" t="s">
        <v>123</v>
      </c>
      <c r="H193" s="4" t="s">
        <v>124</v>
      </c>
      <c r="I193" s="4"/>
      <c r="J193" s="4"/>
      <c r="K193" s="4">
        <v>226</v>
      </c>
      <c r="L193" s="4">
        <v>5</v>
      </c>
      <c r="M193" s="4">
        <v>3</v>
      </c>
      <c r="N193" s="4" t="s">
        <v>6</v>
      </c>
      <c r="O193" s="4">
        <v>2</v>
      </c>
      <c r="P193" s="4"/>
      <c r="Q193" s="4"/>
      <c r="R193" s="4"/>
      <c r="S193" s="4"/>
      <c r="T193" s="4"/>
      <c r="U193" s="4"/>
      <c r="V193" s="4"/>
      <c r="W193" s="4"/>
    </row>
    <row r="194" spans="1:23" x14ac:dyDescent="0.2">
      <c r="A194" s="4">
        <v>50</v>
      </c>
      <c r="B194" s="4">
        <v>0</v>
      </c>
      <c r="C194" s="4">
        <v>0</v>
      </c>
      <c r="D194" s="4">
        <v>1</v>
      </c>
      <c r="E194" s="4">
        <v>227</v>
      </c>
      <c r="F194" s="4">
        <f>ROUND(Source!AX187,O194)</f>
        <v>0</v>
      </c>
      <c r="G194" s="4" t="s">
        <v>125</v>
      </c>
      <c r="H194" s="4" t="s">
        <v>126</v>
      </c>
      <c r="I194" s="4"/>
      <c r="J194" s="4"/>
      <c r="K194" s="4">
        <v>227</v>
      </c>
      <c r="L194" s="4">
        <v>6</v>
      </c>
      <c r="M194" s="4">
        <v>3</v>
      </c>
      <c r="N194" s="4" t="s">
        <v>6</v>
      </c>
      <c r="O194" s="4">
        <v>2</v>
      </c>
      <c r="P194" s="4"/>
      <c r="Q194" s="4"/>
      <c r="R194" s="4"/>
      <c r="S194" s="4"/>
      <c r="T194" s="4"/>
      <c r="U194" s="4"/>
      <c r="V194" s="4"/>
      <c r="W194" s="4"/>
    </row>
    <row r="195" spans="1:23" x14ac:dyDescent="0.2">
      <c r="A195" s="4">
        <v>50</v>
      </c>
      <c r="B195" s="4">
        <v>0</v>
      </c>
      <c r="C195" s="4">
        <v>0</v>
      </c>
      <c r="D195" s="4">
        <v>1</v>
      </c>
      <c r="E195" s="4">
        <v>228</v>
      </c>
      <c r="F195" s="4">
        <f>ROUND(Source!AY187,O195)</f>
        <v>1225693.92</v>
      </c>
      <c r="G195" s="4" t="s">
        <v>127</v>
      </c>
      <c r="H195" s="4" t="s">
        <v>128</v>
      </c>
      <c r="I195" s="4"/>
      <c r="J195" s="4"/>
      <c r="K195" s="4">
        <v>228</v>
      </c>
      <c r="L195" s="4">
        <v>7</v>
      </c>
      <c r="M195" s="4">
        <v>3</v>
      </c>
      <c r="N195" s="4" t="s">
        <v>6</v>
      </c>
      <c r="O195" s="4">
        <v>2</v>
      </c>
      <c r="P195" s="4"/>
      <c r="Q195" s="4"/>
      <c r="R195" s="4"/>
      <c r="S195" s="4"/>
      <c r="T195" s="4"/>
      <c r="U195" s="4"/>
      <c r="V195" s="4"/>
      <c r="W195" s="4"/>
    </row>
    <row r="196" spans="1:23" x14ac:dyDescent="0.2">
      <c r="A196" s="4">
        <v>50</v>
      </c>
      <c r="B196" s="4">
        <v>0</v>
      </c>
      <c r="C196" s="4">
        <v>0</v>
      </c>
      <c r="D196" s="4">
        <v>1</v>
      </c>
      <c r="E196" s="4">
        <v>216</v>
      </c>
      <c r="F196" s="4">
        <f>ROUND(Source!AP187,O196)</f>
        <v>0</v>
      </c>
      <c r="G196" s="4" t="s">
        <v>129</v>
      </c>
      <c r="H196" s="4" t="s">
        <v>130</v>
      </c>
      <c r="I196" s="4"/>
      <c r="J196" s="4"/>
      <c r="K196" s="4">
        <v>216</v>
      </c>
      <c r="L196" s="4">
        <v>8</v>
      </c>
      <c r="M196" s="4">
        <v>3</v>
      </c>
      <c r="N196" s="4" t="s">
        <v>6</v>
      </c>
      <c r="O196" s="4">
        <v>2</v>
      </c>
      <c r="P196" s="4"/>
      <c r="Q196" s="4"/>
      <c r="R196" s="4"/>
      <c r="S196" s="4"/>
      <c r="T196" s="4"/>
      <c r="U196" s="4"/>
      <c r="V196" s="4"/>
      <c r="W196" s="4"/>
    </row>
    <row r="197" spans="1:23" x14ac:dyDescent="0.2">
      <c r="A197" s="4">
        <v>50</v>
      </c>
      <c r="B197" s="4">
        <v>0</v>
      </c>
      <c r="C197" s="4">
        <v>0</v>
      </c>
      <c r="D197" s="4">
        <v>1</v>
      </c>
      <c r="E197" s="4">
        <v>223</v>
      </c>
      <c r="F197" s="4">
        <f>ROUND(Source!AQ187,O197)</f>
        <v>0</v>
      </c>
      <c r="G197" s="4" t="s">
        <v>131</v>
      </c>
      <c r="H197" s="4" t="s">
        <v>132</v>
      </c>
      <c r="I197" s="4"/>
      <c r="J197" s="4"/>
      <c r="K197" s="4">
        <v>223</v>
      </c>
      <c r="L197" s="4">
        <v>9</v>
      </c>
      <c r="M197" s="4">
        <v>3</v>
      </c>
      <c r="N197" s="4" t="s">
        <v>6</v>
      </c>
      <c r="O197" s="4">
        <v>2</v>
      </c>
      <c r="P197" s="4"/>
      <c r="Q197" s="4"/>
      <c r="R197" s="4"/>
      <c r="S197" s="4"/>
      <c r="T197" s="4"/>
      <c r="U197" s="4"/>
      <c r="V197" s="4"/>
      <c r="W197" s="4"/>
    </row>
    <row r="198" spans="1:23" x14ac:dyDescent="0.2">
      <c r="A198" s="4">
        <v>50</v>
      </c>
      <c r="B198" s="4">
        <v>0</v>
      </c>
      <c r="C198" s="4">
        <v>0</v>
      </c>
      <c r="D198" s="4">
        <v>1</v>
      </c>
      <c r="E198" s="4">
        <v>229</v>
      </c>
      <c r="F198" s="4">
        <f>ROUND(Source!AZ187,O198)</f>
        <v>0</v>
      </c>
      <c r="G198" s="4" t="s">
        <v>133</v>
      </c>
      <c r="H198" s="4" t="s">
        <v>134</v>
      </c>
      <c r="I198" s="4"/>
      <c r="J198" s="4"/>
      <c r="K198" s="4">
        <v>229</v>
      </c>
      <c r="L198" s="4">
        <v>10</v>
      </c>
      <c r="M198" s="4">
        <v>3</v>
      </c>
      <c r="N198" s="4" t="s">
        <v>6</v>
      </c>
      <c r="O198" s="4">
        <v>2</v>
      </c>
      <c r="P198" s="4"/>
      <c r="Q198" s="4"/>
      <c r="R198" s="4"/>
      <c r="S198" s="4"/>
      <c r="T198" s="4"/>
      <c r="U198" s="4"/>
      <c r="V198" s="4"/>
      <c r="W198" s="4"/>
    </row>
    <row r="199" spans="1:23" x14ac:dyDescent="0.2">
      <c r="A199" s="4">
        <v>50</v>
      </c>
      <c r="B199" s="4">
        <v>0</v>
      </c>
      <c r="C199" s="4">
        <v>0</v>
      </c>
      <c r="D199" s="4">
        <v>1</v>
      </c>
      <c r="E199" s="4">
        <v>203</v>
      </c>
      <c r="F199" s="4">
        <f>ROUND(Source!Q187,O199)</f>
        <v>9233.9599999999991</v>
      </c>
      <c r="G199" s="4" t="s">
        <v>135</v>
      </c>
      <c r="H199" s="4" t="s">
        <v>136</v>
      </c>
      <c r="I199" s="4"/>
      <c r="J199" s="4"/>
      <c r="K199" s="4">
        <v>203</v>
      </c>
      <c r="L199" s="4">
        <v>11</v>
      </c>
      <c r="M199" s="4">
        <v>3</v>
      </c>
      <c r="N199" s="4" t="s">
        <v>6</v>
      </c>
      <c r="O199" s="4">
        <v>2</v>
      </c>
      <c r="P199" s="4"/>
      <c r="Q199" s="4"/>
      <c r="R199" s="4"/>
      <c r="S199" s="4"/>
      <c r="T199" s="4"/>
      <c r="U199" s="4"/>
      <c r="V199" s="4"/>
      <c r="W199" s="4"/>
    </row>
    <row r="200" spans="1:23" x14ac:dyDescent="0.2">
      <c r="A200" s="4">
        <v>50</v>
      </c>
      <c r="B200" s="4">
        <v>0</v>
      </c>
      <c r="C200" s="4">
        <v>0</v>
      </c>
      <c r="D200" s="4">
        <v>1</v>
      </c>
      <c r="E200" s="4">
        <v>231</v>
      </c>
      <c r="F200" s="4">
        <f>ROUND(Source!BB187,O200)</f>
        <v>0</v>
      </c>
      <c r="G200" s="4" t="s">
        <v>137</v>
      </c>
      <c r="H200" s="4" t="s">
        <v>138</v>
      </c>
      <c r="I200" s="4"/>
      <c r="J200" s="4"/>
      <c r="K200" s="4">
        <v>231</v>
      </c>
      <c r="L200" s="4">
        <v>12</v>
      </c>
      <c r="M200" s="4">
        <v>3</v>
      </c>
      <c r="N200" s="4" t="s">
        <v>6</v>
      </c>
      <c r="O200" s="4">
        <v>2</v>
      </c>
      <c r="P200" s="4"/>
      <c r="Q200" s="4"/>
      <c r="R200" s="4"/>
      <c r="S200" s="4"/>
      <c r="T200" s="4"/>
      <c r="U200" s="4"/>
      <c r="V200" s="4"/>
      <c r="W200" s="4"/>
    </row>
    <row r="201" spans="1:23" x14ac:dyDescent="0.2">
      <c r="A201" s="4">
        <v>50</v>
      </c>
      <c r="B201" s="4">
        <v>0</v>
      </c>
      <c r="C201" s="4">
        <v>0</v>
      </c>
      <c r="D201" s="4">
        <v>1</v>
      </c>
      <c r="E201" s="4">
        <v>204</v>
      </c>
      <c r="F201" s="4">
        <f>ROUND(Source!R187,O201)</f>
        <v>2095.52</v>
      </c>
      <c r="G201" s="4" t="s">
        <v>139</v>
      </c>
      <c r="H201" s="4" t="s">
        <v>140</v>
      </c>
      <c r="I201" s="4"/>
      <c r="J201" s="4"/>
      <c r="K201" s="4">
        <v>204</v>
      </c>
      <c r="L201" s="4">
        <v>13</v>
      </c>
      <c r="M201" s="4">
        <v>3</v>
      </c>
      <c r="N201" s="4" t="s">
        <v>6</v>
      </c>
      <c r="O201" s="4">
        <v>2</v>
      </c>
      <c r="P201" s="4"/>
      <c r="Q201" s="4"/>
      <c r="R201" s="4"/>
      <c r="S201" s="4"/>
      <c r="T201" s="4"/>
      <c r="U201" s="4"/>
      <c r="V201" s="4"/>
      <c r="W201" s="4"/>
    </row>
    <row r="202" spans="1:23" x14ac:dyDescent="0.2">
      <c r="A202" s="4">
        <v>50</v>
      </c>
      <c r="B202" s="4">
        <v>0</v>
      </c>
      <c r="C202" s="4">
        <v>0</v>
      </c>
      <c r="D202" s="4">
        <v>1</v>
      </c>
      <c r="E202" s="4">
        <v>205</v>
      </c>
      <c r="F202" s="4">
        <f>ROUND(Source!S187,O202)</f>
        <v>59178.97</v>
      </c>
      <c r="G202" s="4" t="s">
        <v>141</v>
      </c>
      <c r="H202" s="4" t="s">
        <v>142</v>
      </c>
      <c r="I202" s="4"/>
      <c r="J202" s="4"/>
      <c r="K202" s="4">
        <v>205</v>
      </c>
      <c r="L202" s="4">
        <v>14</v>
      </c>
      <c r="M202" s="4">
        <v>3</v>
      </c>
      <c r="N202" s="4" t="s">
        <v>6</v>
      </c>
      <c r="O202" s="4">
        <v>2</v>
      </c>
      <c r="P202" s="4"/>
      <c r="Q202" s="4"/>
      <c r="R202" s="4"/>
      <c r="S202" s="4"/>
      <c r="T202" s="4"/>
      <c r="U202" s="4"/>
      <c r="V202" s="4"/>
      <c r="W202" s="4"/>
    </row>
    <row r="203" spans="1:23" x14ac:dyDescent="0.2">
      <c r="A203" s="4">
        <v>50</v>
      </c>
      <c r="B203" s="4">
        <v>0</v>
      </c>
      <c r="C203" s="4">
        <v>0</v>
      </c>
      <c r="D203" s="4">
        <v>1</v>
      </c>
      <c r="E203" s="4">
        <v>232</v>
      </c>
      <c r="F203" s="4">
        <f>ROUND(Source!BC187,O203)</f>
        <v>0</v>
      </c>
      <c r="G203" s="4" t="s">
        <v>143</v>
      </c>
      <c r="H203" s="4" t="s">
        <v>144</v>
      </c>
      <c r="I203" s="4"/>
      <c r="J203" s="4"/>
      <c r="K203" s="4">
        <v>232</v>
      </c>
      <c r="L203" s="4">
        <v>15</v>
      </c>
      <c r="M203" s="4">
        <v>3</v>
      </c>
      <c r="N203" s="4" t="s">
        <v>6</v>
      </c>
      <c r="O203" s="4">
        <v>2</v>
      </c>
      <c r="P203" s="4"/>
      <c r="Q203" s="4"/>
      <c r="R203" s="4"/>
      <c r="S203" s="4"/>
      <c r="T203" s="4"/>
      <c r="U203" s="4"/>
      <c r="V203" s="4"/>
      <c r="W203" s="4"/>
    </row>
    <row r="204" spans="1:23" x14ac:dyDescent="0.2">
      <c r="A204" s="4">
        <v>50</v>
      </c>
      <c r="B204" s="4">
        <v>0</v>
      </c>
      <c r="C204" s="4">
        <v>0</v>
      </c>
      <c r="D204" s="4">
        <v>1</v>
      </c>
      <c r="E204" s="4">
        <v>214</v>
      </c>
      <c r="F204" s="4">
        <f>ROUND(Source!AS187,O204)</f>
        <v>1393260.17</v>
      </c>
      <c r="G204" s="4" t="s">
        <v>145</v>
      </c>
      <c r="H204" s="4" t="s">
        <v>146</v>
      </c>
      <c r="I204" s="4"/>
      <c r="J204" s="4"/>
      <c r="K204" s="4">
        <v>214</v>
      </c>
      <c r="L204" s="4">
        <v>16</v>
      </c>
      <c r="M204" s="4">
        <v>3</v>
      </c>
      <c r="N204" s="4" t="s">
        <v>6</v>
      </c>
      <c r="O204" s="4">
        <v>2</v>
      </c>
      <c r="P204" s="4"/>
      <c r="Q204" s="4"/>
      <c r="R204" s="4"/>
      <c r="S204" s="4"/>
      <c r="T204" s="4"/>
      <c r="U204" s="4"/>
      <c r="V204" s="4"/>
      <c r="W204" s="4"/>
    </row>
    <row r="205" spans="1:23" x14ac:dyDescent="0.2">
      <c r="A205" s="4">
        <v>50</v>
      </c>
      <c r="B205" s="4">
        <v>0</v>
      </c>
      <c r="C205" s="4">
        <v>0</v>
      </c>
      <c r="D205" s="4">
        <v>1</v>
      </c>
      <c r="E205" s="4">
        <v>215</v>
      </c>
      <c r="F205" s="4">
        <f>ROUND(Source!AT187,O205)</f>
        <v>0</v>
      </c>
      <c r="G205" s="4" t="s">
        <v>147</v>
      </c>
      <c r="H205" s="4" t="s">
        <v>148</v>
      </c>
      <c r="I205" s="4"/>
      <c r="J205" s="4"/>
      <c r="K205" s="4">
        <v>215</v>
      </c>
      <c r="L205" s="4">
        <v>17</v>
      </c>
      <c r="M205" s="4">
        <v>3</v>
      </c>
      <c r="N205" s="4" t="s">
        <v>6</v>
      </c>
      <c r="O205" s="4">
        <v>2</v>
      </c>
      <c r="P205" s="4"/>
      <c r="Q205" s="4"/>
      <c r="R205" s="4"/>
      <c r="S205" s="4"/>
      <c r="T205" s="4"/>
      <c r="U205" s="4"/>
      <c r="V205" s="4"/>
      <c r="W205" s="4"/>
    </row>
    <row r="206" spans="1:23" x14ac:dyDescent="0.2">
      <c r="A206" s="4">
        <v>50</v>
      </c>
      <c r="B206" s="4">
        <v>0</v>
      </c>
      <c r="C206" s="4">
        <v>0</v>
      </c>
      <c r="D206" s="4">
        <v>1</v>
      </c>
      <c r="E206" s="4">
        <v>217</v>
      </c>
      <c r="F206" s="4">
        <f>ROUND(Source!AU187,O206)</f>
        <v>0</v>
      </c>
      <c r="G206" s="4" t="s">
        <v>149</v>
      </c>
      <c r="H206" s="4" t="s">
        <v>150</v>
      </c>
      <c r="I206" s="4"/>
      <c r="J206" s="4"/>
      <c r="K206" s="4">
        <v>217</v>
      </c>
      <c r="L206" s="4">
        <v>18</v>
      </c>
      <c r="M206" s="4">
        <v>3</v>
      </c>
      <c r="N206" s="4" t="s">
        <v>6</v>
      </c>
      <c r="O206" s="4">
        <v>2</v>
      </c>
      <c r="P206" s="4"/>
      <c r="Q206" s="4"/>
      <c r="R206" s="4"/>
      <c r="S206" s="4"/>
      <c r="T206" s="4"/>
      <c r="U206" s="4"/>
      <c r="V206" s="4"/>
      <c r="W206" s="4"/>
    </row>
    <row r="207" spans="1:23" x14ac:dyDescent="0.2">
      <c r="A207" s="4">
        <v>50</v>
      </c>
      <c r="B207" s="4">
        <v>0</v>
      </c>
      <c r="C207" s="4">
        <v>0</v>
      </c>
      <c r="D207" s="4">
        <v>1</v>
      </c>
      <c r="E207" s="4">
        <v>230</v>
      </c>
      <c r="F207" s="4">
        <f>ROUND(Source!BA187,O207)</f>
        <v>0</v>
      </c>
      <c r="G207" s="4" t="s">
        <v>151</v>
      </c>
      <c r="H207" s="4" t="s">
        <v>152</v>
      </c>
      <c r="I207" s="4"/>
      <c r="J207" s="4"/>
      <c r="K207" s="4">
        <v>230</v>
      </c>
      <c r="L207" s="4">
        <v>19</v>
      </c>
      <c r="M207" s="4">
        <v>3</v>
      </c>
      <c r="N207" s="4" t="s">
        <v>6</v>
      </c>
      <c r="O207" s="4">
        <v>2</v>
      </c>
      <c r="P207" s="4"/>
      <c r="Q207" s="4"/>
      <c r="R207" s="4"/>
      <c r="S207" s="4"/>
      <c r="T207" s="4"/>
      <c r="U207" s="4"/>
      <c r="V207" s="4"/>
      <c r="W207" s="4"/>
    </row>
    <row r="208" spans="1:23" x14ac:dyDescent="0.2">
      <c r="A208" s="4">
        <v>50</v>
      </c>
      <c r="B208" s="4">
        <v>0</v>
      </c>
      <c r="C208" s="4">
        <v>0</v>
      </c>
      <c r="D208" s="4">
        <v>1</v>
      </c>
      <c r="E208" s="4">
        <v>206</v>
      </c>
      <c r="F208" s="4">
        <f>ROUND(Source!T187,O208)</f>
        <v>0</v>
      </c>
      <c r="G208" s="4" t="s">
        <v>153</v>
      </c>
      <c r="H208" s="4" t="s">
        <v>154</v>
      </c>
      <c r="I208" s="4"/>
      <c r="J208" s="4"/>
      <c r="K208" s="4">
        <v>206</v>
      </c>
      <c r="L208" s="4">
        <v>20</v>
      </c>
      <c r="M208" s="4">
        <v>3</v>
      </c>
      <c r="N208" s="4" t="s">
        <v>6</v>
      </c>
      <c r="O208" s="4">
        <v>2</v>
      </c>
      <c r="P208" s="4"/>
      <c r="Q208" s="4"/>
      <c r="R208" s="4"/>
      <c r="S208" s="4"/>
      <c r="T208" s="4"/>
      <c r="U208" s="4"/>
      <c r="V208" s="4"/>
      <c r="W208" s="4"/>
    </row>
    <row r="209" spans="1:206" x14ac:dyDescent="0.2">
      <c r="A209" s="4">
        <v>50</v>
      </c>
      <c r="B209" s="4">
        <v>0</v>
      </c>
      <c r="C209" s="4">
        <v>0</v>
      </c>
      <c r="D209" s="4">
        <v>1</v>
      </c>
      <c r="E209" s="4">
        <v>207</v>
      </c>
      <c r="F209" s="4">
        <f>Source!U187</f>
        <v>1008.9198497499999</v>
      </c>
      <c r="G209" s="4" t="s">
        <v>155</v>
      </c>
      <c r="H209" s="4" t="s">
        <v>156</v>
      </c>
      <c r="I209" s="4"/>
      <c r="J209" s="4"/>
      <c r="K209" s="4">
        <v>207</v>
      </c>
      <c r="L209" s="4">
        <v>21</v>
      </c>
      <c r="M209" s="4">
        <v>3</v>
      </c>
      <c r="N209" s="4" t="s">
        <v>6</v>
      </c>
      <c r="O209" s="4">
        <v>-1</v>
      </c>
      <c r="P209" s="4"/>
      <c r="Q209" s="4"/>
      <c r="R209" s="4"/>
      <c r="S209" s="4"/>
      <c r="T209" s="4"/>
      <c r="U209" s="4"/>
      <c r="V209" s="4"/>
      <c r="W209" s="4"/>
    </row>
    <row r="210" spans="1:206" x14ac:dyDescent="0.2">
      <c r="A210" s="4">
        <v>50</v>
      </c>
      <c r="B210" s="4">
        <v>0</v>
      </c>
      <c r="C210" s="4">
        <v>0</v>
      </c>
      <c r="D210" s="4">
        <v>1</v>
      </c>
      <c r="E210" s="4">
        <v>208</v>
      </c>
      <c r="F210" s="4">
        <f>Source!V187</f>
        <v>27.476148749999997</v>
      </c>
      <c r="G210" s="4" t="s">
        <v>157</v>
      </c>
      <c r="H210" s="4" t="s">
        <v>158</v>
      </c>
      <c r="I210" s="4"/>
      <c r="J210" s="4"/>
      <c r="K210" s="4">
        <v>208</v>
      </c>
      <c r="L210" s="4">
        <v>22</v>
      </c>
      <c r="M210" s="4">
        <v>3</v>
      </c>
      <c r="N210" s="4" t="s">
        <v>6</v>
      </c>
      <c r="O210" s="4">
        <v>-1</v>
      </c>
      <c r="P210" s="4"/>
      <c r="Q210" s="4"/>
      <c r="R210" s="4"/>
      <c r="S210" s="4"/>
      <c r="T210" s="4"/>
      <c r="U210" s="4"/>
      <c r="V210" s="4"/>
      <c r="W210" s="4"/>
    </row>
    <row r="211" spans="1:206" x14ac:dyDescent="0.2">
      <c r="A211" s="4">
        <v>50</v>
      </c>
      <c r="B211" s="4">
        <v>0</v>
      </c>
      <c r="C211" s="4">
        <v>0</v>
      </c>
      <c r="D211" s="4">
        <v>1</v>
      </c>
      <c r="E211" s="4">
        <v>209</v>
      </c>
      <c r="F211" s="4">
        <f>ROUND(Source!W187,O211)</f>
        <v>0</v>
      </c>
      <c r="G211" s="4" t="s">
        <v>159</v>
      </c>
      <c r="H211" s="4" t="s">
        <v>160</v>
      </c>
      <c r="I211" s="4"/>
      <c r="J211" s="4"/>
      <c r="K211" s="4">
        <v>209</v>
      </c>
      <c r="L211" s="4">
        <v>23</v>
      </c>
      <c r="M211" s="4">
        <v>3</v>
      </c>
      <c r="N211" s="4" t="s">
        <v>6</v>
      </c>
      <c r="O211" s="4">
        <v>2</v>
      </c>
      <c r="P211" s="4"/>
      <c r="Q211" s="4"/>
      <c r="R211" s="4"/>
      <c r="S211" s="4"/>
      <c r="T211" s="4"/>
      <c r="U211" s="4"/>
      <c r="V211" s="4"/>
      <c r="W211" s="4"/>
    </row>
    <row r="212" spans="1:206" x14ac:dyDescent="0.2">
      <c r="A212" s="4">
        <v>50</v>
      </c>
      <c r="B212" s="4">
        <v>0</v>
      </c>
      <c r="C212" s="4">
        <v>0</v>
      </c>
      <c r="D212" s="4">
        <v>1</v>
      </c>
      <c r="E212" s="4">
        <v>210</v>
      </c>
      <c r="F212" s="4">
        <f>ROUND(Source!X187,O212)</f>
        <v>59095.61</v>
      </c>
      <c r="G212" s="4" t="s">
        <v>161</v>
      </c>
      <c r="H212" s="4" t="s">
        <v>162</v>
      </c>
      <c r="I212" s="4"/>
      <c r="J212" s="4"/>
      <c r="K212" s="4">
        <v>210</v>
      </c>
      <c r="L212" s="4">
        <v>24</v>
      </c>
      <c r="M212" s="4">
        <v>3</v>
      </c>
      <c r="N212" s="4" t="s">
        <v>6</v>
      </c>
      <c r="O212" s="4">
        <v>2</v>
      </c>
      <c r="P212" s="4"/>
      <c r="Q212" s="4"/>
      <c r="R212" s="4"/>
      <c r="S212" s="4"/>
      <c r="T212" s="4"/>
      <c r="U212" s="4"/>
      <c r="V212" s="4"/>
      <c r="W212" s="4"/>
    </row>
    <row r="213" spans="1:206" x14ac:dyDescent="0.2">
      <c r="A213" s="4">
        <v>50</v>
      </c>
      <c r="B213" s="4">
        <v>0</v>
      </c>
      <c r="C213" s="4">
        <v>0</v>
      </c>
      <c r="D213" s="4">
        <v>1</v>
      </c>
      <c r="E213" s="4">
        <v>211</v>
      </c>
      <c r="F213" s="4">
        <f>ROUND(Source!Y187,O213)</f>
        <v>32675.35</v>
      </c>
      <c r="G213" s="4" t="s">
        <v>163</v>
      </c>
      <c r="H213" s="4" t="s">
        <v>164</v>
      </c>
      <c r="I213" s="4"/>
      <c r="J213" s="4"/>
      <c r="K213" s="4">
        <v>211</v>
      </c>
      <c r="L213" s="4">
        <v>25</v>
      </c>
      <c r="M213" s="4">
        <v>3</v>
      </c>
      <c r="N213" s="4" t="s">
        <v>6</v>
      </c>
      <c r="O213" s="4">
        <v>2</v>
      </c>
      <c r="P213" s="4"/>
      <c r="Q213" s="4"/>
      <c r="R213" s="4"/>
      <c r="S213" s="4"/>
      <c r="T213" s="4"/>
      <c r="U213" s="4"/>
      <c r="V213" s="4"/>
      <c r="W213" s="4"/>
    </row>
    <row r="214" spans="1:206" x14ac:dyDescent="0.2">
      <c r="A214" s="4">
        <v>50</v>
      </c>
      <c r="B214" s="4">
        <v>0</v>
      </c>
      <c r="C214" s="4">
        <v>0</v>
      </c>
      <c r="D214" s="4">
        <v>1</v>
      </c>
      <c r="E214" s="4">
        <v>224</v>
      </c>
      <c r="F214" s="4">
        <f>ROUND(Source!AR187,O214)</f>
        <v>1393260.17</v>
      </c>
      <c r="G214" s="4" t="s">
        <v>165</v>
      </c>
      <c r="H214" s="4" t="s">
        <v>166</v>
      </c>
      <c r="I214" s="4"/>
      <c r="J214" s="4"/>
      <c r="K214" s="4">
        <v>224</v>
      </c>
      <c r="L214" s="4">
        <v>26</v>
      </c>
      <c r="M214" s="4">
        <v>3</v>
      </c>
      <c r="N214" s="4" t="s">
        <v>6</v>
      </c>
      <c r="O214" s="4">
        <v>2</v>
      </c>
      <c r="P214" s="4"/>
      <c r="Q214" s="4"/>
      <c r="R214" s="4"/>
      <c r="S214" s="4"/>
      <c r="T214" s="4"/>
      <c r="U214" s="4"/>
      <c r="V214" s="4"/>
      <c r="W214" s="4"/>
    </row>
    <row r="216" spans="1:206" x14ac:dyDescent="0.2">
      <c r="A216" s="2">
        <v>51</v>
      </c>
      <c r="B216" s="2">
        <f>B24</f>
        <v>1</v>
      </c>
      <c r="C216" s="2">
        <f>A24</f>
        <v>4</v>
      </c>
      <c r="D216" s="2">
        <f>ROW(A24)</f>
        <v>24</v>
      </c>
      <c r="E216" s="2"/>
      <c r="F216" s="2" t="str">
        <f>IF(F24&lt;&gt;"",F24,"")</f>
        <v>Новый раздел</v>
      </c>
      <c r="G216" s="2" t="str">
        <f>IF(G24&lt;&gt;"",G24,"")</f>
        <v>1 Общестроительные работы</v>
      </c>
      <c r="H216" s="2">
        <v>0</v>
      </c>
      <c r="I216" s="2"/>
      <c r="J216" s="2"/>
      <c r="K216" s="2"/>
      <c r="L216" s="2"/>
      <c r="M216" s="2"/>
      <c r="N216" s="2"/>
      <c r="O216" s="2">
        <f t="shared" ref="O216:T216" si="201">ROUND(O52+O187+AB216,2)</f>
        <v>1308726.18</v>
      </c>
      <c r="P216" s="2">
        <f t="shared" si="201"/>
        <v>1226480.26</v>
      </c>
      <c r="Q216" s="2">
        <f t="shared" si="201"/>
        <v>11001.62</v>
      </c>
      <c r="R216" s="2">
        <f t="shared" si="201"/>
        <v>2447.79</v>
      </c>
      <c r="S216" s="2">
        <f t="shared" si="201"/>
        <v>71244.3</v>
      </c>
      <c r="T216" s="2">
        <f t="shared" si="201"/>
        <v>0</v>
      </c>
      <c r="U216" s="2">
        <f>U52+U187+AH216</f>
        <v>1233.8907197499998</v>
      </c>
      <c r="V216" s="2">
        <f>V52+V187+AI216</f>
        <v>31.607910749999995</v>
      </c>
      <c r="W216" s="2">
        <f>ROUND(W52+W187+AJ216,2)</f>
        <v>0</v>
      </c>
      <c r="X216" s="2">
        <f>ROUND(X52+X187+AK216,2)</f>
        <v>70103.38</v>
      </c>
      <c r="Y216" s="2">
        <f>ROUND(Y52+Y187+AL216,2)</f>
        <v>40288.22</v>
      </c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>
        <f t="shared" ref="AO216:BC216" si="202">ROUND(AO52+AO187+BX216,2)</f>
        <v>0</v>
      </c>
      <c r="AP216" s="2">
        <f t="shared" si="202"/>
        <v>0</v>
      </c>
      <c r="AQ216" s="2">
        <f t="shared" si="202"/>
        <v>0</v>
      </c>
      <c r="AR216" s="2">
        <f t="shared" si="202"/>
        <v>1426500.14</v>
      </c>
      <c r="AS216" s="2">
        <f t="shared" si="202"/>
        <v>1426500.14</v>
      </c>
      <c r="AT216" s="2">
        <f t="shared" si="202"/>
        <v>0</v>
      </c>
      <c r="AU216" s="2">
        <f t="shared" si="202"/>
        <v>0</v>
      </c>
      <c r="AV216" s="2">
        <f t="shared" si="202"/>
        <v>1226480.26</v>
      </c>
      <c r="AW216" s="2">
        <f t="shared" si="202"/>
        <v>1226480.26</v>
      </c>
      <c r="AX216" s="2">
        <f t="shared" si="202"/>
        <v>0</v>
      </c>
      <c r="AY216" s="2">
        <f t="shared" si="202"/>
        <v>1226480.26</v>
      </c>
      <c r="AZ216" s="2">
        <f t="shared" si="202"/>
        <v>0</v>
      </c>
      <c r="BA216" s="2">
        <f t="shared" si="202"/>
        <v>0</v>
      </c>
      <c r="BB216" s="2">
        <f t="shared" si="202"/>
        <v>0</v>
      </c>
      <c r="BC216" s="2">
        <f t="shared" si="202"/>
        <v>0</v>
      </c>
      <c r="BD216" s="2"/>
      <c r="BE216" s="2"/>
      <c r="BF216" s="2"/>
      <c r="BG216" s="2"/>
      <c r="BH216" s="2"/>
      <c r="BI216" s="2"/>
      <c r="BJ216" s="2"/>
      <c r="BK216" s="2"/>
      <c r="BL216" s="2"/>
      <c r="BM216" s="2"/>
      <c r="BN216" s="2"/>
      <c r="BO216" s="2"/>
      <c r="BP216" s="2"/>
      <c r="BQ216" s="2"/>
      <c r="BR216" s="2"/>
      <c r="BS216" s="2"/>
      <c r="BT216" s="2"/>
      <c r="BU216" s="2"/>
      <c r="BV216" s="2"/>
      <c r="BW216" s="2"/>
      <c r="BX216" s="2"/>
      <c r="BY216" s="2"/>
      <c r="BZ216" s="2"/>
      <c r="CA216" s="2"/>
      <c r="CB216" s="2"/>
      <c r="CC216" s="2"/>
      <c r="CD216" s="2"/>
      <c r="CE216" s="2"/>
      <c r="CF216" s="2"/>
      <c r="CG216" s="2"/>
      <c r="CH216" s="2"/>
      <c r="CI216" s="2"/>
      <c r="CJ216" s="2"/>
      <c r="CK216" s="2"/>
      <c r="CL216" s="2"/>
      <c r="CM216" s="2"/>
      <c r="CN216" s="2"/>
      <c r="CO216" s="2"/>
      <c r="CP216" s="2"/>
      <c r="CQ216" s="2"/>
      <c r="CR216" s="2"/>
      <c r="CS216" s="2"/>
      <c r="CT216" s="2"/>
      <c r="CU216" s="2"/>
      <c r="CV216" s="2"/>
      <c r="CW216" s="2"/>
      <c r="CX216" s="2"/>
      <c r="CY216" s="2"/>
      <c r="CZ216" s="2"/>
      <c r="DA216" s="2"/>
      <c r="DB216" s="2"/>
      <c r="DC216" s="2"/>
      <c r="DD216" s="2"/>
      <c r="DE216" s="2"/>
      <c r="DF216" s="2"/>
      <c r="DG216" s="3"/>
      <c r="DH216" s="3"/>
      <c r="DI216" s="3"/>
      <c r="DJ216" s="3"/>
      <c r="DK216" s="3"/>
      <c r="DL216" s="3"/>
      <c r="DM216" s="3"/>
      <c r="DN216" s="3"/>
      <c r="DO216" s="3"/>
      <c r="DP216" s="3"/>
      <c r="DQ216" s="3"/>
      <c r="DR216" s="3"/>
      <c r="DS216" s="3"/>
      <c r="DT216" s="3"/>
      <c r="DU216" s="3"/>
      <c r="DV216" s="3"/>
      <c r="DW216" s="3"/>
      <c r="DX216" s="3"/>
      <c r="DY216" s="3"/>
      <c r="DZ216" s="3"/>
      <c r="EA216" s="3"/>
      <c r="EB216" s="3"/>
      <c r="EC216" s="3"/>
      <c r="ED216" s="3"/>
      <c r="EE216" s="3"/>
      <c r="EF216" s="3"/>
      <c r="EG216" s="3"/>
      <c r="EH216" s="3"/>
      <c r="EI216" s="3"/>
      <c r="EJ216" s="3"/>
      <c r="EK216" s="3"/>
      <c r="EL216" s="3"/>
      <c r="EM216" s="3"/>
      <c r="EN216" s="3"/>
      <c r="EO216" s="3"/>
      <c r="EP216" s="3"/>
      <c r="EQ216" s="3"/>
      <c r="ER216" s="3"/>
      <c r="ES216" s="3"/>
      <c r="ET216" s="3"/>
      <c r="EU216" s="3"/>
      <c r="EV216" s="3"/>
      <c r="EW216" s="3"/>
      <c r="EX216" s="3"/>
      <c r="EY216" s="3"/>
      <c r="EZ216" s="3"/>
      <c r="FA216" s="3"/>
      <c r="FB216" s="3"/>
      <c r="FC216" s="3"/>
      <c r="FD216" s="3"/>
      <c r="FE216" s="3"/>
      <c r="FF216" s="3"/>
      <c r="FG216" s="3"/>
      <c r="FH216" s="3"/>
      <c r="FI216" s="3"/>
      <c r="FJ216" s="3"/>
      <c r="FK216" s="3"/>
      <c r="FL216" s="3"/>
      <c r="FM216" s="3"/>
      <c r="FN216" s="3"/>
      <c r="FO216" s="3"/>
      <c r="FP216" s="3"/>
      <c r="FQ216" s="3"/>
      <c r="FR216" s="3"/>
      <c r="FS216" s="3"/>
      <c r="FT216" s="3"/>
      <c r="FU216" s="3"/>
      <c r="FV216" s="3"/>
      <c r="FW216" s="3"/>
      <c r="FX216" s="3"/>
      <c r="FY216" s="3"/>
      <c r="FZ216" s="3"/>
      <c r="GA216" s="3"/>
      <c r="GB216" s="3"/>
      <c r="GC216" s="3"/>
      <c r="GD216" s="3"/>
      <c r="GE216" s="3"/>
      <c r="GF216" s="3"/>
      <c r="GG216" s="3"/>
      <c r="GH216" s="3"/>
      <c r="GI216" s="3"/>
      <c r="GJ216" s="3"/>
      <c r="GK216" s="3"/>
      <c r="GL216" s="3"/>
      <c r="GM216" s="3"/>
      <c r="GN216" s="3"/>
      <c r="GO216" s="3"/>
      <c r="GP216" s="3"/>
      <c r="GQ216" s="3"/>
      <c r="GR216" s="3"/>
      <c r="GS216" s="3"/>
      <c r="GT216" s="3"/>
      <c r="GU216" s="3"/>
      <c r="GV216" s="3"/>
      <c r="GW216" s="3"/>
      <c r="GX216" s="3">
        <v>0</v>
      </c>
    </row>
    <row r="218" spans="1:206" x14ac:dyDescent="0.2">
      <c r="A218" s="4">
        <v>50</v>
      </c>
      <c r="B218" s="4">
        <v>0</v>
      </c>
      <c r="C218" s="4">
        <v>0</v>
      </c>
      <c r="D218" s="4">
        <v>1</v>
      </c>
      <c r="E218" s="4">
        <v>201</v>
      </c>
      <c r="F218" s="4">
        <f>ROUND(Source!O216,O218)</f>
        <v>1308726.18</v>
      </c>
      <c r="G218" s="4" t="s">
        <v>115</v>
      </c>
      <c r="H218" s="4" t="s">
        <v>116</v>
      </c>
      <c r="I218" s="4"/>
      <c r="J218" s="4"/>
      <c r="K218" s="4">
        <v>201</v>
      </c>
      <c r="L218" s="4">
        <v>1</v>
      </c>
      <c r="M218" s="4">
        <v>3</v>
      </c>
      <c r="N218" s="4" t="s">
        <v>6</v>
      </c>
      <c r="O218" s="4">
        <v>2</v>
      </c>
      <c r="P218" s="4"/>
      <c r="Q218" s="4"/>
      <c r="R218" s="4"/>
      <c r="S218" s="4"/>
      <c r="T218" s="4"/>
      <c r="U218" s="4"/>
      <c r="V218" s="4"/>
      <c r="W218" s="4"/>
    </row>
    <row r="219" spans="1:206" x14ac:dyDescent="0.2">
      <c r="A219" s="4">
        <v>50</v>
      </c>
      <c r="B219" s="4">
        <v>0</v>
      </c>
      <c r="C219" s="4">
        <v>0</v>
      </c>
      <c r="D219" s="4">
        <v>1</v>
      </c>
      <c r="E219" s="4">
        <v>202</v>
      </c>
      <c r="F219" s="4">
        <f>ROUND(Source!P216,O219)</f>
        <v>1226480.26</v>
      </c>
      <c r="G219" s="4" t="s">
        <v>117</v>
      </c>
      <c r="H219" s="4" t="s">
        <v>118</v>
      </c>
      <c r="I219" s="4"/>
      <c r="J219" s="4"/>
      <c r="K219" s="4">
        <v>202</v>
      </c>
      <c r="L219" s="4">
        <v>2</v>
      </c>
      <c r="M219" s="4">
        <v>3</v>
      </c>
      <c r="N219" s="4" t="s">
        <v>6</v>
      </c>
      <c r="O219" s="4">
        <v>2</v>
      </c>
      <c r="P219" s="4"/>
      <c r="Q219" s="4"/>
      <c r="R219" s="4"/>
      <c r="S219" s="4"/>
      <c r="T219" s="4"/>
      <c r="U219" s="4"/>
      <c r="V219" s="4"/>
      <c r="W219" s="4"/>
    </row>
    <row r="220" spans="1:206" x14ac:dyDescent="0.2">
      <c r="A220" s="4">
        <v>50</v>
      </c>
      <c r="B220" s="4">
        <v>0</v>
      </c>
      <c r="C220" s="4">
        <v>0</v>
      </c>
      <c r="D220" s="4">
        <v>1</v>
      </c>
      <c r="E220" s="4">
        <v>222</v>
      </c>
      <c r="F220" s="4">
        <f>ROUND(Source!AO216,O220)</f>
        <v>0</v>
      </c>
      <c r="G220" s="4" t="s">
        <v>119</v>
      </c>
      <c r="H220" s="4" t="s">
        <v>120</v>
      </c>
      <c r="I220" s="4"/>
      <c r="J220" s="4"/>
      <c r="K220" s="4">
        <v>222</v>
      </c>
      <c r="L220" s="4">
        <v>3</v>
      </c>
      <c r="M220" s="4">
        <v>3</v>
      </c>
      <c r="N220" s="4" t="s">
        <v>6</v>
      </c>
      <c r="O220" s="4">
        <v>2</v>
      </c>
      <c r="P220" s="4"/>
      <c r="Q220" s="4"/>
      <c r="R220" s="4"/>
      <c r="S220" s="4"/>
      <c r="T220" s="4"/>
      <c r="U220" s="4"/>
      <c r="V220" s="4"/>
      <c r="W220" s="4"/>
    </row>
    <row r="221" spans="1:206" x14ac:dyDescent="0.2">
      <c r="A221" s="4">
        <v>50</v>
      </c>
      <c r="B221" s="4">
        <v>0</v>
      </c>
      <c r="C221" s="4">
        <v>0</v>
      </c>
      <c r="D221" s="4">
        <v>1</v>
      </c>
      <c r="E221" s="4">
        <v>225</v>
      </c>
      <c r="F221" s="4">
        <f>ROUND(Source!AV216,O221)</f>
        <v>1226480.26</v>
      </c>
      <c r="G221" s="4" t="s">
        <v>121</v>
      </c>
      <c r="H221" s="4" t="s">
        <v>122</v>
      </c>
      <c r="I221" s="4"/>
      <c r="J221" s="4"/>
      <c r="K221" s="4">
        <v>225</v>
      </c>
      <c r="L221" s="4">
        <v>4</v>
      </c>
      <c r="M221" s="4">
        <v>3</v>
      </c>
      <c r="N221" s="4" t="s">
        <v>6</v>
      </c>
      <c r="O221" s="4">
        <v>2</v>
      </c>
      <c r="P221" s="4"/>
      <c r="Q221" s="4"/>
      <c r="R221" s="4"/>
      <c r="S221" s="4"/>
      <c r="T221" s="4"/>
      <c r="U221" s="4"/>
      <c r="V221" s="4"/>
      <c r="W221" s="4"/>
    </row>
    <row r="222" spans="1:206" x14ac:dyDescent="0.2">
      <c r="A222" s="4">
        <v>50</v>
      </c>
      <c r="B222" s="4">
        <v>0</v>
      </c>
      <c r="C222" s="4">
        <v>0</v>
      </c>
      <c r="D222" s="4">
        <v>1</v>
      </c>
      <c r="E222" s="4">
        <v>226</v>
      </c>
      <c r="F222" s="4">
        <f>ROUND(Source!AW216,O222)</f>
        <v>1226480.26</v>
      </c>
      <c r="G222" s="4" t="s">
        <v>123</v>
      </c>
      <c r="H222" s="4" t="s">
        <v>124</v>
      </c>
      <c r="I222" s="4"/>
      <c r="J222" s="4"/>
      <c r="K222" s="4">
        <v>226</v>
      </c>
      <c r="L222" s="4">
        <v>5</v>
      </c>
      <c r="M222" s="4">
        <v>3</v>
      </c>
      <c r="N222" s="4" t="s">
        <v>6</v>
      </c>
      <c r="O222" s="4">
        <v>2</v>
      </c>
      <c r="P222" s="4"/>
      <c r="Q222" s="4"/>
      <c r="R222" s="4"/>
      <c r="S222" s="4"/>
      <c r="T222" s="4"/>
      <c r="U222" s="4"/>
      <c r="V222" s="4"/>
      <c r="W222" s="4"/>
    </row>
    <row r="223" spans="1:206" x14ac:dyDescent="0.2">
      <c r="A223" s="4">
        <v>50</v>
      </c>
      <c r="B223" s="4">
        <v>0</v>
      </c>
      <c r="C223" s="4">
        <v>0</v>
      </c>
      <c r="D223" s="4">
        <v>1</v>
      </c>
      <c r="E223" s="4">
        <v>227</v>
      </c>
      <c r="F223" s="4">
        <f>ROUND(Source!AX216,O223)</f>
        <v>0</v>
      </c>
      <c r="G223" s="4" t="s">
        <v>125</v>
      </c>
      <c r="H223" s="4" t="s">
        <v>126</v>
      </c>
      <c r="I223" s="4"/>
      <c r="J223" s="4"/>
      <c r="K223" s="4">
        <v>227</v>
      </c>
      <c r="L223" s="4">
        <v>6</v>
      </c>
      <c r="M223" s="4">
        <v>3</v>
      </c>
      <c r="N223" s="4" t="s">
        <v>6</v>
      </c>
      <c r="O223" s="4">
        <v>2</v>
      </c>
      <c r="P223" s="4"/>
      <c r="Q223" s="4"/>
      <c r="R223" s="4"/>
      <c r="S223" s="4"/>
      <c r="T223" s="4"/>
      <c r="U223" s="4"/>
      <c r="V223" s="4"/>
      <c r="W223" s="4"/>
    </row>
    <row r="224" spans="1:206" x14ac:dyDescent="0.2">
      <c r="A224" s="4">
        <v>50</v>
      </c>
      <c r="B224" s="4">
        <v>0</v>
      </c>
      <c r="C224" s="4">
        <v>0</v>
      </c>
      <c r="D224" s="4">
        <v>1</v>
      </c>
      <c r="E224" s="4">
        <v>228</v>
      </c>
      <c r="F224" s="4">
        <f>ROUND(Source!AY216,O224)</f>
        <v>1226480.26</v>
      </c>
      <c r="G224" s="4" t="s">
        <v>127</v>
      </c>
      <c r="H224" s="4" t="s">
        <v>128</v>
      </c>
      <c r="I224" s="4"/>
      <c r="J224" s="4"/>
      <c r="K224" s="4">
        <v>228</v>
      </c>
      <c r="L224" s="4">
        <v>7</v>
      </c>
      <c r="M224" s="4">
        <v>3</v>
      </c>
      <c r="N224" s="4" t="s">
        <v>6</v>
      </c>
      <c r="O224" s="4">
        <v>2</v>
      </c>
      <c r="P224" s="4"/>
      <c r="Q224" s="4"/>
      <c r="R224" s="4"/>
      <c r="S224" s="4"/>
      <c r="T224" s="4"/>
      <c r="U224" s="4"/>
      <c r="V224" s="4"/>
      <c r="W224" s="4"/>
    </row>
    <row r="225" spans="1:23" x14ac:dyDescent="0.2">
      <c r="A225" s="4">
        <v>50</v>
      </c>
      <c r="B225" s="4">
        <v>0</v>
      </c>
      <c r="C225" s="4">
        <v>0</v>
      </c>
      <c r="D225" s="4">
        <v>1</v>
      </c>
      <c r="E225" s="4">
        <v>216</v>
      </c>
      <c r="F225" s="4">
        <f>ROUND(Source!AP216,O225)</f>
        <v>0</v>
      </c>
      <c r="G225" s="4" t="s">
        <v>129</v>
      </c>
      <c r="H225" s="4" t="s">
        <v>130</v>
      </c>
      <c r="I225" s="4"/>
      <c r="J225" s="4"/>
      <c r="K225" s="4">
        <v>216</v>
      </c>
      <c r="L225" s="4">
        <v>8</v>
      </c>
      <c r="M225" s="4">
        <v>3</v>
      </c>
      <c r="N225" s="4" t="s">
        <v>6</v>
      </c>
      <c r="O225" s="4">
        <v>2</v>
      </c>
      <c r="P225" s="4"/>
      <c r="Q225" s="4"/>
      <c r="R225" s="4"/>
      <c r="S225" s="4"/>
      <c r="T225" s="4"/>
      <c r="U225" s="4"/>
      <c r="V225" s="4"/>
      <c r="W225" s="4"/>
    </row>
    <row r="226" spans="1:23" x14ac:dyDescent="0.2">
      <c r="A226" s="4">
        <v>50</v>
      </c>
      <c r="B226" s="4">
        <v>0</v>
      </c>
      <c r="C226" s="4">
        <v>0</v>
      </c>
      <c r="D226" s="4">
        <v>1</v>
      </c>
      <c r="E226" s="4">
        <v>223</v>
      </c>
      <c r="F226" s="4">
        <f>ROUND(Source!AQ216,O226)</f>
        <v>0</v>
      </c>
      <c r="G226" s="4" t="s">
        <v>131</v>
      </c>
      <c r="H226" s="4" t="s">
        <v>132</v>
      </c>
      <c r="I226" s="4"/>
      <c r="J226" s="4"/>
      <c r="K226" s="4">
        <v>223</v>
      </c>
      <c r="L226" s="4">
        <v>9</v>
      </c>
      <c r="M226" s="4">
        <v>3</v>
      </c>
      <c r="N226" s="4" t="s">
        <v>6</v>
      </c>
      <c r="O226" s="4">
        <v>2</v>
      </c>
      <c r="P226" s="4"/>
      <c r="Q226" s="4"/>
      <c r="R226" s="4"/>
      <c r="S226" s="4"/>
      <c r="T226" s="4"/>
      <c r="U226" s="4"/>
      <c r="V226" s="4"/>
      <c r="W226" s="4"/>
    </row>
    <row r="227" spans="1:23" x14ac:dyDescent="0.2">
      <c r="A227" s="4">
        <v>50</v>
      </c>
      <c r="B227" s="4">
        <v>0</v>
      </c>
      <c r="C227" s="4">
        <v>0</v>
      </c>
      <c r="D227" s="4">
        <v>1</v>
      </c>
      <c r="E227" s="4">
        <v>229</v>
      </c>
      <c r="F227" s="4">
        <f>ROUND(Source!AZ216,O227)</f>
        <v>0</v>
      </c>
      <c r="G227" s="4" t="s">
        <v>133</v>
      </c>
      <c r="H227" s="4" t="s">
        <v>134</v>
      </c>
      <c r="I227" s="4"/>
      <c r="J227" s="4"/>
      <c r="K227" s="4">
        <v>229</v>
      </c>
      <c r="L227" s="4">
        <v>10</v>
      </c>
      <c r="M227" s="4">
        <v>3</v>
      </c>
      <c r="N227" s="4" t="s">
        <v>6</v>
      </c>
      <c r="O227" s="4">
        <v>2</v>
      </c>
      <c r="P227" s="4"/>
      <c r="Q227" s="4"/>
      <c r="R227" s="4"/>
      <c r="S227" s="4"/>
      <c r="T227" s="4"/>
      <c r="U227" s="4"/>
      <c r="V227" s="4"/>
      <c r="W227" s="4"/>
    </row>
    <row r="228" spans="1:23" x14ac:dyDescent="0.2">
      <c r="A228" s="4">
        <v>50</v>
      </c>
      <c r="B228" s="4">
        <v>0</v>
      </c>
      <c r="C228" s="4">
        <v>0</v>
      </c>
      <c r="D228" s="4">
        <v>1</v>
      </c>
      <c r="E228" s="4">
        <v>203</v>
      </c>
      <c r="F228" s="4">
        <f>ROUND(Source!Q216,O228)</f>
        <v>11001.62</v>
      </c>
      <c r="G228" s="4" t="s">
        <v>135</v>
      </c>
      <c r="H228" s="4" t="s">
        <v>136</v>
      </c>
      <c r="I228" s="4"/>
      <c r="J228" s="4"/>
      <c r="K228" s="4">
        <v>203</v>
      </c>
      <c r="L228" s="4">
        <v>11</v>
      </c>
      <c r="M228" s="4">
        <v>3</v>
      </c>
      <c r="N228" s="4" t="s">
        <v>6</v>
      </c>
      <c r="O228" s="4">
        <v>2</v>
      </c>
      <c r="P228" s="4"/>
      <c r="Q228" s="4"/>
      <c r="R228" s="4"/>
      <c r="S228" s="4"/>
      <c r="T228" s="4"/>
      <c r="U228" s="4"/>
      <c r="V228" s="4"/>
      <c r="W228" s="4"/>
    </row>
    <row r="229" spans="1:23" x14ac:dyDescent="0.2">
      <c r="A229" s="4">
        <v>50</v>
      </c>
      <c r="B229" s="4">
        <v>0</v>
      </c>
      <c r="C229" s="4">
        <v>0</v>
      </c>
      <c r="D229" s="4">
        <v>1</v>
      </c>
      <c r="E229" s="4">
        <v>231</v>
      </c>
      <c r="F229" s="4">
        <f>ROUND(Source!BB216,O229)</f>
        <v>0</v>
      </c>
      <c r="G229" s="4" t="s">
        <v>137</v>
      </c>
      <c r="H229" s="4" t="s">
        <v>138</v>
      </c>
      <c r="I229" s="4"/>
      <c r="J229" s="4"/>
      <c r="K229" s="4">
        <v>231</v>
      </c>
      <c r="L229" s="4">
        <v>12</v>
      </c>
      <c r="M229" s="4">
        <v>3</v>
      </c>
      <c r="N229" s="4" t="s">
        <v>6</v>
      </c>
      <c r="O229" s="4">
        <v>2</v>
      </c>
      <c r="P229" s="4"/>
      <c r="Q229" s="4"/>
      <c r="R229" s="4"/>
      <c r="S229" s="4"/>
      <c r="T229" s="4"/>
      <c r="U229" s="4"/>
      <c r="V229" s="4"/>
      <c r="W229" s="4"/>
    </row>
    <row r="230" spans="1:23" x14ac:dyDescent="0.2">
      <c r="A230" s="4">
        <v>50</v>
      </c>
      <c r="B230" s="4">
        <v>0</v>
      </c>
      <c r="C230" s="4">
        <v>0</v>
      </c>
      <c r="D230" s="4">
        <v>1</v>
      </c>
      <c r="E230" s="4">
        <v>204</v>
      </c>
      <c r="F230" s="4">
        <f>ROUND(Source!R216,O230)</f>
        <v>2447.79</v>
      </c>
      <c r="G230" s="4" t="s">
        <v>139</v>
      </c>
      <c r="H230" s="4" t="s">
        <v>140</v>
      </c>
      <c r="I230" s="4"/>
      <c r="J230" s="4"/>
      <c r="K230" s="4">
        <v>204</v>
      </c>
      <c r="L230" s="4">
        <v>13</v>
      </c>
      <c r="M230" s="4">
        <v>3</v>
      </c>
      <c r="N230" s="4" t="s">
        <v>6</v>
      </c>
      <c r="O230" s="4">
        <v>2</v>
      </c>
      <c r="P230" s="4"/>
      <c r="Q230" s="4"/>
      <c r="R230" s="4"/>
      <c r="S230" s="4"/>
      <c r="T230" s="4"/>
      <c r="U230" s="4"/>
      <c r="V230" s="4"/>
      <c r="W230" s="4"/>
    </row>
    <row r="231" spans="1:23" x14ac:dyDescent="0.2">
      <c r="A231" s="4">
        <v>50</v>
      </c>
      <c r="B231" s="4">
        <v>0</v>
      </c>
      <c r="C231" s="4">
        <v>0</v>
      </c>
      <c r="D231" s="4">
        <v>1</v>
      </c>
      <c r="E231" s="4">
        <v>205</v>
      </c>
      <c r="F231" s="4">
        <f>ROUND(Source!S216,O231)</f>
        <v>71244.3</v>
      </c>
      <c r="G231" s="4" t="s">
        <v>141</v>
      </c>
      <c r="H231" s="4" t="s">
        <v>142</v>
      </c>
      <c r="I231" s="4"/>
      <c r="J231" s="4"/>
      <c r="K231" s="4">
        <v>205</v>
      </c>
      <c r="L231" s="4">
        <v>14</v>
      </c>
      <c r="M231" s="4">
        <v>3</v>
      </c>
      <c r="N231" s="4" t="s">
        <v>6</v>
      </c>
      <c r="O231" s="4">
        <v>2</v>
      </c>
      <c r="P231" s="4"/>
      <c r="Q231" s="4"/>
      <c r="R231" s="4"/>
      <c r="S231" s="4"/>
      <c r="T231" s="4"/>
      <c r="U231" s="4"/>
      <c r="V231" s="4"/>
      <c r="W231" s="4"/>
    </row>
    <row r="232" spans="1:23" x14ac:dyDescent="0.2">
      <c r="A232" s="4">
        <v>50</v>
      </c>
      <c r="B232" s="4">
        <v>0</v>
      </c>
      <c r="C232" s="4">
        <v>0</v>
      </c>
      <c r="D232" s="4">
        <v>1</v>
      </c>
      <c r="E232" s="4">
        <v>232</v>
      </c>
      <c r="F232" s="4">
        <f>ROUND(Source!BC216,O232)</f>
        <v>0</v>
      </c>
      <c r="G232" s="4" t="s">
        <v>143</v>
      </c>
      <c r="H232" s="4" t="s">
        <v>144</v>
      </c>
      <c r="I232" s="4"/>
      <c r="J232" s="4"/>
      <c r="K232" s="4">
        <v>232</v>
      </c>
      <c r="L232" s="4">
        <v>15</v>
      </c>
      <c r="M232" s="4">
        <v>3</v>
      </c>
      <c r="N232" s="4" t="s">
        <v>6</v>
      </c>
      <c r="O232" s="4">
        <v>2</v>
      </c>
      <c r="P232" s="4"/>
      <c r="Q232" s="4"/>
      <c r="R232" s="4"/>
      <c r="S232" s="4"/>
      <c r="T232" s="4"/>
      <c r="U232" s="4"/>
      <c r="V232" s="4"/>
      <c r="W232" s="4"/>
    </row>
    <row r="233" spans="1:23" x14ac:dyDescent="0.2">
      <c r="A233" s="4">
        <v>50</v>
      </c>
      <c r="B233" s="4">
        <v>0</v>
      </c>
      <c r="C233" s="4">
        <v>0</v>
      </c>
      <c r="D233" s="4">
        <v>1</v>
      </c>
      <c r="E233" s="4">
        <v>214</v>
      </c>
      <c r="F233" s="4">
        <f>ROUND(Source!AS216,O233)</f>
        <v>1426500.14</v>
      </c>
      <c r="G233" s="4" t="s">
        <v>145</v>
      </c>
      <c r="H233" s="4" t="s">
        <v>146</v>
      </c>
      <c r="I233" s="4"/>
      <c r="J233" s="4"/>
      <c r="K233" s="4">
        <v>214</v>
      </c>
      <c r="L233" s="4">
        <v>16</v>
      </c>
      <c r="M233" s="4">
        <v>3</v>
      </c>
      <c r="N233" s="4" t="s">
        <v>6</v>
      </c>
      <c r="O233" s="4">
        <v>2</v>
      </c>
      <c r="P233" s="4"/>
      <c r="Q233" s="4"/>
      <c r="R233" s="4"/>
      <c r="S233" s="4"/>
      <c r="T233" s="4"/>
      <c r="U233" s="4"/>
      <c r="V233" s="4"/>
      <c r="W233" s="4"/>
    </row>
    <row r="234" spans="1:23" x14ac:dyDescent="0.2">
      <c r="A234" s="4">
        <v>50</v>
      </c>
      <c r="B234" s="4">
        <v>0</v>
      </c>
      <c r="C234" s="4">
        <v>0</v>
      </c>
      <c r="D234" s="4">
        <v>1</v>
      </c>
      <c r="E234" s="4">
        <v>215</v>
      </c>
      <c r="F234" s="4">
        <f>ROUND(Source!AT216,O234)</f>
        <v>0</v>
      </c>
      <c r="G234" s="4" t="s">
        <v>147</v>
      </c>
      <c r="H234" s="4" t="s">
        <v>148</v>
      </c>
      <c r="I234" s="4"/>
      <c r="J234" s="4"/>
      <c r="K234" s="4">
        <v>215</v>
      </c>
      <c r="L234" s="4">
        <v>17</v>
      </c>
      <c r="M234" s="4">
        <v>3</v>
      </c>
      <c r="N234" s="4" t="s">
        <v>6</v>
      </c>
      <c r="O234" s="4">
        <v>2</v>
      </c>
      <c r="P234" s="4"/>
      <c r="Q234" s="4"/>
      <c r="R234" s="4"/>
      <c r="S234" s="4"/>
      <c r="T234" s="4"/>
      <c r="U234" s="4"/>
      <c r="V234" s="4"/>
      <c r="W234" s="4"/>
    </row>
    <row r="235" spans="1:23" x14ac:dyDescent="0.2">
      <c r="A235" s="4">
        <v>50</v>
      </c>
      <c r="B235" s="4">
        <v>0</v>
      </c>
      <c r="C235" s="4">
        <v>0</v>
      </c>
      <c r="D235" s="4">
        <v>1</v>
      </c>
      <c r="E235" s="4">
        <v>217</v>
      </c>
      <c r="F235" s="4">
        <f>ROUND(Source!AU216,O235)</f>
        <v>0</v>
      </c>
      <c r="G235" s="4" t="s">
        <v>149</v>
      </c>
      <c r="H235" s="4" t="s">
        <v>150</v>
      </c>
      <c r="I235" s="4"/>
      <c r="J235" s="4"/>
      <c r="K235" s="4">
        <v>217</v>
      </c>
      <c r="L235" s="4">
        <v>18</v>
      </c>
      <c r="M235" s="4">
        <v>3</v>
      </c>
      <c r="N235" s="4" t="s">
        <v>6</v>
      </c>
      <c r="O235" s="4">
        <v>2</v>
      </c>
      <c r="P235" s="4"/>
      <c r="Q235" s="4"/>
      <c r="R235" s="4"/>
      <c r="S235" s="4"/>
      <c r="T235" s="4"/>
      <c r="U235" s="4"/>
      <c r="V235" s="4"/>
      <c r="W235" s="4"/>
    </row>
    <row r="236" spans="1:23" x14ac:dyDescent="0.2">
      <c r="A236" s="4">
        <v>50</v>
      </c>
      <c r="B236" s="4">
        <v>0</v>
      </c>
      <c r="C236" s="4">
        <v>0</v>
      </c>
      <c r="D236" s="4">
        <v>1</v>
      </c>
      <c r="E236" s="4">
        <v>230</v>
      </c>
      <c r="F236" s="4">
        <f>ROUND(Source!BA216,O236)</f>
        <v>0</v>
      </c>
      <c r="G236" s="4" t="s">
        <v>151</v>
      </c>
      <c r="H236" s="4" t="s">
        <v>152</v>
      </c>
      <c r="I236" s="4"/>
      <c r="J236" s="4"/>
      <c r="K236" s="4">
        <v>230</v>
      </c>
      <c r="L236" s="4">
        <v>19</v>
      </c>
      <c r="M236" s="4">
        <v>3</v>
      </c>
      <c r="N236" s="4" t="s">
        <v>6</v>
      </c>
      <c r="O236" s="4">
        <v>2</v>
      </c>
      <c r="P236" s="4"/>
      <c r="Q236" s="4"/>
      <c r="R236" s="4"/>
      <c r="S236" s="4"/>
      <c r="T236" s="4"/>
      <c r="U236" s="4"/>
      <c r="V236" s="4"/>
      <c r="W236" s="4"/>
    </row>
    <row r="237" spans="1:23" x14ac:dyDescent="0.2">
      <c r="A237" s="4">
        <v>50</v>
      </c>
      <c r="B237" s="4">
        <v>0</v>
      </c>
      <c r="C237" s="4">
        <v>0</v>
      </c>
      <c r="D237" s="4">
        <v>1</v>
      </c>
      <c r="E237" s="4">
        <v>206</v>
      </c>
      <c r="F237" s="4">
        <f>ROUND(Source!T216,O237)</f>
        <v>0</v>
      </c>
      <c r="G237" s="4" t="s">
        <v>153</v>
      </c>
      <c r="H237" s="4" t="s">
        <v>154</v>
      </c>
      <c r="I237" s="4"/>
      <c r="J237" s="4"/>
      <c r="K237" s="4">
        <v>206</v>
      </c>
      <c r="L237" s="4">
        <v>20</v>
      </c>
      <c r="M237" s="4">
        <v>3</v>
      </c>
      <c r="N237" s="4" t="s">
        <v>6</v>
      </c>
      <c r="O237" s="4">
        <v>2</v>
      </c>
      <c r="P237" s="4"/>
      <c r="Q237" s="4"/>
      <c r="R237" s="4"/>
      <c r="S237" s="4"/>
      <c r="T237" s="4"/>
      <c r="U237" s="4"/>
      <c r="V237" s="4"/>
      <c r="W237" s="4"/>
    </row>
    <row r="238" spans="1:23" x14ac:dyDescent="0.2">
      <c r="A238" s="4">
        <v>50</v>
      </c>
      <c r="B238" s="4">
        <v>0</v>
      </c>
      <c r="C238" s="4">
        <v>0</v>
      </c>
      <c r="D238" s="4">
        <v>1</v>
      </c>
      <c r="E238" s="4">
        <v>207</v>
      </c>
      <c r="F238" s="4">
        <f>Source!U216</f>
        <v>1233.8907197499998</v>
      </c>
      <c r="G238" s="4" t="s">
        <v>155</v>
      </c>
      <c r="H238" s="4" t="s">
        <v>156</v>
      </c>
      <c r="I238" s="4"/>
      <c r="J238" s="4"/>
      <c r="K238" s="4">
        <v>207</v>
      </c>
      <c r="L238" s="4">
        <v>21</v>
      </c>
      <c r="M238" s="4">
        <v>3</v>
      </c>
      <c r="N238" s="4" t="s">
        <v>6</v>
      </c>
      <c r="O238" s="4">
        <v>-1</v>
      </c>
      <c r="P238" s="4"/>
      <c r="Q238" s="4"/>
      <c r="R238" s="4"/>
      <c r="S238" s="4"/>
      <c r="T238" s="4"/>
      <c r="U238" s="4"/>
      <c r="V238" s="4"/>
      <c r="W238" s="4"/>
    </row>
    <row r="239" spans="1:23" x14ac:dyDescent="0.2">
      <c r="A239" s="4">
        <v>50</v>
      </c>
      <c r="B239" s="4">
        <v>0</v>
      </c>
      <c r="C239" s="4">
        <v>0</v>
      </c>
      <c r="D239" s="4">
        <v>1</v>
      </c>
      <c r="E239" s="4">
        <v>208</v>
      </c>
      <c r="F239" s="4">
        <f>Source!V216</f>
        <v>31.607910749999995</v>
      </c>
      <c r="G239" s="4" t="s">
        <v>157</v>
      </c>
      <c r="H239" s="4" t="s">
        <v>158</v>
      </c>
      <c r="I239" s="4"/>
      <c r="J239" s="4"/>
      <c r="K239" s="4">
        <v>208</v>
      </c>
      <c r="L239" s="4">
        <v>22</v>
      </c>
      <c r="M239" s="4">
        <v>3</v>
      </c>
      <c r="N239" s="4" t="s">
        <v>6</v>
      </c>
      <c r="O239" s="4">
        <v>-1</v>
      </c>
      <c r="P239" s="4"/>
      <c r="Q239" s="4"/>
      <c r="R239" s="4"/>
      <c r="S239" s="4"/>
      <c r="T239" s="4"/>
      <c r="U239" s="4"/>
      <c r="V239" s="4"/>
      <c r="W239" s="4"/>
    </row>
    <row r="240" spans="1:23" x14ac:dyDescent="0.2">
      <c r="A240" s="4">
        <v>50</v>
      </c>
      <c r="B240" s="4">
        <v>0</v>
      </c>
      <c r="C240" s="4">
        <v>0</v>
      </c>
      <c r="D240" s="4">
        <v>1</v>
      </c>
      <c r="E240" s="4">
        <v>209</v>
      </c>
      <c r="F240" s="4">
        <f>ROUND(Source!W216,O240)</f>
        <v>0</v>
      </c>
      <c r="G240" s="4" t="s">
        <v>159</v>
      </c>
      <c r="H240" s="4" t="s">
        <v>160</v>
      </c>
      <c r="I240" s="4"/>
      <c r="J240" s="4"/>
      <c r="K240" s="4">
        <v>209</v>
      </c>
      <c r="L240" s="4">
        <v>23</v>
      </c>
      <c r="M240" s="4">
        <v>3</v>
      </c>
      <c r="N240" s="4" t="s">
        <v>6</v>
      </c>
      <c r="O240" s="4">
        <v>2</v>
      </c>
      <c r="P240" s="4"/>
      <c r="Q240" s="4"/>
      <c r="R240" s="4"/>
      <c r="S240" s="4"/>
      <c r="T240" s="4"/>
      <c r="U240" s="4"/>
      <c r="V240" s="4"/>
      <c r="W240" s="4"/>
    </row>
    <row r="241" spans="1:245" x14ac:dyDescent="0.2">
      <c r="A241" s="4">
        <v>50</v>
      </c>
      <c r="B241" s="4">
        <v>0</v>
      </c>
      <c r="C241" s="4">
        <v>0</v>
      </c>
      <c r="D241" s="4">
        <v>1</v>
      </c>
      <c r="E241" s="4">
        <v>210</v>
      </c>
      <c r="F241" s="4">
        <f>ROUND(Source!X216,O241)</f>
        <v>70103.38</v>
      </c>
      <c r="G241" s="4" t="s">
        <v>161</v>
      </c>
      <c r="H241" s="4" t="s">
        <v>162</v>
      </c>
      <c r="I241" s="4"/>
      <c r="J241" s="4"/>
      <c r="K241" s="4">
        <v>210</v>
      </c>
      <c r="L241" s="4">
        <v>24</v>
      </c>
      <c r="M241" s="4">
        <v>3</v>
      </c>
      <c r="N241" s="4" t="s">
        <v>6</v>
      </c>
      <c r="O241" s="4">
        <v>2</v>
      </c>
      <c r="P241" s="4"/>
      <c r="Q241" s="4"/>
      <c r="R241" s="4"/>
      <c r="S241" s="4"/>
      <c r="T241" s="4"/>
      <c r="U241" s="4"/>
      <c r="V241" s="4"/>
      <c r="W241" s="4"/>
    </row>
    <row r="242" spans="1:245" x14ac:dyDescent="0.2">
      <c r="A242" s="4">
        <v>50</v>
      </c>
      <c r="B242" s="4">
        <v>0</v>
      </c>
      <c r="C242" s="4">
        <v>0</v>
      </c>
      <c r="D242" s="4">
        <v>1</v>
      </c>
      <c r="E242" s="4">
        <v>211</v>
      </c>
      <c r="F242" s="4">
        <f>ROUND(Source!Y216,O242)</f>
        <v>40288.22</v>
      </c>
      <c r="G242" s="4" t="s">
        <v>163</v>
      </c>
      <c r="H242" s="4" t="s">
        <v>164</v>
      </c>
      <c r="I242" s="4"/>
      <c r="J242" s="4"/>
      <c r="K242" s="4">
        <v>211</v>
      </c>
      <c r="L242" s="4">
        <v>25</v>
      </c>
      <c r="M242" s="4">
        <v>3</v>
      </c>
      <c r="N242" s="4" t="s">
        <v>6</v>
      </c>
      <c r="O242" s="4">
        <v>2</v>
      </c>
      <c r="P242" s="4"/>
      <c r="Q242" s="4"/>
      <c r="R242" s="4"/>
      <c r="S242" s="4"/>
      <c r="T242" s="4"/>
      <c r="U242" s="4"/>
      <c r="V242" s="4"/>
      <c r="W242" s="4"/>
    </row>
    <row r="243" spans="1:245" x14ac:dyDescent="0.2">
      <c r="A243" s="4">
        <v>50</v>
      </c>
      <c r="B243" s="4">
        <v>0</v>
      </c>
      <c r="C243" s="4">
        <v>0</v>
      </c>
      <c r="D243" s="4">
        <v>1</v>
      </c>
      <c r="E243" s="4">
        <v>224</v>
      </c>
      <c r="F243" s="4">
        <f>ROUND(Source!AR216,O243)</f>
        <v>1426500.14</v>
      </c>
      <c r="G243" s="4" t="s">
        <v>165</v>
      </c>
      <c r="H243" s="4" t="s">
        <v>166</v>
      </c>
      <c r="I243" s="4"/>
      <c r="J243" s="4"/>
      <c r="K243" s="4">
        <v>224</v>
      </c>
      <c r="L243" s="4">
        <v>26</v>
      </c>
      <c r="M243" s="4">
        <v>3</v>
      </c>
      <c r="N243" s="4" t="s">
        <v>6</v>
      </c>
      <c r="O243" s="4">
        <v>2</v>
      </c>
      <c r="P243" s="4"/>
      <c r="Q243" s="4"/>
      <c r="R243" s="4"/>
      <c r="S243" s="4"/>
      <c r="T243" s="4"/>
      <c r="U243" s="4"/>
      <c r="V243" s="4"/>
      <c r="W243" s="4"/>
    </row>
    <row r="245" spans="1:245" x14ac:dyDescent="0.2">
      <c r="A245" s="1">
        <v>4</v>
      </c>
      <c r="B245" s="1">
        <v>1</v>
      </c>
      <c r="C245" s="1"/>
      <c r="D245" s="1">
        <f>ROW(A419)</f>
        <v>419</v>
      </c>
      <c r="E245" s="1"/>
      <c r="F245" s="1" t="s">
        <v>13</v>
      </c>
      <c r="G245" s="1" t="s">
        <v>570</v>
      </c>
      <c r="H245" s="1" t="s">
        <v>6</v>
      </c>
      <c r="I245" s="1">
        <v>0</v>
      </c>
      <c r="J245" s="1"/>
      <c r="K245" s="1">
        <v>0</v>
      </c>
      <c r="L245" s="1"/>
      <c r="M245" s="1"/>
      <c r="N245" s="1"/>
      <c r="O245" s="1"/>
      <c r="P245" s="1"/>
      <c r="Q245" s="1"/>
      <c r="R245" s="1"/>
      <c r="S245" s="1"/>
      <c r="T245" s="1"/>
      <c r="U245" s="1" t="s">
        <v>6</v>
      </c>
      <c r="V245" s="1">
        <v>0</v>
      </c>
      <c r="W245" s="1"/>
      <c r="X245" s="1"/>
      <c r="Y245" s="1"/>
      <c r="Z245" s="1"/>
      <c r="AA245" s="1"/>
      <c r="AB245" s="1" t="s">
        <v>6</v>
      </c>
      <c r="AC245" s="1" t="s">
        <v>6</v>
      </c>
      <c r="AD245" s="1" t="s">
        <v>6</v>
      </c>
      <c r="AE245" s="1" t="s">
        <v>6</v>
      </c>
      <c r="AF245" s="1" t="s">
        <v>6</v>
      </c>
      <c r="AG245" s="1" t="s">
        <v>6</v>
      </c>
      <c r="AH245" s="1"/>
      <c r="AI245" s="1"/>
      <c r="AJ245" s="1"/>
      <c r="AK245" s="1"/>
      <c r="AL245" s="1"/>
      <c r="AM245" s="1"/>
      <c r="AN245" s="1"/>
      <c r="AO245" s="1"/>
      <c r="AP245" s="1" t="s">
        <v>6</v>
      </c>
      <c r="AQ245" s="1" t="s">
        <v>6</v>
      </c>
      <c r="AR245" s="1" t="s">
        <v>6</v>
      </c>
      <c r="AS245" s="1"/>
      <c r="AT245" s="1"/>
      <c r="AU245" s="1"/>
      <c r="AV245" s="1"/>
      <c r="AW245" s="1"/>
      <c r="AX245" s="1"/>
      <c r="AY245" s="1"/>
      <c r="AZ245" s="1" t="s">
        <v>6</v>
      </c>
      <c r="BA245" s="1"/>
      <c r="BB245" s="1" t="s">
        <v>6</v>
      </c>
      <c r="BC245" s="1" t="s">
        <v>6</v>
      </c>
      <c r="BD245" s="1" t="s">
        <v>6</v>
      </c>
      <c r="BE245" s="1" t="s">
        <v>6</v>
      </c>
      <c r="BF245" s="1" t="s">
        <v>6</v>
      </c>
      <c r="BG245" s="1" t="s">
        <v>6</v>
      </c>
      <c r="BH245" s="1" t="s">
        <v>6</v>
      </c>
      <c r="BI245" s="1" t="s">
        <v>6</v>
      </c>
      <c r="BJ245" s="1" t="s">
        <v>6</v>
      </c>
      <c r="BK245" s="1" t="s">
        <v>6</v>
      </c>
      <c r="BL245" s="1" t="s">
        <v>6</v>
      </c>
      <c r="BM245" s="1" t="s">
        <v>6</v>
      </c>
      <c r="BN245" s="1" t="s">
        <v>6</v>
      </c>
      <c r="BO245" s="1" t="s">
        <v>6</v>
      </c>
      <c r="BP245" s="1" t="s">
        <v>6</v>
      </c>
      <c r="BQ245" s="1"/>
      <c r="BR245" s="1"/>
      <c r="BS245" s="1"/>
      <c r="BT245" s="1"/>
      <c r="BU245" s="1"/>
      <c r="BV245" s="1"/>
      <c r="BW245" s="1"/>
      <c r="BX245" s="1">
        <v>0</v>
      </c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>
        <v>0</v>
      </c>
    </row>
    <row r="247" spans="1:245" x14ac:dyDescent="0.2">
      <c r="A247" s="2">
        <v>52</v>
      </c>
      <c r="B247" s="2">
        <f t="shared" ref="B247:G247" si="203">B419</f>
        <v>1</v>
      </c>
      <c r="C247" s="2">
        <f t="shared" si="203"/>
        <v>4</v>
      </c>
      <c r="D247" s="2">
        <f t="shared" si="203"/>
        <v>245</v>
      </c>
      <c r="E247" s="2">
        <f t="shared" si="203"/>
        <v>0</v>
      </c>
      <c r="F247" s="2" t="str">
        <f t="shared" si="203"/>
        <v>Новый раздел</v>
      </c>
      <c r="G247" s="2" t="str">
        <f t="shared" si="203"/>
        <v>2 Электромонтажные работы</v>
      </c>
      <c r="H247" s="2"/>
      <c r="I247" s="2"/>
      <c r="J247" s="2"/>
      <c r="K247" s="2"/>
      <c r="L247" s="2"/>
      <c r="M247" s="2"/>
      <c r="N247" s="2"/>
      <c r="O247" s="2">
        <f t="shared" ref="O247:AT247" si="204">O419</f>
        <v>456466.68</v>
      </c>
      <c r="P247" s="2">
        <f t="shared" si="204"/>
        <v>431794.17</v>
      </c>
      <c r="Q247" s="2">
        <f t="shared" si="204"/>
        <v>4431.84</v>
      </c>
      <c r="R247" s="2">
        <f t="shared" si="204"/>
        <v>462.45</v>
      </c>
      <c r="S247" s="2">
        <f t="shared" si="204"/>
        <v>20240.669999999998</v>
      </c>
      <c r="T247" s="2">
        <f t="shared" si="204"/>
        <v>0</v>
      </c>
      <c r="U247" s="2">
        <f t="shared" si="204"/>
        <v>326.57650000000001</v>
      </c>
      <c r="V247" s="2">
        <f t="shared" si="204"/>
        <v>5.429759999999999</v>
      </c>
      <c r="W247" s="2">
        <f t="shared" si="204"/>
        <v>0</v>
      </c>
      <c r="X247" s="2">
        <f t="shared" si="204"/>
        <v>19233.59</v>
      </c>
      <c r="Y247" s="2">
        <f t="shared" si="204"/>
        <v>13367.12</v>
      </c>
      <c r="Z247" s="2">
        <f t="shared" si="204"/>
        <v>0</v>
      </c>
      <c r="AA247" s="2">
        <f t="shared" si="204"/>
        <v>0</v>
      </c>
      <c r="AB247" s="2">
        <f t="shared" si="204"/>
        <v>0</v>
      </c>
      <c r="AC247" s="2">
        <f t="shared" si="204"/>
        <v>0</v>
      </c>
      <c r="AD247" s="2">
        <f t="shared" si="204"/>
        <v>0</v>
      </c>
      <c r="AE247" s="2">
        <f t="shared" si="204"/>
        <v>0</v>
      </c>
      <c r="AF247" s="2">
        <f t="shared" si="204"/>
        <v>0</v>
      </c>
      <c r="AG247" s="2">
        <f t="shared" si="204"/>
        <v>0</v>
      </c>
      <c r="AH247" s="2">
        <f t="shared" si="204"/>
        <v>0</v>
      </c>
      <c r="AI247" s="2">
        <f t="shared" si="204"/>
        <v>0</v>
      </c>
      <c r="AJ247" s="2">
        <f t="shared" si="204"/>
        <v>0</v>
      </c>
      <c r="AK247" s="2">
        <f t="shared" si="204"/>
        <v>0</v>
      </c>
      <c r="AL247" s="2">
        <f t="shared" si="204"/>
        <v>0</v>
      </c>
      <c r="AM247" s="2">
        <f t="shared" si="204"/>
        <v>0</v>
      </c>
      <c r="AN247" s="2">
        <f t="shared" si="204"/>
        <v>0</v>
      </c>
      <c r="AO247" s="2">
        <f t="shared" si="204"/>
        <v>0</v>
      </c>
      <c r="AP247" s="2">
        <f t="shared" si="204"/>
        <v>0</v>
      </c>
      <c r="AQ247" s="2">
        <f t="shared" si="204"/>
        <v>0</v>
      </c>
      <c r="AR247" s="2">
        <f t="shared" si="204"/>
        <v>489067.39</v>
      </c>
      <c r="AS247" s="2">
        <f t="shared" si="204"/>
        <v>4634.21</v>
      </c>
      <c r="AT247" s="2">
        <f t="shared" si="204"/>
        <v>484433.18</v>
      </c>
      <c r="AU247" s="2">
        <f t="shared" ref="AU247:BZ247" si="205">AU419</f>
        <v>0</v>
      </c>
      <c r="AV247" s="2">
        <f t="shared" si="205"/>
        <v>431794.17</v>
      </c>
      <c r="AW247" s="2">
        <f t="shared" si="205"/>
        <v>431794.17</v>
      </c>
      <c r="AX247" s="2">
        <f t="shared" si="205"/>
        <v>0</v>
      </c>
      <c r="AY247" s="2">
        <f t="shared" si="205"/>
        <v>431794.17</v>
      </c>
      <c r="AZ247" s="2">
        <f t="shared" si="205"/>
        <v>0</v>
      </c>
      <c r="BA247" s="2">
        <f t="shared" si="205"/>
        <v>0</v>
      </c>
      <c r="BB247" s="2">
        <f t="shared" si="205"/>
        <v>0</v>
      </c>
      <c r="BC247" s="2">
        <f t="shared" si="205"/>
        <v>0</v>
      </c>
      <c r="BD247" s="2">
        <f t="shared" si="205"/>
        <v>0</v>
      </c>
      <c r="BE247" s="2">
        <f t="shared" si="205"/>
        <v>0</v>
      </c>
      <c r="BF247" s="2">
        <f t="shared" si="205"/>
        <v>0</v>
      </c>
      <c r="BG247" s="2">
        <f t="shared" si="205"/>
        <v>0</v>
      </c>
      <c r="BH247" s="2">
        <f t="shared" si="205"/>
        <v>0</v>
      </c>
      <c r="BI247" s="2">
        <f t="shared" si="205"/>
        <v>0</v>
      </c>
      <c r="BJ247" s="2">
        <f t="shared" si="205"/>
        <v>0</v>
      </c>
      <c r="BK247" s="2">
        <f t="shared" si="205"/>
        <v>0</v>
      </c>
      <c r="BL247" s="2">
        <f t="shared" si="205"/>
        <v>0</v>
      </c>
      <c r="BM247" s="2">
        <f t="shared" si="205"/>
        <v>0</v>
      </c>
      <c r="BN247" s="2">
        <f t="shared" si="205"/>
        <v>0</v>
      </c>
      <c r="BO247" s="2">
        <f t="shared" si="205"/>
        <v>0</v>
      </c>
      <c r="BP247" s="2">
        <f t="shared" si="205"/>
        <v>0</v>
      </c>
      <c r="BQ247" s="2">
        <f t="shared" si="205"/>
        <v>0</v>
      </c>
      <c r="BR247" s="2">
        <f t="shared" si="205"/>
        <v>0</v>
      </c>
      <c r="BS247" s="2">
        <f t="shared" si="205"/>
        <v>0</v>
      </c>
      <c r="BT247" s="2">
        <f t="shared" si="205"/>
        <v>0</v>
      </c>
      <c r="BU247" s="2">
        <f t="shared" si="205"/>
        <v>0</v>
      </c>
      <c r="BV247" s="2">
        <f t="shared" si="205"/>
        <v>0</v>
      </c>
      <c r="BW247" s="2">
        <f t="shared" si="205"/>
        <v>0</v>
      </c>
      <c r="BX247" s="2">
        <f t="shared" si="205"/>
        <v>0</v>
      </c>
      <c r="BY247" s="2">
        <f t="shared" si="205"/>
        <v>0</v>
      </c>
      <c r="BZ247" s="2">
        <f t="shared" si="205"/>
        <v>0</v>
      </c>
      <c r="CA247" s="2">
        <f t="shared" ref="CA247:DF247" si="206">CA419</f>
        <v>0</v>
      </c>
      <c r="CB247" s="2">
        <f t="shared" si="206"/>
        <v>0</v>
      </c>
      <c r="CC247" s="2">
        <f t="shared" si="206"/>
        <v>0</v>
      </c>
      <c r="CD247" s="2">
        <f t="shared" si="206"/>
        <v>0</v>
      </c>
      <c r="CE247" s="2">
        <f t="shared" si="206"/>
        <v>0</v>
      </c>
      <c r="CF247" s="2">
        <f t="shared" si="206"/>
        <v>0</v>
      </c>
      <c r="CG247" s="2">
        <f t="shared" si="206"/>
        <v>0</v>
      </c>
      <c r="CH247" s="2">
        <f t="shared" si="206"/>
        <v>0</v>
      </c>
      <c r="CI247" s="2">
        <f t="shared" si="206"/>
        <v>0</v>
      </c>
      <c r="CJ247" s="2">
        <f t="shared" si="206"/>
        <v>0</v>
      </c>
      <c r="CK247" s="2">
        <f t="shared" si="206"/>
        <v>0</v>
      </c>
      <c r="CL247" s="2">
        <f t="shared" si="206"/>
        <v>0</v>
      </c>
      <c r="CM247" s="2">
        <f t="shared" si="206"/>
        <v>0</v>
      </c>
      <c r="CN247" s="2">
        <f t="shared" si="206"/>
        <v>0</v>
      </c>
      <c r="CO247" s="2">
        <f t="shared" si="206"/>
        <v>0</v>
      </c>
      <c r="CP247" s="2">
        <f t="shared" si="206"/>
        <v>0</v>
      </c>
      <c r="CQ247" s="2">
        <f t="shared" si="206"/>
        <v>0</v>
      </c>
      <c r="CR247" s="2">
        <f t="shared" si="206"/>
        <v>0</v>
      </c>
      <c r="CS247" s="2">
        <f t="shared" si="206"/>
        <v>0</v>
      </c>
      <c r="CT247" s="2">
        <f t="shared" si="206"/>
        <v>0</v>
      </c>
      <c r="CU247" s="2">
        <f t="shared" si="206"/>
        <v>0</v>
      </c>
      <c r="CV247" s="2">
        <f t="shared" si="206"/>
        <v>0</v>
      </c>
      <c r="CW247" s="2">
        <f t="shared" si="206"/>
        <v>0</v>
      </c>
      <c r="CX247" s="2">
        <f t="shared" si="206"/>
        <v>0</v>
      </c>
      <c r="CY247" s="2">
        <f t="shared" si="206"/>
        <v>0</v>
      </c>
      <c r="CZ247" s="2">
        <f t="shared" si="206"/>
        <v>0</v>
      </c>
      <c r="DA247" s="2">
        <f t="shared" si="206"/>
        <v>0</v>
      </c>
      <c r="DB247" s="2">
        <f t="shared" si="206"/>
        <v>0</v>
      </c>
      <c r="DC247" s="2">
        <f t="shared" si="206"/>
        <v>0</v>
      </c>
      <c r="DD247" s="2">
        <f t="shared" si="206"/>
        <v>0</v>
      </c>
      <c r="DE247" s="2">
        <f t="shared" si="206"/>
        <v>0</v>
      </c>
      <c r="DF247" s="2">
        <f t="shared" si="206"/>
        <v>0</v>
      </c>
      <c r="DG247" s="3">
        <f t="shared" ref="DG247:EL247" si="207">DG419</f>
        <v>0</v>
      </c>
      <c r="DH247" s="3">
        <f t="shared" si="207"/>
        <v>0</v>
      </c>
      <c r="DI247" s="3">
        <f t="shared" si="207"/>
        <v>0</v>
      </c>
      <c r="DJ247" s="3">
        <f t="shared" si="207"/>
        <v>0</v>
      </c>
      <c r="DK247" s="3">
        <f t="shared" si="207"/>
        <v>0</v>
      </c>
      <c r="DL247" s="3">
        <f t="shared" si="207"/>
        <v>0</v>
      </c>
      <c r="DM247" s="3">
        <f t="shared" si="207"/>
        <v>0</v>
      </c>
      <c r="DN247" s="3">
        <f t="shared" si="207"/>
        <v>0</v>
      </c>
      <c r="DO247" s="3">
        <f t="shared" si="207"/>
        <v>0</v>
      </c>
      <c r="DP247" s="3">
        <f t="shared" si="207"/>
        <v>0</v>
      </c>
      <c r="DQ247" s="3">
        <f t="shared" si="207"/>
        <v>0</v>
      </c>
      <c r="DR247" s="3">
        <f t="shared" si="207"/>
        <v>0</v>
      </c>
      <c r="DS247" s="3">
        <f t="shared" si="207"/>
        <v>0</v>
      </c>
      <c r="DT247" s="3">
        <f t="shared" si="207"/>
        <v>0</v>
      </c>
      <c r="DU247" s="3">
        <f t="shared" si="207"/>
        <v>0</v>
      </c>
      <c r="DV247" s="3">
        <f t="shared" si="207"/>
        <v>0</v>
      </c>
      <c r="DW247" s="3">
        <f t="shared" si="207"/>
        <v>0</v>
      </c>
      <c r="DX247" s="3">
        <f t="shared" si="207"/>
        <v>0</v>
      </c>
      <c r="DY247" s="3">
        <f t="shared" si="207"/>
        <v>0</v>
      </c>
      <c r="DZ247" s="3">
        <f t="shared" si="207"/>
        <v>0</v>
      </c>
      <c r="EA247" s="3">
        <f t="shared" si="207"/>
        <v>0</v>
      </c>
      <c r="EB247" s="3">
        <f t="shared" si="207"/>
        <v>0</v>
      </c>
      <c r="EC247" s="3">
        <f t="shared" si="207"/>
        <v>0</v>
      </c>
      <c r="ED247" s="3">
        <f t="shared" si="207"/>
        <v>0</v>
      </c>
      <c r="EE247" s="3">
        <f t="shared" si="207"/>
        <v>0</v>
      </c>
      <c r="EF247" s="3">
        <f t="shared" si="207"/>
        <v>0</v>
      </c>
      <c r="EG247" s="3">
        <f t="shared" si="207"/>
        <v>0</v>
      </c>
      <c r="EH247" s="3">
        <f t="shared" si="207"/>
        <v>0</v>
      </c>
      <c r="EI247" s="3">
        <f t="shared" si="207"/>
        <v>0</v>
      </c>
      <c r="EJ247" s="3">
        <f t="shared" si="207"/>
        <v>0</v>
      </c>
      <c r="EK247" s="3">
        <f t="shared" si="207"/>
        <v>0</v>
      </c>
      <c r="EL247" s="3">
        <f t="shared" si="207"/>
        <v>0</v>
      </c>
      <c r="EM247" s="3">
        <f t="shared" ref="EM247:FR247" si="208">EM419</f>
        <v>0</v>
      </c>
      <c r="EN247" s="3">
        <f t="shared" si="208"/>
        <v>0</v>
      </c>
      <c r="EO247" s="3">
        <f t="shared" si="208"/>
        <v>0</v>
      </c>
      <c r="EP247" s="3">
        <f t="shared" si="208"/>
        <v>0</v>
      </c>
      <c r="EQ247" s="3">
        <f t="shared" si="208"/>
        <v>0</v>
      </c>
      <c r="ER247" s="3">
        <f t="shared" si="208"/>
        <v>0</v>
      </c>
      <c r="ES247" s="3">
        <f t="shared" si="208"/>
        <v>0</v>
      </c>
      <c r="ET247" s="3">
        <f t="shared" si="208"/>
        <v>0</v>
      </c>
      <c r="EU247" s="3">
        <f t="shared" si="208"/>
        <v>0</v>
      </c>
      <c r="EV247" s="3">
        <f t="shared" si="208"/>
        <v>0</v>
      </c>
      <c r="EW247" s="3">
        <f t="shared" si="208"/>
        <v>0</v>
      </c>
      <c r="EX247" s="3">
        <f t="shared" si="208"/>
        <v>0</v>
      </c>
      <c r="EY247" s="3">
        <f t="shared" si="208"/>
        <v>0</v>
      </c>
      <c r="EZ247" s="3">
        <f t="shared" si="208"/>
        <v>0</v>
      </c>
      <c r="FA247" s="3">
        <f t="shared" si="208"/>
        <v>0</v>
      </c>
      <c r="FB247" s="3">
        <f t="shared" si="208"/>
        <v>0</v>
      </c>
      <c r="FC247" s="3">
        <f t="shared" si="208"/>
        <v>0</v>
      </c>
      <c r="FD247" s="3">
        <f t="shared" si="208"/>
        <v>0</v>
      </c>
      <c r="FE247" s="3">
        <f t="shared" si="208"/>
        <v>0</v>
      </c>
      <c r="FF247" s="3">
        <f t="shared" si="208"/>
        <v>0</v>
      </c>
      <c r="FG247" s="3">
        <f t="shared" si="208"/>
        <v>0</v>
      </c>
      <c r="FH247" s="3">
        <f t="shared" si="208"/>
        <v>0</v>
      </c>
      <c r="FI247" s="3">
        <f t="shared" si="208"/>
        <v>0</v>
      </c>
      <c r="FJ247" s="3">
        <f t="shared" si="208"/>
        <v>0</v>
      </c>
      <c r="FK247" s="3">
        <f t="shared" si="208"/>
        <v>0</v>
      </c>
      <c r="FL247" s="3">
        <f t="shared" si="208"/>
        <v>0</v>
      </c>
      <c r="FM247" s="3">
        <f t="shared" si="208"/>
        <v>0</v>
      </c>
      <c r="FN247" s="3">
        <f t="shared" si="208"/>
        <v>0</v>
      </c>
      <c r="FO247" s="3">
        <f t="shared" si="208"/>
        <v>0</v>
      </c>
      <c r="FP247" s="3">
        <f t="shared" si="208"/>
        <v>0</v>
      </c>
      <c r="FQ247" s="3">
        <f t="shared" si="208"/>
        <v>0</v>
      </c>
      <c r="FR247" s="3">
        <f t="shared" si="208"/>
        <v>0</v>
      </c>
      <c r="FS247" s="3">
        <f t="shared" ref="FS247:GX247" si="209">FS419</f>
        <v>0</v>
      </c>
      <c r="FT247" s="3">
        <f t="shared" si="209"/>
        <v>0</v>
      </c>
      <c r="FU247" s="3">
        <f t="shared" si="209"/>
        <v>0</v>
      </c>
      <c r="FV247" s="3">
        <f t="shared" si="209"/>
        <v>0</v>
      </c>
      <c r="FW247" s="3">
        <f t="shared" si="209"/>
        <v>0</v>
      </c>
      <c r="FX247" s="3">
        <f t="shared" si="209"/>
        <v>0</v>
      </c>
      <c r="FY247" s="3">
        <f t="shared" si="209"/>
        <v>0</v>
      </c>
      <c r="FZ247" s="3">
        <f t="shared" si="209"/>
        <v>0</v>
      </c>
      <c r="GA247" s="3">
        <f t="shared" si="209"/>
        <v>0</v>
      </c>
      <c r="GB247" s="3">
        <f t="shared" si="209"/>
        <v>0</v>
      </c>
      <c r="GC247" s="3">
        <f t="shared" si="209"/>
        <v>0</v>
      </c>
      <c r="GD247" s="3">
        <f t="shared" si="209"/>
        <v>0</v>
      </c>
      <c r="GE247" s="3">
        <f t="shared" si="209"/>
        <v>0</v>
      </c>
      <c r="GF247" s="3">
        <f t="shared" si="209"/>
        <v>0</v>
      </c>
      <c r="GG247" s="3">
        <f t="shared" si="209"/>
        <v>0</v>
      </c>
      <c r="GH247" s="3">
        <f t="shared" si="209"/>
        <v>0</v>
      </c>
      <c r="GI247" s="3">
        <f t="shared" si="209"/>
        <v>0</v>
      </c>
      <c r="GJ247" s="3">
        <f t="shared" si="209"/>
        <v>0</v>
      </c>
      <c r="GK247" s="3">
        <f t="shared" si="209"/>
        <v>0</v>
      </c>
      <c r="GL247" s="3">
        <f t="shared" si="209"/>
        <v>0</v>
      </c>
      <c r="GM247" s="3">
        <f t="shared" si="209"/>
        <v>0</v>
      </c>
      <c r="GN247" s="3">
        <f t="shared" si="209"/>
        <v>0</v>
      </c>
      <c r="GO247" s="3">
        <f t="shared" si="209"/>
        <v>0</v>
      </c>
      <c r="GP247" s="3">
        <f t="shared" si="209"/>
        <v>0</v>
      </c>
      <c r="GQ247" s="3">
        <f t="shared" si="209"/>
        <v>0</v>
      </c>
      <c r="GR247" s="3">
        <f t="shared" si="209"/>
        <v>0</v>
      </c>
      <c r="GS247" s="3">
        <f t="shared" si="209"/>
        <v>0</v>
      </c>
      <c r="GT247" s="3">
        <f t="shared" si="209"/>
        <v>0</v>
      </c>
      <c r="GU247" s="3">
        <f t="shared" si="209"/>
        <v>0</v>
      </c>
      <c r="GV247" s="3">
        <f t="shared" si="209"/>
        <v>0</v>
      </c>
      <c r="GW247" s="3">
        <f t="shared" si="209"/>
        <v>0</v>
      </c>
      <c r="GX247" s="3">
        <f t="shared" si="209"/>
        <v>0</v>
      </c>
    </row>
    <row r="249" spans="1:245" x14ac:dyDescent="0.2">
      <c r="A249" s="1">
        <v>5</v>
      </c>
      <c r="B249" s="1">
        <v>1</v>
      </c>
      <c r="C249" s="1"/>
      <c r="D249" s="1">
        <f>ROW(A259)</f>
        <v>259</v>
      </c>
      <c r="E249" s="1"/>
      <c r="F249" s="1" t="s">
        <v>15</v>
      </c>
      <c r="G249" s="1" t="s">
        <v>571</v>
      </c>
      <c r="H249" s="1" t="s">
        <v>6</v>
      </c>
      <c r="I249" s="1">
        <v>0</v>
      </c>
      <c r="J249" s="1"/>
      <c r="K249" s="1">
        <v>0</v>
      </c>
      <c r="L249" s="1"/>
      <c r="M249" s="1"/>
      <c r="N249" s="1"/>
      <c r="O249" s="1"/>
      <c r="P249" s="1"/>
      <c r="Q249" s="1"/>
      <c r="R249" s="1"/>
      <c r="S249" s="1"/>
      <c r="T249" s="1"/>
      <c r="U249" s="1" t="s">
        <v>6</v>
      </c>
      <c r="V249" s="1">
        <v>0</v>
      </c>
      <c r="W249" s="1"/>
      <c r="X249" s="1"/>
      <c r="Y249" s="1"/>
      <c r="Z249" s="1"/>
      <c r="AA249" s="1"/>
      <c r="AB249" s="1" t="s">
        <v>6</v>
      </c>
      <c r="AC249" s="1" t="s">
        <v>6</v>
      </c>
      <c r="AD249" s="1" t="s">
        <v>6</v>
      </c>
      <c r="AE249" s="1" t="s">
        <v>6</v>
      </c>
      <c r="AF249" s="1" t="s">
        <v>6</v>
      </c>
      <c r="AG249" s="1" t="s">
        <v>6</v>
      </c>
      <c r="AH249" s="1"/>
      <c r="AI249" s="1"/>
      <c r="AJ249" s="1"/>
      <c r="AK249" s="1"/>
      <c r="AL249" s="1"/>
      <c r="AM249" s="1"/>
      <c r="AN249" s="1"/>
      <c r="AO249" s="1"/>
      <c r="AP249" s="1" t="s">
        <v>6</v>
      </c>
      <c r="AQ249" s="1" t="s">
        <v>6</v>
      </c>
      <c r="AR249" s="1" t="s">
        <v>6</v>
      </c>
      <c r="AS249" s="1"/>
      <c r="AT249" s="1"/>
      <c r="AU249" s="1"/>
      <c r="AV249" s="1"/>
      <c r="AW249" s="1"/>
      <c r="AX249" s="1"/>
      <c r="AY249" s="1"/>
      <c r="AZ249" s="1" t="s">
        <v>6</v>
      </c>
      <c r="BA249" s="1"/>
      <c r="BB249" s="1" t="s">
        <v>6</v>
      </c>
      <c r="BC249" s="1" t="s">
        <v>6</v>
      </c>
      <c r="BD249" s="1" t="s">
        <v>6</v>
      </c>
      <c r="BE249" s="1" t="s">
        <v>6</v>
      </c>
      <c r="BF249" s="1" t="s">
        <v>6</v>
      </c>
      <c r="BG249" s="1" t="s">
        <v>6</v>
      </c>
      <c r="BH249" s="1" t="s">
        <v>6</v>
      </c>
      <c r="BI249" s="1" t="s">
        <v>6</v>
      </c>
      <c r="BJ249" s="1" t="s">
        <v>6</v>
      </c>
      <c r="BK249" s="1" t="s">
        <v>6</v>
      </c>
      <c r="BL249" s="1" t="s">
        <v>6</v>
      </c>
      <c r="BM249" s="1" t="s">
        <v>6</v>
      </c>
      <c r="BN249" s="1" t="s">
        <v>6</v>
      </c>
      <c r="BO249" s="1" t="s">
        <v>6</v>
      </c>
      <c r="BP249" s="1" t="s">
        <v>6</v>
      </c>
      <c r="BQ249" s="1"/>
      <c r="BR249" s="1"/>
      <c r="BS249" s="1"/>
      <c r="BT249" s="1"/>
      <c r="BU249" s="1"/>
      <c r="BV249" s="1"/>
      <c r="BW249" s="1"/>
      <c r="BX249" s="1">
        <v>0</v>
      </c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>
        <v>0</v>
      </c>
    </row>
    <row r="251" spans="1:245" x14ac:dyDescent="0.2">
      <c r="A251" s="2">
        <v>52</v>
      </c>
      <c r="B251" s="2">
        <f t="shared" ref="B251:G251" si="210">B259</f>
        <v>1</v>
      </c>
      <c r="C251" s="2">
        <f t="shared" si="210"/>
        <v>5</v>
      </c>
      <c r="D251" s="2">
        <f t="shared" si="210"/>
        <v>249</v>
      </c>
      <c r="E251" s="2">
        <f t="shared" si="210"/>
        <v>0</v>
      </c>
      <c r="F251" s="2" t="str">
        <f t="shared" si="210"/>
        <v>Новый подраздел</v>
      </c>
      <c r="G251" s="2" t="str">
        <f t="shared" si="210"/>
        <v>1Демонтаж</v>
      </c>
      <c r="H251" s="2"/>
      <c r="I251" s="2"/>
      <c r="J251" s="2"/>
      <c r="K251" s="2"/>
      <c r="L251" s="2"/>
      <c r="M251" s="2"/>
      <c r="N251" s="2"/>
      <c r="O251" s="2">
        <f t="shared" ref="O251:AT251" si="211">O259</f>
        <v>2226.14</v>
      </c>
      <c r="P251" s="2">
        <f t="shared" si="211"/>
        <v>0</v>
      </c>
      <c r="Q251" s="2">
        <f t="shared" si="211"/>
        <v>220.63</v>
      </c>
      <c r="R251" s="2">
        <f t="shared" si="211"/>
        <v>34.32</v>
      </c>
      <c r="S251" s="2">
        <f t="shared" si="211"/>
        <v>2005.51</v>
      </c>
      <c r="T251" s="2">
        <f t="shared" si="211"/>
        <v>0</v>
      </c>
      <c r="U251" s="2">
        <f t="shared" si="211"/>
        <v>38.146639999999998</v>
      </c>
      <c r="V251" s="2">
        <f t="shared" si="211"/>
        <v>0.41315999999999997</v>
      </c>
      <c r="W251" s="2">
        <f t="shared" si="211"/>
        <v>0</v>
      </c>
      <c r="X251" s="2">
        <f t="shared" si="211"/>
        <v>1757.76</v>
      </c>
      <c r="Y251" s="2">
        <f t="shared" si="211"/>
        <v>1325.9</v>
      </c>
      <c r="Z251" s="2">
        <f t="shared" si="211"/>
        <v>0</v>
      </c>
      <c r="AA251" s="2">
        <f t="shared" si="211"/>
        <v>0</v>
      </c>
      <c r="AB251" s="2">
        <f t="shared" si="211"/>
        <v>2226.14</v>
      </c>
      <c r="AC251" s="2">
        <f t="shared" si="211"/>
        <v>0</v>
      </c>
      <c r="AD251" s="2">
        <f t="shared" si="211"/>
        <v>220.63</v>
      </c>
      <c r="AE251" s="2">
        <f t="shared" si="211"/>
        <v>34.32</v>
      </c>
      <c r="AF251" s="2">
        <f t="shared" si="211"/>
        <v>2005.51</v>
      </c>
      <c r="AG251" s="2">
        <f t="shared" si="211"/>
        <v>0</v>
      </c>
      <c r="AH251" s="2">
        <f t="shared" si="211"/>
        <v>38.146639999999998</v>
      </c>
      <c r="AI251" s="2">
        <f t="shared" si="211"/>
        <v>0.41315999999999997</v>
      </c>
      <c r="AJ251" s="2">
        <f t="shared" si="211"/>
        <v>0</v>
      </c>
      <c r="AK251" s="2">
        <f t="shared" si="211"/>
        <v>1757.76</v>
      </c>
      <c r="AL251" s="2">
        <f t="shared" si="211"/>
        <v>1325.9</v>
      </c>
      <c r="AM251" s="2">
        <f t="shared" si="211"/>
        <v>0</v>
      </c>
      <c r="AN251" s="2">
        <f t="shared" si="211"/>
        <v>0</v>
      </c>
      <c r="AO251" s="2">
        <f t="shared" si="211"/>
        <v>0</v>
      </c>
      <c r="AP251" s="2">
        <f t="shared" si="211"/>
        <v>0</v>
      </c>
      <c r="AQ251" s="2">
        <f t="shared" si="211"/>
        <v>0</v>
      </c>
      <c r="AR251" s="2">
        <f t="shared" si="211"/>
        <v>5309.8</v>
      </c>
      <c r="AS251" s="2">
        <f t="shared" si="211"/>
        <v>4508.1400000000003</v>
      </c>
      <c r="AT251" s="2">
        <f t="shared" si="211"/>
        <v>801.66</v>
      </c>
      <c r="AU251" s="2">
        <f t="shared" ref="AU251:BZ251" si="212">AU259</f>
        <v>0</v>
      </c>
      <c r="AV251" s="2">
        <f t="shared" si="212"/>
        <v>0</v>
      </c>
      <c r="AW251" s="2">
        <f t="shared" si="212"/>
        <v>0</v>
      </c>
      <c r="AX251" s="2">
        <f t="shared" si="212"/>
        <v>0</v>
      </c>
      <c r="AY251" s="2">
        <f t="shared" si="212"/>
        <v>0</v>
      </c>
      <c r="AZ251" s="2">
        <f t="shared" si="212"/>
        <v>0</v>
      </c>
      <c r="BA251" s="2">
        <f t="shared" si="212"/>
        <v>0</v>
      </c>
      <c r="BB251" s="2">
        <f t="shared" si="212"/>
        <v>0</v>
      </c>
      <c r="BC251" s="2">
        <f t="shared" si="212"/>
        <v>0</v>
      </c>
      <c r="BD251" s="2">
        <f t="shared" si="212"/>
        <v>0</v>
      </c>
      <c r="BE251" s="2">
        <f t="shared" si="212"/>
        <v>0</v>
      </c>
      <c r="BF251" s="2">
        <f t="shared" si="212"/>
        <v>0</v>
      </c>
      <c r="BG251" s="2">
        <f t="shared" si="212"/>
        <v>0</v>
      </c>
      <c r="BH251" s="2">
        <f t="shared" si="212"/>
        <v>0</v>
      </c>
      <c r="BI251" s="2">
        <f t="shared" si="212"/>
        <v>0</v>
      </c>
      <c r="BJ251" s="2">
        <f t="shared" si="212"/>
        <v>0</v>
      </c>
      <c r="BK251" s="2">
        <f t="shared" si="212"/>
        <v>0</v>
      </c>
      <c r="BL251" s="2">
        <f t="shared" si="212"/>
        <v>0</v>
      </c>
      <c r="BM251" s="2">
        <f t="shared" si="212"/>
        <v>0</v>
      </c>
      <c r="BN251" s="2">
        <f t="shared" si="212"/>
        <v>0</v>
      </c>
      <c r="BO251" s="2">
        <f t="shared" si="212"/>
        <v>0</v>
      </c>
      <c r="BP251" s="2">
        <f t="shared" si="212"/>
        <v>0</v>
      </c>
      <c r="BQ251" s="2">
        <f t="shared" si="212"/>
        <v>0</v>
      </c>
      <c r="BR251" s="2">
        <f t="shared" si="212"/>
        <v>0</v>
      </c>
      <c r="BS251" s="2">
        <f t="shared" si="212"/>
        <v>0</v>
      </c>
      <c r="BT251" s="2">
        <f t="shared" si="212"/>
        <v>0</v>
      </c>
      <c r="BU251" s="2">
        <f t="shared" si="212"/>
        <v>0</v>
      </c>
      <c r="BV251" s="2">
        <f t="shared" si="212"/>
        <v>0</v>
      </c>
      <c r="BW251" s="2">
        <f t="shared" si="212"/>
        <v>0</v>
      </c>
      <c r="BX251" s="2">
        <f t="shared" si="212"/>
        <v>0</v>
      </c>
      <c r="BY251" s="2">
        <f t="shared" si="212"/>
        <v>0</v>
      </c>
      <c r="BZ251" s="2">
        <f t="shared" si="212"/>
        <v>0</v>
      </c>
      <c r="CA251" s="2">
        <f t="shared" ref="CA251:DF251" si="213">CA259</f>
        <v>5309.8</v>
      </c>
      <c r="CB251" s="2">
        <f t="shared" si="213"/>
        <v>4508.1400000000003</v>
      </c>
      <c r="CC251" s="2">
        <f t="shared" si="213"/>
        <v>801.66</v>
      </c>
      <c r="CD251" s="2">
        <f t="shared" si="213"/>
        <v>0</v>
      </c>
      <c r="CE251" s="2">
        <f t="shared" si="213"/>
        <v>0</v>
      </c>
      <c r="CF251" s="2">
        <f t="shared" si="213"/>
        <v>0</v>
      </c>
      <c r="CG251" s="2">
        <f t="shared" si="213"/>
        <v>0</v>
      </c>
      <c r="CH251" s="2">
        <f t="shared" si="213"/>
        <v>0</v>
      </c>
      <c r="CI251" s="2">
        <f t="shared" si="213"/>
        <v>0</v>
      </c>
      <c r="CJ251" s="2">
        <f t="shared" si="213"/>
        <v>0</v>
      </c>
      <c r="CK251" s="2">
        <f t="shared" si="213"/>
        <v>0</v>
      </c>
      <c r="CL251" s="2">
        <f t="shared" si="213"/>
        <v>0</v>
      </c>
      <c r="CM251" s="2">
        <f t="shared" si="213"/>
        <v>0</v>
      </c>
      <c r="CN251" s="2">
        <f t="shared" si="213"/>
        <v>0</v>
      </c>
      <c r="CO251" s="2">
        <f t="shared" si="213"/>
        <v>0</v>
      </c>
      <c r="CP251" s="2">
        <f t="shared" si="213"/>
        <v>0</v>
      </c>
      <c r="CQ251" s="2">
        <f t="shared" si="213"/>
        <v>0</v>
      </c>
      <c r="CR251" s="2">
        <f t="shared" si="213"/>
        <v>0</v>
      </c>
      <c r="CS251" s="2">
        <f t="shared" si="213"/>
        <v>0</v>
      </c>
      <c r="CT251" s="2">
        <f t="shared" si="213"/>
        <v>0</v>
      </c>
      <c r="CU251" s="2">
        <f t="shared" si="213"/>
        <v>0</v>
      </c>
      <c r="CV251" s="2">
        <f t="shared" si="213"/>
        <v>0</v>
      </c>
      <c r="CW251" s="2">
        <f t="shared" si="213"/>
        <v>0</v>
      </c>
      <c r="CX251" s="2">
        <f t="shared" si="213"/>
        <v>0</v>
      </c>
      <c r="CY251" s="2">
        <f t="shared" si="213"/>
        <v>0</v>
      </c>
      <c r="CZ251" s="2">
        <f t="shared" si="213"/>
        <v>0</v>
      </c>
      <c r="DA251" s="2">
        <f t="shared" si="213"/>
        <v>0</v>
      </c>
      <c r="DB251" s="2">
        <f t="shared" si="213"/>
        <v>0</v>
      </c>
      <c r="DC251" s="2">
        <f t="shared" si="213"/>
        <v>0</v>
      </c>
      <c r="DD251" s="2">
        <f t="shared" si="213"/>
        <v>0</v>
      </c>
      <c r="DE251" s="2">
        <f t="shared" si="213"/>
        <v>0</v>
      </c>
      <c r="DF251" s="2">
        <f t="shared" si="213"/>
        <v>0</v>
      </c>
      <c r="DG251" s="3">
        <f t="shared" ref="DG251:EL251" si="214">DG259</f>
        <v>0</v>
      </c>
      <c r="DH251" s="3">
        <f t="shared" si="214"/>
        <v>0</v>
      </c>
      <c r="DI251" s="3">
        <f t="shared" si="214"/>
        <v>0</v>
      </c>
      <c r="DJ251" s="3">
        <f t="shared" si="214"/>
        <v>0</v>
      </c>
      <c r="DK251" s="3">
        <f t="shared" si="214"/>
        <v>0</v>
      </c>
      <c r="DL251" s="3">
        <f t="shared" si="214"/>
        <v>0</v>
      </c>
      <c r="DM251" s="3">
        <f t="shared" si="214"/>
        <v>0</v>
      </c>
      <c r="DN251" s="3">
        <f t="shared" si="214"/>
        <v>0</v>
      </c>
      <c r="DO251" s="3">
        <f t="shared" si="214"/>
        <v>0</v>
      </c>
      <c r="DP251" s="3">
        <f t="shared" si="214"/>
        <v>0</v>
      </c>
      <c r="DQ251" s="3">
        <f t="shared" si="214"/>
        <v>0</v>
      </c>
      <c r="DR251" s="3">
        <f t="shared" si="214"/>
        <v>0</v>
      </c>
      <c r="DS251" s="3">
        <f t="shared" si="214"/>
        <v>0</v>
      </c>
      <c r="DT251" s="3">
        <f t="shared" si="214"/>
        <v>0</v>
      </c>
      <c r="DU251" s="3">
        <f t="shared" si="214"/>
        <v>0</v>
      </c>
      <c r="DV251" s="3">
        <f t="shared" si="214"/>
        <v>0</v>
      </c>
      <c r="DW251" s="3">
        <f t="shared" si="214"/>
        <v>0</v>
      </c>
      <c r="DX251" s="3">
        <f t="shared" si="214"/>
        <v>0</v>
      </c>
      <c r="DY251" s="3">
        <f t="shared" si="214"/>
        <v>0</v>
      </c>
      <c r="DZ251" s="3">
        <f t="shared" si="214"/>
        <v>0</v>
      </c>
      <c r="EA251" s="3">
        <f t="shared" si="214"/>
        <v>0</v>
      </c>
      <c r="EB251" s="3">
        <f t="shared" si="214"/>
        <v>0</v>
      </c>
      <c r="EC251" s="3">
        <f t="shared" si="214"/>
        <v>0</v>
      </c>
      <c r="ED251" s="3">
        <f t="shared" si="214"/>
        <v>0</v>
      </c>
      <c r="EE251" s="3">
        <f t="shared" si="214"/>
        <v>0</v>
      </c>
      <c r="EF251" s="3">
        <f t="shared" si="214"/>
        <v>0</v>
      </c>
      <c r="EG251" s="3">
        <f t="shared" si="214"/>
        <v>0</v>
      </c>
      <c r="EH251" s="3">
        <f t="shared" si="214"/>
        <v>0</v>
      </c>
      <c r="EI251" s="3">
        <f t="shared" si="214"/>
        <v>0</v>
      </c>
      <c r="EJ251" s="3">
        <f t="shared" si="214"/>
        <v>0</v>
      </c>
      <c r="EK251" s="3">
        <f t="shared" si="214"/>
        <v>0</v>
      </c>
      <c r="EL251" s="3">
        <f t="shared" si="214"/>
        <v>0</v>
      </c>
      <c r="EM251" s="3">
        <f t="shared" ref="EM251:FR251" si="215">EM259</f>
        <v>0</v>
      </c>
      <c r="EN251" s="3">
        <f t="shared" si="215"/>
        <v>0</v>
      </c>
      <c r="EO251" s="3">
        <f t="shared" si="215"/>
        <v>0</v>
      </c>
      <c r="EP251" s="3">
        <f t="shared" si="215"/>
        <v>0</v>
      </c>
      <c r="EQ251" s="3">
        <f t="shared" si="215"/>
        <v>0</v>
      </c>
      <c r="ER251" s="3">
        <f t="shared" si="215"/>
        <v>0</v>
      </c>
      <c r="ES251" s="3">
        <f t="shared" si="215"/>
        <v>0</v>
      </c>
      <c r="ET251" s="3">
        <f t="shared" si="215"/>
        <v>0</v>
      </c>
      <c r="EU251" s="3">
        <f t="shared" si="215"/>
        <v>0</v>
      </c>
      <c r="EV251" s="3">
        <f t="shared" si="215"/>
        <v>0</v>
      </c>
      <c r="EW251" s="3">
        <f t="shared" si="215"/>
        <v>0</v>
      </c>
      <c r="EX251" s="3">
        <f t="shared" si="215"/>
        <v>0</v>
      </c>
      <c r="EY251" s="3">
        <f t="shared" si="215"/>
        <v>0</v>
      </c>
      <c r="EZ251" s="3">
        <f t="shared" si="215"/>
        <v>0</v>
      </c>
      <c r="FA251" s="3">
        <f t="shared" si="215"/>
        <v>0</v>
      </c>
      <c r="FB251" s="3">
        <f t="shared" si="215"/>
        <v>0</v>
      </c>
      <c r="FC251" s="3">
        <f t="shared" si="215"/>
        <v>0</v>
      </c>
      <c r="FD251" s="3">
        <f t="shared" si="215"/>
        <v>0</v>
      </c>
      <c r="FE251" s="3">
        <f t="shared" si="215"/>
        <v>0</v>
      </c>
      <c r="FF251" s="3">
        <f t="shared" si="215"/>
        <v>0</v>
      </c>
      <c r="FG251" s="3">
        <f t="shared" si="215"/>
        <v>0</v>
      </c>
      <c r="FH251" s="3">
        <f t="shared" si="215"/>
        <v>0</v>
      </c>
      <c r="FI251" s="3">
        <f t="shared" si="215"/>
        <v>0</v>
      </c>
      <c r="FJ251" s="3">
        <f t="shared" si="215"/>
        <v>0</v>
      </c>
      <c r="FK251" s="3">
        <f t="shared" si="215"/>
        <v>0</v>
      </c>
      <c r="FL251" s="3">
        <f t="shared" si="215"/>
        <v>0</v>
      </c>
      <c r="FM251" s="3">
        <f t="shared" si="215"/>
        <v>0</v>
      </c>
      <c r="FN251" s="3">
        <f t="shared" si="215"/>
        <v>0</v>
      </c>
      <c r="FO251" s="3">
        <f t="shared" si="215"/>
        <v>0</v>
      </c>
      <c r="FP251" s="3">
        <f t="shared" si="215"/>
        <v>0</v>
      </c>
      <c r="FQ251" s="3">
        <f t="shared" si="215"/>
        <v>0</v>
      </c>
      <c r="FR251" s="3">
        <f t="shared" si="215"/>
        <v>0</v>
      </c>
      <c r="FS251" s="3">
        <f t="shared" ref="FS251:GX251" si="216">FS259</f>
        <v>0</v>
      </c>
      <c r="FT251" s="3">
        <f t="shared" si="216"/>
        <v>0</v>
      </c>
      <c r="FU251" s="3">
        <f t="shared" si="216"/>
        <v>0</v>
      </c>
      <c r="FV251" s="3">
        <f t="shared" si="216"/>
        <v>0</v>
      </c>
      <c r="FW251" s="3">
        <f t="shared" si="216"/>
        <v>0</v>
      </c>
      <c r="FX251" s="3">
        <f t="shared" si="216"/>
        <v>0</v>
      </c>
      <c r="FY251" s="3">
        <f t="shared" si="216"/>
        <v>0</v>
      </c>
      <c r="FZ251" s="3">
        <f t="shared" si="216"/>
        <v>0</v>
      </c>
      <c r="GA251" s="3">
        <f t="shared" si="216"/>
        <v>0</v>
      </c>
      <c r="GB251" s="3">
        <f t="shared" si="216"/>
        <v>0</v>
      </c>
      <c r="GC251" s="3">
        <f t="shared" si="216"/>
        <v>0</v>
      </c>
      <c r="GD251" s="3">
        <f t="shared" si="216"/>
        <v>0</v>
      </c>
      <c r="GE251" s="3">
        <f t="shared" si="216"/>
        <v>0</v>
      </c>
      <c r="GF251" s="3">
        <f t="shared" si="216"/>
        <v>0</v>
      </c>
      <c r="GG251" s="3">
        <f t="shared" si="216"/>
        <v>0</v>
      </c>
      <c r="GH251" s="3">
        <f t="shared" si="216"/>
        <v>0</v>
      </c>
      <c r="GI251" s="3">
        <f t="shared" si="216"/>
        <v>0</v>
      </c>
      <c r="GJ251" s="3">
        <f t="shared" si="216"/>
        <v>0</v>
      </c>
      <c r="GK251" s="3">
        <f t="shared" si="216"/>
        <v>0</v>
      </c>
      <c r="GL251" s="3">
        <f t="shared" si="216"/>
        <v>0</v>
      </c>
      <c r="GM251" s="3">
        <f t="shared" si="216"/>
        <v>0</v>
      </c>
      <c r="GN251" s="3">
        <f t="shared" si="216"/>
        <v>0</v>
      </c>
      <c r="GO251" s="3">
        <f t="shared" si="216"/>
        <v>0</v>
      </c>
      <c r="GP251" s="3">
        <f t="shared" si="216"/>
        <v>0</v>
      </c>
      <c r="GQ251" s="3">
        <f t="shared" si="216"/>
        <v>0</v>
      </c>
      <c r="GR251" s="3">
        <f t="shared" si="216"/>
        <v>0</v>
      </c>
      <c r="GS251" s="3">
        <f t="shared" si="216"/>
        <v>0</v>
      </c>
      <c r="GT251" s="3">
        <f t="shared" si="216"/>
        <v>0</v>
      </c>
      <c r="GU251" s="3">
        <f t="shared" si="216"/>
        <v>0</v>
      </c>
      <c r="GV251" s="3">
        <f t="shared" si="216"/>
        <v>0</v>
      </c>
      <c r="GW251" s="3">
        <f t="shared" si="216"/>
        <v>0</v>
      </c>
      <c r="GX251" s="3">
        <f t="shared" si="216"/>
        <v>0</v>
      </c>
    </row>
    <row r="253" spans="1:245" x14ac:dyDescent="0.2">
      <c r="A253">
        <v>17</v>
      </c>
      <c r="B253">
        <v>1</v>
      </c>
      <c r="C253">
        <f>ROW(SmtRes!A334)</f>
        <v>334</v>
      </c>
      <c r="D253">
        <f>ROW(EtalonRes!A316)</f>
        <v>316</v>
      </c>
      <c r="E253" t="s">
        <v>572</v>
      </c>
      <c r="F253" t="s">
        <v>573</v>
      </c>
      <c r="G253" t="s">
        <v>574</v>
      </c>
      <c r="H253" t="s">
        <v>46</v>
      </c>
      <c r="I253">
        <f>ROUND(28/100,9)</f>
        <v>0.28000000000000003</v>
      </c>
      <c r="J253">
        <v>0</v>
      </c>
      <c r="O253">
        <f>ROUND(CP253,2)</f>
        <v>268.13</v>
      </c>
      <c r="P253">
        <f>ROUND(CQ253*I253,2)</f>
        <v>0</v>
      </c>
      <c r="Q253">
        <f>ROUND(CR253*I253,2)</f>
        <v>4.59</v>
      </c>
      <c r="R253">
        <f>ROUND(CS253*I253,2)</f>
        <v>1.98</v>
      </c>
      <c r="S253">
        <f>ROUND(CT253*I253,2)</f>
        <v>263.54000000000002</v>
      </c>
      <c r="T253">
        <f>ROUND(CU253*I253,2)</f>
        <v>0</v>
      </c>
      <c r="U253">
        <f>CV253*I253</f>
        <v>5.0092000000000008</v>
      </c>
      <c r="V253">
        <f>CW253*I253</f>
        <v>2.2400000000000003E-2</v>
      </c>
      <c r="W253">
        <f>ROUND(CX253*I253,2)</f>
        <v>0</v>
      </c>
      <c r="X253">
        <f t="shared" ref="X253:Y257" si="217">ROUND(CY253,2)</f>
        <v>225.69</v>
      </c>
      <c r="Y253">
        <f t="shared" si="217"/>
        <v>172.59</v>
      </c>
      <c r="AA253">
        <v>16748969</v>
      </c>
      <c r="AB253">
        <f>ROUND((AC253+AD253+AF253),2)</f>
        <v>145.97999999999999</v>
      </c>
      <c r="AC253">
        <f>ROUND((ES253),2)</f>
        <v>0</v>
      </c>
      <c r="AD253">
        <f>ROUND((((ET253)-(EU253))+AE253),2)</f>
        <v>2.5</v>
      </c>
      <c r="AE253">
        <f t="shared" ref="AE253:AF255" si="218">ROUND((EU253),2)</f>
        <v>1.08</v>
      </c>
      <c r="AF253">
        <f t="shared" si="218"/>
        <v>143.47999999999999</v>
      </c>
      <c r="AG253">
        <f>ROUND((AP253),2)</f>
        <v>0</v>
      </c>
      <c r="AH253">
        <f t="shared" ref="AH253:AI255" si="219">(EW253)</f>
        <v>17.89</v>
      </c>
      <c r="AI253">
        <f t="shared" si="219"/>
        <v>0.08</v>
      </c>
      <c r="AJ253">
        <f>ROUND((AS253),2)</f>
        <v>0</v>
      </c>
      <c r="AK253">
        <v>145.97999999999999</v>
      </c>
      <c r="AL253">
        <v>0</v>
      </c>
      <c r="AM253">
        <v>2.5</v>
      </c>
      <c r="AN253">
        <v>1.08</v>
      </c>
      <c r="AO253">
        <v>143.47999999999999</v>
      </c>
      <c r="AP253">
        <v>0</v>
      </c>
      <c r="AQ253">
        <v>17.89</v>
      </c>
      <c r="AR253">
        <v>0.08</v>
      </c>
      <c r="AS253">
        <v>0</v>
      </c>
      <c r="AT253">
        <v>85</v>
      </c>
      <c r="AU253">
        <v>65</v>
      </c>
      <c r="AV253">
        <v>1</v>
      </c>
      <c r="AW253">
        <v>1</v>
      </c>
      <c r="AZ253">
        <v>6.56</v>
      </c>
      <c r="BA253">
        <v>6.56</v>
      </c>
      <c r="BB253">
        <v>6.56</v>
      </c>
      <c r="BC253">
        <v>6.56</v>
      </c>
      <c r="BD253" t="s">
        <v>6</v>
      </c>
      <c r="BE253" t="s">
        <v>6</v>
      </c>
      <c r="BF253" t="s">
        <v>6</v>
      </c>
      <c r="BG253" t="s">
        <v>6</v>
      </c>
      <c r="BH253">
        <v>0</v>
      </c>
      <c r="BI253">
        <v>1</v>
      </c>
      <c r="BJ253" t="s">
        <v>575</v>
      </c>
      <c r="BM253">
        <v>67001</v>
      </c>
      <c r="BN253">
        <v>0</v>
      </c>
      <c r="BO253" t="s">
        <v>6</v>
      </c>
      <c r="BP253">
        <v>0</v>
      </c>
      <c r="BQ253">
        <v>6</v>
      </c>
      <c r="BR253">
        <v>0</v>
      </c>
      <c r="BS253">
        <v>6.56</v>
      </c>
      <c r="BT253">
        <v>1</v>
      </c>
      <c r="BU253">
        <v>1</v>
      </c>
      <c r="BV253">
        <v>1</v>
      </c>
      <c r="BW253">
        <v>1</v>
      </c>
      <c r="BX253">
        <v>1</v>
      </c>
      <c r="BY253" t="s">
        <v>6</v>
      </c>
      <c r="BZ253">
        <v>85</v>
      </c>
      <c r="CA253">
        <v>65</v>
      </c>
      <c r="CF253">
        <v>0</v>
      </c>
      <c r="CG253">
        <v>0</v>
      </c>
      <c r="CM253">
        <v>0</v>
      </c>
      <c r="CN253" t="s">
        <v>6</v>
      </c>
      <c r="CO253">
        <v>0</v>
      </c>
      <c r="CP253">
        <f>(P253+Q253+S253)</f>
        <v>268.13</v>
      </c>
      <c r="CQ253">
        <f>AC253*BC253</f>
        <v>0</v>
      </c>
      <c r="CR253">
        <f>AD253*BB253</f>
        <v>16.399999999999999</v>
      </c>
      <c r="CS253">
        <f>AE253*BS253</f>
        <v>7.0848000000000004</v>
      </c>
      <c r="CT253">
        <f>AF253*BA253</f>
        <v>941.22879999999986</v>
      </c>
      <c r="CU253">
        <f t="shared" ref="CU253:CX257" si="220">AG253</f>
        <v>0</v>
      </c>
      <c r="CV253">
        <f t="shared" si="220"/>
        <v>17.89</v>
      </c>
      <c r="CW253">
        <f t="shared" si="220"/>
        <v>0.08</v>
      </c>
      <c r="CX253">
        <f t="shared" si="220"/>
        <v>0</v>
      </c>
      <c r="CY253">
        <f>(((S253+R253)*AT253)/100)</f>
        <v>225.69200000000004</v>
      </c>
      <c r="CZ253">
        <f>(((S253+R253)*AU253)/100)</f>
        <v>172.58800000000002</v>
      </c>
      <c r="DC253" t="s">
        <v>6</v>
      </c>
      <c r="DD253" t="s">
        <v>6</v>
      </c>
      <c r="DE253" t="s">
        <v>6</v>
      </c>
      <c r="DF253" t="s">
        <v>6</v>
      </c>
      <c r="DG253" t="s">
        <v>6</v>
      </c>
      <c r="DH253" t="s">
        <v>6</v>
      </c>
      <c r="DI253" t="s">
        <v>6</v>
      </c>
      <c r="DJ253" t="s">
        <v>6</v>
      </c>
      <c r="DK253" t="s">
        <v>6</v>
      </c>
      <c r="DL253" t="s">
        <v>6</v>
      </c>
      <c r="DM253" t="s">
        <v>6</v>
      </c>
      <c r="DN253">
        <v>0</v>
      </c>
      <c r="DO253">
        <v>0</v>
      </c>
      <c r="DP253">
        <v>1</v>
      </c>
      <c r="DQ253">
        <v>1</v>
      </c>
      <c r="DU253">
        <v>1013</v>
      </c>
      <c r="DV253" t="s">
        <v>46</v>
      </c>
      <c r="DW253" t="s">
        <v>46</v>
      </c>
      <c r="DX253">
        <v>1</v>
      </c>
      <c r="EE253">
        <v>16510612</v>
      </c>
      <c r="EF253">
        <v>6</v>
      </c>
      <c r="EG253" t="s">
        <v>36</v>
      </c>
      <c r="EH253">
        <v>0</v>
      </c>
      <c r="EI253" t="s">
        <v>6</v>
      </c>
      <c r="EJ253">
        <v>1</v>
      </c>
      <c r="EK253">
        <v>67001</v>
      </c>
      <c r="EL253" t="s">
        <v>576</v>
      </c>
      <c r="EM253" t="s">
        <v>577</v>
      </c>
      <c r="EO253" t="s">
        <v>6</v>
      </c>
      <c r="EQ253">
        <v>131072</v>
      </c>
      <c r="ER253">
        <v>145.97999999999999</v>
      </c>
      <c r="ES253">
        <v>0</v>
      </c>
      <c r="ET253">
        <v>2.5</v>
      </c>
      <c r="EU253">
        <v>1.08</v>
      </c>
      <c r="EV253">
        <v>143.47999999999999</v>
      </c>
      <c r="EW253">
        <v>17.89</v>
      </c>
      <c r="EX253">
        <v>0.08</v>
      </c>
      <c r="EY253">
        <v>0</v>
      </c>
      <c r="FQ253">
        <v>0</v>
      </c>
      <c r="FR253">
        <f>ROUND(IF(AND(BH253=3,BI253=3),P253,0),2)</f>
        <v>0</v>
      </c>
      <c r="FS253">
        <v>0</v>
      </c>
      <c r="FX253">
        <v>85</v>
      </c>
      <c r="FY253">
        <v>65</v>
      </c>
      <c r="GA253" t="s">
        <v>6</v>
      </c>
      <c r="GD253">
        <v>0</v>
      </c>
      <c r="GF253">
        <v>1077668203</v>
      </c>
      <c r="GG253">
        <v>1</v>
      </c>
      <c r="GH253">
        <v>1</v>
      </c>
      <c r="GI253">
        <v>4</v>
      </c>
      <c r="GJ253">
        <v>0</v>
      </c>
      <c r="GK253">
        <f>ROUND(R253*(R12)/100,2)</f>
        <v>0</v>
      </c>
      <c r="GL253">
        <f>ROUND(IF(AND(BH253=3,BI253=3,FS253&lt;&gt;0),P253,0),2)</f>
        <v>0</v>
      </c>
      <c r="GM253">
        <f>ROUND(O253+X253+Y253+GK253,2)+GX253</f>
        <v>666.41</v>
      </c>
      <c r="GN253">
        <f>IF(OR(BI253=0,BI253=1),ROUND(O253+X253+Y253+GK253,2),0)</f>
        <v>666.41</v>
      </c>
      <c r="GO253">
        <f>IF(BI253=2,ROUND(O253+X253+Y253+GK253,2),0)</f>
        <v>0</v>
      </c>
      <c r="GP253">
        <f>IF(BI253=4,ROUND(O253+X253+Y253+GK253,2)+GX253,0)</f>
        <v>0</v>
      </c>
      <c r="GR253">
        <v>0</v>
      </c>
      <c r="GS253">
        <v>3</v>
      </c>
      <c r="GT253">
        <v>0</v>
      </c>
      <c r="GU253" t="s">
        <v>6</v>
      </c>
      <c r="GV253">
        <f>ROUND(GT253,2)</f>
        <v>0</v>
      </c>
      <c r="GW253">
        <v>1</v>
      </c>
      <c r="GX253">
        <f>ROUND(GV253*GW253*I253,2)</f>
        <v>0</v>
      </c>
      <c r="HA253">
        <v>0</v>
      </c>
      <c r="HB253">
        <v>0</v>
      </c>
      <c r="IK253">
        <v>0</v>
      </c>
    </row>
    <row r="254" spans="1:245" x14ac:dyDescent="0.2">
      <c r="A254">
        <v>17</v>
      </c>
      <c r="B254">
        <v>1</v>
      </c>
      <c r="C254">
        <f>ROW(SmtRes!A337)</f>
        <v>337</v>
      </c>
      <c r="D254">
        <f>ROW(EtalonRes!A319)</f>
        <v>319</v>
      </c>
      <c r="E254" t="s">
        <v>578</v>
      </c>
      <c r="F254" t="s">
        <v>579</v>
      </c>
      <c r="G254" t="s">
        <v>580</v>
      </c>
      <c r="H254" t="s">
        <v>34</v>
      </c>
      <c r="I254">
        <f>ROUND(298/100,9)</f>
        <v>2.98</v>
      </c>
      <c r="J254">
        <v>0</v>
      </c>
      <c r="O254">
        <f>ROUND(CP254,2)</f>
        <v>1475.93</v>
      </c>
      <c r="P254">
        <f>ROUND(CQ254*I254,2)</f>
        <v>0</v>
      </c>
      <c r="Q254">
        <f>ROUND(CR254*I254,2)</f>
        <v>6.06</v>
      </c>
      <c r="R254">
        <f>ROUND(CS254*I254,2)</f>
        <v>2.74</v>
      </c>
      <c r="S254">
        <f>ROUND(CT254*I254,2)</f>
        <v>1469.87</v>
      </c>
      <c r="T254">
        <f>ROUND(CU254*I254,2)</f>
        <v>0</v>
      </c>
      <c r="U254">
        <f>CV254*I254</f>
        <v>28.7272</v>
      </c>
      <c r="V254">
        <f>CW254*I254</f>
        <v>2.98E-2</v>
      </c>
      <c r="W254">
        <f>ROUND(CX254*I254,2)</f>
        <v>0</v>
      </c>
      <c r="X254">
        <f t="shared" si="217"/>
        <v>1251.72</v>
      </c>
      <c r="Y254">
        <f t="shared" si="217"/>
        <v>957.2</v>
      </c>
      <c r="AA254">
        <v>16748969</v>
      </c>
      <c r="AB254">
        <f>ROUND((AC254+AD254+AF254),2)</f>
        <v>75.5</v>
      </c>
      <c r="AC254">
        <f>ROUND((ES254),2)</f>
        <v>0</v>
      </c>
      <c r="AD254">
        <f>ROUND((((ET254)-(EU254))+AE254),2)</f>
        <v>0.31</v>
      </c>
      <c r="AE254">
        <f t="shared" si="218"/>
        <v>0.14000000000000001</v>
      </c>
      <c r="AF254">
        <f t="shared" si="218"/>
        <v>75.19</v>
      </c>
      <c r="AG254">
        <f>ROUND((AP254),2)</f>
        <v>0</v>
      </c>
      <c r="AH254">
        <f t="shared" si="219"/>
        <v>9.64</v>
      </c>
      <c r="AI254">
        <f t="shared" si="219"/>
        <v>0.01</v>
      </c>
      <c r="AJ254">
        <f>ROUND((AS254),2)</f>
        <v>0</v>
      </c>
      <c r="AK254">
        <v>75.5</v>
      </c>
      <c r="AL254">
        <v>0</v>
      </c>
      <c r="AM254">
        <v>0.31</v>
      </c>
      <c r="AN254">
        <v>0.14000000000000001</v>
      </c>
      <c r="AO254">
        <v>75.19</v>
      </c>
      <c r="AP254">
        <v>0</v>
      </c>
      <c r="AQ254">
        <v>9.64</v>
      </c>
      <c r="AR254">
        <v>0.01</v>
      </c>
      <c r="AS254">
        <v>0</v>
      </c>
      <c r="AT254">
        <v>85</v>
      </c>
      <c r="AU254">
        <v>65</v>
      </c>
      <c r="AV254">
        <v>1</v>
      </c>
      <c r="AW254">
        <v>1</v>
      </c>
      <c r="AZ254">
        <v>6.56</v>
      </c>
      <c r="BA254">
        <v>6.56</v>
      </c>
      <c r="BB254">
        <v>6.56</v>
      </c>
      <c r="BC254">
        <v>6.56</v>
      </c>
      <c r="BD254" t="s">
        <v>6</v>
      </c>
      <c r="BE254" t="s">
        <v>6</v>
      </c>
      <c r="BF254" t="s">
        <v>6</v>
      </c>
      <c r="BG254" t="s">
        <v>6</v>
      </c>
      <c r="BH254">
        <v>0</v>
      </c>
      <c r="BI254">
        <v>1</v>
      </c>
      <c r="BJ254" t="s">
        <v>581</v>
      </c>
      <c r="BM254">
        <v>67001</v>
      </c>
      <c r="BN254">
        <v>0</v>
      </c>
      <c r="BO254" t="s">
        <v>6</v>
      </c>
      <c r="BP254">
        <v>0</v>
      </c>
      <c r="BQ254">
        <v>6</v>
      </c>
      <c r="BR254">
        <v>0</v>
      </c>
      <c r="BS254">
        <v>6.56</v>
      </c>
      <c r="BT254">
        <v>1</v>
      </c>
      <c r="BU254">
        <v>1</v>
      </c>
      <c r="BV254">
        <v>1</v>
      </c>
      <c r="BW254">
        <v>1</v>
      </c>
      <c r="BX254">
        <v>1</v>
      </c>
      <c r="BY254" t="s">
        <v>6</v>
      </c>
      <c r="BZ254">
        <v>85</v>
      </c>
      <c r="CA254">
        <v>65</v>
      </c>
      <c r="CF254">
        <v>0</v>
      </c>
      <c r="CG254">
        <v>0</v>
      </c>
      <c r="CM254">
        <v>0</v>
      </c>
      <c r="CN254" t="s">
        <v>6</v>
      </c>
      <c r="CO254">
        <v>0</v>
      </c>
      <c r="CP254">
        <f>(P254+Q254+S254)</f>
        <v>1475.9299999999998</v>
      </c>
      <c r="CQ254">
        <f>AC254*BC254</f>
        <v>0</v>
      </c>
      <c r="CR254">
        <f>AD254*BB254</f>
        <v>2.0335999999999999</v>
      </c>
      <c r="CS254">
        <f>AE254*BS254</f>
        <v>0.91839999999999999</v>
      </c>
      <c r="CT254">
        <f>AF254*BA254</f>
        <v>493.24639999999994</v>
      </c>
      <c r="CU254">
        <f t="shared" si="220"/>
        <v>0</v>
      </c>
      <c r="CV254">
        <f t="shared" si="220"/>
        <v>9.64</v>
      </c>
      <c r="CW254">
        <f t="shared" si="220"/>
        <v>0.01</v>
      </c>
      <c r="CX254">
        <f t="shared" si="220"/>
        <v>0</v>
      </c>
      <c r="CY254">
        <f>(((S254+R254)*AT254)/100)</f>
        <v>1251.7184999999999</v>
      </c>
      <c r="CZ254">
        <f>(((S254+R254)*AU254)/100)</f>
        <v>957.1964999999999</v>
      </c>
      <c r="DC254" t="s">
        <v>6</v>
      </c>
      <c r="DD254" t="s">
        <v>6</v>
      </c>
      <c r="DE254" t="s">
        <v>6</v>
      </c>
      <c r="DF254" t="s">
        <v>6</v>
      </c>
      <c r="DG254" t="s">
        <v>6</v>
      </c>
      <c r="DH254" t="s">
        <v>6</v>
      </c>
      <c r="DI254" t="s">
        <v>6</v>
      </c>
      <c r="DJ254" t="s">
        <v>6</v>
      </c>
      <c r="DK254" t="s">
        <v>6</v>
      </c>
      <c r="DL254" t="s">
        <v>6</v>
      </c>
      <c r="DM254" t="s">
        <v>6</v>
      </c>
      <c r="DN254">
        <v>0</v>
      </c>
      <c r="DO254">
        <v>0</v>
      </c>
      <c r="DP254">
        <v>1</v>
      </c>
      <c r="DQ254">
        <v>1</v>
      </c>
      <c r="DU254">
        <v>1003</v>
      </c>
      <c r="DV254" t="s">
        <v>34</v>
      </c>
      <c r="DW254" t="s">
        <v>34</v>
      </c>
      <c r="DX254">
        <v>100</v>
      </c>
      <c r="EE254">
        <v>16510612</v>
      </c>
      <c r="EF254">
        <v>6</v>
      </c>
      <c r="EG254" t="s">
        <v>36</v>
      </c>
      <c r="EH254">
        <v>0</v>
      </c>
      <c r="EI254" t="s">
        <v>6</v>
      </c>
      <c r="EJ254">
        <v>1</v>
      </c>
      <c r="EK254">
        <v>67001</v>
      </c>
      <c r="EL254" t="s">
        <v>576</v>
      </c>
      <c r="EM254" t="s">
        <v>577</v>
      </c>
      <c r="EO254" t="s">
        <v>6</v>
      </c>
      <c r="EQ254">
        <v>131072</v>
      </c>
      <c r="ER254">
        <v>75.5</v>
      </c>
      <c r="ES254">
        <v>0</v>
      </c>
      <c r="ET254">
        <v>0.31</v>
      </c>
      <c r="EU254">
        <v>0.14000000000000001</v>
      </c>
      <c r="EV254">
        <v>75.19</v>
      </c>
      <c r="EW254">
        <v>9.64</v>
      </c>
      <c r="EX254">
        <v>0.01</v>
      </c>
      <c r="EY254">
        <v>0</v>
      </c>
      <c r="FQ254">
        <v>0</v>
      </c>
      <c r="FR254">
        <f>ROUND(IF(AND(BH254=3,BI254=3),P254,0),2)</f>
        <v>0</v>
      </c>
      <c r="FS254">
        <v>0</v>
      </c>
      <c r="FX254">
        <v>85</v>
      </c>
      <c r="FY254">
        <v>65</v>
      </c>
      <c r="GA254" t="s">
        <v>6</v>
      </c>
      <c r="GD254">
        <v>0</v>
      </c>
      <c r="GF254">
        <v>994189354</v>
      </c>
      <c r="GG254">
        <v>1</v>
      </c>
      <c r="GH254">
        <v>1</v>
      </c>
      <c r="GI254">
        <v>4</v>
      </c>
      <c r="GJ254">
        <v>0</v>
      </c>
      <c r="GK254">
        <f>ROUND(R254*(R12)/100,2)</f>
        <v>0</v>
      </c>
      <c r="GL254">
        <f>ROUND(IF(AND(BH254=3,BI254=3,FS254&lt;&gt;0),P254,0),2)</f>
        <v>0</v>
      </c>
      <c r="GM254">
        <f>ROUND(O254+X254+Y254+GK254,2)+GX254</f>
        <v>3684.85</v>
      </c>
      <c r="GN254">
        <f>IF(OR(BI254=0,BI254=1),ROUND(O254+X254+Y254+GK254,2),0)</f>
        <v>3684.85</v>
      </c>
      <c r="GO254">
        <f>IF(BI254=2,ROUND(O254+X254+Y254+GK254,2),0)</f>
        <v>0</v>
      </c>
      <c r="GP254">
        <f>IF(BI254=4,ROUND(O254+X254+Y254+GK254,2)+GX254,0)</f>
        <v>0</v>
      </c>
      <c r="GR254">
        <v>0</v>
      </c>
      <c r="GS254">
        <v>3</v>
      </c>
      <c r="GT254">
        <v>0</v>
      </c>
      <c r="GU254" t="s">
        <v>6</v>
      </c>
      <c r="GV254">
        <f>ROUND(GT254,2)</f>
        <v>0</v>
      </c>
      <c r="GW254">
        <v>1</v>
      </c>
      <c r="GX254">
        <f>ROUND(GV254*GW254*I254,2)</f>
        <v>0</v>
      </c>
      <c r="HA254">
        <v>0</v>
      </c>
      <c r="HB254">
        <v>0</v>
      </c>
      <c r="IK254">
        <v>0</v>
      </c>
    </row>
    <row r="255" spans="1:245" x14ac:dyDescent="0.2">
      <c r="A255">
        <v>17</v>
      </c>
      <c r="B255">
        <v>1</v>
      </c>
      <c r="C255">
        <f>ROW(SmtRes!A338)</f>
        <v>338</v>
      </c>
      <c r="D255">
        <f>ROW(EtalonRes!A320)</f>
        <v>320</v>
      </c>
      <c r="E255" t="s">
        <v>582</v>
      </c>
      <c r="F255" t="s">
        <v>583</v>
      </c>
      <c r="G255" t="s">
        <v>584</v>
      </c>
      <c r="H255" t="s">
        <v>46</v>
      </c>
      <c r="I255">
        <f>ROUND(21/100,9)</f>
        <v>0.21</v>
      </c>
      <c r="J255">
        <v>0</v>
      </c>
      <c r="O255">
        <f>ROUND(CP255,2)</f>
        <v>62.75</v>
      </c>
      <c r="P255">
        <f>ROUND(CQ255*I255,2)</f>
        <v>0</v>
      </c>
      <c r="Q255">
        <f>ROUND(CR255*I255,2)</f>
        <v>0</v>
      </c>
      <c r="R255">
        <f>ROUND(CS255*I255,2)</f>
        <v>0</v>
      </c>
      <c r="S255">
        <f>ROUND(CT255*I255,2)</f>
        <v>62.75</v>
      </c>
      <c r="T255">
        <f>ROUND(CU255*I255,2)</f>
        <v>0</v>
      </c>
      <c r="U255">
        <f>CV255*I255</f>
        <v>1.2263999999999999</v>
      </c>
      <c r="V255">
        <f>CW255*I255</f>
        <v>0</v>
      </c>
      <c r="W255">
        <f>ROUND(CX255*I255,2)</f>
        <v>0</v>
      </c>
      <c r="X255">
        <f t="shared" si="217"/>
        <v>53.34</v>
      </c>
      <c r="Y255">
        <f t="shared" si="217"/>
        <v>40.79</v>
      </c>
      <c r="AA255">
        <v>16748969</v>
      </c>
      <c r="AB255">
        <f>ROUND((AC255+AD255+AF255),2)</f>
        <v>45.55</v>
      </c>
      <c r="AC255">
        <f>ROUND((ES255),2)</f>
        <v>0</v>
      </c>
      <c r="AD255">
        <f>ROUND((((ET255)-(EU255))+AE255),2)</f>
        <v>0</v>
      </c>
      <c r="AE255">
        <f t="shared" si="218"/>
        <v>0</v>
      </c>
      <c r="AF255">
        <f t="shared" si="218"/>
        <v>45.55</v>
      </c>
      <c r="AG255">
        <f>ROUND((AP255),2)</f>
        <v>0</v>
      </c>
      <c r="AH255">
        <f t="shared" si="219"/>
        <v>5.84</v>
      </c>
      <c r="AI255">
        <f t="shared" si="219"/>
        <v>0</v>
      </c>
      <c r="AJ255">
        <f>ROUND((AS255),2)</f>
        <v>0</v>
      </c>
      <c r="AK255">
        <v>45.55</v>
      </c>
      <c r="AL255">
        <v>0</v>
      </c>
      <c r="AM255">
        <v>0</v>
      </c>
      <c r="AN255">
        <v>0</v>
      </c>
      <c r="AO255">
        <v>45.55</v>
      </c>
      <c r="AP255">
        <v>0</v>
      </c>
      <c r="AQ255">
        <v>5.84</v>
      </c>
      <c r="AR255">
        <v>0</v>
      </c>
      <c r="AS255">
        <v>0</v>
      </c>
      <c r="AT255">
        <v>85</v>
      </c>
      <c r="AU255">
        <v>65</v>
      </c>
      <c r="AV255">
        <v>1</v>
      </c>
      <c r="AW255">
        <v>1</v>
      </c>
      <c r="AZ255">
        <v>6.56</v>
      </c>
      <c r="BA255">
        <v>6.56</v>
      </c>
      <c r="BB255">
        <v>6.56</v>
      </c>
      <c r="BC255">
        <v>6.56</v>
      </c>
      <c r="BD255" t="s">
        <v>6</v>
      </c>
      <c r="BE255" t="s">
        <v>6</v>
      </c>
      <c r="BF255" t="s">
        <v>6</v>
      </c>
      <c r="BG255" t="s">
        <v>6</v>
      </c>
      <c r="BH255">
        <v>0</v>
      </c>
      <c r="BI255">
        <v>1</v>
      </c>
      <c r="BJ255" t="s">
        <v>585</v>
      </c>
      <c r="BM255">
        <v>67001</v>
      </c>
      <c r="BN255">
        <v>0</v>
      </c>
      <c r="BO255" t="s">
        <v>6</v>
      </c>
      <c r="BP255">
        <v>0</v>
      </c>
      <c r="BQ255">
        <v>6</v>
      </c>
      <c r="BR255">
        <v>0</v>
      </c>
      <c r="BS255">
        <v>6.56</v>
      </c>
      <c r="BT255">
        <v>1</v>
      </c>
      <c r="BU255">
        <v>1</v>
      </c>
      <c r="BV255">
        <v>1</v>
      </c>
      <c r="BW255">
        <v>1</v>
      </c>
      <c r="BX255">
        <v>1</v>
      </c>
      <c r="BY255" t="s">
        <v>6</v>
      </c>
      <c r="BZ255">
        <v>85</v>
      </c>
      <c r="CA255">
        <v>65</v>
      </c>
      <c r="CF255">
        <v>0</v>
      </c>
      <c r="CG255">
        <v>0</v>
      </c>
      <c r="CM255">
        <v>0</v>
      </c>
      <c r="CN255" t="s">
        <v>6</v>
      </c>
      <c r="CO255">
        <v>0</v>
      </c>
      <c r="CP255">
        <f>(P255+Q255+S255)</f>
        <v>62.75</v>
      </c>
      <c r="CQ255">
        <f>AC255*BC255</f>
        <v>0</v>
      </c>
      <c r="CR255">
        <f>AD255*BB255</f>
        <v>0</v>
      </c>
      <c r="CS255">
        <f>AE255*BS255</f>
        <v>0</v>
      </c>
      <c r="CT255">
        <f>AF255*BA255</f>
        <v>298.80799999999994</v>
      </c>
      <c r="CU255">
        <f t="shared" si="220"/>
        <v>0</v>
      </c>
      <c r="CV255">
        <f t="shared" si="220"/>
        <v>5.84</v>
      </c>
      <c r="CW255">
        <f t="shared" si="220"/>
        <v>0</v>
      </c>
      <c r="CX255">
        <f t="shared" si="220"/>
        <v>0</v>
      </c>
      <c r="CY255">
        <f>(((S255+R255)*AT255)/100)</f>
        <v>53.337499999999999</v>
      </c>
      <c r="CZ255">
        <f>(((S255+R255)*AU255)/100)</f>
        <v>40.787500000000001</v>
      </c>
      <c r="DC255" t="s">
        <v>6</v>
      </c>
      <c r="DD255" t="s">
        <v>6</v>
      </c>
      <c r="DE255" t="s">
        <v>6</v>
      </c>
      <c r="DF255" t="s">
        <v>6</v>
      </c>
      <c r="DG255" t="s">
        <v>6</v>
      </c>
      <c r="DH255" t="s">
        <v>6</v>
      </c>
      <c r="DI255" t="s">
        <v>6</v>
      </c>
      <c r="DJ255" t="s">
        <v>6</v>
      </c>
      <c r="DK255" t="s">
        <v>6</v>
      </c>
      <c r="DL255" t="s">
        <v>6</v>
      </c>
      <c r="DM255" t="s">
        <v>6</v>
      </c>
      <c r="DN255">
        <v>0</v>
      </c>
      <c r="DO255">
        <v>0</v>
      </c>
      <c r="DP255">
        <v>1</v>
      </c>
      <c r="DQ255">
        <v>1</v>
      </c>
      <c r="DU255">
        <v>1013</v>
      </c>
      <c r="DV255" t="s">
        <v>46</v>
      </c>
      <c r="DW255" t="s">
        <v>46</v>
      </c>
      <c r="DX255">
        <v>1</v>
      </c>
      <c r="EE255">
        <v>16510612</v>
      </c>
      <c r="EF255">
        <v>6</v>
      </c>
      <c r="EG255" t="s">
        <v>36</v>
      </c>
      <c r="EH255">
        <v>0</v>
      </c>
      <c r="EI255" t="s">
        <v>6</v>
      </c>
      <c r="EJ255">
        <v>1</v>
      </c>
      <c r="EK255">
        <v>67001</v>
      </c>
      <c r="EL255" t="s">
        <v>576</v>
      </c>
      <c r="EM255" t="s">
        <v>577</v>
      </c>
      <c r="EO255" t="s">
        <v>6</v>
      </c>
      <c r="EQ255">
        <v>131072</v>
      </c>
      <c r="ER255">
        <v>45.55</v>
      </c>
      <c r="ES255">
        <v>0</v>
      </c>
      <c r="ET255">
        <v>0</v>
      </c>
      <c r="EU255">
        <v>0</v>
      </c>
      <c r="EV255">
        <v>45.55</v>
      </c>
      <c r="EW255">
        <v>5.84</v>
      </c>
      <c r="EX255">
        <v>0</v>
      </c>
      <c r="EY255">
        <v>0</v>
      </c>
      <c r="FQ255">
        <v>0</v>
      </c>
      <c r="FR255">
        <f>ROUND(IF(AND(BH255=3,BI255=3),P255,0),2)</f>
        <v>0</v>
      </c>
      <c r="FS255">
        <v>0</v>
      </c>
      <c r="FX255">
        <v>85</v>
      </c>
      <c r="FY255">
        <v>65</v>
      </c>
      <c r="GA255" t="s">
        <v>6</v>
      </c>
      <c r="GD255">
        <v>0</v>
      </c>
      <c r="GF255">
        <v>-729058478</v>
      </c>
      <c r="GG255">
        <v>1</v>
      </c>
      <c r="GH255">
        <v>1</v>
      </c>
      <c r="GI255">
        <v>4</v>
      </c>
      <c r="GJ255">
        <v>0</v>
      </c>
      <c r="GK255">
        <f>ROUND(R255*(R12)/100,2)</f>
        <v>0</v>
      </c>
      <c r="GL255">
        <f>ROUND(IF(AND(BH255=3,BI255=3,FS255&lt;&gt;0),P255,0),2)</f>
        <v>0</v>
      </c>
      <c r="GM255">
        <f>ROUND(O255+X255+Y255+GK255,2)+GX255</f>
        <v>156.88</v>
      </c>
      <c r="GN255">
        <f>IF(OR(BI255=0,BI255=1),ROUND(O255+X255+Y255+GK255,2),0)</f>
        <v>156.88</v>
      </c>
      <c r="GO255">
        <f>IF(BI255=2,ROUND(O255+X255+Y255+GK255,2),0)</f>
        <v>0</v>
      </c>
      <c r="GP255">
        <f>IF(BI255=4,ROUND(O255+X255+Y255+GK255,2)+GX255,0)</f>
        <v>0</v>
      </c>
      <c r="GR255">
        <v>0</v>
      </c>
      <c r="GS255">
        <v>3</v>
      </c>
      <c r="GT255">
        <v>0</v>
      </c>
      <c r="GU255" t="s">
        <v>6</v>
      </c>
      <c r="GV255">
        <f>ROUND(GT255,2)</f>
        <v>0</v>
      </c>
      <c r="GW255">
        <v>1</v>
      </c>
      <c r="GX255">
        <f>ROUND(GV255*GW255*I255,2)</f>
        <v>0</v>
      </c>
      <c r="HA255">
        <v>0</v>
      </c>
      <c r="HB255">
        <v>0</v>
      </c>
      <c r="IK255">
        <v>0</v>
      </c>
    </row>
    <row r="256" spans="1:245" x14ac:dyDescent="0.2">
      <c r="A256">
        <v>17</v>
      </c>
      <c r="B256">
        <v>1</v>
      </c>
      <c r="C256">
        <f>ROW(SmtRes!A344)</f>
        <v>344</v>
      </c>
      <c r="D256">
        <f>ROW(EtalonRes!A326)</f>
        <v>326</v>
      </c>
      <c r="E256" t="s">
        <v>586</v>
      </c>
      <c r="F256" t="s">
        <v>587</v>
      </c>
      <c r="G256" t="s">
        <v>588</v>
      </c>
      <c r="H256" t="s">
        <v>34</v>
      </c>
      <c r="I256">
        <f>ROUND(32/100,9)</f>
        <v>0.32</v>
      </c>
      <c r="J256">
        <v>0</v>
      </c>
      <c r="O256">
        <f>ROUND(CP256,2)</f>
        <v>97.76</v>
      </c>
      <c r="P256">
        <f>ROUND(CQ256*I256,2)</f>
        <v>0</v>
      </c>
      <c r="Q256">
        <f>ROUND(CR256*I256,2)</f>
        <v>0.19</v>
      </c>
      <c r="R256">
        <f>ROUND(CS256*I256,2)</f>
        <v>0.08</v>
      </c>
      <c r="S256">
        <f>ROUND(CT256*I256,2)</f>
        <v>97.57</v>
      </c>
      <c r="T256">
        <f>ROUND(CU256*I256,2)</f>
        <v>0</v>
      </c>
      <c r="U256">
        <f>CV256*I256</f>
        <v>1.5638399999999999</v>
      </c>
      <c r="V256">
        <f>CW256*I256</f>
        <v>9.6000000000000002E-4</v>
      </c>
      <c r="W256">
        <f>ROUND(CX256*I256,2)</f>
        <v>0</v>
      </c>
      <c r="X256">
        <f t="shared" si="217"/>
        <v>92.77</v>
      </c>
      <c r="Y256">
        <f t="shared" si="217"/>
        <v>63.47</v>
      </c>
      <c r="AA256">
        <v>16748969</v>
      </c>
      <c r="AB256">
        <f>ROUND((AC256+AD256+AF256),2)</f>
        <v>46.57</v>
      </c>
      <c r="AC256">
        <f>ROUND(((ES256*0)),2)</f>
        <v>0</v>
      </c>
      <c r="AD256">
        <f>ROUND(((((ET256*0.3))-((EU256*0.3)))+AE256),2)</f>
        <v>0.09</v>
      </c>
      <c r="AE256">
        <f>ROUND(((EU256*0.3)),2)</f>
        <v>0.04</v>
      </c>
      <c r="AF256">
        <f>ROUND(((EV256*0.3)),2)</f>
        <v>46.48</v>
      </c>
      <c r="AG256">
        <f>ROUND((AP256),2)</f>
        <v>0</v>
      </c>
      <c r="AH256">
        <f>((EW256*0.3))</f>
        <v>4.8869999999999996</v>
      </c>
      <c r="AI256">
        <f>((EX256*0.3))</f>
        <v>3.0000000000000001E-3</v>
      </c>
      <c r="AJ256">
        <f>ROUND((AS256),2)</f>
        <v>0</v>
      </c>
      <c r="AK256">
        <v>206.76</v>
      </c>
      <c r="AL256">
        <v>51.53</v>
      </c>
      <c r="AM256">
        <v>0.31</v>
      </c>
      <c r="AN256">
        <v>0.14000000000000001</v>
      </c>
      <c r="AO256">
        <v>154.91999999999999</v>
      </c>
      <c r="AP256">
        <v>0</v>
      </c>
      <c r="AQ256">
        <v>16.29</v>
      </c>
      <c r="AR256">
        <v>0.01</v>
      </c>
      <c r="AS256">
        <v>0</v>
      </c>
      <c r="AT256">
        <v>95</v>
      </c>
      <c r="AU256">
        <v>65</v>
      </c>
      <c r="AV256">
        <v>1</v>
      </c>
      <c r="AW256">
        <v>1</v>
      </c>
      <c r="AZ256">
        <v>6.56</v>
      </c>
      <c r="BA256">
        <v>6.56</v>
      </c>
      <c r="BB256">
        <v>6.56</v>
      </c>
      <c r="BC256">
        <v>6.56</v>
      </c>
      <c r="BD256" t="s">
        <v>6</v>
      </c>
      <c r="BE256" t="s">
        <v>6</v>
      </c>
      <c r="BF256" t="s">
        <v>6</v>
      </c>
      <c r="BG256" t="s">
        <v>6</v>
      </c>
      <c r="BH256">
        <v>0</v>
      </c>
      <c r="BI256">
        <v>2</v>
      </c>
      <c r="BJ256" t="s">
        <v>589</v>
      </c>
      <c r="BM256">
        <v>108001</v>
      </c>
      <c r="BN256">
        <v>0</v>
      </c>
      <c r="BO256" t="s">
        <v>6</v>
      </c>
      <c r="BP256">
        <v>0</v>
      </c>
      <c r="BQ256">
        <v>3</v>
      </c>
      <c r="BR256">
        <v>0</v>
      </c>
      <c r="BS256">
        <v>6.56</v>
      </c>
      <c r="BT256">
        <v>1</v>
      </c>
      <c r="BU256">
        <v>1</v>
      </c>
      <c r="BV256">
        <v>1</v>
      </c>
      <c r="BW256">
        <v>1</v>
      </c>
      <c r="BX256">
        <v>1</v>
      </c>
      <c r="BY256" t="s">
        <v>6</v>
      </c>
      <c r="BZ256">
        <v>95</v>
      </c>
      <c r="CA256">
        <v>65</v>
      </c>
      <c r="CF256">
        <v>0</v>
      </c>
      <c r="CG256">
        <v>0</v>
      </c>
      <c r="CM256">
        <v>0</v>
      </c>
      <c r="CN256" t="s">
        <v>1610</v>
      </c>
      <c r="CO256">
        <v>0</v>
      </c>
      <c r="CP256">
        <f>(P256+Q256+S256)</f>
        <v>97.759999999999991</v>
      </c>
      <c r="CQ256">
        <f>AC256*BC256</f>
        <v>0</v>
      </c>
      <c r="CR256">
        <f>AD256*BB256</f>
        <v>0.59039999999999992</v>
      </c>
      <c r="CS256">
        <f>AE256*BS256</f>
        <v>0.26239999999999997</v>
      </c>
      <c r="CT256">
        <f>AF256*BA256</f>
        <v>304.90879999999999</v>
      </c>
      <c r="CU256">
        <f t="shared" si="220"/>
        <v>0</v>
      </c>
      <c r="CV256">
        <f t="shared" si="220"/>
        <v>4.8869999999999996</v>
      </c>
      <c r="CW256">
        <f t="shared" si="220"/>
        <v>3.0000000000000001E-3</v>
      </c>
      <c r="CX256">
        <f t="shared" si="220"/>
        <v>0</v>
      </c>
      <c r="CY256">
        <f>(((S256+R256)*AT256)/100)</f>
        <v>92.767499999999998</v>
      </c>
      <c r="CZ256">
        <f>(((S256+R256)*AU256)/100)</f>
        <v>63.472499999999989</v>
      </c>
      <c r="DC256" t="s">
        <v>6</v>
      </c>
      <c r="DD256" t="s">
        <v>92</v>
      </c>
      <c r="DE256" t="s">
        <v>590</v>
      </c>
      <c r="DF256" t="s">
        <v>590</v>
      </c>
      <c r="DG256" t="s">
        <v>590</v>
      </c>
      <c r="DH256" t="s">
        <v>6</v>
      </c>
      <c r="DI256" t="s">
        <v>590</v>
      </c>
      <c r="DJ256" t="s">
        <v>590</v>
      </c>
      <c r="DK256" t="s">
        <v>6</v>
      </c>
      <c r="DL256" t="s">
        <v>6</v>
      </c>
      <c r="DM256" t="s">
        <v>6</v>
      </c>
      <c r="DN256">
        <v>0</v>
      </c>
      <c r="DO256">
        <v>0</v>
      </c>
      <c r="DP256">
        <v>1</v>
      </c>
      <c r="DQ256">
        <v>1</v>
      </c>
      <c r="DU256">
        <v>1003</v>
      </c>
      <c r="DV256" t="s">
        <v>34</v>
      </c>
      <c r="DW256" t="s">
        <v>34</v>
      </c>
      <c r="DX256">
        <v>100</v>
      </c>
      <c r="EE256">
        <v>16510370</v>
      </c>
      <c r="EF256">
        <v>3</v>
      </c>
      <c r="EG256" t="s">
        <v>591</v>
      </c>
      <c r="EH256">
        <v>0</v>
      </c>
      <c r="EI256" t="s">
        <v>6</v>
      </c>
      <c r="EJ256">
        <v>2</v>
      </c>
      <c r="EK256">
        <v>108001</v>
      </c>
      <c r="EL256" t="s">
        <v>592</v>
      </c>
      <c r="EM256" t="s">
        <v>593</v>
      </c>
      <c r="EO256" t="s">
        <v>594</v>
      </c>
      <c r="EQ256">
        <v>131072</v>
      </c>
      <c r="ER256">
        <v>206.76</v>
      </c>
      <c r="ES256">
        <v>51.53</v>
      </c>
      <c r="ET256">
        <v>0.31</v>
      </c>
      <c r="EU256">
        <v>0.14000000000000001</v>
      </c>
      <c r="EV256">
        <v>154.91999999999999</v>
      </c>
      <c r="EW256">
        <v>16.29</v>
      </c>
      <c r="EX256">
        <v>0.01</v>
      </c>
      <c r="EY256">
        <v>0</v>
      </c>
      <c r="FQ256">
        <v>0</v>
      </c>
      <c r="FR256">
        <f>ROUND(IF(AND(BH256=3,BI256=3),P256,0),2)</f>
        <v>0</v>
      </c>
      <c r="FS256">
        <v>0</v>
      </c>
      <c r="FX256">
        <v>95</v>
      </c>
      <c r="FY256">
        <v>65</v>
      </c>
      <c r="GA256" t="s">
        <v>6</v>
      </c>
      <c r="GD256">
        <v>0</v>
      </c>
      <c r="GF256">
        <v>-1862294278</v>
      </c>
      <c r="GG256">
        <v>1</v>
      </c>
      <c r="GH256">
        <v>1</v>
      </c>
      <c r="GI256">
        <v>4</v>
      </c>
      <c r="GJ256">
        <v>0</v>
      </c>
      <c r="GK256">
        <f>ROUND(R256*(R12)/100,2)</f>
        <v>0</v>
      </c>
      <c r="GL256">
        <f>ROUND(IF(AND(BH256=3,BI256=3,FS256&lt;&gt;0),P256,0),2)</f>
        <v>0</v>
      </c>
      <c r="GM256">
        <f>ROUND(O256+X256+Y256+GK256,2)+GX256</f>
        <v>254</v>
      </c>
      <c r="GN256">
        <f>IF(OR(BI256=0,BI256=1),ROUND(O256+X256+Y256+GK256,2),0)</f>
        <v>0</v>
      </c>
      <c r="GO256">
        <f>IF(BI256=2,ROUND(O256+X256+Y256+GK256,2),0)</f>
        <v>254</v>
      </c>
      <c r="GP256">
        <f>IF(BI256=4,ROUND(O256+X256+Y256+GK256,2)+GX256,0)</f>
        <v>0</v>
      </c>
      <c r="GR256">
        <v>0</v>
      </c>
      <c r="GS256">
        <v>3</v>
      </c>
      <c r="GT256">
        <v>0</v>
      </c>
      <c r="GU256" t="s">
        <v>6</v>
      </c>
      <c r="GV256">
        <f>ROUND(GT256,2)</f>
        <v>0</v>
      </c>
      <c r="GW256">
        <v>1</v>
      </c>
      <c r="GX256">
        <f>ROUND(GV256*GW256*I256,2)</f>
        <v>0</v>
      </c>
      <c r="HA256">
        <v>0</v>
      </c>
      <c r="HB256">
        <v>0</v>
      </c>
      <c r="IK256">
        <v>0</v>
      </c>
    </row>
    <row r="257" spans="1:245" x14ac:dyDescent="0.2">
      <c r="A257">
        <v>17</v>
      </c>
      <c r="B257">
        <v>1</v>
      </c>
      <c r="C257">
        <f>ROW(SmtRes!A352)</f>
        <v>352</v>
      </c>
      <c r="D257">
        <f>ROW(EtalonRes!A334)</f>
        <v>334</v>
      </c>
      <c r="E257" t="s">
        <v>595</v>
      </c>
      <c r="F257" t="s">
        <v>596</v>
      </c>
      <c r="G257" t="s">
        <v>597</v>
      </c>
      <c r="H257" t="s">
        <v>242</v>
      </c>
      <c r="I257">
        <v>6</v>
      </c>
      <c r="J257">
        <v>0</v>
      </c>
      <c r="O257">
        <f>ROUND(CP257,2)</f>
        <v>321.57</v>
      </c>
      <c r="P257">
        <f>ROUND(CQ257*I257,2)</f>
        <v>0</v>
      </c>
      <c r="Q257">
        <f>ROUND(CR257*I257,2)</f>
        <v>209.79</v>
      </c>
      <c r="R257">
        <f>ROUND(CS257*I257,2)</f>
        <v>29.52</v>
      </c>
      <c r="S257">
        <f>ROUND(CT257*I257,2)</f>
        <v>111.78</v>
      </c>
      <c r="T257">
        <f>ROUND(CU257*I257,2)</f>
        <v>0</v>
      </c>
      <c r="U257">
        <f>CV257*I257</f>
        <v>1.62</v>
      </c>
      <c r="V257">
        <f>CW257*I257</f>
        <v>0.36</v>
      </c>
      <c r="W257">
        <f>ROUND(CX257*I257,2)</f>
        <v>0</v>
      </c>
      <c r="X257">
        <f t="shared" si="217"/>
        <v>134.24</v>
      </c>
      <c r="Y257">
        <f t="shared" si="217"/>
        <v>91.85</v>
      </c>
      <c r="AA257">
        <v>16748969</v>
      </c>
      <c r="AB257">
        <f>ROUND((AC257+AD257+AF257),2)</f>
        <v>8.17</v>
      </c>
      <c r="AC257">
        <f>ROUND(((ES257*0)),2)</f>
        <v>0</v>
      </c>
      <c r="AD257">
        <f>ROUND(((((ET257*0.3))-((EU257*0.3)))+AE257),2)</f>
        <v>5.33</v>
      </c>
      <c r="AE257">
        <f>ROUND(((EU257*0.3)),2)</f>
        <v>0.75</v>
      </c>
      <c r="AF257">
        <f>ROUND(((EV257*0.3)),2)</f>
        <v>2.84</v>
      </c>
      <c r="AG257">
        <f>ROUND((AP257),2)</f>
        <v>0</v>
      </c>
      <c r="AH257">
        <f>((EW257*0.3))</f>
        <v>0.27</v>
      </c>
      <c r="AI257">
        <f>((EX257*0.3))</f>
        <v>0.06</v>
      </c>
      <c r="AJ257">
        <f>ROUND((AS257),2)</f>
        <v>0</v>
      </c>
      <c r="AK257">
        <v>33.42</v>
      </c>
      <c r="AL257">
        <v>6.2</v>
      </c>
      <c r="AM257">
        <v>17.77</v>
      </c>
      <c r="AN257">
        <v>2.5099999999999998</v>
      </c>
      <c r="AO257">
        <v>9.4499999999999993</v>
      </c>
      <c r="AP257">
        <v>0</v>
      </c>
      <c r="AQ257">
        <v>0.9</v>
      </c>
      <c r="AR257">
        <v>0.2</v>
      </c>
      <c r="AS257">
        <v>0</v>
      </c>
      <c r="AT257">
        <v>95</v>
      </c>
      <c r="AU257">
        <v>65</v>
      </c>
      <c r="AV257">
        <v>1</v>
      </c>
      <c r="AW257">
        <v>1</v>
      </c>
      <c r="AZ257">
        <v>6.56</v>
      </c>
      <c r="BA257">
        <v>6.56</v>
      </c>
      <c r="BB257">
        <v>6.56</v>
      </c>
      <c r="BC257">
        <v>6.56</v>
      </c>
      <c r="BD257" t="s">
        <v>6</v>
      </c>
      <c r="BE257" t="s">
        <v>6</v>
      </c>
      <c r="BF257" t="s">
        <v>6</v>
      </c>
      <c r="BG257" t="s">
        <v>6</v>
      </c>
      <c r="BH257">
        <v>0</v>
      </c>
      <c r="BI257">
        <v>2</v>
      </c>
      <c r="BJ257" t="s">
        <v>598</v>
      </c>
      <c r="BM257">
        <v>108001</v>
      </c>
      <c r="BN257">
        <v>0</v>
      </c>
      <c r="BO257" t="s">
        <v>6</v>
      </c>
      <c r="BP257">
        <v>0</v>
      </c>
      <c r="BQ257">
        <v>3</v>
      </c>
      <c r="BR257">
        <v>0</v>
      </c>
      <c r="BS257">
        <v>6.56</v>
      </c>
      <c r="BT257">
        <v>1</v>
      </c>
      <c r="BU257">
        <v>1</v>
      </c>
      <c r="BV257">
        <v>1</v>
      </c>
      <c r="BW257">
        <v>1</v>
      </c>
      <c r="BX257">
        <v>1</v>
      </c>
      <c r="BY257" t="s">
        <v>6</v>
      </c>
      <c r="BZ257">
        <v>95</v>
      </c>
      <c r="CA257">
        <v>65</v>
      </c>
      <c r="CF257">
        <v>0</v>
      </c>
      <c r="CG257">
        <v>0</v>
      </c>
      <c r="CM257">
        <v>0</v>
      </c>
      <c r="CN257" t="s">
        <v>1610</v>
      </c>
      <c r="CO257">
        <v>0</v>
      </c>
      <c r="CP257">
        <f>(P257+Q257+S257)</f>
        <v>321.57</v>
      </c>
      <c r="CQ257">
        <f>AC257*BC257</f>
        <v>0</v>
      </c>
      <c r="CR257">
        <f>AD257*BB257</f>
        <v>34.964799999999997</v>
      </c>
      <c r="CS257">
        <f>AE257*BS257</f>
        <v>4.92</v>
      </c>
      <c r="CT257">
        <f>AF257*BA257</f>
        <v>18.630399999999998</v>
      </c>
      <c r="CU257">
        <f t="shared" si="220"/>
        <v>0</v>
      </c>
      <c r="CV257">
        <f t="shared" si="220"/>
        <v>0.27</v>
      </c>
      <c r="CW257">
        <f t="shared" si="220"/>
        <v>0.06</v>
      </c>
      <c r="CX257">
        <f t="shared" si="220"/>
        <v>0</v>
      </c>
      <c r="CY257">
        <f>(((S257+R257)*AT257)/100)</f>
        <v>134.23500000000001</v>
      </c>
      <c r="CZ257">
        <f>(((S257+R257)*AU257)/100)</f>
        <v>91.844999999999999</v>
      </c>
      <c r="DC257" t="s">
        <v>6</v>
      </c>
      <c r="DD257" t="s">
        <v>92</v>
      </c>
      <c r="DE257" t="s">
        <v>590</v>
      </c>
      <c r="DF257" t="s">
        <v>590</v>
      </c>
      <c r="DG257" t="s">
        <v>590</v>
      </c>
      <c r="DH257" t="s">
        <v>6</v>
      </c>
      <c r="DI257" t="s">
        <v>590</v>
      </c>
      <c r="DJ257" t="s">
        <v>590</v>
      </c>
      <c r="DK257" t="s">
        <v>6</v>
      </c>
      <c r="DL257" t="s">
        <v>6</v>
      </c>
      <c r="DM257" t="s">
        <v>6</v>
      </c>
      <c r="DN257">
        <v>0</v>
      </c>
      <c r="DO257">
        <v>0</v>
      </c>
      <c r="DP257">
        <v>1</v>
      </c>
      <c r="DQ257">
        <v>1</v>
      </c>
      <c r="DU257">
        <v>1013</v>
      </c>
      <c r="DV257" t="s">
        <v>242</v>
      </c>
      <c r="DW257" t="s">
        <v>242</v>
      </c>
      <c r="DX257">
        <v>1</v>
      </c>
      <c r="EE257">
        <v>16510370</v>
      </c>
      <c r="EF257">
        <v>3</v>
      </c>
      <c r="EG257" t="s">
        <v>591</v>
      </c>
      <c r="EH257">
        <v>0</v>
      </c>
      <c r="EI257" t="s">
        <v>6</v>
      </c>
      <c r="EJ257">
        <v>2</v>
      </c>
      <c r="EK257">
        <v>108001</v>
      </c>
      <c r="EL257" t="s">
        <v>592</v>
      </c>
      <c r="EM257" t="s">
        <v>593</v>
      </c>
      <c r="EO257" t="s">
        <v>594</v>
      </c>
      <c r="EQ257">
        <v>131072</v>
      </c>
      <c r="ER257">
        <v>33.42</v>
      </c>
      <c r="ES257">
        <v>6.2</v>
      </c>
      <c r="ET257">
        <v>17.77</v>
      </c>
      <c r="EU257">
        <v>2.5099999999999998</v>
      </c>
      <c r="EV257">
        <v>9.4499999999999993</v>
      </c>
      <c r="EW257">
        <v>0.9</v>
      </c>
      <c r="EX257">
        <v>0.2</v>
      </c>
      <c r="EY257">
        <v>0</v>
      </c>
      <c r="FQ257">
        <v>0</v>
      </c>
      <c r="FR257">
        <f>ROUND(IF(AND(BH257=3,BI257=3),P257,0),2)</f>
        <v>0</v>
      </c>
      <c r="FS257">
        <v>0</v>
      </c>
      <c r="FX257">
        <v>95</v>
      </c>
      <c r="FY257">
        <v>65</v>
      </c>
      <c r="GA257" t="s">
        <v>6</v>
      </c>
      <c r="GD257">
        <v>0</v>
      </c>
      <c r="GF257">
        <v>-906572006</v>
      </c>
      <c r="GG257">
        <v>1</v>
      </c>
      <c r="GH257">
        <v>1</v>
      </c>
      <c r="GI257">
        <v>4</v>
      </c>
      <c r="GJ257">
        <v>0</v>
      </c>
      <c r="GK257">
        <f>ROUND(R257*(R12)/100,2)</f>
        <v>0</v>
      </c>
      <c r="GL257">
        <f>ROUND(IF(AND(BH257=3,BI257=3,FS257&lt;&gt;0),P257,0),2)</f>
        <v>0</v>
      </c>
      <c r="GM257">
        <f>ROUND(O257+X257+Y257+GK257,2)+GX257</f>
        <v>547.66</v>
      </c>
      <c r="GN257">
        <f>IF(OR(BI257=0,BI257=1),ROUND(O257+X257+Y257+GK257,2),0)</f>
        <v>0</v>
      </c>
      <c r="GO257">
        <f>IF(BI257=2,ROUND(O257+X257+Y257+GK257,2),0)</f>
        <v>547.66</v>
      </c>
      <c r="GP257">
        <f>IF(BI257=4,ROUND(O257+X257+Y257+GK257,2)+GX257,0)</f>
        <v>0</v>
      </c>
      <c r="GR257">
        <v>0</v>
      </c>
      <c r="GS257">
        <v>3</v>
      </c>
      <c r="GT257">
        <v>0</v>
      </c>
      <c r="GU257" t="s">
        <v>6</v>
      </c>
      <c r="GV257">
        <f>ROUND(GT257,2)</f>
        <v>0</v>
      </c>
      <c r="GW257">
        <v>1</v>
      </c>
      <c r="GX257">
        <f>ROUND(GV257*GW257*I257,2)</f>
        <v>0</v>
      </c>
      <c r="HA257">
        <v>0</v>
      </c>
      <c r="HB257">
        <v>0</v>
      </c>
      <c r="IK257">
        <v>0</v>
      </c>
    </row>
    <row r="259" spans="1:245" x14ac:dyDescent="0.2">
      <c r="A259" s="2">
        <v>51</v>
      </c>
      <c r="B259" s="2">
        <f>B249</f>
        <v>1</v>
      </c>
      <c r="C259" s="2">
        <f>A249</f>
        <v>5</v>
      </c>
      <c r="D259" s="2">
        <f>ROW(A249)</f>
        <v>249</v>
      </c>
      <c r="E259" s="2"/>
      <c r="F259" s="2" t="str">
        <f>IF(F249&lt;&gt;"",F249,"")</f>
        <v>Новый подраздел</v>
      </c>
      <c r="G259" s="2" t="str">
        <f>IF(G249&lt;&gt;"",G249,"")</f>
        <v>1Демонтаж</v>
      </c>
      <c r="H259" s="2">
        <v>0</v>
      </c>
      <c r="I259" s="2"/>
      <c r="J259" s="2"/>
      <c r="K259" s="2"/>
      <c r="L259" s="2"/>
      <c r="M259" s="2"/>
      <c r="N259" s="2"/>
      <c r="O259" s="2">
        <f t="shared" ref="O259:T259" si="221">ROUND(AB259,2)</f>
        <v>2226.14</v>
      </c>
      <c r="P259" s="2">
        <f t="shared" si="221"/>
        <v>0</v>
      </c>
      <c r="Q259" s="2">
        <f t="shared" si="221"/>
        <v>220.63</v>
      </c>
      <c r="R259" s="2">
        <f t="shared" si="221"/>
        <v>34.32</v>
      </c>
      <c r="S259" s="2">
        <f t="shared" si="221"/>
        <v>2005.51</v>
      </c>
      <c r="T259" s="2">
        <f t="shared" si="221"/>
        <v>0</v>
      </c>
      <c r="U259" s="2">
        <f>AH259</f>
        <v>38.146639999999998</v>
      </c>
      <c r="V259" s="2">
        <f>AI259</f>
        <v>0.41315999999999997</v>
      </c>
      <c r="W259" s="2">
        <f>ROUND(AJ259,2)</f>
        <v>0</v>
      </c>
      <c r="X259" s="2">
        <f>ROUND(AK259,2)</f>
        <v>1757.76</v>
      </c>
      <c r="Y259" s="2">
        <f>ROUND(AL259,2)</f>
        <v>1325.9</v>
      </c>
      <c r="Z259" s="2"/>
      <c r="AA259" s="2"/>
      <c r="AB259" s="2">
        <f>ROUND(SUMIF(AA253:AA257,"=16748969",O253:O257),2)</f>
        <v>2226.14</v>
      </c>
      <c r="AC259" s="2">
        <f>ROUND(SUMIF(AA253:AA257,"=16748969",P253:P257),2)</f>
        <v>0</v>
      </c>
      <c r="AD259" s="2">
        <f>ROUND(SUMIF(AA253:AA257,"=16748969",Q253:Q257),2)</f>
        <v>220.63</v>
      </c>
      <c r="AE259" s="2">
        <f>ROUND(SUMIF(AA253:AA257,"=16748969",R253:R257),2)</f>
        <v>34.32</v>
      </c>
      <c r="AF259" s="2">
        <f>ROUND(SUMIF(AA253:AA257,"=16748969",S253:S257),2)</f>
        <v>2005.51</v>
      </c>
      <c r="AG259" s="2">
        <f>ROUND(SUMIF(AA253:AA257,"=16748969",T253:T257),2)</f>
        <v>0</v>
      </c>
      <c r="AH259" s="2">
        <f>SUMIF(AA253:AA257,"=16748969",U253:U257)</f>
        <v>38.146639999999998</v>
      </c>
      <c r="AI259" s="2">
        <f>SUMIF(AA253:AA257,"=16748969",V253:V257)</f>
        <v>0.41315999999999997</v>
      </c>
      <c r="AJ259" s="2">
        <f>ROUND(SUMIF(AA253:AA257,"=16748969",W253:W257),2)</f>
        <v>0</v>
      </c>
      <c r="AK259" s="2">
        <f>ROUND(SUMIF(AA253:AA257,"=16748969",X253:X257),2)</f>
        <v>1757.76</v>
      </c>
      <c r="AL259" s="2">
        <f>ROUND(SUMIF(AA253:AA257,"=16748969",Y253:Y257),2)</f>
        <v>1325.9</v>
      </c>
      <c r="AM259" s="2"/>
      <c r="AN259" s="2"/>
      <c r="AO259" s="2">
        <f t="shared" ref="AO259:BC259" si="222">ROUND(BX259,2)</f>
        <v>0</v>
      </c>
      <c r="AP259" s="2">
        <f t="shared" si="222"/>
        <v>0</v>
      </c>
      <c r="AQ259" s="2">
        <f t="shared" si="222"/>
        <v>0</v>
      </c>
      <c r="AR259" s="2">
        <f t="shared" si="222"/>
        <v>5309.8</v>
      </c>
      <c r="AS259" s="2">
        <f t="shared" si="222"/>
        <v>4508.1400000000003</v>
      </c>
      <c r="AT259" s="2">
        <f t="shared" si="222"/>
        <v>801.66</v>
      </c>
      <c r="AU259" s="2">
        <f t="shared" si="222"/>
        <v>0</v>
      </c>
      <c r="AV259" s="2">
        <f t="shared" si="222"/>
        <v>0</v>
      </c>
      <c r="AW259" s="2">
        <f t="shared" si="222"/>
        <v>0</v>
      </c>
      <c r="AX259" s="2">
        <f t="shared" si="222"/>
        <v>0</v>
      </c>
      <c r="AY259" s="2">
        <f t="shared" si="222"/>
        <v>0</v>
      </c>
      <c r="AZ259" s="2">
        <f t="shared" si="222"/>
        <v>0</v>
      </c>
      <c r="BA259" s="2">
        <f t="shared" si="222"/>
        <v>0</v>
      </c>
      <c r="BB259" s="2">
        <f t="shared" si="222"/>
        <v>0</v>
      </c>
      <c r="BC259" s="2">
        <f t="shared" si="222"/>
        <v>0</v>
      </c>
      <c r="BD259" s="2"/>
      <c r="BE259" s="2"/>
      <c r="BF259" s="2"/>
      <c r="BG259" s="2"/>
      <c r="BH259" s="2"/>
      <c r="BI259" s="2"/>
      <c r="BJ259" s="2"/>
      <c r="BK259" s="2"/>
      <c r="BL259" s="2"/>
      <c r="BM259" s="2"/>
      <c r="BN259" s="2"/>
      <c r="BO259" s="2"/>
      <c r="BP259" s="2"/>
      <c r="BQ259" s="2"/>
      <c r="BR259" s="2"/>
      <c r="BS259" s="2"/>
      <c r="BT259" s="2"/>
      <c r="BU259" s="2"/>
      <c r="BV259" s="2"/>
      <c r="BW259" s="2"/>
      <c r="BX259" s="2">
        <f>ROUND(SUMIF(AA253:AA257,"=16748969",FQ253:FQ257),2)</f>
        <v>0</v>
      </c>
      <c r="BY259" s="2">
        <f>ROUND(SUMIF(AA253:AA257,"=16748969",FR253:FR257),2)</f>
        <v>0</v>
      </c>
      <c r="BZ259" s="2">
        <f>ROUND(SUMIF(AA253:AA257,"=16748969",GL253:GL257),2)</f>
        <v>0</v>
      </c>
      <c r="CA259" s="2">
        <f>ROUND(SUMIF(AA253:AA257,"=16748969",GM253:GM257),2)</f>
        <v>5309.8</v>
      </c>
      <c r="CB259" s="2">
        <f>ROUND(SUMIF(AA253:AA257,"=16748969",GN253:GN257),2)</f>
        <v>4508.1400000000003</v>
      </c>
      <c r="CC259" s="2">
        <f>ROUND(SUMIF(AA253:AA257,"=16748969",GO253:GO257),2)</f>
        <v>801.66</v>
      </c>
      <c r="CD259" s="2">
        <f>ROUND(SUMIF(AA253:AA257,"=16748969",GP253:GP257),2)</f>
        <v>0</v>
      </c>
      <c r="CE259" s="2">
        <f>AC259-BX259</f>
        <v>0</v>
      </c>
      <c r="CF259" s="2">
        <f>AC259-BY259</f>
        <v>0</v>
      </c>
      <c r="CG259" s="2">
        <f>BX259-BZ259</f>
        <v>0</v>
      </c>
      <c r="CH259" s="2">
        <f>AC259-BX259-BY259+BZ259</f>
        <v>0</v>
      </c>
      <c r="CI259" s="2">
        <f>BY259-BZ259</f>
        <v>0</v>
      </c>
      <c r="CJ259" s="2">
        <f>ROUND(SUMIF(AA253:AA257,"=16748969",GX253:GX257),2)</f>
        <v>0</v>
      </c>
      <c r="CK259" s="2">
        <f>ROUND(SUMIF(AA253:AA257,"=16748969",GY253:GY257),2)</f>
        <v>0</v>
      </c>
      <c r="CL259" s="2">
        <f>ROUND(SUMIF(AA253:AA257,"=16748969",GZ253:GZ257),2)</f>
        <v>0</v>
      </c>
      <c r="CM259" s="2"/>
      <c r="CN259" s="2"/>
      <c r="CO259" s="2"/>
      <c r="CP259" s="2"/>
      <c r="CQ259" s="2"/>
      <c r="CR259" s="2"/>
      <c r="CS259" s="2"/>
      <c r="CT259" s="2"/>
      <c r="CU259" s="2"/>
      <c r="CV259" s="2"/>
      <c r="CW259" s="2"/>
      <c r="CX259" s="2"/>
      <c r="CY259" s="2"/>
      <c r="CZ259" s="2"/>
      <c r="DA259" s="2"/>
      <c r="DB259" s="2"/>
      <c r="DC259" s="2"/>
      <c r="DD259" s="2"/>
      <c r="DE259" s="2"/>
      <c r="DF259" s="2"/>
      <c r="DG259" s="3"/>
      <c r="DH259" s="3"/>
      <c r="DI259" s="3"/>
      <c r="DJ259" s="3"/>
      <c r="DK259" s="3"/>
      <c r="DL259" s="3"/>
      <c r="DM259" s="3"/>
      <c r="DN259" s="3"/>
      <c r="DO259" s="3"/>
      <c r="DP259" s="3"/>
      <c r="DQ259" s="3"/>
      <c r="DR259" s="3"/>
      <c r="DS259" s="3"/>
      <c r="DT259" s="3"/>
      <c r="DU259" s="3"/>
      <c r="DV259" s="3"/>
      <c r="DW259" s="3"/>
      <c r="DX259" s="3"/>
      <c r="DY259" s="3"/>
      <c r="DZ259" s="3"/>
      <c r="EA259" s="3"/>
      <c r="EB259" s="3"/>
      <c r="EC259" s="3"/>
      <c r="ED259" s="3"/>
      <c r="EE259" s="3"/>
      <c r="EF259" s="3"/>
      <c r="EG259" s="3"/>
      <c r="EH259" s="3"/>
      <c r="EI259" s="3"/>
      <c r="EJ259" s="3"/>
      <c r="EK259" s="3"/>
      <c r="EL259" s="3"/>
      <c r="EM259" s="3"/>
      <c r="EN259" s="3"/>
      <c r="EO259" s="3"/>
      <c r="EP259" s="3"/>
      <c r="EQ259" s="3"/>
      <c r="ER259" s="3"/>
      <c r="ES259" s="3"/>
      <c r="ET259" s="3"/>
      <c r="EU259" s="3"/>
      <c r="EV259" s="3"/>
      <c r="EW259" s="3"/>
      <c r="EX259" s="3"/>
      <c r="EY259" s="3"/>
      <c r="EZ259" s="3"/>
      <c r="FA259" s="3"/>
      <c r="FB259" s="3"/>
      <c r="FC259" s="3"/>
      <c r="FD259" s="3"/>
      <c r="FE259" s="3"/>
      <c r="FF259" s="3"/>
      <c r="FG259" s="3"/>
      <c r="FH259" s="3"/>
      <c r="FI259" s="3"/>
      <c r="FJ259" s="3"/>
      <c r="FK259" s="3"/>
      <c r="FL259" s="3"/>
      <c r="FM259" s="3"/>
      <c r="FN259" s="3"/>
      <c r="FO259" s="3"/>
      <c r="FP259" s="3"/>
      <c r="FQ259" s="3"/>
      <c r="FR259" s="3"/>
      <c r="FS259" s="3"/>
      <c r="FT259" s="3"/>
      <c r="FU259" s="3"/>
      <c r="FV259" s="3"/>
      <c r="FW259" s="3"/>
      <c r="FX259" s="3"/>
      <c r="FY259" s="3"/>
      <c r="FZ259" s="3"/>
      <c r="GA259" s="3"/>
      <c r="GB259" s="3"/>
      <c r="GC259" s="3"/>
      <c r="GD259" s="3"/>
      <c r="GE259" s="3"/>
      <c r="GF259" s="3"/>
      <c r="GG259" s="3"/>
      <c r="GH259" s="3"/>
      <c r="GI259" s="3"/>
      <c r="GJ259" s="3"/>
      <c r="GK259" s="3"/>
      <c r="GL259" s="3"/>
      <c r="GM259" s="3"/>
      <c r="GN259" s="3"/>
      <c r="GO259" s="3"/>
      <c r="GP259" s="3"/>
      <c r="GQ259" s="3"/>
      <c r="GR259" s="3"/>
      <c r="GS259" s="3"/>
      <c r="GT259" s="3"/>
      <c r="GU259" s="3"/>
      <c r="GV259" s="3"/>
      <c r="GW259" s="3"/>
      <c r="GX259" s="3">
        <v>0</v>
      </c>
    </row>
    <row r="261" spans="1:245" x14ac:dyDescent="0.2">
      <c r="A261" s="4">
        <v>50</v>
      </c>
      <c r="B261" s="4">
        <v>0</v>
      </c>
      <c r="C261" s="4">
        <v>0</v>
      </c>
      <c r="D261" s="4">
        <v>1</v>
      </c>
      <c r="E261" s="4">
        <v>201</v>
      </c>
      <c r="F261" s="4">
        <f>ROUND(Source!O259,O261)</f>
        <v>2226.14</v>
      </c>
      <c r="G261" s="4" t="s">
        <v>115</v>
      </c>
      <c r="H261" s="4" t="s">
        <v>116</v>
      </c>
      <c r="I261" s="4"/>
      <c r="J261" s="4"/>
      <c r="K261" s="4">
        <v>201</v>
      </c>
      <c r="L261" s="4">
        <v>1</v>
      </c>
      <c r="M261" s="4">
        <v>3</v>
      </c>
      <c r="N261" s="4" t="s">
        <v>6</v>
      </c>
      <c r="O261" s="4">
        <v>2</v>
      </c>
      <c r="P261" s="4"/>
      <c r="Q261" s="4"/>
      <c r="R261" s="4"/>
      <c r="S261" s="4"/>
      <c r="T261" s="4"/>
      <c r="U261" s="4"/>
      <c r="V261" s="4"/>
      <c r="W261" s="4"/>
    </row>
    <row r="262" spans="1:245" x14ac:dyDescent="0.2">
      <c r="A262" s="4">
        <v>50</v>
      </c>
      <c r="B262" s="4">
        <v>0</v>
      </c>
      <c r="C262" s="4">
        <v>0</v>
      </c>
      <c r="D262" s="4">
        <v>1</v>
      </c>
      <c r="E262" s="4">
        <v>202</v>
      </c>
      <c r="F262" s="4">
        <f>ROUND(Source!P259,O262)</f>
        <v>0</v>
      </c>
      <c r="G262" s="4" t="s">
        <v>117</v>
      </c>
      <c r="H262" s="4" t="s">
        <v>118</v>
      </c>
      <c r="I262" s="4"/>
      <c r="J262" s="4"/>
      <c r="K262" s="4">
        <v>202</v>
      </c>
      <c r="L262" s="4">
        <v>2</v>
      </c>
      <c r="M262" s="4">
        <v>3</v>
      </c>
      <c r="N262" s="4" t="s">
        <v>6</v>
      </c>
      <c r="O262" s="4">
        <v>2</v>
      </c>
      <c r="P262" s="4"/>
      <c r="Q262" s="4"/>
      <c r="R262" s="4"/>
      <c r="S262" s="4"/>
      <c r="T262" s="4"/>
      <c r="U262" s="4"/>
      <c r="V262" s="4"/>
      <c r="W262" s="4"/>
    </row>
    <row r="263" spans="1:245" x14ac:dyDescent="0.2">
      <c r="A263" s="4">
        <v>50</v>
      </c>
      <c r="B263" s="4">
        <v>0</v>
      </c>
      <c r="C263" s="4">
        <v>0</v>
      </c>
      <c r="D263" s="4">
        <v>1</v>
      </c>
      <c r="E263" s="4">
        <v>222</v>
      </c>
      <c r="F263" s="4">
        <f>ROUND(Source!AO259,O263)</f>
        <v>0</v>
      </c>
      <c r="G263" s="4" t="s">
        <v>119</v>
      </c>
      <c r="H263" s="4" t="s">
        <v>120</v>
      </c>
      <c r="I263" s="4"/>
      <c r="J263" s="4"/>
      <c r="K263" s="4">
        <v>222</v>
      </c>
      <c r="L263" s="4">
        <v>3</v>
      </c>
      <c r="M263" s="4">
        <v>3</v>
      </c>
      <c r="N263" s="4" t="s">
        <v>6</v>
      </c>
      <c r="O263" s="4">
        <v>2</v>
      </c>
      <c r="P263" s="4"/>
      <c r="Q263" s="4"/>
      <c r="R263" s="4"/>
      <c r="S263" s="4"/>
      <c r="T263" s="4"/>
      <c r="U263" s="4"/>
      <c r="V263" s="4"/>
      <c r="W263" s="4"/>
    </row>
    <row r="264" spans="1:245" x14ac:dyDescent="0.2">
      <c r="A264" s="4">
        <v>50</v>
      </c>
      <c r="B264" s="4">
        <v>0</v>
      </c>
      <c r="C264" s="4">
        <v>0</v>
      </c>
      <c r="D264" s="4">
        <v>1</v>
      </c>
      <c r="E264" s="4">
        <v>225</v>
      </c>
      <c r="F264" s="4">
        <f>ROUND(Source!AV259,O264)</f>
        <v>0</v>
      </c>
      <c r="G264" s="4" t="s">
        <v>121</v>
      </c>
      <c r="H264" s="4" t="s">
        <v>122</v>
      </c>
      <c r="I264" s="4"/>
      <c r="J264" s="4"/>
      <c r="K264" s="4">
        <v>225</v>
      </c>
      <c r="L264" s="4">
        <v>4</v>
      </c>
      <c r="M264" s="4">
        <v>3</v>
      </c>
      <c r="N264" s="4" t="s">
        <v>6</v>
      </c>
      <c r="O264" s="4">
        <v>2</v>
      </c>
      <c r="P264" s="4"/>
      <c r="Q264" s="4"/>
      <c r="R264" s="4"/>
      <c r="S264" s="4"/>
      <c r="T264" s="4"/>
      <c r="U264" s="4"/>
      <c r="V264" s="4"/>
      <c r="W264" s="4"/>
    </row>
    <row r="265" spans="1:245" x14ac:dyDescent="0.2">
      <c r="A265" s="4">
        <v>50</v>
      </c>
      <c r="B265" s="4">
        <v>0</v>
      </c>
      <c r="C265" s="4">
        <v>0</v>
      </c>
      <c r="D265" s="4">
        <v>1</v>
      </c>
      <c r="E265" s="4">
        <v>226</v>
      </c>
      <c r="F265" s="4">
        <f>ROUND(Source!AW259,O265)</f>
        <v>0</v>
      </c>
      <c r="G265" s="4" t="s">
        <v>123</v>
      </c>
      <c r="H265" s="4" t="s">
        <v>124</v>
      </c>
      <c r="I265" s="4"/>
      <c r="J265" s="4"/>
      <c r="K265" s="4">
        <v>226</v>
      </c>
      <c r="L265" s="4">
        <v>5</v>
      </c>
      <c r="M265" s="4">
        <v>3</v>
      </c>
      <c r="N265" s="4" t="s">
        <v>6</v>
      </c>
      <c r="O265" s="4">
        <v>2</v>
      </c>
      <c r="P265" s="4"/>
      <c r="Q265" s="4"/>
      <c r="R265" s="4"/>
      <c r="S265" s="4"/>
      <c r="T265" s="4"/>
      <c r="U265" s="4"/>
      <c r="V265" s="4"/>
      <c r="W265" s="4"/>
    </row>
    <row r="266" spans="1:245" x14ac:dyDescent="0.2">
      <c r="A266" s="4">
        <v>50</v>
      </c>
      <c r="B266" s="4">
        <v>0</v>
      </c>
      <c r="C266" s="4">
        <v>0</v>
      </c>
      <c r="D266" s="4">
        <v>1</v>
      </c>
      <c r="E266" s="4">
        <v>227</v>
      </c>
      <c r="F266" s="4">
        <f>ROUND(Source!AX259,O266)</f>
        <v>0</v>
      </c>
      <c r="G266" s="4" t="s">
        <v>125</v>
      </c>
      <c r="H266" s="4" t="s">
        <v>126</v>
      </c>
      <c r="I266" s="4"/>
      <c r="J266" s="4"/>
      <c r="K266" s="4">
        <v>227</v>
      </c>
      <c r="L266" s="4">
        <v>6</v>
      </c>
      <c r="M266" s="4">
        <v>3</v>
      </c>
      <c r="N266" s="4" t="s">
        <v>6</v>
      </c>
      <c r="O266" s="4">
        <v>2</v>
      </c>
      <c r="P266" s="4"/>
      <c r="Q266" s="4"/>
      <c r="R266" s="4"/>
      <c r="S266" s="4"/>
      <c r="T266" s="4"/>
      <c r="U266" s="4"/>
      <c r="V266" s="4"/>
      <c r="W266" s="4"/>
    </row>
    <row r="267" spans="1:245" x14ac:dyDescent="0.2">
      <c r="A267" s="4">
        <v>50</v>
      </c>
      <c r="B267" s="4">
        <v>0</v>
      </c>
      <c r="C267" s="4">
        <v>0</v>
      </c>
      <c r="D267" s="4">
        <v>1</v>
      </c>
      <c r="E267" s="4">
        <v>228</v>
      </c>
      <c r="F267" s="4">
        <f>ROUND(Source!AY259,O267)</f>
        <v>0</v>
      </c>
      <c r="G267" s="4" t="s">
        <v>127</v>
      </c>
      <c r="H267" s="4" t="s">
        <v>128</v>
      </c>
      <c r="I267" s="4"/>
      <c r="J267" s="4"/>
      <c r="K267" s="4">
        <v>228</v>
      </c>
      <c r="L267" s="4">
        <v>7</v>
      </c>
      <c r="M267" s="4">
        <v>3</v>
      </c>
      <c r="N267" s="4" t="s">
        <v>6</v>
      </c>
      <c r="O267" s="4">
        <v>2</v>
      </c>
      <c r="P267" s="4"/>
      <c r="Q267" s="4"/>
      <c r="R267" s="4"/>
      <c r="S267" s="4"/>
      <c r="T267" s="4"/>
      <c r="U267" s="4"/>
      <c r="V267" s="4"/>
      <c r="W267" s="4"/>
    </row>
    <row r="268" spans="1:245" x14ac:dyDescent="0.2">
      <c r="A268" s="4">
        <v>50</v>
      </c>
      <c r="B268" s="4">
        <v>0</v>
      </c>
      <c r="C268" s="4">
        <v>0</v>
      </c>
      <c r="D268" s="4">
        <v>1</v>
      </c>
      <c r="E268" s="4">
        <v>216</v>
      </c>
      <c r="F268" s="4">
        <f>ROUND(Source!AP259,O268)</f>
        <v>0</v>
      </c>
      <c r="G268" s="4" t="s">
        <v>129</v>
      </c>
      <c r="H268" s="4" t="s">
        <v>130</v>
      </c>
      <c r="I268" s="4"/>
      <c r="J268" s="4"/>
      <c r="K268" s="4">
        <v>216</v>
      </c>
      <c r="L268" s="4">
        <v>8</v>
      </c>
      <c r="M268" s="4">
        <v>3</v>
      </c>
      <c r="N268" s="4" t="s">
        <v>6</v>
      </c>
      <c r="O268" s="4">
        <v>2</v>
      </c>
      <c r="P268" s="4"/>
      <c r="Q268" s="4"/>
      <c r="R268" s="4"/>
      <c r="S268" s="4"/>
      <c r="T268" s="4"/>
      <c r="U268" s="4"/>
      <c r="V268" s="4"/>
      <c r="W268" s="4"/>
    </row>
    <row r="269" spans="1:245" x14ac:dyDescent="0.2">
      <c r="A269" s="4">
        <v>50</v>
      </c>
      <c r="B269" s="4">
        <v>0</v>
      </c>
      <c r="C269" s="4">
        <v>0</v>
      </c>
      <c r="D269" s="4">
        <v>1</v>
      </c>
      <c r="E269" s="4">
        <v>223</v>
      </c>
      <c r="F269" s="4">
        <f>ROUND(Source!AQ259,O269)</f>
        <v>0</v>
      </c>
      <c r="G269" s="4" t="s">
        <v>131</v>
      </c>
      <c r="H269" s="4" t="s">
        <v>132</v>
      </c>
      <c r="I269" s="4"/>
      <c r="J269" s="4"/>
      <c r="K269" s="4">
        <v>223</v>
      </c>
      <c r="L269" s="4">
        <v>9</v>
      </c>
      <c r="M269" s="4">
        <v>3</v>
      </c>
      <c r="N269" s="4" t="s">
        <v>6</v>
      </c>
      <c r="O269" s="4">
        <v>2</v>
      </c>
      <c r="P269" s="4"/>
      <c r="Q269" s="4"/>
      <c r="R269" s="4"/>
      <c r="S269" s="4"/>
      <c r="T269" s="4"/>
      <c r="U269" s="4"/>
      <c r="V269" s="4"/>
      <c r="W269" s="4"/>
    </row>
    <row r="270" spans="1:245" x14ac:dyDescent="0.2">
      <c r="A270" s="4">
        <v>50</v>
      </c>
      <c r="B270" s="4">
        <v>0</v>
      </c>
      <c r="C270" s="4">
        <v>0</v>
      </c>
      <c r="D270" s="4">
        <v>1</v>
      </c>
      <c r="E270" s="4">
        <v>229</v>
      </c>
      <c r="F270" s="4">
        <f>ROUND(Source!AZ259,O270)</f>
        <v>0</v>
      </c>
      <c r="G270" s="4" t="s">
        <v>133</v>
      </c>
      <c r="H270" s="4" t="s">
        <v>134</v>
      </c>
      <c r="I270" s="4"/>
      <c r="J270" s="4"/>
      <c r="K270" s="4">
        <v>229</v>
      </c>
      <c r="L270" s="4">
        <v>10</v>
      </c>
      <c r="M270" s="4">
        <v>3</v>
      </c>
      <c r="N270" s="4" t="s">
        <v>6</v>
      </c>
      <c r="O270" s="4">
        <v>2</v>
      </c>
      <c r="P270" s="4"/>
      <c r="Q270" s="4"/>
      <c r="R270" s="4"/>
      <c r="S270" s="4"/>
      <c r="T270" s="4"/>
      <c r="U270" s="4"/>
      <c r="V270" s="4"/>
      <c r="W270" s="4"/>
    </row>
    <row r="271" spans="1:245" x14ac:dyDescent="0.2">
      <c r="A271" s="4">
        <v>50</v>
      </c>
      <c r="B271" s="4">
        <v>0</v>
      </c>
      <c r="C271" s="4">
        <v>0</v>
      </c>
      <c r="D271" s="4">
        <v>1</v>
      </c>
      <c r="E271" s="4">
        <v>203</v>
      </c>
      <c r="F271" s="4">
        <f>ROUND(Source!Q259,O271)</f>
        <v>220.63</v>
      </c>
      <c r="G271" s="4" t="s">
        <v>135</v>
      </c>
      <c r="H271" s="4" t="s">
        <v>136</v>
      </c>
      <c r="I271" s="4"/>
      <c r="J271" s="4"/>
      <c r="K271" s="4">
        <v>203</v>
      </c>
      <c r="L271" s="4">
        <v>11</v>
      </c>
      <c r="M271" s="4">
        <v>3</v>
      </c>
      <c r="N271" s="4" t="s">
        <v>6</v>
      </c>
      <c r="O271" s="4">
        <v>2</v>
      </c>
      <c r="P271" s="4"/>
      <c r="Q271" s="4"/>
      <c r="R271" s="4"/>
      <c r="S271" s="4"/>
      <c r="T271" s="4"/>
      <c r="U271" s="4"/>
      <c r="V271" s="4"/>
      <c r="W271" s="4"/>
    </row>
    <row r="272" spans="1:245" x14ac:dyDescent="0.2">
      <c r="A272" s="4">
        <v>50</v>
      </c>
      <c r="B272" s="4">
        <v>0</v>
      </c>
      <c r="C272" s="4">
        <v>0</v>
      </c>
      <c r="D272" s="4">
        <v>1</v>
      </c>
      <c r="E272" s="4">
        <v>231</v>
      </c>
      <c r="F272" s="4">
        <f>ROUND(Source!BB259,O272)</f>
        <v>0</v>
      </c>
      <c r="G272" s="4" t="s">
        <v>137</v>
      </c>
      <c r="H272" s="4" t="s">
        <v>138</v>
      </c>
      <c r="I272" s="4"/>
      <c r="J272" s="4"/>
      <c r="K272" s="4">
        <v>231</v>
      </c>
      <c r="L272" s="4">
        <v>12</v>
      </c>
      <c r="M272" s="4">
        <v>3</v>
      </c>
      <c r="N272" s="4" t="s">
        <v>6</v>
      </c>
      <c r="O272" s="4">
        <v>2</v>
      </c>
      <c r="P272" s="4"/>
      <c r="Q272" s="4"/>
      <c r="R272" s="4"/>
      <c r="S272" s="4"/>
      <c r="T272" s="4"/>
      <c r="U272" s="4"/>
      <c r="V272" s="4"/>
      <c r="W272" s="4"/>
    </row>
    <row r="273" spans="1:88" x14ac:dyDescent="0.2">
      <c r="A273" s="4">
        <v>50</v>
      </c>
      <c r="B273" s="4">
        <v>0</v>
      </c>
      <c r="C273" s="4">
        <v>0</v>
      </c>
      <c r="D273" s="4">
        <v>1</v>
      </c>
      <c r="E273" s="4">
        <v>204</v>
      </c>
      <c r="F273" s="4">
        <f>ROUND(Source!R259,O273)</f>
        <v>34.32</v>
      </c>
      <c r="G273" s="4" t="s">
        <v>139</v>
      </c>
      <c r="H273" s="4" t="s">
        <v>140</v>
      </c>
      <c r="I273" s="4"/>
      <c r="J273" s="4"/>
      <c r="K273" s="4">
        <v>204</v>
      </c>
      <c r="L273" s="4">
        <v>13</v>
      </c>
      <c r="M273" s="4">
        <v>3</v>
      </c>
      <c r="N273" s="4" t="s">
        <v>6</v>
      </c>
      <c r="O273" s="4">
        <v>2</v>
      </c>
      <c r="P273" s="4"/>
      <c r="Q273" s="4"/>
      <c r="R273" s="4"/>
      <c r="S273" s="4"/>
      <c r="T273" s="4"/>
      <c r="U273" s="4"/>
      <c r="V273" s="4"/>
      <c r="W273" s="4"/>
    </row>
    <row r="274" spans="1:88" x14ac:dyDescent="0.2">
      <c r="A274" s="4">
        <v>50</v>
      </c>
      <c r="B274" s="4">
        <v>0</v>
      </c>
      <c r="C274" s="4">
        <v>0</v>
      </c>
      <c r="D274" s="4">
        <v>1</v>
      </c>
      <c r="E274" s="4">
        <v>205</v>
      </c>
      <c r="F274" s="4">
        <f>ROUND(Source!S259,O274)</f>
        <v>2005.51</v>
      </c>
      <c r="G274" s="4" t="s">
        <v>141</v>
      </c>
      <c r="H274" s="4" t="s">
        <v>142</v>
      </c>
      <c r="I274" s="4"/>
      <c r="J274" s="4"/>
      <c r="K274" s="4">
        <v>205</v>
      </c>
      <c r="L274" s="4">
        <v>14</v>
      </c>
      <c r="M274" s="4">
        <v>3</v>
      </c>
      <c r="N274" s="4" t="s">
        <v>6</v>
      </c>
      <c r="O274" s="4">
        <v>2</v>
      </c>
      <c r="P274" s="4"/>
      <c r="Q274" s="4"/>
      <c r="R274" s="4"/>
      <c r="S274" s="4"/>
      <c r="T274" s="4"/>
      <c r="U274" s="4"/>
      <c r="V274" s="4"/>
      <c r="W274" s="4"/>
    </row>
    <row r="275" spans="1:88" x14ac:dyDescent="0.2">
      <c r="A275" s="4">
        <v>50</v>
      </c>
      <c r="B275" s="4">
        <v>0</v>
      </c>
      <c r="C275" s="4">
        <v>0</v>
      </c>
      <c r="D275" s="4">
        <v>1</v>
      </c>
      <c r="E275" s="4">
        <v>232</v>
      </c>
      <c r="F275" s="4">
        <f>ROUND(Source!BC259,O275)</f>
        <v>0</v>
      </c>
      <c r="G275" s="4" t="s">
        <v>143</v>
      </c>
      <c r="H275" s="4" t="s">
        <v>144</v>
      </c>
      <c r="I275" s="4"/>
      <c r="J275" s="4"/>
      <c r="K275" s="4">
        <v>232</v>
      </c>
      <c r="L275" s="4">
        <v>15</v>
      </c>
      <c r="M275" s="4">
        <v>3</v>
      </c>
      <c r="N275" s="4" t="s">
        <v>6</v>
      </c>
      <c r="O275" s="4">
        <v>2</v>
      </c>
      <c r="P275" s="4"/>
      <c r="Q275" s="4"/>
      <c r="R275" s="4"/>
      <c r="S275" s="4"/>
      <c r="T275" s="4"/>
      <c r="U275" s="4"/>
      <c r="V275" s="4"/>
      <c r="W275" s="4"/>
    </row>
    <row r="276" spans="1:88" x14ac:dyDescent="0.2">
      <c r="A276" s="4">
        <v>50</v>
      </c>
      <c r="B276" s="4">
        <v>0</v>
      </c>
      <c r="C276" s="4">
        <v>0</v>
      </c>
      <c r="D276" s="4">
        <v>1</v>
      </c>
      <c r="E276" s="4">
        <v>214</v>
      </c>
      <c r="F276" s="4">
        <f>ROUND(Source!AS259,O276)</f>
        <v>4508.1400000000003</v>
      </c>
      <c r="G276" s="4" t="s">
        <v>145</v>
      </c>
      <c r="H276" s="4" t="s">
        <v>146</v>
      </c>
      <c r="I276" s="4"/>
      <c r="J276" s="4"/>
      <c r="K276" s="4">
        <v>214</v>
      </c>
      <c r="L276" s="4">
        <v>16</v>
      </c>
      <c r="M276" s="4">
        <v>3</v>
      </c>
      <c r="N276" s="4" t="s">
        <v>6</v>
      </c>
      <c r="O276" s="4">
        <v>2</v>
      </c>
      <c r="P276" s="4"/>
      <c r="Q276" s="4"/>
      <c r="R276" s="4"/>
      <c r="S276" s="4"/>
      <c r="T276" s="4"/>
      <c r="U276" s="4"/>
      <c r="V276" s="4"/>
      <c r="W276" s="4"/>
    </row>
    <row r="277" spans="1:88" x14ac:dyDescent="0.2">
      <c r="A277" s="4">
        <v>50</v>
      </c>
      <c r="B277" s="4">
        <v>0</v>
      </c>
      <c r="C277" s="4">
        <v>0</v>
      </c>
      <c r="D277" s="4">
        <v>1</v>
      </c>
      <c r="E277" s="4">
        <v>215</v>
      </c>
      <c r="F277" s="4">
        <f>ROUND(Source!AT259,O277)</f>
        <v>801.66</v>
      </c>
      <c r="G277" s="4" t="s">
        <v>147</v>
      </c>
      <c r="H277" s="4" t="s">
        <v>148</v>
      </c>
      <c r="I277" s="4"/>
      <c r="J277" s="4"/>
      <c r="K277" s="4">
        <v>215</v>
      </c>
      <c r="L277" s="4">
        <v>17</v>
      </c>
      <c r="M277" s="4">
        <v>3</v>
      </c>
      <c r="N277" s="4" t="s">
        <v>6</v>
      </c>
      <c r="O277" s="4">
        <v>2</v>
      </c>
      <c r="P277" s="4"/>
      <c r="Q277" s="4"/>
      <c r="R277" s="4"/>
      <c r="S277" s="4"/>
      <c r="T277" s="4"/>
      <c r="U277" s="4"/>
      <c r="V277" s="4"/>
      <c r="W277" s="4"/>
    </row>
    <row r="278" spans="1:88" x14ac:dyDescent="0.2">
      <c r="A278" s="4">
        <v>50</v>
      </c>
      <c r="B278" s="4">
        <v>0</v>
      </c>
      <c r="C278" s="4">
        <v>0</v>
      </c>
      <c r="D278" s="4">
        <v>1</v>
      </c>
      <c r="E278" s="4">
        <v>217</v>
      </c>
      <c r="F278" s="4">
        <f>ROUND(Source!AU259,O278)</f>
        <v>0</v>
      </c>
      <c r="G278" s="4" t="s">
        <v>149</v>
      </c>
      <c r="H278" s="4" t="s">
        <v>150</v>
      </c>
      <c r="I278" s="4"/>
      <c r="J278" s="4"/>
      <c r="K278" s="4">
        <v>217</v>
      </c>
      <c r="L278" s="4">
        <v>18</v>
      </c>
      <c r="M278" s="4">
        <v>3</v>
      </c>
      <c r="N278" s="4" t="s">
        <v>6</v>
      </c>
      <c r="O278" s="4">
        <v>2</v>
      </c>
      <c r="P278" s="4"/>
      <c r="Q278" s="4"/>
      <c r="R278" s="4"/>
      <c r="S278" s="4"/>
      <c r="T278" s="4"/>
      <c r="U278" s="4"/>
      <c r="V278" s="4"/>
      <c r="W278" s="4"/>
    </row>
    <row r="279" spans="1:88" x14ac:dyDescent="0.2">
      <c r="A279" s="4">
        <v>50</v>
      </c>
      <c r="B279" s="4">
        <v>0</v>
      </c>
      <c r="C279" s="4">
        <v>0</v>
      </c>
      <c r="D279" s="4">
        <v>1</v>
      </c>
      <c r="E279" s="4">
        <v>230</v>
      </c>
      <c r="F279" s="4">
        <f>ROUND(Source!BA259,O279)</f>
        <v>0</v>
      </c>
      <c r="G279" s="4" t="s">
        <v>151</v>
      </c>
      <c r="H279" s="4" t="s">
        <v>152</v>
      </c>
      <c r="I279" s="4"/>
      <c r="J279" s="4"/>
      <c r="K279" s="4">
        <v>230</v>
      </c>
      <c r="L279" s="4">
        <v>19</v>
      </c>
      <c r="M279" s="4">
        <v>3</v>
      </c>
      <c r="N279" s="4" t="s">
        <v>6</v>
      </c>
      <c r="O279" s="4">
        <v>2</v>
      </c>
      <c r="P279" s="4"/>
      <c r="Q279" s="4"/>
      <c r="R279" s="4"/>
      <c r="S279" s="4"/>
      <c r="T279" s="4"/>
      <c r="U279" s="4"/>
      <c r="V279" s="4"/>
      <c r="W279" s="4"/>
    </row>
    <row r="280" spans="1:88" x14ac:dyDescent="0.2">
      <c r="A280" s="4">
        <v>50</v>
      </c>
      <c r="B280" s="4">
        <v>0</v>
      </c>
      <c r="C280" s="4">
        <v>0</v>
      </c>
      <c r="D280" s="4">
        <v>1</v>
      </c>
      <c r="E280" s="4">
        <v>206</v>
      </c>
      <c r="F280" s="4">
        <f>ROUND(Source!T259,O280)</f>
        <v>0</v>
      </c>
      <c r="G280" s="4" t="s">
        <v>153</v>
      </c>
      <c r="H280" s="4" t="s">
        <v>154</v>
      </c>
      <c r="I280" s="4"/>
      <c r="J280" s="4"/>
      <c r="K280" s="4">
        <v>206</v>
      </c>
      <c r="L280" s="4">
        <v>20</v>
      </c>
      <c r="M280" s="4">
        <v>3</v>
      </c>
      <c r="N280" s="4" t="s">
        <v>6</v>
      </c>
      <c r="O280" s="4">
        <v>2</v>
      </c>
      <c r="P280" s="4"/>
      <c r="Q280" s="4"/>
      <c r="R280" s="4"/>
      <c r="S280" s="4"/>
      <c r="T280" s="4"/>
      <c r="U280" s="4"/>
      <c r="V280" s="4"/>
      <c r="W280" s="4"/>
    </row>
    <row r="281" spans="1:88" x14ac:dyDescent="0.2">
      <c r="A281" s="4">
        <v>50</v>
      </c>
      <c r="B281" s="4">
        <v>0</v>
      </c>
      <c r="C281" s="4">
        <v>0</v>
      </c>
      <c r="D281" s="4">
        <v>1</v>
      </c>
      <c r="E281" s="4">
        <v>207</v>
      </c>
      <c r="F281" s="4">
        <f>Source!U259</f>
        <v>38.146639999999998</v>
      </c>
      <c r="G281" s="4" t="s">
        <v>155</v>
      </c>
      <c r="H281" s="4" t="s">
        <v>156</v>
      </c>
      <c r="I281" s="4"/>
      <c r="J281" s="4"/>
      <c r="K281" s="4">
        <v>207</v>
      </c>
      <c r="L281" s="4">
        <v>21</v>
      </c>
      <c r="M281" s="4">
        <v>3</v>
      </c>
      <c r="N281" s="4" t="s">
        <v>6</v>
      </c>
      <c r="O281" s="4">
        <v>-1</v>
      </c>
      <c r="P281" s="4"/>
      <c r="Q281" s="4"/>
      <c r="R281" s="4"/>
      <c r="S281" s="4"/>
      <c r="T281" s="4"/>
      <c r="U281" s="4"/>
      <c r="V281" s="4"/>
      <c r="W281" s="4"/>
    </row>
    <row r="282" spans="1:88" x14ac:dyDescent="0.2">
      <c r="A282" s="4">
        <v>50</v>
      </c>
      <c r="B282" s="4">
        <v>0</v>
      </c>
      <c r="C282" s="4">
        <v>0</v>
      </c>
      <c r="D282" s="4">
        <v>1</v>
      </c>
      <c r="E282" s="4">
        <v>208</v>
      </c>
      <c r="F282" s="4">
        <f>Source!V259</f>
        <v>0.41315999999999997</v>
      </c>
      <c r="G282" s="4" t="s">
        <v>157</v>
      </c>
      <c r="H282" s="4" t="s">
        <v>158</v>
      </c>
      <c r="I282" s="4"/>
      <c r="J282" s="4"/>
      <c r="K282" s="4">
        <v>208</v>
      </c>
      <c r="L282" s="4">
        <v>22</v>
      </c>
      <c r="M282" s="4">
        <v>3</v>
      </c>
      <c r="N282" s="4" t="s">
        <v>6</v>
      </c>
      <c r="O282" s="4">
        <v>-1</v>
      </c>
      <c r="P282" s="4"/>
      <c r="Q282" s="4"/>
      <c r="R282" s="4"/>
      <c r="S282" s="4"/>
      <c r="T282" s="4"/>
      <c r="U282" s="4"/>
      <c r="V282" s="4"/>
      <c r="W282" s="4"/>
    </row>
    <row r="283" spans="1:88" x14ac:dyDescent="0.2">
      <c r="A283" s="4">
        <v>50</v>
      </c>
      <c r="B283" s="4">
        <v>0</v>
      </c>
      <c r="C283" s="4">
        <v>0</v>
      </c>
      <c r="D283" s="4">
        <v>1</v>
      </c>
      <c r="E283" s="4">
        <v>209</v>
      </c>
      <c r="F283" s="4">
        <f>ROUND(Source!W259,O283)</f>
        <v>0</v>
      </c>
      <c r="G283" s="4" t="s">
        <v>159</v>
      </c>
      <c r="H283" s="4" t="s">
        <v>160</v>
      </c>
      <c r="I283" s="4"/>
      <c r="J283" s="4"/>
      <c r="K283" s="4">
        <v>209</v>
      </c>
      <c r="L283" s="4">
        <v>23</v>
      </c>
      <c r="M283" s="4">
        <v>3</v>
      </c>
      <c r="N283" s="4" t="s">
        <v>6</v>
      </c>
      <c r="O283" s="4">
        <v>2</v>
      </c>
      <c r="P283" s="4"/>
      <c r="Q283" s="4"/>
      <c r="R283" s="4"/>
      <c r="S283" s="4"/>
      <c r="T283" s="4"/>
      <c r="U283" s="4"/>
      <c r="V283" s="4"/>
      <c r="W283" s="4"/>
    </row>
    <row r="284" spans="1:88" x14ac:dyDescent="0.2">
      <c r="A284" s="4">
        <v>50</v>
      </c>
      <c r="B284" s="4">
        <v>0</v>
      </c>
      <c r="C284" s="4">
        <v>0</v>
      </c>
      <c r="D284" s="4">
        <v>1</v>
      </c>
      <c r="E284" s="4">
        <v>210</v>
      </c>
      <c r="F284" s="4">
        <f>ROUND(Source!X259,O284)</f>
        <v>1757.76</v>
      </c>
      <c r="G284" s="4" t="s">
        <v>161</v>
      </c>
      <c r="H284" s="4" t="s">
        <v>162</v>
      </c>
      <c r="I284" s="4"/>
      <c r="J284" s="4"/>
      <c r="K284" s="4">
        <v>210</v>
      </c>
      <c r="L284" s="4">
        <v>24</v>
      </c>
      <c r="M284" s="4">
        <v>3</v>
      </c>
      <c r="N284" s="4" t="s">
        <v>6</v>
      </c>
      <c r="O284" s="4">
        <v>2</v>
      </c>
      <c r="P284" s="4"/>
      <c r="Q284" s="4"/>
      <c r="R284" s="4"/>
      <c r="S284" s="4"/>
      <c r="T284" s="4"/>
      <c r="U284" s="4"/>
      <c r="V284" s="4"/>
      <c r="W284" s="4"/>
    </row>
    <row r="285" spans="1:88" x14ac:dyDescent="0.2">
      <c r="A285" s="4">
        <v>50</v>
      </c>
      <c r="B285" s="4">
        <v>0</v>
      </c>
      <c r="C285" s="4">
        <v>0</v>
      </c>
      <c r="D285" s="4">
        <v>1</v>
      </c>
      <c r="E285" s="4">
        <v>211</v>
      </c>
      <c r="F285" s="4">
        <f>ROUND(Source!Y259,O285)</f>
        <v>1325.9</v>
      </c>
      <c r="G285" s="4" t="s">
        <v>163</v>
      </c>
      <c r="H285" s="4" t="s">
        <v>164</v>
      </c>
      <c r="I285" s="4"/>
      <c r="J285" s="4"/>
      <c r="K285" s="4">
        <v>211</v>
      </c>
      <c r="L285" s="4">
        <v>25</v>
      </c>
      <c r="M285" s="4">
        <v>3</v>
      </c>
      <c r="N285" s="4" t="s">
        <v>6</v>
      </c>
      <c r="O285" s="4">
        <v>2</v>
      </c>
      <c r="P285" s="4"/>
      <c r="Q285" s="4"/>
      <c r="R285" s="4"/>
      <c r="S285" s="4"/>
      <c r="T285" s="4"/>
      <c r="U285" s="4"/>
      <c r="V285" s="4"/>
      <c r="W285" s="4"/>
    </row>
    <row r="286" spans="1:88" x14ac:dyDescent="0.2">
      <c r="A286" s="4">
        <v>50</v>
      </c>
      <c r="B286" s="4">
        <v>0</v>
      </c>
      <c r="C286" s="4">
        <v>0</v>
      </c>
      <c r="D286" s="4">
        <v>1</v>
      </c>
      <c r="E286" s="4">
        <v>224</v>
      </c>
      <c r="F286" s="4">
        <f>ROUND(Source!AR259,O286)</f>
        <v>5309.8</v>
      </c>
      <c r="G286" s="4" t="s">
        <v>165</v>
      </c>
      <c r="H286" s="4" t="s">
        <v>166</v>
      </c>
      <c r="I286" s="4"/>
      <c r="J286" s="4"/>
      <c r="K286" s="4">
        <v>224</v>
      </c>
      <c r="L286" s="4">
        <v>26</v>
      </c>
      <c r="M286" s="4">
        <v>3</v>
      </c>
      <c r="N286" s="4" t="s">
        <v>6</v>
      </c>
      <c r="O286" s="4">
        <v>2</v>
      </c>
      <c r="P286" s="4"/>
      <c r="Q286" s="4"/>
      <c r="R286" s="4"/>
      <c r="S286" s="4"/>
      <c r="T286" s="4"/>
      <c r="U286" s="4"/>
      <c r="V286" s="4"/>
      <c r="W286" s="4"/>
    </row>
    <row r="288" spans="1:88" x14ac:dyDescent="0.2">
      <c r="A288" s="1">
        <v>5</v>
      </c>
      <c r="B288" s="1">
        <v>1</v>
      </c>
      <c r="C288" s="1"/>
      <c r="D288" s="1">
        <f>ROW(A319)</f>
        <v>319</v>
      </c>
      <c r="E288" s="1"/>
      <c r="F288" s="1" t="s">
        <v>15</v>
      </c>
      <c r="G288" s="1" t="s">
        <v>599</v>
      </c>
      <c r="H288" s="1" t="s">
        <v>6</v>
      </c>
      <c r="I288" s="1">
        <v>0</v>
      </c>
      <c r="J288" s="1"/>
      <c r="K288" s="1">
        <v>0</v>
      </c>
      <c r="L288" s="1"/>
      <c r="M288" s="1"/>
      <c r="N288" s="1"/>
      <c r="O288" s="1"/>
      <c r="P288" s="1"/>
      <c r="Q288" s="1"/>
      <c r="R288" s="1"/>
      <c r="S288" s="1"/>
      <c r="T288" s="1"/>
      <c r="U288" s="1" t="s">
        <v>6</v>
      </c>
      <c r="V288" s="1">
        <v>0</v>
      </c>
      <c r="W288" s="1"/>
      <c r="X288" s="1"/>
      <c r="Y288" s="1"/>
      <c r="Z288" s="1"/>
      <c r="AA288" s="1"/>
      <c r="AB288" s="1" t="s">
        <v>6</v>
      </c>
      <c r="AC288" s="1" t="s">
        <v>6</v>
      </c>
      <c r="AD288" s="1" t="s">
        <v>6</v>
      </c>
      <c r="AE288" s="1" t="s">
        <v>6</v>
      </c>
      <c r="AF288" s="1" t="s">
        <v>6</v>
      </c>
      <c r="AG288" s="1" t="s">
        <v>6</v>
      </c>
      <c r="AH288" s="1"/>
      <c r="AI288" s="1"/>
      <c r="AJ288" s="1"/>
      <c r="AK288" s="1"/>
      <c r="AL288" s="1"/>
      <c r="AM288" s="1"/>
      <c r="AN288" s="1"/>
      <c r="AO288" s="1"/>
      <c r="AP288" s="1" t="s">
        <v>6</v>
      </c>
      <c r="AQ288" s="1" t="s">
        <v>6</v>
      </c>
      <c r="AR288" s="1" t="s">
        <v>6</v>
      </c>
      <c r="AS288" s="1"/>
      <c r="AT288" s="1"/>
      <c r="AU288" s="1"/>
      <c r="AV288" s="1"/>
      <c r="AW288" s="1"/>
      <c r="AX288" s="1"/>
      <c r="AY288" s="1"/>
      <c r="AZ288" s="1" t="s">
        <v>6</v>
      </c>
      <c r="BA288" s="1"/>
      <c r="BB288" s="1" t="s">
        <v>6</v>
      </c>
      <c r="BC288" s="1" t="s">
        <v>6</v>
      </c>
      <c r="BD288" s="1" t="s">
        <v>6</v>
      </c>
      <c r="BE288" s="1" t="s">
        <v>6</v>
      </c>
      <c r="BF288" s="1" t="s">
        <v>6</v>
      </c>
      <c r="BG288" s="1" t="s">
        <v>6</v>
      </c>
      <c r="BH288" s="1" t="s">
        <v>6</v>
      </c>
      <c r="BI288" s="1" t="s">
        <v>6</v>
      </c>
      <c r="BJ288" s="1" t="s">
        <v>6</v>
      </c>
      <c r="BK288" s="1" t="s">
        <v>6</v>
      </c>
      <c r="BL288" s="1" t="s">
        <v>6</v>
      </c>
      <c r="BM288" s="1" t="s">
        <v>6</v>
      </c>
      <c r="BN288" s="1" t="s">
        <v>6</v>
      </c>
      <c r="BO288" s="1" t="s">
        <v>6</v>
      </c>
      <c r="BP288" s="1" t="s">
        <v>6</v>
      </c>
      <c r="BQ288" s="1"/>
      <c r="BR288" s="1"/>
      <c r="BS288" s="1"/>
      <c r="BT288" s="1"/>
      <c r="BU288" s="1"/>
      <c r="BV288" s="1"/>
      <c r="BW288" s="1"/>
      <c r="BX288" s="1">
        <v>0</v>
      </c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>
        <v>0</v>
      </c>
    </row>
    <row r="290" spans="1:245" x14ac:dyDescent="0.2">
      <c r="A290" s="2">
        <v>52</v>
      </c>
      <c r="B290" s="2">
        <f t="shared" ref="B290:G290" si="223">B319</f>
        <v>1</v>
      </c>
      <c r="C290" s="2">
        <f t="shared" si="223"/>
        <v>5</v>
      </c>
      <c r="D290" s="2">
        <f t="shared" si="223"/>
        <v>288</v>
      </c>
      <c r="E290" s="2">
        <f t="shared" si="223"/>
        <v>0</v>
      </c>
      <c r="F290" s="2" t="str">
        <f t="shared" si="223"/>
        <v>Новый подраздел</v>
      </c>
      <c r="G290" s="2" t="str">
        <f t="shared" si="223"/>
        <v>2 Монтаж освещения</v>
      </c>
      <c r="H290" s="2"/>
      <c r="I290" s="2"/>
      <c r="J290" s="2"/>
      <c r="K290" s="2"/>
      <c r="L290" s="2"/>
      <c r="M290" s="2"/>
      <c r="N290" s="2"/>
      <c r="O290" s="2">
        <f t="shared" ref="O290:AT290" si="224">O319</f>
        <v>164506.53</v>
      </c>
      <c r="P290" s="2">
        <f t="shared" si="224"/>
        <v>153547.81</v>
      </c>
      <c r="Q290" s="2">
        <f t="shared" si="224"/>
        <v>3324.22</v>
      </c>
      <c r="R290" s="2">
        <f t="shared" si="224"/>
        <v>329.59</v>
      </c>
      <c r="S290" s="2">
        <f t="shared" si="224"/>
        <v>7634.5</v>
      </c>
      <c r="T290" s="2">
        <f t="shared" si="224"/>
        <v>0</v>
      </c>
      <c r="U290" s="2">
        <f t="shared" si="224"/>
        <v>120.27884</v>
      </c>
      <c r="V290" s="2">
        <f t="shared" si="224"/>
        <v>3.8051399999999997</v>
      </c>
      <c r="W290" s="2">
        <f t="shared" si="224"/>
        <v>0</v>
      </c>
      <c r="X290" s="2">
        <f t="shared" si="224"/>
        <v>7315.25</v>
      </c>
      <c r="Y290" s="2">
        <f t="shared" si="224"/>
        <v>5089.96</v>
      </c>
      <c r="Z290" s="2">
        <f t="shared" si="224"/>
        <v>0</v>
      </c>
      <c r="AA290" s="2">
        <f t="shared" si="224"/>
        <v>0</v>
      </c>
      <c r="AB290" s="2">
        <f t="shared" si="224"/>
        <v>164506.53</v>
      </c>
      <c r="AC290" s="2">
        <f t="shared" si="224"/>
        <v>153547.81</v>
      </c>
      <c r="AD290" s="2">
        <f t="shared" si="224"/>
        <v>3324.22</v>
      </c>
      <c r="AE290" s="2">
        <f t="shared" si="224"/>
        <v>329.59</v>
      </c>
      <c r="AF290" s="2">
        <f t="shared" si="224"/>
        <v>7634.5</v>
      </c>
      <c r="AG290" s="2">
        <f t="shared" si="224"/>
        <v>0</v>
      </c>
      <c r="AH290" s="2">
        <f t="shared" si="224"/>
        <v>120.27884</v>
      </c>
      <c r="AI290" s="2">
        <f t="shared" si="224"/>
        <v>3.8051399999999997</v>
      </c>
      <c r="AJ290" s="2">
        <f t="shared" si="224"/>
        <v>0</v>
      </c>
      <c r="AK290" s="2">
        <f t="shared" si="224"/>
        <v>7315.25</v>
      </c>
      <c r="AL290" s="2">
        <f t="shared" si="224"/>
        <v>5089.96</v>
      </c>
      <c r="AM290" s="2">
        <f t="shared" si="224"/>
        <v>0</v>
      </c>
      <c r="AN290" s="2">
        <f t="shared" si="224"/>
        <v>0</v>
      </c>
      <c r="AO290" s="2">
        <f t="shared" si="224"/>
        <v>0</v>
      </c>
      <c r="AP290" s="2">
        <f t="shared" si="224"/>
        <v>0</v>
      </c>
      <c r="AQ290" s="2">
        <f t="shared" si="224"/>
        <v>0</v>
      </c>
      <c r="AR290" s="2">
        <f t="shared" si="224"/>
        <v>176911.74</v>
      </c>
      <c r="AS290" s="2">
        <f t="shared" si="224"/>
        <v>77.05</v>
      </c>
      <c r="AT290" s="2">
        <f t="shared" si="224"/>
        <v>176834.69</v>
      </c>
      <c r="AU290" s="2">
        <f t="shared" ref="AU290:BZ290" si="225">AU319</f>
        <v>0</v>
      </c>
      <c r="AV290" s="2">
        <f t="shared" si="225"/>
        <v>153547.81</v>
      </c>
      <c r="AW290" s="2">
        <f t="shared" si="225"/>
        <v>153547.81</v>
      </c>
      <c r="AX290" s="2">
        <f t="shared" si="225"/>
        <v>0</v>
      </c>
      <c r="AY290" s="2">
        <f t="shared" si="225"/>
        <v>153547.81</v>
      </c>
      <c r="AZ290" s="2">
        <f t="shared" si="225"/>
        <v>0</v>
      </c>
      <c r="BA290" s="2">
        <f t="shared" si="225"/>
        <v>0</v>
      </c>
      <c r="BB290" s="2">
        <f t="shared" si="225"/>
        <v>0</v>
      </c>
      <c r="BC290" s="2">
        <f t="shared" si="225"/>
        <v>0</v>
      </c>
      <c r="BD290" s="2">
        <f t="shared" si="225"/>
        <v>0</v>
      </c>
      <c r="BE290" s="2">
        <f t="shared" si="225"/>
        <v>0</v>
      </c>
      <c r="BF290" s="2">
        <f t="shared" si="225"/>
        <v>0</v>
      </c>
      <c r="BG290" s="2">
        <f t="shared" si="225"/>
        <v>0</v>
      </c>
      <c r="BH290" s="2">
        <f t="shared" si="225"/>
        <v>0</v>
      </c>
      <c r="BI290" s="2">
        <f t="shared" si="225"/>
        <v>0</v>
      </c>
      <c r="BJ290" s="2">
        <f t="shared" si="225"/>
        <v>0</v>
      </c>
      <c r="BK290" s="2">
        <f t="shared" si="225"/>
        <v>0</v>
      </c>
      <c r="BL290" s="2">
        <f t="shared" si="225"/>
        <v>0</v>
      </c>
      <c r="BM290" s="2">
        <f t="shared" si="225"/>
        <v>0</v>
      </c>
      <c r="BN290" s="2">
        <f t="shared" si="225"/>
        <v>0</v>
      </c>
      <c r="BO290" s="2">
        <f t="shared" si="225"/>
        <v>0</v>
      </c>
      <c r="BP290" s="2">
        <f t="shared" si="225"/>
        <v>0</v>
      </c>
      <c r="BQ290" s="2">
        <f t="shared" si="225"/>
        <v>0</v>
      </c>
      <c r="BR290" s="2">
        <f t="shared" si="225"/>
        <v>0</v>
      </c>
      <c r="BS290" s="2">
        <f t="shared" si="225"/>
        <v>0</v>
      </c>
      <c r="BT290" s="2">
        <f t="shared" si="225"/>
        <v>0</v>
      </c>
      <c r="BU290" s="2">
        <f t="shared" si="225"/>
        <v>0</v>
      </c>
      <c r="BV290" s="2">
        <f t="shared" si="225"/>
        <v>0</v>
      </c>
      <c r="BW290" s="2">
        <f t="shared" si="225"/>
        <v>0</v>
      </c>
      <c r="BX290" s="2">
        <f t="shared" si="225"/>
        <v>0</v>
      </c>
      <c r="BY290" s="2">
        <f t="shared" si="225"/>
        <v>0</v>
      </c>
      <c r="BZ290" s="2">
        <f t="shared" si="225"/>
        <v>0</v>
      </c>
      <c r="CA290" s="2">
        <f t="shared" ref="CA290:DF290" si="226">CA319</f>
        <v>176911.74</v>
      </c>
      <c r="CB290" s="2">
        <f t="shared" si="226"/>
        <v>77.05</v>
      </c>
      <c r="CC290" s="2">
        <f t="shared" si="226"/>
        <v>176834.69</v>
      </c>
      <c r="CD290" s="2">
        <f t="shared" si="226"/>
        <v>0</v>
      </c>
      <c r="CE290" s="2">
        <f t="shared" si="226"/>
        <v>153547.81</v>
      </c>
      <c r="CF290" s="2">
        <f t="shared" si="226"/>
        <v>153547.81</v>
      </c>
      <c r="CG290" s="2">
        <f t="shared" si="226"/>
        <v>0</v>
      </c>
      <c r="CH290" s="2">
        <f t="shared" si="226"/>
        <v>153547.81</v>
      </c>
      <c r="CI290" s="2">
        <f t="shared" si="226"/>
        <v>0</v>
      </c>
      <c r="CJ290" s="2">
        <f t="shared" si="226"/>
        <v>0</v>
      </c>
      <c r="CK290" s="2">
        <f t="shared" si="226"/>
        <v>0</v>
      </c>
      <c r="CL290" s="2">
        <f t="shared" si="226"/>
        <v>0</v>
      </c>
      <c r="CM290" s="2">
        <f t="shared" si="226"/>
        <v>0</v>
      </c>
      <c r="CN290" s="2">
        <f t="shared" si="226"/>
        <v>0</v>
      </c>
      <c r="CO290" s="2">
        <f t="shared" si="226"/>
        <v>0</v>
      </c>
      <c r="CP290" s="2">
        <f t="shared" si="226"/>
        <v>0</v>
      </c>
      <c r="CQ290" s="2">
        <f t="shared" si="226"/>
        <v>0</v>
      </c>
      <c r="CR290" s="2">
        <f t="shared" si="226"/>
        <v>0</v>
      </c>
      <c r="CS290" s="2">
        <f t="shared" si="226"/>
        <v>0</v>
      </c>
      <c r="CT290" s="2">
        <f t="shared" si="226"/>
        <v>0</v>
      </c>
      <c r="CU290" s="2">
        <f t="shared" si="226"/>
        <v>0</v>
      </c>
      <c r="CV290" s="2">
        <f t="shared" si="226"/>
        <v>0</v>
      </c>
      <c r="CW290" s="2">
        <f t="shared" si="226"/>
        <v>0</v>
      </c>
      <c r="CX290" s="2">
        <f t="shared" si="226"/>
        <v>0</v>
      </c>
      <c r="CY290" s="2">
        <f t="shared" si="226"/>
        <v>0</v>
      </c>
      <c r="CZ290" s="2">
        <f t="shared" si="226"/>
        <v>0</v>
      </c>
      <c r="DA290" s="2">
        <f t="shared" si="226"/>
        <v>0</v>
      </c>
      <c r="DB290" s="2">
        <f t="shared" si="226"/>
        <v>0</v>
      </c>
      <c r="DC290" s="2">
        <f t="shared" si="226"/>
        <v>0</v>
      </c>
      <c r="DD290" s="2">
        <f t="shared" si="226"/>
        <v>0</v>
      </c>
      <c r="DE290" s="2">
        <f t="shared" si="226"/>
        <v>0</v>
      </c>
      <c r="DF290" s="2">
        <f t="shared" si="226"/>
        <v>0</v>
      </c>
      <c r="DG290" s="3">
        <f t="shared" ref="DG290:EL290" si="227">DG319</f>
        <v>0</v>
      </c>
      <c r="DH290" s="3">
        <f t="shared" si="227"/>
        <v>0</v>
      </c>
      <c r="DI290" s="3">
        <f t="shared" si="227"/>
        <v>0</v>
      </c>
      <c r="DJ290" s="3">
        <f t="shared" si="227"/>
        <v>0</v>
      </c>
      <c r="DK290" s="3">
        <f t="shared" si="227"/>
        <v>0</v>
      </c>
      <c r="DL290" s="3">
        <f t="shared" si="227"/>
        <v>0</v>
      </c>
      <c r="DM290" s="3">
        <f t="shared" si="227"/>
        <v>0</v>
      </c>
      <c r="DN290" s="3">
        <f t="shared" si="227"/>
        <v>0</v>
      </c>
      <c r="DO290" s="3">
        <f t="shared" si="227"/>
        <v>0</v>
      </c>
      <c r="DP290" s="3">
        <f t="shared" si="227"/>
        <v>0</v>
      </c>
      <c r="DQ290" s="3">
        <f t="shared" si="227"/>
        <v>0</v>
      </c>
      <c r="DR290" s="3">
        <f t="shared" si="227"/>
        <v>0</v>
      </c>
      <c r="DS290" s="3">
        <f t="shared" si="227"/>
        <v>0</v>
      </c>
      <c r="DT290" s="3">
        <f t="shared" si="227"/>
        <v>0</v>
      </c>
      <c r="DU290" s="3">
        <f t="shared" si="227"/>
        <v>0</v>
      </c>
      <c r="DV290" s="3">
        <f t="shared" si="227"/>
        <v>0</v>
      </c>
      <c r="DW290" s="3">
        <f t="shared" si="227"/>
        <v>0</v>
      </c>
      <c r="DX290" s="3">
        <f t="shared" si="227"/>
        <v>0</v>
      </c>
      <c r="DY290" s="3">
        <f t="shared" si="227"/>
        <v>0</v>
      </c>
      <c r="DZ290" s="3">
        <f t="shared" si="227"/>
        <v>0</v>
      </c>
      <c r="EA290" s="3">
        <f t="shared" si="227"/>
        <v>0</v>
      </c>
      <c r="EB290" s="3">
        <f t="shared" si="227"/>
        <v>0</v>
      </c>
      <c r="EC290" s="3">
        <f t="shared" si="227"/>
        <v>0</v>
      </c>
      <c r="ED290" s="3">
        <f t="shared" si="227"/>
        <v>0</v>
      </c>
      <c r="EE290" s="3">
        <f t="shared" si="227"/>
        <v>0</v>
      </c>
      <c r="EF290" s="3">
        <f t="shared" si="227"/>
        <v>0</v>
      </c>
      <c r="EG290" s="3">
        <f t="shared" si="227"/>
        <v>0</v>
      </c>
      <c r="EH290" s="3">
        <f t="shared" si="227"/>
        <v>0</v>
      </c>
      <c r="EI290" s="3">
        <f t="shared" si="227"/>
        <v>0</v>
      </c>
      <c r="EJ290" s="3">
        <f t="shared" si="227"/>
        <v>0</v>
      </c>
      <c r="EK290" s="3">
        <f t="shared" si="227"/>
        <v>0</v>
      </c>
      <c r="EL290" s="3">
        <f t="shared" si="227"/>
        <v>0</v>
      </c>
      <c r="EM290" s="3">
        <f t="shared" ref="EM290:FR290" si="228">EM319</f>
        <v>0</v>
      </c>
      <c r="EN290" s="3">
        <f t="shared" si="228"/>
        <v>0</v>
      </c>
      <c r="EO290" s="3">
        <f t="shared" si="228"/>
        <v>0</v>
      </c>
      <c r="EP290" s="3">
        <f t="shared" si="228"/>
        <v>0</v>
      </c>
      <c r="EQ290" s="3">
        <f t="shared" si="228"/>
        <v>0</v>
      </c>
      <c r="ER290" s="3">
        <f t="shared" si="228"/>
        <v>0</v>
      </c>
      <c r="ES290" s="3">
        <f t="shared" si="228"/>
        <v>0</v>
      </c>
      <c r="ET290" s="3">
        <f t="shared" si="228"/>
        <v>0</v>
      </c>
      <c r="EU290" s="3">
        <f t="shared" si="228"/>
        <v>0</v>
      </c>
      <c r="EV290" s="3">
        <f t="shared" si="228"/>
        <v>0</v>
      </c>
      <c r="EW290" s="3">
        <f t="shared" si="228"/>
        <v>0</v>
      </c>
      <c r="EX290" s="3">
        <f t="shared" si="228"/>
        <v>0</v>
      </c>
      <c r="EY290" s="3">
        <f t="shared" si="228"/>
        <v>0</v>
      </c>
      <c r="EZ290" s="3">
        <f t="shared" si="228"/>
        <v>0</v>
      </c>
      <c r="FA290" s="3">
        <f t="shared" si="228"/>
        <v>0</v>
      </c>
      <c r="FB290" s="3">
        <f t="shared" si="228"/>
        <v>0</v>
      </c>
      <c r="FC290" s="3">
        <f t="shared" si="228"/>
        <v>0</v>
      </c>
      <c r="FD290" s="3">
        <f t="shared" si="228"/>
        <v>0</v>
      </c>
      <c r="FE290" s="3">
        <f t="shared" si="228"/>
        <v>0</v>
      </c>
      <c r="FF290" s="3">
        <f t="shared" si="228"/>
        <v>0</v>
      </c>
      <c r="FG290" s="3">
        <f t="shared" si="228"/>
        <v>0</v>
      </c>
      <c r="FH290" s="3">
        <f t="shared" si="228"/>
        <v>0</v>
      </c>
      <c r="FI290" s="3">
        <f t="shared" si="228"/>
        <v>0</v>
      </c>
      <c r="FJ290" s="3">
        <f t="shared" si="228"/>
        <v>0</v>
      </c>
      <c r="FK290" s="3">
        <f t="shared" si="228"/>
        <v>0</v>
      </c>
      <c r="FL290" s="3">
        <f t="shared" si="228"/>
        <v>0</v>
      </c>
      <c r="FM290" s="3">
        <f t="shared" si="228"/>
        <v>0</v>
      </c>
      <c r="FN290" s="3">
        <f t="shared" si="228"/>
        <v>0</v>
      </c>
      <c r="FO290" s="3">
        <f t="shared" si="228"/>
        <v>0</v>
      </c>
      <c r="FP290" s="3">
        <f t="shared" si="228"/>
        <v>0</v>
      </c>
      <c r="FQ290" s="3">
        <f t="shared" si="228"/>
        <v>0</v>
      </c>
      <c r="FR290" s="3">
        <f t="shared" si="228"/>
        <v>0</v>
      </c>
      <c r="FS290" s="3">
        <f t="shared" ref="FS290:GX290" si="229">FS319</f>
        <v>0</v>
      </c>
      <c r="FT290" s="3">
        <f t="shared" si="229"/>
        <v>0</v>
      </c>
      <c r="FU290" s="3">
        <f t="shared" si="229"/>
        <v>0</v>
      </c>
      <c r="FV290" s="3">
        <f t="shared" si="229"/>
        <v>0</v>
      </c>
      <c r="FW290" s="3">
        <f t="shared" si="229"/>
        <v>0</v>
      </c>
      <c r="FX290" s="3">
        <f t="shared" si="229"/>
        <v>0</v>
      </c>
      <c r="FY290" s="3">
        <f t="shared" si="229"/>
        <v>0</v>
      </c>
      <c r="FZ290" s="3">
        <f t="shared" si="229"/>
        <v>0</v>
      </c>
      <c r="GA290" s="3">
        <f t="shared" si="229"/>
        <v>0</v>
      </c>
      <c r="GB290" s="3">
        <f t="shared" si="229"/>
        <v>0</v>
      </c>
      <c r="GC290" s="3">
        <f t="shared" si="229"/>
        <v>0</v>
      </c>
      <c r="GD290" s="3">
        <f t="shared" si="229"/>
        <v>0</v>
      </c>
      <c r="GE290" s="3">
        <f t="shared" si="229"/>
        <v>0</v>
      </c>
      <c r="GF290" s="3">
        <f t="shared" si="229"/>
        <v>0</v>
      </c>
      <c r="GG290" s="3">
        <f t="shared" si="229"/>
        <v>0</v>
      </c>
      <c r="GH290" s="3">
        <f t="shared" si="229"/>
        <v>0</v>
      </c>
      <c r="GI290" s="3">
        <f t="shared" si="229"/>
        <v>0</v>
      </c>
      <c r="GJ290" s="3">
        <f t="shared" si="229"/>
        <v>0</v>
      </c>
      <c r="GK290" s="3">
        <f t="shared" si="229"/>
        <v>0</v>
      </c>
      <c r="GL290" s="3">
        <f t="shared" si="229"/>
        <v>0</v>
      </c>
      <c r="GM290" s="3">
        <f t="shared" si="229"/>
        <v>0</v>
      </c>
      <c r="GN290" s="3">
        <f t="shared" si="229"/>
        <v>0</v>
      </c>
      <c r="GO290" s="3">
        <f t="shared" si="229"/>
        <v>0</v>
      </c>
      <c r="GP290" s="3">
        <f t="shared" si="229"/>
        <v>0</v>
      </c>
      <c r="GQ290" s="3">
        <f t="shared" si="229"/>
        <v>0</v>
      </c>
      <c r="GR290" s="3">
        <f t="shared" si="229"/>
        <v>0</v>
      </c>
      <c r="GS290" s="3">
        <f t="shared" si="229"/>
        <v>0</v>
      </c>
      <c r="GT290" s="3">
        <f t="shared" si="229"/>
        <v>0</v>
      </c>
      <c r="GU290" s="3">
        <f t="shared" si="229"/>
        <v>0</v>
      </c>
      <c r="GV290" s="3">
        <f t="shared" si="229"/>
        <v>0</v>
      </c>
      <c r="GW290" s="3">
        <f t="shared" si="229"/>
        <v>0</v>
      </c>
      <c r="GX290" s="3">
        <f t="shared" si="229"/>
        <v>0</v>
      </c>
    </row>
    <row r="292" spans="1:245" x14ac:dyDescent="0.2">
      <c r="A292">
        <v>17</v>
      </c>
      <c r="B292">
        <v>1</v>
      </c>
      <c r="C292">
        <f>ROW(SmtRes!A359)</f>
        <v>359</v>
      </c>
      <c r="D292">
        <f>ROW(EtalonRes!A340)</f>
        <v>340</v>
      </c>
      <c r="E292" t="s">
        <v>600</v>
      </c>
      <c r="F292" t="s">
        <v>601</v>
      </c>
      <c r="G292" t="s">
        <v>602</v>
      </c>
      <c r="H292" t="s">
        <v>46</v>
      </c>
      <c r="I292">
        <f>ROUND(43/100,9)</f>
        <v>0.43</v>
      </c>
      <c r="J292">
        <v>0</v>
      </c>
      <c r="O292">
        <f t="shared" ref="O292:O317" si="230">ROUND(CP292,2)</f>
        <v>3082.35</v>
      </c>
      <c r="P292">
        <f t="shared" ref="P292:P317" si="231">ROUND(CQ292*I292,2)</f>
        <v>340.56</v>
      </c>
      <c r="Q292">
        <f t="shared" ref="Q292:Q317" si="232">ROUND(CR292*I292,2)</f>
        <v>100.25</v>
      </c>
      <c r="R292">
        <f t="shared" ref="R292:R317" si="233">ROUND(CS292*I292,2)</f>
        <v>14.16</v>
      </c>
      <c r="S292">
        <f t="shared" ref="S292:S317" si="234">ROUND(CT292*I292,2)</f>
        <v>2641.54</v>
      </c>
      <c r="T292">
        <f t="shared" ref="T292:T317" si="235">ROUND(CU292*I292,2)</f>
        <v>0</v>
      </c>
      <c r="U292">
        <f t="shared" ref="U292:U317" si="236">CV292*I292</f>
        <v>40.591999999999999</v>
      </c>
      <c r="V292">
        <f t="shared" ref="V292:V317" si="237">CW292*I292</f>
        <v>0.17200000000000001</v>
      </c>
      <c r="W292">
        <f t="shared" ref="W292:W317" si="238">ROUND(CX292*I292,2)</f>
        <v>0</v>
      </c>
      <c r="X292">
        <f t="shared" ref="X292:X317" si="239">ROUND(CY292,2)</f>
        <v>2522.92</v>
      </c>
      <c r="Y292">
        <f t="shared" ref="Y292:Y317" si="240">ROUND(CZ292,2)</f>
        <v>1726.21</v>
      </c>
      <c r="AA292">
        <v>16748969</v>
      </c>
      <c r="AB292">
        <f t="shared" ref="AB292:AB317" si="241">ROUND((AC292+AD292+AF292),2)</f>
        <v>1092.72</v>
      </c>
      <c r="AC292">
        <f t="shared" ref="AC292:AC317" si="242">ROUND((ES292),2)</f>
        <v>120.73</v>
      </c>
      <c r="AD292">
        <f t="shared" ref="AD292:AD317" si="243">ROUND((((ET292)-(EU292))+AE292),2)</f>
        <v>35.54</v>
      </c>
      <c r="AE292">
        <f t="shared" ref="AE292:AE317" si="244">ROUND((EU292),2)</f>
        <v>5.0199999999999996</v>
      </c>
      <c r="AF292">
        <f t="shared" ref="AF292:AF317" si="245">ROUND((EV292),2)</f>
        <v>936.45</v>
      </c>
      <c r="AG292">
        <f t="shared" ref="AG292:AG317" si="246">ROUND((AP292),2)</f>
        <v>0</v>
      </c>
      <c r="AH292">
        <f t="shared" ref="AH292:AH317" si="247">(EW292)</f>
        <v>94.4</v>
      </c>
      <c r="AI292">
        <f t="shared" ref="AI292:AI317" si="248">(EX292)</f>
        <v>0.4</v>
      </c>
      <c r="AJ292">
        <f t="shared" ref="AJ292:AJ317" si="249">ROUND((AS292),2)</f>
        <v>0</v>
      </c>
      <c r="AK292">
        <v>1092.72</v>
      </c>
      <c r="AL292">
        <v>120.73</v>
      </c>
      <c r="AM292">
        <v>35.54</v>
      </c>
      <c r="AN292">
        <v>5.0199999999999996</v>
      </c>
      <c r="AO292">
        <v>936.45</v>
      </c>
      <c r="AP292">
        <v>0</v>
      </c>
      <c r="AQ292">
        <v>94.4</v>
      </c>
      <c r="AR292">
        <v>0.4</v>
      </c>
      <c r="AS292">
        <v>0</v>
      </c>
      <c r="AT292">
        <v>95</v>
      </c>
      <c r="AU292">
        <v>65</v>
      </c>
      <c r="AV292">
        <v>1</v>
      </c>
      <c r="AW292">
        <v>1</v>
      </c>
      <c r="AZ292">
        <v>6.56</v>
      </c>
      <c r="BA292">
        <v>6.56</v>
      </c>
      <c r="BB292">
        <v>6.56</v>
      </c>
      <c r="BC292">
        <v>6.56</v>
      </c>
      <c r="BD292" t="s">
        <v>6</v>
      </c>
      <c r="BE292" t="s">
        <v>6</v>
      </c>
      <c r="BF292" t="s">
        <v>6</v>
      </c>
      <c r="BG292" t="s">
        <v>6</v>
      </c>
      <c r="BH292">
        <v>0</v>
      </c>
      <c r="BI292">
        <v>2</v>
      </c>
      <c r="BJ292" t="s">
        <v>603</v>
      </c>
      <c r="BM292">
        <v>108001</v>
      </c>
      <c r="BN292">
        <v>0</v>
      </c>
      <c r="BO292" t="s">
        <v>6</v>
      </c>
      <c r="BP292">
        <v>0</v>
      </c>
      <c r="BQ292">
        <v>3</v>
      </c>
      <c r="BR292">
        <v>0</v>
      </c>
      <c r="BS292">
        <v>6.56</v>
      </c>
      <c r="BT292">
        <v>1</v>
      </c>
      <c r="BU292">
        <v>1</v>
      </c>
      <c r="BV292">
        <v>1</v>
      </c>
      <c r="BW292">
        <v>1</v>
      </c>
      <c r="BX292">
        <v>1</v>
      </c>
      <c r="BY292" t="s">
        <v>6</v>
      </c>
      <c r="BZ292">
        <v>95</v>
      </c>
      <c r="CA292">
        <v>65</v>
      </c>
      <c r="CF292">
        <v>0</v>
      </c>
      <c r="CG292">
        <v>0</v>
      </c>
      <c r="CM292">
        <v>0</v>
      </c>
      <c r="CN292" t="s">
        <v>6</v>
      </c>
      <c r="CO292">
        <v>0</v>
      </c>
      <c r="CP292">
        <f t="shared" ref="CP292:CP317" si="250">(P292+Q292+S292)</f>
        <v>3082.35</v>
      </c>
      <c r="CQ292">
        <f t="shared" ref="CQ292:CQ317" si="251">AC292*BC292</f>
        <v>791.98879999999997</v>
      </c>
      <c r="CR292">
        <f t="shared" ref="CR292:CR317" si="252">AD292*BB292</f>
        <v>233.14239999999998</v>
      </c>
      <c r="CS292">
        <f t="shared" ref="CS292:CS317" si="253">AE292*BS292</f>
        <v>32.931199999999997</v>
      </c>
      <c r="CT292">
        <f t="shared" ref="CT292:CT317" si="254">AF292*BA292</f>
        <v>6143.1120000000001</v>
      </c>
      <c r="CU292">
        <f t="shared" ref="CU292:CU317" si="255">AG292</f>
        <v>0</v>
      </c>
      <c r="CV292">
        <f t="shared" ref="CV292:CV317" si="256">AH292</f>
        <v>94.4</v>
      </c>
      <c r="CW292">
        <f t="shared" ref="CW292:CW317" si="257">AI292</f>
        <v>0.4</v>
      </c>
      <c r="CX292">
        <f t="shared" ref="CX292:CX317" si="258">AJ292</f>
        <v>0</v>
      </c>
      <c r="CY292">
        <f t="shared" ref="CY292:CY317" si="259">(((S292+R292)*AT292)/100)</f>
        <v>2522.9149999999995</v>
      </c>
      <c r="CZ292">
        <f t="shared" ref="CZ292:CZ317" si="260">(((S292+R292)*AU292)/100)</f>
        <v>1726.2049999999999</v>
      </c>
      <c r="DC292" t="s">
        <v>6</v>
      </c>
      <c r="DD292" t="s">
        <v>6</v>
      </c>
      <c r="DE292" t="s">
        <v>6</v>
      </c>
      <c r="DF292" t="s">
        <v>6</v>
      </c>
      <c r="DG292" t="s">
        <v>6</v>
      </c>
      <c r="DH292" t="s">
        <v>6</v>
      </c>
      <c r="DI292" t="s">
        <v>6</v>
      </c>
      <c r="DJ292" t="s">
        <v>6</v>
      </c>
      <c r="DK292" t="s">
        <v>6</v>
      </c>
      <c r="DL292" t="s">
        <v>6</v>
      </c>
      <c r="DM292" t="s">
        <v>6</v>
      </c>
      <c r="DN292">
        <v>0</v>
      </c>
      <c r="DO292">
        <v>0</v>
      </c>
      <c r="DP292">
        <v>1</v>
      </c>
      <c r="DQ292">
        <v>1</v>
      </c>
      <c r="DU292">
        <v>1013</v>
      </c>
      <c r="DV292" t="s">
        <v>46</v>
      </c>
      <c r="DW292" t="s">
        <v>46</v>
      </c>
      <c r="DX292">
        <v>1</v>
      </c>
      <c r="EE292">
        <v>16510370</v>
      </c>
      <c r="EF292">
        <v>3</v>
      </c>
      <c r="EG292" t="s">
        <v>591</v>
      </c>
      <c r="EH292">
        <v>0</v>
      </c>
      <c r="EI292" t="s">
        <v>6</v>
      </c>
      <c r="EJ292">
        <v>2</v>
      </c>
      <c r="EK292">
        <v>108001</v>
      </c>
      <c r="EL292" t="s">
        <v>592</v>
      </c>
      <c r="EM292" t="s">
        <v>593</v>
      </c>
      <c r="EO292" t="s">
        <v>6</v>
      </c>
      <c r="EQ292">
        <v>131072</v>
      </c>
      <c r="ER292">
        <v>1092.72</v>
      </c>
      <c r="ES292">
        <v>120.73</v>
      </c>
      <c r="ET292">
        <v>35.54</v>
      </c>
      <c r="EU292">
        <v>5.0199999999999996</v>
      </c>
      <c r="EV292">
        <v>936.45</v>
      </c>
      <c r="EW292">
        <v>94.4</v>
      </c>
      <c r="EX292">
        <v>0.4</v>
      </c>
      <c r="EY292">
        <v>0</v>
      </c>
      <c r="FQ292">
        <v>0</v>
      </c>
      <c r="FR292">
        <f t="shared" ref="FR292:FR317" si="261">ROUND(IF(AND(BH292=3,BI292=3),P292,0),2)</f>
        <v>0</v>
      </c>
      <c r="FS292">
        <v>0</v>
      </c>
      <c r="FX292">
        <v>95</v>
      </c>
      <c r="FY292">
        <v>65</v>
      </c>
      <c r="GA292" t="s">
        <v>6</v>
      </c>
      <c r="GD292">
        <v>0</v>
      </c>
      <c r="GF292">
        <v>-1013997877</v>
      </c>
      <c r="GG292">
        <v>1</v>
      </c>
      <c r="GH292">
        <v>1</v>
      </c>
      <c r="GI292">
        <v>4</v>
      </c>
      <c r="GJ292">
        <v>0</v>
      </c>
      <c r="GK292">
        <f>ROUND(R292*(R12)/100,2)</f>
        <v>0</v>
      </c>
      <c r="GL292">
        <f t="shared" ref="GL292:GL317" si="262">ROUND(IF(AND(BH292=3,BI292=3,FS292&lt;&gt;0),P292,0),2)</f>
        <v>0</v>
      </c>
      <c r="GM292">
        <f t="shared" ref="GM292:GM317" si="263">ROUND(O292+X292+Y292+GK292,2)+GX292</f>
        <v>7331.48</v>
      </c>
      <c r="GN292">
        <f t="shared" ref="GN292:GN317" si="264">IF(OR(BI292=0,BI292=1),ROUND(O292+X292+Y292+GK292,2),0)</f>
        <v>0</v>
      </c>
      <c r="GO292">
        <f t="shared" ref="GO292:GO317" si="265">IF(BI292=2,ROUND(O292+X292+Y292+GK292,2),0)</f>
        <v>7331.48</v>
      </c>
      <c r="GP292">
        <f t="shared" ref="GP292:GP317" si="266">IF(BI292=4,ROUND(O292+X292+Y292+GK292,2)+GX292,0)</f>
        <v>0</v>
      </c>
      <c r="GR292">
        <v>0</v>
      </c>
      <c r="GS292">
        <v>3</v>
      </c>
      <c r="GT292">
        <v>0</v>
      </c>
      <c r="GU292" t="s">
        <v>6</v>
      </c>
      <c r="GV292">
        <f t="shared" ref="GV292:GV317" si="267">ROUND(GT292,2)</f>
        <v>0</v>
      </c>
      <c r="GW292">
        <v>1</v>
      </c>
      <c r="GX292">
        <f t="shared" ref="GX292:GX317" si="268">ROUND(GV292*GW292*I292,2)</f>
        <v>0</v>
      </c>
      <c r="HA292">
        <v>0</v>
      </c>
      <c r="HB292">
        <v>0</v>
      </c>
      <c r="IK292">
        <v>0</v>
      </c>
    </row>
    <row r="293" spans="1:245" x14ac:dyDescent="0.2">
      <c r="A293">
        <v>18</v>
      </c>
      <c r="B293">
        <v>1</v>
      </c>
      <c r="C293">
        <v>357</v>
      </c>
      <c r="E293" t="s">
        <v>604</v>
      </c>
      <c r="F293" t="s">
        <v>605</v>
      </c>
      <c r="G293" t="s">
        <v>606</v>
      </c>
      <c r="H293" t="s">
        <v>53</v>
      </c>
      <c r="I293">
        <f>I292*J293</f>
        <v>43</v>
      </c>
      <c r="J293">
        <v>100</v>
      </c>
      <c r="O293">
        <f t="shared" si="230"/>
        <v>96011.57</v>
      </c>
      <c r="P293">
        <f t="shared" si="231"/>
        <v>96011.57</v>
      </c>
      <c r="Q293">
        <f t="shared" si="232"/>
        <v>0</v>
      </c>
      <c r="R293">
        <f t="shared" si="233"/>
        <v>0</v>
      </c>
      <c r="S293">
        <f t="shared" si="234"/>
        <v>0</v>
      </c>
      <c r="T293">
        <f t="shared" si="235"/>
        <v>0</v>
      </c>
      <c r="U293">
        <f t="shared" si="236"/>
        <v>0</v>
      </c>
      <c r="V293">
        <f t="shared" si="237"/>
        <v>0</v>
      </c>
      <c r="W293">
        <f t="shared" si="238"/>
        <v>0</v>
      </c>
      <c r="X293">
        <f t="shared" si="239"/>
        <v>0</v>
      </c>
      <c r="Y293">
        <f t="shared" si="240"/>
        <v>0</v>
      </c>
      <c r="AA293">
        <v>16748969</v>
      </c>
      <c r="AB293">
        <f t="shared" si="241"/>
        <v>340.37</v>
      </c>
      <c r="AC293">
        <f t="shared" si="242"/>
        <v>340.37</v>
      </c>
      <c r="AD293">
        <f t="shared" si="243"/>
        <v>0</v>
      </c>
      <c r="AE293">
        <f t="shared" si="244"/>
        <v>0</v>
      </c>
      <c r="AF293">
        <f t="shared" si="245"/>
        <v>0</v>
      </c>
      <c r="AG293">
        <f t="shared" si="246"/>
        <v>0</v>
      </c>
      <c r="AH293">
        <f t="shared" si="247"/>
        <v>0</v>
      </c>
      <c r="AI293">
        <f t="shared" si="248"/>
        <v>0</v>
      </c>
      <c r="AJ293">
        <f t="shared" si="249"/>
        <v>0</v>
      </c>
      <c r="AK293">
        <v>340.37</v>
      </c>
      <c r="AL293">
        <v>340.37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95</v>
      </c>
      <c r="AU293">
        <v>65</v>
      </c>
      <c r="AV293">
        <v>1</v>
      </c>
      <c r="AW293">
        <v>1</v>
      </c>
      <c r="AZ293">
        <v>6.56</v>
      </c>
      <c r="BA293">
        <v>1</v>
      </c>
      <c r="BB293">
        <v>1</v>
      </c>
      <c r="BC293">
        <v>6.56</v>
      </c>
      <c r="BD293" t="s">
        <v>6</v>
      </c>
      <c r="BE293" t="s">
        <v>6</v>
      </c>
      <c r="BF293" t="s">
        <v>6</v>
      </c>
      <c r="BG293" t="s">
        <v>6</v>
      </c>
      <c r="BH293">
        <v>3</v>
      </c>
      <c r="BI293">
        <v>2</v>
      </c>
      <c r="BJ293" t="s">
        <v>607</v>
      </c>
      <c r="BM293">
        <v>108001</v>
      </c>
      <c r="BN293">
        <v>0</v>
      </c>
      <c r="BO293" t="s">
        <v>6</v>
      </c>
      <c r="BP293">
        <v>0</v>
      </c>
      <c r="BQ293">
        <v>3</v>
      </c>
      <c r="BR293">
        <v>0</v>
      </c>
      <c r="BS293">
        <v>1</v>
      </c>
      <c r="BT293">
        <v>1</v>
      </c>
      <c r="BU293">
        <v>1</v>
      </c>
      <c r="BV293">
        <v>1</v>
      </c>
      <c r="BW293">
        <v>1</v>
      </c>
      <c r="BX293">
        <v>1</v>
      </c>
      <c r="BY293" t="s">
        <v>6</v>
      </c>
      <c r="BZ293">
        <v>95</v>
      </c>
      <c r="CA293">
        <v>65</v>
      </c>
      <c r="CF293">
        <v>0</v>
      </c>
      <c r="CG293">
        <v>0</v>
      </c>
      <c r="CM293">
        <v>0</v>
      </c>
      <c r="CN293" t="s">
        <v>6</v>
      </c>
      <c r="CO293">
        <v>0</v>
      </c>
      <c r="CP293">
        <f t="shared" si="250"/>
        <v>96011.57</v>
      </c>
      <c r="CQ293">
        <f t="shared" si="251"/>
        <v>2232.8271999999997</v>
      </c>
      <c r="CR293">
        <f t="shared" si="252"/>
        <v>0</v>
      </c>
      <c r="CS293">
        <f t="shared" si="253"/>
        <v>0</v>
      </c>
      <c r="CT293">
        <f t="shared" si="254"/>
        <v>0</v>
      </c>
      <c r="CU293">
        <f t="shared" si="255"/>
        <v>0</v>
      </c>
      <c r="CV293">
        <f t="shared" si="256"/>
        <v>0</v>
      </c>
      <c r="CW293">
        <f t="shared" si="257"/>
        <v>0</v>
      </c>
      <c r="CX293">
        <f t="shared" si="258"/>
        <v>0</v>
      </c>
      <c r="CY293">
        <f t="shared" si="259"/>
        <v>0</v>
      </c>
      <c r="CZ293">
        <f t="shared" si="260"/>
        <v>0</v>
      </c>
      <c r="DC293" t="s">
        <v>6</v>
      </c>
      <c r="DD293" t="s">
        <v>6</v>
      </c>
      <c r="DE293" t="s">
        <v>6</v>
      </c>
      <c r="DF293" t="s">
        <v>6</v>
      </c>
      <c r="DG293" t="s">
        <v>6</v>
      </c>
      <c r="DH293" t="s">
        <v>6</v>
      </c>
      <c r="DI293" t="s">
        <v>6</v>
      </c>
      <c r="DJ293" t="s">
        <v>6</v>
      </c>
      <c r="DK293" t="s">
        <v>6</v>
      </c>
      <c r="DL293" t="s">
        <v>6</v>
      </c>
      <c r="DM293" t="s">
        <v>6</v>
      </c>
      <c r="DN293">
        <v>0</v>
      </c>
      <c r="DO293">
        <v>0</v>
      </c>
      <c r="DP293">
        <v>1</v>
      </c>
      <c r="DQ293">
        <v>1</v>
      </c>
      <c r="DU293">
        <v>1010</v>
      </c>
      <c r="DV293" t="s">
        <v>53</v>
      </c>
      <c r="DW293" t="s">
        <v>53</v>
      </c>
      <c r="DX293">
        <v>1</v>
      </c>
      <c r="EE293">
        <v>16510370</v>
      </c>
      <c r="EF293">
        <v>3</v>
      </c>
      <c r="EG293" t="s">
        <v>591</v>
      </c>
      <c r="EH293">
        <v>0</v>
      </c>
      <c r="EI293" t="s">
        <v>6</v>
      </c>
      <c r="EJ293">
        <v>2</v>
      </c>
      <c r="EK293">
        <v>108001</v>
      </c>
      <c r="EL293" t="s">
        <v>592</v>
      </c>
      <c r="EM293" t="s">
        <v>593</v>
      </c>
      <c r="EO293" t="s">
        <v>6</v>
      </c>
      <c r="EQ293">
        <v>0</v>
      </c>
      <c r="ER293">
        <v>340.37</v>
      </c>
      <c r="ES293">
        <v>340.37</v>
      </c>
      <c r="ET293">
        <v>0</v>
      </c>
      <c r="EU293">
        <v>0</v>
      </c>
      <c r="EV293">
        <v>0</v>
      </c>
      <c r="EW293">
        <v>0</v>
      </c>
      <c r="EX293">
        <v>0</v>
      </c>
      <c r="FQ293">
        <v>0</v>
      </c>
      <c r="FR293">
        <f t="shared" si="261"/>
        <v>0</v>
      </c>
      <c r="FS293">
        <v>0</v>
      </c>
      <c r="FX293">
        <v>95</v>
      </c>
      <c r="FY293">
        <v>65</v>
      </c>
      <c r="GA293" t="s">
        <v>6</v>
      </c>
      <c r="GD293">
        <v>0</v>
      </c>
      <c r="GF293">
        <v>-287472163</v>
      </c>
      <c r="GG293">
        <v>1</v>
      </c>
      <c r="GH293">
        <v>1</v>
      </c>
      <c r="GI293">
        <v>4</v>
      </c>
      <c r="GJ293">
        <v>0</v>
      </c>
      <c r="GK293">
        <f>ROUND(R293*(R12)/100,2)</f>
        <v>0</v>
      </c>
      <c r="GL293">
        <f t="shared" si="262"/>
        <v>0</v>
      </c>
      <c r="GM293">
        <f t="shared" si="263"/>
        <v>96011.57</v>
      </c>
      <c r="GN293">
        <f t="shared" si="264"/>
        <v>0</v>
      </c>
      <c r="GO293">
        <f t="shared" si="265"/>
        <v>96011.57</v>
      </c>
      <c r="GP293">
        <f t="shared" si="266"/>
        <v>0</v>
      </c>
      <c r="GR293">
        <v>0</v>
      </c>
      <c r="GS293">
        <v>3</v>
      </c>
      <c r="GT293">
        <v>0</v>
      </c>
      <c r="GU293" t="s">
        <v>6</v>
      </c>
      <c r="GV293">
        <f t="shared" si="267"/>
        <v>0</v>
      </c>
      <c r="GW293">
        <v>1</v>
      </c>
      <c r="GX293">
        <f t="shared" si="268"/>
        <v>0</v>
      </c>
      <c r="HA293">
        <v>0</v>
      </c>
      <c r="HB293">
        <v>0</v>
      </c>
      <c r="IK293">
        <v>0</v>
      </c>
    </row>
    <row r="294" spans="1:245" x14ac:dyDescent="0.2">
      <c r="A294">
        <v>17</v>
      </c>
      <c r="B294">
        <v>1</v>
      </c>
      <c r="C294">
        <f>ROW(SmtRes!A368)</f>
        <v>368</v>
      </c>
      <c r="D294">
        <f>ROW(EtalonRes!A348)</f>
        <v>348</v>
      </c>
      <c r="E294" t="s">
        <v>608</v>
      </c>
      <c r="F294" t="s">
        <v>609</v>
      </c>
      <c r="G294" t="s">
        <v>610</v>
      </c>
      <c r="H294" t="s">
        <v>46</v>
      </c>
      <c r="I294">
        <f>ROUND(2/100,9)</f>
        <v>0.02</v>
      </c>
      <c r="J294">
        <v>0</v>
      </c>
      <c r="O294">
        <f t="shared" si="230"/>
        <v>59.87</v>
      </c>
      <c r="P294">
        <f t="shared" si="231"/>
        <v>13.54</v>
      </c>
      <c r="Q294">
        <f t="shared" si="232"/>
        <v>0.61</v>
      </c>
      <c r="R294">
        <f t="shared" si="233"/>
        <v>0.08</v>
      </c>
      <c r="S294">
        <f t="shared" si="234"/>
        <v>45.72</v>
      </c>
      <c r="T294">
        <f t="shared" si="235"/>
        <v>0</v>
      </c>
      <c r="U294">
        <f t="shared" si="236"/>
        <v>0.70260000000000011</v>
      </c>
      <c r="V294">
        <f t="shared" si="237"/>
        <v>1E-3</v>
      </c>
      <c r="W294">
        <f t="shared" si="238"/>
        <v>0</v>
      </c>
      <c r="X294">
        <f t="shared" si="239"/>
        <v>43.51</v>
      </c>
      <c r="Y294">
        <f t="shared" si="240"/>
        <v>29.77</v>
      </c>
      <c r="AA294">
        <v>16748969</v>
      </c>
      <c r="AB294">
        <f t="shared" si="241"/>
        <v>456.35</v>
      </c>
      <c r="AC294">
        <f t="shared" si="242"/>
        <v>103.19</v>
      </c>
      <c r="AD294">
        <f t="shared" si="243"/>
        <v>4.67</v>
      </c>
      <c r="AE294">
        <f t="shared" si="244"/>
        <v>0.64</v>
      </c>
      <c r="AF294">
        <f t="shared" si="245"/>
        <v>348.49</v>
      </c>
      <c r="AG294">
        <f t="shared" si="246"/>
        <v>0</v>
      </c>
      <c r="AH294">
        <f t="shared" si="247"/>
        <v>35.130000000000003</v>
      </c>
      <c r="AI294">
        <f t="shared" si="248"/>
        <v>0.05</v>
      </c>
      <c r="AJ294">
        <f t="shared" si="249"/>
        <v>0</v>
      </c>
      <c r="AK294">
        <v>456.35</v>
      </c>
      <c r="AL294">
        <v>103.19</v>
      </c>
      <c r="AM294">
        <v>4.67</v>
      </c>
      <c r="AN294">
        <v>0.64</v>
      </c>
      <c r="AO294">
        <v>348.49</v>
      </c>
      <c r="AP294">
        <v>0</v>
      </c>
      <c r="AQ294">
        <v>35.130000000000003</v>
      </c>
      <c r="AR294">
        <v>0.05</v>
      </c>
      <c r="AS294">
        <v>0</v>
      </c>
      <c r="AT294">
        <v>95</v>
      </c>
      <c r="AU294">
        <v>65</v>
      </c>
      <c r="AV294">
        <v>1</v>
      </c>
      <c r="AW294">
        <v>1</v>
      </c>
      <c r="AZ294">
        <v>6.56</v>
      </c>
      <c r="BA294">
        <v>6.56</v>
      </c>
      <c r="BB294">
        <v>6.56</v>
      </c>
      <c r="BC294">
        <v>6.56</v>
      </c>
      <c r="BD294" t="s">
        <v>6</v>
      </c>
      <c r="BE294" t="s">
        <v>6</v>
      </c>
      <c r="BF294" t="s">
        <v>6</v>
      </c>
      <c r="BG294" t="s">
        <v>6</v>
      </c>
      <c r="BH294">
        <v>0</v>
      </c>
      <c r="BI294">
        <v>2</v>
      </c>
      <c r="BJ294" t="s">
        <v>611</v>
      </c>
      <c r="BM294">
        <v>108001</v>
      </c>
      <c r="BN294">
        <v>0</v>
      </c>
      <c r="BO294" t="s">
        <v>6</v>
      </c>
      <c r="BP294">
        <v>0</v>
      </c>
      <c r="BQ294">
        <v>3</v>
      </c>
      <c r="BR294">
        <v>0</v>
      </c>
      <c r="BS294">
        <v>6.56</v>
      </c>
      <c r="BT294">
        <v>1</v>
      </c>
      <c r="BU294">
        <v>1</v>
      </c>
      <c r="BV294">
        <v>1</v>
      </c>
      <c r="BW294">
        <v>1</v>
      </c>
      <c r="BX294">
        <v>1</v>
      </c>
      <c r="BY294" t="s">
        <v>6</v>
      </c>
      <c r="BZ294">
        <v>95</v>
      </c>
      <c r="CA294">
        <v>65</v>
      </c>
      <c r="CF294">
        <v>0</v>
      </c>
      <c r="CG294">
        <v>0</v>
      </c>
      <c r="CM294">
        <v>0</v>
      </c>
      <c r="CN294" t="s">
        <v>6</v>
      </c>
      <c r="CO294">
        <v>0</v>
      </c>
      <c r="CP294">
        <f t="shared" si="250"/>
        <v>59.87</v>
      </c>
      <c r="CQ294">
        <f t="shared" si="251"/>
        <v>676.92639999999994</v>
      </c>
      <c r="CR294">
        <f t="shared" si="252"/>
        <v>30.635199999999998</v>
      </c>
      <c r="CS294">
        <f t="shared" si="253"/>
        <v>4.1983999999999995</v>
      </c>
      <c r="CT294">
        <f t="shared" si="254"/>
        <v>2286.0944</v>
      </c>
      <c r="CU294">
        <f t="shared" si="255"/>
        <v>0</v>
      </c>
      <c r="CV294">
        <f t="shared" si="256"/>
        <v>35.130000000000003</v>
      </c>
      <c r="CW294">
        <f t="shared" si="257"/>
        <v>0.05</v>
      </c>
      <c r="CX294">
        <f t="shared" si="258"/>
        <v>0</v>
      </c>
      <c r="CY294">
        <f t="shared" si="259"/>
        <v>43.51</v>
      </c>
      <c r="CZ294">
        <f t="shared" si="260"/>
        <v>29.77</v>
      </c>
      <c r="DC294" t="s">
        <v>6</v>
      </c>
      <c r="DD294" t="s">
        <v>6</v>
      </c>
      <c r="DE294" t="s">
        <v>6</v>
      </c>
      <c r="DF294" t="s">
        <v>6</v>
      </c>
      <c r="DG294" t="s">
        <v>6</v>
      </c>
      <c r="DH294" t="s">
        <v>6</v>
      </c>
      <c r="DI294" t="s">
        <v>6</v>
      </c>
      <c r="DJ294" t="s">
        <v>6</v>
      </c>
      <c r="DK294" t="s">
        <v>6</v>
      </c>
      <c r="DL294" t="s">
        <v>6</v>
      </c>
      <c r="DM294" t="s">
        <v>6</v>
      </c>
      <c r="DN294">
        <v>0</v>
      </c>
      <c r="DO294">
        <v>0</v>
      </c>
      <c r="DP294">
        <v>1</v>
      </c>
      <c r="DQ294">
        <v>1</v>
      </c>
      <c r="DU294">
        <v>1013</v>
      </c>
      <c r="DV294" t="s">
        <v>46</v>
      </c>
      <c r="DW294" t="s">
        <v>46</v>
      </c>
      <c r="DX294">
        <v>1</v>
      </c>
      <c r="EE294">
        <v>16510370</v>
      </c>
      <c r="EF294">
        <v>3</v>
      </c>
      <c r="EG294" t="s">
        <v>591</v>
      </c>
      <c r="EH294">
        <v>0</v>
      </c>
      <c r="EI294" t="s">
        <v>6</v>
      </c>
      <c r="EJ294">
        <v>2</v>
      </c>
      <c r="EK294">
        <v>108001</v>
      </c>
      <c r="EL294" t="s">
        <v>592</v>
      </c>
      <c r="EM294" t="s">
        <v>593</v>
      </c>
      <c r="EO294" t="s">
        <v>6</v>
      </c>
      <c r="EQ294">
        <v>131072</v>
      </c>
      <c r="ER294">
        <v>456.35</v>
      </c>
      <c r="ES294">
        <v>103.19</v>
      </c>
      <c r="ET294">
        <v>4.67</v>
      </c>
      <c r="EU294">
        <v>0.64</v>
      </c>
      <c r="EV294">
        <v>348.49</v>
      </c>
      <c r="EW294">
        <v>35.130000000000003</v>
      </c>
      <c r="EX294">
        <v>0.05</v>
      </c>
      <c r="EY294">
        <v>0</v>
      </c>
      <c r="FQ294">
        <v>0</v>
      </c>
      <c r="FR294">
        <f t="shared" si="261"/>
        <v>0</v>
      </c>
      <c r="FS294">
        <v>0</v>
      </c>
      <c r="FX294">
        <v>95</v>
      </c>
      <c r="FY294">
        <v>65</v>
      </c>
      <c r="GA294" t="s">
        <v>6</v>
      </c>
      <c r="GD294">
        <v>0</v>
      </c>
      <c r="GF294">
        <v>-991288307</v>
      </c>
      <c r="GG294">
        <v>1</v>
      </c>
      <c r="GH294">
        <v>1</v>
      </c>
      <c r="GI294">
        <v>4</v>
      </c>
      <c r="GJ294">
        <v>0</v>
      </c>
      <c r="GK294">
        <f>ROUND(R294*(R12)/100,2)</f>
        <v>0</v>
      </c>
      <c r="GL294">
        <f t="shared" si="262"/>
        <v>0</v>
      </c>
      <c r="GM294">
        <f t="shared" si="263"/>
        <v>133.15</v>
      </c>
      <c r="GN294">
        <f t="shared" si="264"/>
        <v>0</v>
      </c>
      <c r="GO294">
        <f t="shared" si="265"/>
        <v>133.15</v>
      </c>
      <c r="GP294">
        <f t="shared" si="266"/>
        <v>0</v>
      </c>
      <c r="GR294">
        <v>0</v>
      </c>
      <c r="GS294">
        <v>3</v>
      </c>
      <c r="GT294">
        <v>0</v>
      </c>
      <c r="GU294" t="s">
        <v>6</v>
      </c>
      <c r="GV294">
        <f t="shared" si="267"/>
        <v>0</v>
      </c>
      <c r="GW294">
        <v>1</v>
      </c>
      <c r="GX294">
        <f t="shared" si="268"/>
        <v>0</v>
      </c>
      <c r="HA294">
        <v>0</v>
      </c>
      <c r="HB294">
        <v>0</v>
      </c>
      <c r="IK294">
        <v>0</v>
      </c>
    </row>
    <row r="295" spans="1:245" x14ac:dyDescent="0.2">
      <c r="A295">
        <v>18</v>
      </c>
      <c r="B295">
        <v>1</v>
      </c>
      <c r="C295">
        <v>367</v>
      </c>
      <c r="E295" t="s">
        <v>612</v>
      </c>
      <c r="F295" t="s">
        <v>613</v>
      </c>
      <c r="G295" t="s">
        <v>614</v>
      </c>
      <c r="H295" t="s">
        <v>615</v>
      </c>
      <c r="I295">
        <f>I294*J295</f>
        <v>0.2</v>
      </c>
      <c r="J295">
        <v>10</v>
      </c>
      <c r="O295">
        <f t="shared" si="230"/>
        <v>95.51</v>
      </c>
      <c r="P295">
        <f t="shared" si="231"/>
        <v>95.51</v>
      </c>
      <c r="Q295">
        <f t="shared" si="232"/>
        <v>0</v>
      </c>
      <c r="R295">
        <f t="shared" si="233"/>
        <v>0</v>
      </c>
      <c r="S295">
        <f t="shared" si="234"/>
        <v>0</v>
      </c>
      <c r="T295">
        <f t="shared" si="235"/>
        <v>0</v>
      </c>
      <c r="U295">
        <f t="shared" si="236"/>
        <v>0</v>
      </c>
      <c r="V295">
        <f t="shared" si="237"/>
        <v>0</v>
      </c>
      <c r="W295">
        <f t="shared" si="238"/>
        <v>0</v>
      </c>
      <c r="X295">
        <f t="shared" si="239"/>
        <v>0</v>
      </c>
      <c r="Y295">
        <f t="shared" si="240"/>
        <v>0</v>
      </c>
      <c r="AA295">
        <v>16748969</v>
      </c>
      <c r="AB295">
        <f t="shared" si="241"/>
        <v>72.8</v>
      </c>
      <c r="AC295">
        <f t="shared" si="242"/>
        <v>72.8</v>
      </c>
      <c r="AD295">
        <f t="shared" si="243"/>
        <v>0</v>
      </c>
      <c r="AE295">
        <f t="shared" si="244"/>
        <v>0</v>
      </c>
      <c r="AF295">
        <f t="shared" si="245"/>
        <v>0</v>
      </c>
      <c r="AG295">
        <f t="shared" si="246"/>
        <v>0</v>
      </c>
      <c r="AH295">
        <f t="shared" si="247"/>
        <v>0</v>
      </c>
      <c r="AI295">
        <f t="shared" si="248"/>
        <v>0</v>
      </c>
      <c r="AJ295">
        <f t="shared" si="249"/>
        <v>0</v>
      </c>
      <c r="AK295">
        <v>72.8</v>
      </c>
      <c r="AL295">
        <v>72.8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  <c r="AS295">
        <v>0</v>
      </c>
      <c r="AT295">
        <v>95</v>
      </c>
      <c r="AU295">
        <v>65</v>
      </c>
      <c r="AV295">
        <v>1</v>
      </c>
      <c r="AW295">
        <v>1</v>
      </c>
      <c r="AZ295">
        <v>6.56</v>
      </c>
      <c r="BA295">
        <v>1</v>
      </c>
      <c r="BB295">
        <v>1</v>
      </c>
      <c r="BC295">
        <v>6.56</v>
      </c>
      <c r="BD295" t="s">
        <v>6</v>
      </c>
      <c r="BE295" t="s">
        <v>6</v>
      </c>
      <c r="BF295" t="s">
        <v>6</v>
      </c>
      <c r="BG295" t="s">
        <v>6</v>
      </c>
      <c r="BH295">
        <v>3</v>
      </c>
      <c r="BI295">
        <v>2</v>
      </c>
      <c r="BJ295" t="s">
        <v>616</v>
      </c>
      <c r="BM295">
        <v>108001</v>
      </c>
      <c r="BN295">
        <v>0</v>
      </c>
      <c r="BO295" t="s">
        <v>6</v>
      </c>
      <c r="BP295">
        <v>0</v>
      </c>
      <c r="BQ295">
        <v>3</v>
      </c>
      <c r="BR295">
        <v>0</v>
      </c>
      <c r="BS295">
        <v>1</v>
      </c>
      <c r="BT295">
        <v>1</v>
      </c>
      <c r="BU295">
        <v>1</v>
      </c>
      <c r="BV295">
        <v>1</v>
      </c>
      <c r="BW295">
        <v>1</v>
      </c>
      <c r="BX295">
        <v>1</v>
      </c>
      <c r="BY295" t="s">
        <v>6</v>
      </c>
      <c r="BZ295">
        <v>95</v>
      </c>
      <c r="CA295">
        <v>65</v>
      </c>
      <c r="CF295">
        <v>0</v>
      </c>
      <c r="CG295">
        <v>0</v>
      </c>
      <c r="CM295">
        <v>0</v>
      </c>
      <c r="CN295" t="s">
        <v>6</v>
      </c>
      <c r="CO295">
        <v>0</v>
      </c>
      <c r="CP295">
        <f t="shared" si="250"/>
        <v>95.51</v>
      </c>
      <c r="CQ295">
        <f t="shared" si="251"/>
        <v>477.56799999999993</v>
      </c>
      <c r="CR295">
        <f t="shared" si="252"/>
        <v>0</v>
      </c>
      <c r="CS295">
        <f t="shared" si="253"/>
        <v>0</v>
      </c>
      <c r="CT295">
        <f t="shared" si="254"/>
        <v>0</v>
      </c>
      <c r="CU295">
        <f t="shared" si="255"/>
        <v>0</v>
      </c>
      <c r="CV295">
        <f t="shared" si="256"/>
        <v>0</v>
      </c>
      <c r="CW295">
        <f t="shared" si="257"/>
        <v>0</v>
      </c>
      <c r="CX295">
        <f t="shared" si="258"/>
        <v>0</v>
      </c>
      <c r="CY295">
        <f t="shared" si="259"/>
        <v>0</v>
      </c>
      <c r="CZ295">
        <f t="shared" si="260"/>
        <v>0</v>
      </c>
      <c r="DC295" t="s">
        <v>6</v>
      </c>
      <c r="DD295" t="s">
        <v>6</v>
      </c>
      <c r="DE295" t="s">
        <v>6</v>
      </c>
      <c r="DF295" t="s">
        <v>6</v>
      </c>
      <c r="DG295" t="s">
        <v>6</v>
      </c>
      <c r="DH295" t="s">
        <v>6</v>
      </c>
      <c r="DI295" t="s">
        <v>6</v>
      </c>
      <c r="DJ295" t="s">
        <v>6</v>
      </c>
      <c r="DK295" t="s">
        <v>6</v>
      </c>
      <c r="DL295" t="s">
        <v>6</v>
      </c>
      <c r="DM295" t="s">
        <v>6</v>
      </c>
      <c r="DN295">
        <v>0</v>
      </c>
      <c r="DO295">
        <v>0</v>
      </c>
      <c r="DP295">
        <v>1</v>
      </c>
      <c r="DQ295">
        <v>1</v>
      </c>
      <c r="DU295">
        <v>1010</v>
      </c>
      <c r="DV295" t="s">
        <v>615</v>
      </c>
      <c r="DW295" t="s">
        <v>615</v>
      </c>
      <c r="DX295">
        <v>10</v>
      </c>
      <c r="EE295">
        <v>16510370</v>
      </c>
      <c r="EF295">
        <v>3</v>
      </c>
      <c r="EG295" t="s">
        <v>591</v>
      </c>
      <c r="EH295">
        <v>0</v>
      </c>
      <c r="EI295" t="s">
        <v>6</v>
      </c>
      <c r="EJ295">
        <v>2</v>
      </c>
      <c r="EK295">
        <v>108001</v>
      </c>
      <c r="EL295" t="s">
        <v>592</v>
      </c>
      <c r="EM295" t="s">
        <v>593</v>
      </c>
      <c r="EO295" t="s">
        <v>6</v>
      </c>
      <c r="EQ295">
        <v>0</v>
      </c>
      <c r="ER295">
        <v>72.8</v>
      </c>
      <c r="ES295">
        <v>72.8</v>
      </c>
      <c r="ET295">
        <v>0</v>
      </c>
      <c r="EU295">
        <v>0</v>
      </c>
      <c r="EV295">
        <v>0</v>
      </c>
      <c r="EW295">
        <v>0</v>
      </c>
      <c r="EX295">
        <v>0</v>
      </c>
      <c r="FQ295">
        <v>0</v>
      </c>
      <c r="FR295">
        <f t="shared" si="261"/>
        <v>0</v>
      </c>
      <c r="FS295">
        <v>0</v>
      </c>
      <c r="FX295">
        <v>95</v>
      </c>
      <c r="FY295">
        <v>65</v>
      </c>
      <c r="GA295" t="s">
        <v>6</v>
      </c>
      <c r="GD295">
        <v>0</v>
      </c>
      <c r="GF295">
        <v>668519206</v>
      </c>
      <c r="GG295">
        <v>1</v>
      </c>
      <c r="GH295">
        <v>1</v>
      </c>
      <c r="GI295">
        <v>4</v>
      </c>
      <c r="GJ295">
        <v>0</v>
      </c>
      <c r="GK295">
        <f>ROUND(R295*(R12)/100,2)</f>
        <v>0</v>
      </c>
      <c r="GL295">
        <f t="shared" si="262"/>
        <v>0</v>
      </c>
      <c r="GM295">
        <f t="shared" si="263"/>
        <v>95.51</v>
      </c>
      <c r="GN295">
        <f t="shared" si="264"/>
        <v>0</v>
      </c>
      <c r="GO295">
        <f t="shared" si="265"/>
        <v>95.51</v>
      </c>
      <c r="GP295">
        <f t="shared" si="266"/>
        <v>0</v>
      </c>
      <c r="GR295">
        <v>0</v>
      </c>
      <c r="GS295">
        <v>3</v>
      </c>
      <c r="GT295">
        <v>0</v>
      </c>
      <c r="GU295" t="s">
        <v>6</v>
      </c>
      <c r="GV295">
        <f t="shared" si="267"/>
        <v>0</v>
      </c>
      <c r="GW295">
        <v>1</v>
      </c>
      <c r="GX295">
        <f t="shared" si="268"/>
        <v>0</v>
      </c>
      <c r="HA295">
        <v>0</v>
      </c>
      <c r="HB295">
        <v>0</v>
      </c>
      <c r="IK295">
        <v>0</v>
      </c>
    </row>
    <row r="296" spans="1:245" x14ac:dyDescent="0.2">
      <c r="A296">
        <v>17</v>
      </c>
      <c r="B296">
        <v>1</v>
      </c>
      <c r="C296">
        <f>ROW(SmtRes!A378)</f>
        <v>378</v>
      </c>
      <c r="D296">
        <f>ROW(EtalonRes!A357)</f>
        <v>357</v>
      </c>
      <c r="E296" t="s">
        <v>617</v>
      </c>
      <c r="F296" t="s">
        <v>618</v>
      </c>
      <c r="G296" t="s">
        <v>619</v>
      </c>
      <c r="H296" t="s">
        <v>46</v>
      </c>
      <c r="I296">
        <f>ROUND(5/100,9)</f>
        <v>0.05</v>
      </c>
      <c r="J296">
        <v>0</v>
      </c>
      <c r="O296">
        <f t="shared" si="230"/>
        <v>139.06</v>
      </c>
      <c r="P296">
        <f t="shared" si="231"/>
        <v>34.71</v>
      </c>
      <c r="Q296">
        <f t="shared" si="232"/>
        <v>1.53</v>
      </c>
      <c r="R296">
        <f t="shared" si="233"/>
        <v>0.21</v>
      </c>
      <c r="S296">
        <f t="shared" si="234"/>
        <v>102.82</v>
      </c>
      <c r="T296">
        <f t="shared" si="235"/>
        <v>0</v>
      </c>
      <c r="U296">
        <f t="shared" si="236"/>
        <v>1.58</v>
      </c>
      <c r="V296">
        <f t="shared" si="237"/>
        <v>2.5000000000000005E-3</v>
      </c>
      <c r="W296">
        <f t="shared" si="238"/>
        <v>0</v>
      </c>
      <c r="X296">
        <f t="shared" si="239"/>
        <v>97.88</v>
      </c>
      <c r="Y296">
        <f t="shared" si="240"/>
        <v>66.97</v>
      </c>
      <c r="AA296">
        <v>16748969</v>
      </c>
      <c r="AB296">
        <f t="shared" si="241"/>
        <v>423.97</v>
      </c>
      <c r="AC296">
        <f t="shared" si="242"/>
        <v>105.83</v>
      </c>
      <c r="AD296">
        <f t="shared" si="243"/>
        <v>4.67</v>
      </c>
      <c r="AE296">
        <f t="shared" si="244"/>
        <v>0.64</v>
      </c>
      <c r="AF296">
        <f t="shared" si="245"/>
        <v>313.47000000000003</v>
      </c>
      <c r="AG296">
        <f t="shared" si="246"/>
        <v>0</v>
      </c>
      <c r="AH296">
        <f t="shared" si="247"/>
        <v>31.6</v>
      </c>
      <c r="AI296">
        <f t="shared" si="248"/>
        <v>0.05</v>
      </c>
      <c r="AJ296">
        <f t="shared" si="249"/>
        <v>0</v>
      </c>
      <c r="AK296">
        <v>423.97</v>
      </c>
      <c r="AL296">
        <v>105.83</v>
      </c>
      <c r="AM296">
        <v>4.67</v>
      </c>
      <c r="AN296">
        <v>0.64</v>
      </c>
      <c r="AO296">
        <v>313.47000000000003</v>
      </c>
      <c r="AP296">
        <v>0</v>
      </c>
      <c r="AQ296">
        <v>31.6</v>
      </c>
      <c r="AR296">
        <v>0.05</v>
      </c>
      <c r="AS296">
        <v>0</v>
      </c>
      <c r="AT296">
        <v>95</v>
      </c>
      <c r="AU296">
        <v>65</v>
      </c>
      <c r="AV296">
        <v>1</v>
      </c>
      <c r="AW296">
        <v>1</v>
      </c>
      <c r="AZ296">
        <v>6.56</v>
      </c>
      <c r="BA296">
        <v>6.56</v>
      </c>
      <c r="BB296">
        <v>6.56</v>
      </c>
      <c r="BC296">
        <v>6.56</v>
      </c>
      <c r="BD296" t="s">
        <v>6</v>
      </c>
      <c r="BE296" t="s">
        <v>6</v>
      </c>
      <c r="BF296" t="s">
        <v>6</v>
      </c>
      <c r="BG296" t="s">
        <v>6</v>
      </c>
      <c r="BH296">
        <v>0</v>
      </c>
      <c r="BI296">
        <v>2</v>
      </c>
      <c r="BJ296" t="s">
        <v>620</v>
      </c>
      <c r="BM296">
        <v>108001</v>
      </c>
      <c r="BN296">
        <v>0</v>
      </c>
      <c r="BO296" t="s">
        <v>6</v>
      </c>
      <c r="BP296">
        <v>0</v>
      </c>
      <c r="BQ296">
        <v>3</v>
      </c>
      <c r="BR296">
        <v>0</v>
      </c>
      <c r="BS296">
        <v>6.56</v>
      </c>
      <c r="BT296">
        <v>1</v>
      </c>
      <c r="BU296">
        <v>1</v>
      </c>
      <c r="BV296">
        <v>1</v>
      </c>
      <c r="BW296">
        <v>1</v>
      </c>
      <c r="BX296">
        <v>1</v>
      </c>
      <c r="BY296" t="s">
        <v>6</v>
      </c>
      <c r="BZ296">
        <v>95</v>
      </c>
      <c r="CA296">
        <v>65</v>
      </c>
      <c r="CF296">
        <v>0</v>
      </c>
      <c r="CG296">
        <v>0</v>
      </c>
      <c r="CM296">
        <v>0</v>
      </c>
      <c r="CN296" t="s">
        <v>6</v>
      </c>
      <c r="CO296">
        <v>0</v>
      </c>
      <c r="CP296">
        <f t="shared" si="250"/>
        <v>139.06</v>
      </c>
      <c r="CQ296">
        <f t="shared" si="251"/>
        <v>694.24479999999994</v>
      </c>
      <c r="CR296">
        <f t="shared" si="252"/>
        <v>30.635199999999998</v>
      </c>
      <c r="CS296">
        <f t="shared" si="253"/>
        <v>4.1983999999999995</v>
      </c>
      <c r="CT296">
        <f t="shared" si="254"/>
        <v>2056.3632000000002</v>
      </c>
      <c r="CU296">
        <f t="shared" si="255"/>
        <v>0</v>
      </c>
      <c r="CV296">
        <f t="shared" si="256"/>
        <v>31.6</v>
      </c>
      <c r="CW296">
        <f t="shared" si="257"/>
        <v>0.05</v>
      </c>
      <c r="CX296">
        <f t="shared" si="258"/>
        <v>0</v>
      </c>
      <c r="CY296">
        <f t="shared" si="259"/>
        <v>97.878499999999988</v>
      </c>
      <c r="CZ296">
        <f t="shared" si="260"/>
        <v>66.969499999999982</v>
      </c>
      <c r="DC296" t="s">
        <v>6</v>
      </c>
      <c r="DD296" t="s">
        <v>6</v>
      </c>
      <c r="DE296" t="s">
        <v>6</v>
      </c>
      <c r="DF296" t="s">
        <v>6</v>
      </c>
      <c r="DG296" t="s">
        <v>6</v>
      </c>
      <c r="DH296" t="s">
        <v>6</v>
      </c>
      <c r="DI296" t="s">
        <v>6</v>
      </c>
      <c r="DJ296" t="s">
        <v>6</v>
      </c>
      <c r="DK296" t="s">
        <v>6</v>
      </c>
      <c r="DL296" t="s">
        <v>6</v>
      </c>
      <c r="DM296" t="s">
        <v>6</v>
      </c>
      <c r="DN296">
        <v>0</v>
      </c>
      <c r="DO296">
        <v>0</v>
      </c>
      <c r="DP296">
        <v>1</v>
      </c>
      <c r="DQ296">
        <v>1</v>
      </c>
      <c r="DU296">
        <v>1013</v>
      </c>
      <c r="DV296" t="s">
        <v>46</v>
      </c>
      <c r="DW296" t="s">
        <v>46</v>
      </c>
      <c r="DX296">
        <v>1</v>
      </c>
      <c r="EE296">
        <v>16510370</v>
      </c>
      <c r="EF296">
        <v>3</v>
      </c>
      <c r="EG296" t="s">
        <v>591</v>
      </c>
      <c r="EH296">
        <v>0</v>
      </c>
      <c r="EI296" t="s">
        <v>6</v>
      </c>
      <c r="EJ296">
        <v>2</v>
      </c>
      <c r="EK296">
        <v>108001</v>
      </c>
      <c r="EL296" t="s">
        <v>592</v>
      </c>
      <c r="EM296" t="s">
        <v>593</v>
      </c>
      <c r="EO296" t="s">
        <v>6</v>
      </c>
      <c r="EQ296">
        <v>131072</v>
      </c>
      <c r="ER296">
        <v>423.97</v>
      </c>
      <c r="ES296">
        <v>105.83</v>
      </c>
      <c r="ET296">
        <v>4.67</v>
      </c>
      <c r="EU296">
        <v>0.64</v>
      </c>
      <c r="EV296">
        <v>313.47000000000003</v>
      </c>
      <c r="EW296">
        <v>31.6</v>
      </c>
      <c r="EX296">
        <v>0.05</v>
      </c>
      <c r="EY296">
        <v>0</v>
      </c>
      <c r="FQ296">
        <v>0</v>
      </c>
      <c r="FR296">
        <f t="shared" si="261"/>
        <v>0</v>
      </c>
      <c r="FS296">
        <v>0</v>
      </c>
      <c r="FX296">
        <v>95</v>
      </c>
      <c r="FY296">
        <v>65</v>
      </c>
      <c r="GA296" t="s">
        <v>6</v>
      </c>
      <c r="GD296">
        <v>0</v>
      </c>
      <c r="GF296">
        <v>-312235141</v>
      </c>
      <c r="GG296">
        <v>1</v>
      </c>
      <c r="GH296">
        <v>1</v>
      </c>
      <c r="GI296">
        <v>4</v>
      </c>
      <c r="GJ296">
        <v>0</v>
      </c>
      <c r="GK296">
        <f>ROUND(R296*(R12)/100,2)</f>
        <v>0</v>
      </c>
      <c r="GL296">
        <f t="shared" si="262"/>
        <v>0</v>
      </c>
      <c r="GM296">
        <f t="shared" si="263"/>
        <v>303.91000000000003</v>
      </c>
      <c r="GN296">
        <f t="shared" si="264"/>
        <v>0</v>
      </c>
      <c r="GO296">
        <f t="shared" si="265"/>
        <v>303.91000000000003</v>
      </c>
      <c r="GP296">
        <f t="shared" si="266"/>
        <v>0</v>
      </c>
      <c r="GR296">
        <v>0</v>
      </c>
      <c r="GS296">
        <v>3</v>
      </c>
      <c r="GT296">
        <v>0</v>
      </c>
      <c r="GU296" t="s">
        <v>6</v>
      </c>
      <c r="GV296">
        <f t="shared" si="267"/>
        <v>0</v>
      </c>
      <c r="GW296">
        <v>1</v>
      </c>
      <c r="GX296">
        <f t="shared" si="268"/>
        <v>0</v>
      </c>
      <c r="HA296">
        <v>0</v>
      </c>
      <c r="HB296">
        <v>0</v>
      </c>
      <c r="IK296">
        <v>0</v>
      </c>
    </row>
    <row r="297" spans="1:245" x14ac:dyDescent="0.2">
      <c r="A297">
        <v>18</v>
      </c>
      <c r="B297">
        <v>1</v>
      </c>
      <c r="C297">
        <v>377</v>
      </c>
      <c r="E297" t="s">
        <v>621</v>
      </c>
      <c r="F297" t="s">
        <v>622</v>
      </c>
      <c r="G297" t="s">
        <v>623</v>
      </c>
      <c r="H297" t="s">
        <v>615</v>
      </c>
      <c r="I297">
        <f>I296*J297</f>
        <v>0.5</v>
      </c>
      <c r="J297">
        <v>10</v>
      </c>
      <c r="O297">
        <f t="shared" si="230"/>
        <v>211.23</v>
      </c>
      <c r="P297">
        <f t="shared" si="231"/>
        <v>211.23</v>
      </c>
      <c r="Q297">
        <f t="shared" si="232"/>
        <v>0</v>
      </c>
      <c r="R297">
        <f t="shared" si="233"/>
        <v>0</v>
      </c>
      <c r="S297">
        <f t="shared" si="234"/>
        <v>0</v>
      </c>
      <c r="T297">
        <f t="shared" si="235"/>
        <v>0</v>
      </c>
      <c r="U297">
        <f t="shared" si="236"/>
        <v>0</v>
      </c>
      <c r="V297">
        <f t="shared" si="237"/>
        <v>0</v>
      </c>
      <c r="W297">
        <f t="shared" si="238"/>
        <v>0</v>
      </c>
      <c r="X297">
        <f t="shared" si="239"/>
        <v>0</v>
      </c>
      <c r="Y297">
        <f t="shared" si="240"/>
        <v>0</v>
      </c>
      <c r="AA297">
        <v>16748969</v>
      </c>
      <c r="AB297">
        <f t="shared" si="241"/>
        <v>64.400000000000006</v>
      </c>
      <c r="AC297">
        <f t="shared" si="242"/>
        <v>64.400000000000006</v>
      </c>
      <c r="AD297">
        <f t="shared" si="243"/>
        <v>0</v>
      </c>
      <c r="AE297">
        <f t="shared" si="244"/>
        <v>0</v>
      </c>
      <c r="AF297">
        <f t="shared" si="245"/>
        <v>0</v>
      </c>
      <c r="AG297">
        <f t="shared" si="246"/>
        <v>0</v>
      </c>
      <c r="AH297">
        <f t="shared" si="247"/>
        <v>0</v>
      </c>
      <c r="AI297">
        <f t="shared" si="248"/>
        <v>0</v>
      </c>
      <c r="AJ297">
        <f t="shared" si="249"/>
        <v>0</v>
      </c>
      <c r="AK297">
        <v>64.400000000000006</v>
      </c>
      <c r="AL297">
        <v>64.400000000000006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95</v>
      </c>
      <c r="AU297">
        <v>65</v>
      </c>
      <c r="AV297">
        <v>1</v>
      </c>
      <c r="AW297">
        <v>1</v>
      </c>
      <c r="AZ297">
        <v>6.56</v>
      </c>
      <c r="BA297">
        <v>1</v>
      </c>
      <c r="BB297">
        <v>1</v>
      </c>
      <c r="BC297">
        <v>6.56</v>
      </c>
      <c r="BD297" t="s">
        <v>6</v>
      </c>
      <c r="BE297" t="s">
        <v>6</v>
      </c>
      <c r="BF297" t="s">
        <v>6</v>
      </c>
      <c r="BG297" t="s">
        <v>6</v>
      </c>
      <c r="BH297">
        <v>3</v>
      </c>
      <c r="BI297">
        <v>2</v>
      </c>
      <c r="BJ297" t="s">
        <v>624</v>
      </c>
      <c r="BM297">
        <v>108001</v>
      </c>
      <c r="BN297">
        <v>0</v>
      </c>
      <c r="BO297" t="s">
        <v>6</v>
      </c>
      <c r="BP297">
        <v>0</v>
      </c>
      <c r="BQ297">
        <v>3</v>
      </c>
      <c r="BR297">
        <v>0</v>
      </c>
      <c r="BS297">
        <v>1</v>
      </c>
      <c r="BT297">
        <v>1</v>
      </c>
      <c r="BU297">
        <v>1</v>
      </c>
      <c r="BV297">
        <v>1</v>
      </c>
      <c r="BW297">
        <v>1</v>
      </c>
      <c r="BX297">
        <v>1</v>
      </c>
      <c r="BY297" t="s">
        <v>6</v>
      </c>
      <c r="BZ297">
        <v>95</v>
      </c>
      <c r="CA297">
        <v>65</v>
      </c>
      <c r="CF297">
        <v>0</v>
      </c>
      <c r="CG297">
        <v>0</v>
      </c>
      <c r="CM297">
        <v>0</v>
      </c>
      <c r="CN297" t="s">
        <v>6</v>
      </c>
      <c r="CO297">
        <v>0</v>
      </c>
      <c r="CP297">
        <f t="shared" si="250"/>
        <v>211.23</v>
      </c>
      <c r="CQ297">
        <f t="shared" si="251"/>
        <v>422.464</v>
      </c>
      <c r="CR297">
        <f t="shared" si="252"/>
        <v>0</v>
      </c>
      <c r="CS297">
        <f t="shared" si="253"/>
        <v>0</v>
      </c>
      <c r="CT297">
        <f t="shared" si="254"/>
        <v>0</v>
      </c>
      <c r="CU297">
        <f t="shared" si="255"/>
        <v>0</v>
      </c>
      <c r="CV297">
        <f t="shared" si="256"/>
        <v>0</v>
      </c>
      <c r="CW297">
        <f t="shared" si="257"/>
        <v>0</v>
      </c>
      <c r="CX297">
        <f t="shared" si="258"/>
        <v>0</v>
      </c>
      <c r="CY297">
        <f t="shared" si="259"/>
        <v>0</v>
      </c>
      <c r="CZ297">
        <f t="shared" si="260"/>
        <v>0</v>
      </c>
      <c r="DC297" t="s">
        <v>6</v>
      </c>
      <c r="DD297" t="s">
        <v>6</v>
      </c>
      <c r="DE297" t="s">
        <v>6</v>
      </c>
      <c r="DF297" t="s">
        <v>6</v>
      </c>
      <c r="DG297" t="s">
        <v>6</v>
      </c>
      <c r="DH297" t="s">
        <v>6</v>
      </c>
      <c r="DI297" t="s">
        <v>6</v>
      </c>
      <c r="DJ297" t="s">
        <v>6</v>
      </c>
      <c r="DK297" t="s">
        <v>6</v>
      </c>
      <c r="DL297" t="s">
        <v>6</v>
      </c>
      <c r="DM297" t="s">
        <v>6</v>
      </c>
      <c r="DN297">
        <v>0</v>
      </c>
      <c r="DO297">
        <v>0</v>
      </c>
      <c r="DP297">
        <v>1</v>
      </c>
      <c r="DQ297">
        <v>1</v>
      </c>
      <c r="DU297">
        <v>1010</v>
      </c>
      <c r="DV297" t="s">
        <v>615</v>
      </c>
      <c r="DW297" t="s">
        <v>615</v>
      </c>
      <c r="DX297">
        <v>10</v>
      </c>
      <c r="EE297">
        <v>16510370</v>
      </c>
      <c r="EF297">
        <v>3</v>
      </c>
      <c r="EG297" t="s">
        <v>591</v>
      </c>
      <c r="EH297">
        <v>0</v>
      </c>
      <c r="EI297" t="s">
        <v>6</v>
      </c>
      <c r="EJ297">
        <v>2</v>
      </c>
      <c r="EK297">
        <v>108001</v>
      </c>
      <c r="EL297" t="s">
        <v>592</v>
      </c>
      <c r="EM297" t="s">
        <v>593</v>
      </c>
      <c r="EO297" t="s">
        <v>6</v>
      </c>
      <c r="EQ297">
        <v>0</v>
      </c>
      <c r="ER297">
        <v>64.400000000000006</v>
      </c>
      <c r="ES297">
        <v>64.400000000000006</v>
      </c>
      <c r="ET297">
        <v>0</v>
      </c>
      <c r="EU297">
        <v>0</v>
      </c>
      <c r="EV297">
        <v>0</v>
      </c>
      <c r="EW297">
        <v>0</v>
      </c>
      <c r="EX297">
        <v>0</v>
      </c>
      <c r="FQ297">
        <v>0</v>
      </c>
      <c r="FR297">
        <f t="shared" si="261"/>
        <v>0</v>
      </c>
      <c r="FS297">
        <v>0</v>
      </c>
      <c r="FX297">
        <v>95</v>
      </c>
      <c r="FY297">
        <v>65</v>
      </c>
      <c r="GA297" t="s">
        <v>6</v>
      </c>
      <c r="GD297">
        <v>0</v>
      </c>
      <c r="GF297">
        <v>-168123214</v>
      </c>
      <c r="GG297">
        <v>1</v>
      </c>
      <c r="GH297">
        <v>1</v>
      </c>
      <c r="GI297">
        <v>4</v>
      </c>
      <c r="GJ297">
        <v>0</v>
      </c>
      <c r="GK297">
        <f>ROUND(R297*(R12)/100,2)</f>
        <v>0</v>
      </c>
      <c r="GL297">
        <f t="shared" si="262"/>
        <v>0</v>
      </c>
      <c r="GM297">
        <f t="shared" si="263"/>
        <v>211.23</v>
      </c>
      <c r="GN297">
        <f t="shared" si="264"/>
        <v>0</v>
      </c>
      <c r="GO297">
        <f t="shared" si="265"/>
        <v>211.23</v>
      </c>
      <c r="GP297">
        <f t="shared" si="266"/>
        <v>0</v>
      </c>
      <c r="GR297">
        <v>0</v>
      </c>
      <c r="GS297">
        <v>3</v>
      </c>
      <c r="GT297">
        <v>0</v>
      </c>
      <c r="GU297" t="s">
        <v>6</v>
      </c>
      <c r="GV297">
        <f t="shared" si="267"/>
        <v>0</v>
      </c>
      <c r="GW297">
        <v>1</v>
      </c>
      <c r="GX297">
        <f t="shared" si="268"/>
        <v>0</v>
      </c>
      <c r="HA297">
        <v>0</v>
      </c>
      <c r="HB297">
        <v>0</v>
      </c>
      <c r="IK297">
        <v>0</v>
      </c>
    </row>
    <row r="298" spans="1:245" x14ac:dyDescent="0.2">
      <c r="A298">
        <v>17</v>
      </c>
      <c r="B298">
        <v>1</v>
      </c>
      <c r="C298">
        <f>ROW(SmtRes!A382)</f>
        <v>382</v>
      </c>
      <c r="D298">
        <f>ROW(EtalonRes!A360)</f>
        <v>360</v>
      </c>
      <c r="E298" t="s">
        <v>625</v>
      </c>
      <c r="F298" t="s">
        <v>626</v>
      </c>
      <c r="G298" t="s">
        <v>627</v>
      </c>
      <c r="H298" t="s">
        <v>34</v>
      </c>
      <c r="I298">
        <f>ROUND(98/100,9)</f>
        <v>0.98</v>
      </c>
      <c r="J298">
        <v>0</v>
      </c>
      <c r="O298">
        <f t="shared" si="230"/>
        <v>1005.01</v>
      </c>
      <c r="P298">
        <f t="shared" si="231"/>
        <v>107.94</v>
      </c>
      <c r="Q298">
        <f t="shared" si="232"/>
        <v>0</v>
      </c>
      <c r="R298">
        <f t="shared" si="233"/>
        <v>0</v>
      </c>
      <c r="S298">
        <f t="shared" si="234"/>
        <v>897.07</v>
      </c>
      <c r="T298">
        <f t="shared" si="235"/>
        <v>0</v>
      </c>
      <c r="U298">
        <f t="shared" si="236"/>
        <v>14.895999999999999</v>
      </c>
      <c r="V298">
        <f t="shared" si="237"/>
        <v>0</v>
      </c>
      <c r="W298">
        <f t="shared" si="238"/>
        <v>0</v>
      </c>
      <c r="X298">
        <f t="shared" si="239"/>
        <v>852.22</v>
      </c>
      <c r="Y298">
        <f t="shared" si="240"/>
        <v>583.1</v>
      </c>
      <c r="AA298">
        <v>16748969</v>
      </c>
      <c r="AB298">
        <f t="shared" si="241"/>
        <v>156.33000000000001</v>
      </c>
      <c r="AC298">
        <f t="shared" si="242"/>
        <v>16.79</v>
      </c>
      <c r="AD298">
        <f t="shared" si="243"/>
        <v>0</v>
      </c>
      <c r="AE298">
        <f t="shared" si="244"/>
        <v>0</v>
      </c>
      <c r="AF298">
        <f t="shared" si="245"/>
        <v>139.54</v>
      </c>
      <c r="AG298">
        <f t="shared" si="246"/>
        <v>0</v>
      </c>
      <c r="AH298">
        <f t="shared" si="247"/>
        <v>15.2</v>
      </c>
      <c r="AI298">
        <f t="shared" si="248"/>
        <v>0</v>
      </c>
      <c r="AJ298">
        <f t="shared" si="249"/>
        <v>0</v>
      </c>
      <c r="AK298">
        <v>156.33000000000001</v>
      </c>
      <c r="AL298">
        <v>16.79</v>
      </c>
      <c r="AM298">
        <v>0</v>
      </c>
      <c r="AN298">
        <v>0</v>
      </c>
      <c r="AO298">
        <v>139.54</v>
      </c>
      <c r="AP298">
        <v>0</v>
      </c>
      <c r="AQ298">
        <v>15.2</v>
      </c>
      <c r="AR298">
        <v>0</v>
      </c>
      <c r="AS298">
        <v>0</v>
      </c>
      <c r="AT298">
        <v>95</v>
      </c>
      <c r="AU298">
        <v>65</v>
      </c>
      <c r="AV298">
        <v>1</v>
      </c>
      <c r="AW298">
        <v>1</v>
      </c>
      <c r="AZ298">
        <v>6.56</v>
      </c>
      <c r="BA298">
        <v>6.56</v>
      </c>
      <c r="BB298">
        <v>6.56</v>
      </c>
      <c r="BC298">
        <v>6.56</v>
      </c>
      <c r="BD298" t="s">
        <v>6</v>
      </c>
      <c r="BE298" t="s">
        <v>6</v>
      </c>
      <c r="BF298" t="s">
        <v>6</v>
      </c>
      <c r="BG298" t="s">
        <v>6</v>
      </c>
      <c r="BH298">
        <v>0</v>
      </c>
      <c r="BI298">
        <v>2</v>
      </c>
      <c r="BJ298" t="s">
        <v>628</v>
      </c>
      <c r="BM298">
        <v>108001</v>
      </c>
      <c r="BN298">
        <v>0</v>
      </c>
      <c r="BO298" t="s">
        <v>6</v>
      </c>
      <c r="BP298">
        <v>0</v>
      </c>
      <c r="BQ298">
        <v>3</v>
      </c>
      <c r="BR298">
        <v>0</v>
      </c>
      <c r="BS298">
        <v>6.56</v>
      </c>
      <c r="BT298">
        <v>1</v>
      </c>
      <c r="BU298">
        <v>1</v>
      </c>
      <c r="BV298">
        <v>1</v>
      </c>
      <c r="BW298">
        <v>1</v>
      </c>
      <c r="BX298">
        <v>1</v>
      </c>
      <c r="BY298" t="s">
        <v>6</v>
      </c>
      <c r="BZ298">
        <v>95</v>
      </c>
      <c r="CA298">
        <v>65</v>
      </c>
      <c r="CF298">
        <v>0</v>
      </c>
      <c r="CG298">
        <v>0</v>
      </c>
      <c r="CM298">
        <v>0</v>
      </c>
      <c r="CN298" t="s">
        <v>6</v>
      </c>
      <c r="CO298">
        <v>0</v>
      </c>
      <c r="CP298">
        <f t="shared" si="250"/>
        <v>1005.01</v>
      </c>
      <c r="CQ298">
        <f t="shared" si="251"/>
        <v>110.14239999999998</v>
      </c>
      <c r="CR298">
        <f t="shared" si="252"/>
        <v>0</v>
      </c>
      <c r="CS298">
        <f t="shared" si="253"/>
        <v>0</v>
      </c>
      <c r="CT298">
        <f t="shared" si="254"/>
        <v>915.38239999999985</v>
      </c>
      <c r="CU298">
        <f t="shared" si="255"/>
        <v>0</v>
      </c>
      <c r="CV298">
        <f t="shared" si="256"/>
        <v>15.2</v>
      </c>
      <c r="CW298">
        <f t="shared" si="257"/>
        <v>0</v>
      </c>
      <c r="CX298">
        <f t="shared" si="258"/>
        <v>0</v>
      </c>
      <c r="CY298">
        <f t="shared" si="259"/>
        <v>852.21650000000011</v>
      </c>
      <c r="CZ298">
        <f t="shared" si="260"/>
        <v>583.09550000000002</v>
      </c>
      <c r="DC298" t="s">
        <v>6</v>
      </c>
      <c r="DD298" t="s">
        <v>6</v>
      </c>
      <c r="DE298" t="s">
        <v>6</v>
      </c>
      <c r="DF298" t="s">
        <v>6</v>
      </c>
      <c r="DG298" t="s">
        <v>6</v>
      </c>
      <c r="DH298" t="s">
        <v>6</v>
      </c>
      <c r="DI298" t="s">
        <v>6</v>
      </c>
      <c r="DJ298" t="s">
        <v>6</v>
      </c>
      <c r="DK298" t="s">
        <v>6</v>
      </c>
      <c r="DL298" t="s">
        <v>6</v>
      </c>
      <c r="DM298" t="s">
        <v>6</v>
      </c>
      <c r="DN298">
        <v>0</v>
      </c>
      <c r="DO298">
        <v>0</v>
      </c>
      <c r="DP298">
        <v>1</v>
      </c>
      <c r="DQ298">
        <v>1</v>
      </c>
      <c r="DU298">
        <v>1003</v>
      </c>
      <c r="DV298" t="s">
        <v>34</v>
      </c>
      <c r="DW298" t="s">
        <v>34</v>
      </c>
      <c r="DX298">
        <v>100</v>
      </c>
      <c r="EE298">
        <v>16510370</v>
      </c>
      <c r="EF298">
        <v>3</v>
      </c>
      <c r="EG298" t="s">
        <v>591</v>
      </c>
      <c r="EH298">
        <v>0</v>
      </c>
      <c r="EI298" t="s">
        <v>6</v>
      </c>
      <c r="EJ298">
        <v>2</v>
      </c>
      <c r="EK298">
        <v>108001</v>
      </c>
      <c r="EL298" t="s">
        <v>592</v>
      </c>
      <c r="EM298" t="s">
        <v>593</v>
      </c>
      <c r="EO298" t="s">
        <v>6</v>
      </c>
      <c r="EQ298">
        <v>131072</v>
      </c>
      <c r="ER298">
        <v>156.33000000000001</v>
      </c>
      <c r="ES298">
        <v>16.79</v>
      </c>
      <c r="ET298">
        <v>0</v>
      </c>
      <c r="EU298">
        <v>0</v>
      </c>
      <c r="EV298">
        <v>139.54</v>
      </c>
      <c r="EW298">
        <v>15.2</v>
      </c>
      <c r="EX298">
        <v>0</v>
      </c>
      <c r="EY298">
        <v>0</v>
      </c>
      <c r="FQ298">
        <v>0</v>
      </c>
      <c r="FR298">
        <f t="shared" si="261"/>
        <v>0</v>
      </c>
      <c r="FS298">
        <v>0</v>
      </c>
      <c r="FX298">
        <v>95</v>
      </c>
      <c r="FY298">
        <v>65</v>
      </c>
      <c r="GA298" t="s">
        <v>6</v>
      </c>
      <c r="GD298">
        <v>0</v>
      </c>
      <c r="GF298">
        <v>-596386547</v>
      </c>
      <c r="GG298">
        <v>1</v>
      </c>
      <c r="GH298">
        <v>1</v>
      </c>
      <c r="GI298">
        <v>4</v>
      </c>
      <c r="GJ298">
        <v>0</v>
      </c>
      <c r="GK298">
        <f>ROUND(R298*(R12)/100,2)</f>
        <v>0</v>
      </c>
      <c r="GL298">
        <f t="shared" si="262"/>
        <v>0</v>
      </c>
      <c r="GM298">
        <f t="shared" si="263"/>
        <v>2440.33</v>
      </c>
      <c r="GN298">
        <f t="shared" si="264"/>
        <v>0</v>
      </c>
      <c r="GO298">
        <f t="shared" si="265"/>
        <v>2440.33</v>
      </c>
      <c r="GP298">
        <f t="shared" si="266"/>
        <v>0</v>
      </c>
      <c r="GR298">
        <v>0</v>
      </c>
      <c r="GS298">
        <v>3</v>
      </c>
      <c r="GT298">
        <v>0</v>
      </c>
      <c r="GU298" t="s">
        <v>6</v>
      </c>
      <c r="GV298">
        <f t="shared" si="267"/>
        <v>0</v>
      </c>
      <c r="GW298">
        <v>1</v>
      </c>
      <c r="GX298">
        <f t="shared" si="268"/>
        <v>0</v>
      </c>
      <c r="HA298">
        <v>0</v>
      </c>
      <c r="HB298">
        <v>0</v>
      </c>
      <c r="IK298">
        <v>0</v>
      </c>
    </row>
    <row r="299" spans="1:245" x14ac:dyDescent="0.2">
      <c r="A299">
        <v>18</v>
      </c>
      <c r="B299">
        <v>1</v>
      </c>
      <c r="C299">
        <v>381</v>
      </c>
      <c r="E299" t="s">
        <v>629</v>
      </c>
      <c r="F299" t="s">
        <v>630</v>
      </c>
      <c r="G299" t="s">
        <v>631</v>
      </c>
      <c r="H299" t="s">
        <v>632</v>
      </c>
      <c r="I299">
        <f>I298*J299</f>
        <v>9.8000000000000007</v>
      </c>
      <c r="J299">
        <v>10.000000000000002</v>
      </c>
      <c r="O299">
        <f t="shared" si="230"/>
        <v>1035.68</v>
      </c>
      <c r="P299">
        <f t="shared" si="231"/>
        <v>1035.68</v>
      </c>
      <c r="Q299">
        <f t="shared" si="232"/>
        <v>0</v>
      </c>
      <c r="R299">
        <f t="shared" si="233"/>
        <v>0</v>
      </c>
      <c r="S299">
        <f t="shared" si="234"/>
        <v>0</v>
      </c>
      <c r="T299">
        <f t="shared" si="235"/>
        <v>0</v>
      </c>
      <c r="U299">
        <f t="shared" si="236"/>
        <v>0</v>
      </c>
      <c r="V299">
        <f t="shared" si="237"/>
        <v>0</v>
      </c>
      <c r="W299">
        <f t="shared" si="238"/>
        <v>0</v>
      </c>
      <c r="X299">
        <f t="shared" si="239"/>
        <v>0</v>
      </c>
      <c r="Y299">
        <f t="shared" si="240"/>
        <v>0</v>
      </c>
      <c r="AA299">
        <v>16748969</v>
      </c>
      <c r="AB299">
        <f t="shared" si="241"/>
        <v>16.11</v>
      </c>
      <c r="AC299">
        <f t="shared" si="242"/>
        <v>16.11</v>
      </c>
      <c r="AD299">
        <f t="shared" si="243"/>
        <v>0</v>
      </c>
      <c r="AE299">
        <f t="shared" si="244"/>
        <v>0</v>
      </c>
      <c r="AF299">
        <f t="shared" si="245"/>
        <v>0</v>
      </c>
      <c r="AG299">
        <f t="shared" si="246"/>
        <v>0</v>
      </c>
      <c r="AH299">
        <f t="shared" si="247"/>
        <v>0</v>
      </c>
      <c r="AI299">
        <f t="shared" si="248"/>
        <v>0</v>
      </c>
      <c r="AJ299">
        <f t="shared" si="249"/>
        <v>0</v>
      </c>
      <c r="AK299">
        <v>16.11</v>
      </c>
      <c r="AL299">
        <v>16.11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  <c r="AS299">
        <v>0</v>
      </c>
      <c r="AT299">
        <v>95</v>
      </c>
      <c r="AU299">
        <v>65</v>
      </c>
      <c r="AV299">
        <v>1</v>
      </c>
      <c r="AW299">
        <v>1</v>
      </c>
      <c r="AZ299">
        <v>6.56</v>
      </c>
      <c r="BA299">
        <v>1</v>
      </c>
      <c r="BB299">
        <v>1</v>
      </c>
      <c r="BC299">
        <v>6.56</v>
      </c>
      <c r="BD299" t="s">
        <v>6</v>
      </c>
      <c r="BE299" t="s">
        <v>6</v>
      </c>
      <c r="BF299" t="s">
        <v>6</v>
      </c>
      <c r="BG299" t="s">
        <v>6</v>
      </c>
      <c r="BH299">
        <v>3</v>
      </c>
      <c r="BI299">
        <v>2</v>
      </c>
      <c r="BJ299" t="s">
        <v>633</v>
      </c>
      <c r="BM299">
        <v>108001</v>
      </c>
      <c r="BN299">
        <v>0</v>
      </c>
      <c r="BO299" t="s">
        <v>6</v>
      </c>
      <c r="BP299">
        <v>0</v>
      </c>
      <c r="BQ299">
        <v>3</v>
      </c>
      <c r="BR299">
        <v>0</v>
      </c>
      <c r="BS299">
        <v>1</v>
      </c>
      <c r="BT299">
        <v>1</v>
      </c>
      <c r="BU299">
        <v>1</v>
      </c>
      <c r="BV299">
        <v>1</v>
      </c>
      <c r="BW299">
        <v>1</v>
      </c>
      <c r="BX299">
        <v>1</v>
      </c>
      <c r="BY299" t="s">
        <v>6</v>
      </c>
      <c r="BZ299">
        <v>95</v>
      </c>
      <c r="CA299">
        <v>65</v>
      </c>
      <c r="CF299">
        <v>0</v>
      </c>
      <c r="CG299">
        <v>0</v>
      </c>
      <c r="CM299">
        <v>0</v>
      </c>
      <c r="CN299" t="s">
        <v>6</v>
      </c>
      <c r="CO299">
        <v>0</v>
      </c>
      <c r="CP299">
        <f t="shared" si="250"/>
        <v>1035.68</v>
      </c>
      <c r="CQ299">
        <f t="shared" si="251"/>
        <v>105.68159999999999</v>
      </c>
      <c r="CR299">
        <f t="shared" si="252"/>
        <v>0</v>
      </c>
      <c r="CS299">
        <f t="shared" si="253"/>
        <v>0</v>
      </c>
      <c r="CT299">
        <f t="shared" si="254"/>
        <v>0</v>
      </c>
      <c r="CU299">
        <f t="shared" si="255"/>
        <v>0</v>
      </c>
      <c r="CV299">
        <f t="shared" si="256"/>
        <v>0</v>
      </c>
      <c r="CW299">
        <f t="shared" si="257"/>
        <v>0</v>
      </c>
      <c r="CX299">
        <f t="shared" si="258"/>
        <v>0</v>
      </c>
      <c r="CY299">
        <f t="shared" si="259"/>
        <v>0</v>
      </c>
      <c r="CZ299">
        <f t="shared" si="260"/>
        <v>0</v>
      </c>
      <c r="DC299" t="s">
        <v>6</v>
      </c>
      <c r="DD299" t="s">
        <v>6</v>
      </c>
      <c r="DE299" t="s">
        <v>6</v>
      </c>
      <c r="DF299" t="s">
        <v>6</v>
      </c>
      <c r="DG299" t="s">
        <v>6</v>
      </c>
      <c r="DH299" t="s">
        <v>6</v>
      </c>
      <c r="DI299" t="s">
        <v>6</v>
      </c>
      <c r="DJ299" t="s">
        <v>6</v>
      </c>
      <c r="DK299" t="s">
        <v>6</v>
      </c>
      <c r="DL299" t="s">
        <v>6</v>
      </c>
      <c r="DM299" t="s">
        <v>6</v>
      </c>
      <c r="DN299">
        <v>0</v>
      </c>
      <c r="DO299">
        <v>0</v>
      </c>
      <c r="DP299">
        <v>1</v>
      </c>
      <c r="DQ299">
        <v>1</v>
      </c>
      <c r="DU299">
        <v>1003</v>
      </c>
      <c r="DV299" t="s">
        <v>632</v>
      </c>
      <c r="DW299" t="s">
        <v>632</v>
      </c>
      <c r="DX299">
        <v>10</v>
      </c>
      <c r="EE299">
        <v>16510370</v>
      </c>
      <c r="EF299">
        <v>3</v>
      </c>
      <c r="EG299" t="s">
        <v>591</v>
      </c>
      <c r="EH299">
        <v>0</v>
      </c>
      <c r="EI299" t="s">
        <v>6</v>
      </c>
      <c r="EJ299">
        <v>2</v>
      </c>
      <c r="EK299">
        <v>108001</v>
      </c>
      <c r="EL299" t="s">
        <v>592</v>
      </c>
      <c r="EM299" t="s">
        <v>593</v>
      </c>
      <c r="EO299" t="s">
        <v>6</v>
      </c>
      <c r="EQ299">
        <v>0</v>
      </c>
      <c r="ER299">
        <v>16.11</v>
      </c>
      <c r="ES299">
        <v>16.11</v>
      </c>
      <c r="ET299">
        <v>0</v>
      </c>
      <c r="EU299">
        <v>0</v>
      </c>
      <c r="EV299">
        <v>0</v>
      </c>
      <c r="EW299">
        <v>0</v>
      </c>
      <c r="EX299">
        <v>0</v>
      </c>
      <c r="FQ299">
        <v>0</v>
      </c>
      <c r="FR299">
        <f t="shared" si="261"/>
        <v>0</v>
      </c>
      <c r="FS299">
        <v>0</v>
      </c>
      <c r="FX299">
        <v>95</v>
      </c>
      <c r="FY299">
        <v>65</v>
      </c>
      <c r="GA299" t="s">
        <v>6</v>
      </c>
      <c r="GD299">
        <v>0</v>
      </c>
      <c r="GF299">
        <v>-819900352</v>
      </c>
      <c r="GG299">
        <v>1</v>
      </c>
      <c r="GH299">
        <v>1</v>
      </c>
      <c r="GI299">
        <v>4</v>
      </c>
      <c r="GJ299">
        <v>0</v>
      </c>
      <c r="GK299">
        <f>ROUND(R299*(R12)/100,2)</f>
        <v>0</v>
      </c>
      <c r="GL299">
        <f t="shared" si="262"/>
        <v>0</v>
      </c>
      <c r="GM299">
        <f t="shared" si="263"/>
        <v>1035.68</v>
      </c>
      <c r="GN299">
        <f t="shared" si="264"/>
        <v>0</v>
      </c>
      <c r="GO299">
        <f t="shared" si="265"/>
        <v>1035.68</v>
      </c>
      <c r="GP299">
        <f t="shared" si="266"/>
        <v>0</v>
      </c>
      <c r="GR299">
        <v>0</v>
      </c>
      <c r="GS299">
        <v>3</v>
      </c>
      <c r="GT299">
        <v>0</v>
      </c>
      <c r="GU299" t="s">
        <v>6</v>
      </c>
      <c r="GV299">
        <f t="shared" si="267"/>
        <v>0</v>
      </c>
      <c r="GW299">
        <v>1</v>
      </c>
      <c r="GX299">
        <f t="shared" si="268"/>
        <v>0</v>
      </c>
      <c r="HA299">
        <v>0</v>
      </c>
      <c r="HB299">
        <v>0</v>
      </c>
      <c r="IK299">
        <v>0</v>
      </c>
    </row>
    <row r="300" spans="1:245" x14ac:dyDescent="0.2">
      <c r="A300">
        <v>17</v>
      </c>
      <c r="B300">
        <v>1</v>
      </c>
      <c r="C300">
        <f>ROW(SmtRes!A393)</f>
        <v>393</v>
      </c>
      <c r="D300">
        <f>ROW(EtalonRes!A370)</f>
        <v>370</v>
      </c>
      <c r="E300" t="s">
        <v>634</v>
      </c>
      <c r="F300" t="s">
        <v>635</v>
      </c>
      <c r="G300" t="s">
        <v>636</v>
      </c>
      <c r="H300" t="s">
        <v>34</v>
      </c>
      <c r="I300">
        <f>ROUND(205/100,9)</f>
        <v>2.0499999999999998</v>
      </c>
      <c r="J300">
        <v>0</v>
      </c>
      <c r="O300">
        <f t="shared" si="230"/>
        <v>923.88</v>
      </c>
      <c r="P300">
        <f t="shared" si="231"/>
        <v>194.73</v>
      </c>
      <c r="Q300">
        <f t="shared" si="232"/>
        <v>47.74</v>
      </c>
      <c r="R300">
        <f t="shared" si="233"/>
        <v>6.72</v>
      </c>
      <c r="S300">
        <f t="shared" si="234"/>
        <v>681.41</v>
      </c>
      <c r="T300">
        <f t="shared" si="235"/>
        <v>0</v>
      </c>
      <c r="U300">
        <f t="shared" si="236"/>
        <v>11.049499999999998</v>
      </c>
      <c r="V300">
        <f t="shared" si="237"/>
        <v>8.199999999999999E-2</v>
      </c>
      <c r="W300">
        <f t="shared" si="238"/>
        <v>0</v>
      </c>
      <c r="X300">
        <f t="shared" si="239"/>
        <v>653.72</v>
      </c>
      <c r="Y300">
        <f t="shared" si="240"/>
        <v>447.28</v>
      </c>
      <c r="AA300">
        <v>16748969</v>
      </c>
      <c r="AB300">
        <f t="shared" si="241"/>
        <v>68.7</v>
      </c>
      <c r="AC300">
        <f t="shared" si="242"/>
        <v>14.48</v>
      </c>
      <c r="AD300">
        <f t="shared" si="243"/>
        <v>3.55</v>
      </c>
      <c r="AE300">
        <f t="shared" si="244"/>
        <v>0.5</v>
      </c>
      <c r="AF300">
        <f t="shared" si="245"/>
        <v>50.67</v>
      </c>
      <c r="AG300">
        <f t="shared" si="246"/>
        <v>0</v>
      </c>
      <c r="AH300">
        <f t="shared" si="247"/>
        <v>5.39</v>
      </c>
      <c r="AI300">
        <f t="shared" si="248"/>
        <v>0.04</v>
      </c>
      <c r="AJ300">
        <f t="shared" si="249"/>
        <v>0</v>
      </c>
      <c r="AK300">
        <v>68.7</v>
      </c>
      <c r="AL300">
        <v>14.48</v>
      </c>
      <c r="AM300">
        <v>3.55</v>
      </c>
      <c r="AN300">
        <v>0.5</v>
      </c>
      <c r="AO300">
        <v>50.67</v>
      </c>
      <c r="AP300">
        <v>0</v>
      </c>
      <c r="AQ300">
        <v>5.39</v>
      </c>
      <c r="AR300">
        <v>0.04</v>
      </c>
      <c r="AS300">
        <v>0</v>
      </c>
      <c r="AT300">
        <v>95</v>
      </c>
      <c r="AU300">
        <v>65</v>
      </c>
      <c r="AV300">
        <v>1</v>
      </c>
      <c r="AW300">
        <v>1</v>
      </c>
      <c r="AZ300">
        <v>6.56</v>
      </c>
      <c r="BA300">
        <v>6.56</v>
      </c>
      <c r="BB300">
        <v>6.56</v>
      </c>
      <c r="BC300">
        <v>6.56</v>
      </c>
      <c r="BD300" t="s">
        <v>6</v>
      </c>
      <c r="BE300" t="s">
        <v>6</v>
      </c>
      <c r="BF300" t="s">
        <v>6</v>
      </c>
      <c r="BG300" t="s">
        <v>6</v>
      </c>
      <c r="BH300">
        <v>0</v>
      </c>
      <c r="BI300">
        <v>2</v>
      </c>
      <c r="BJ300" t="s">
        <v>637</v>
      </c>
      <c r="BM300">
        <v>108001</v>
      </c>
      <c r="BN300">
        <v>0</v>
      </c>
      <c r="BO300" t="s">
        <v>6</v>
      </c>
      <c r="BP300">
        <v>0</v>
      </c>
      <c r="BQ300">
        <v>3</v>
      </c>
      <c r="BR300">
        <v>0</v>
      </c>
      <c r="BS300">
        <v>6.56</v>
      </c>
      <c r="BT300">
        <v>1</v>
      </c>
      <c r="BU300">
        <v>1</v>
      </c>
      <c r="BV300">
        <v>1</v>
      </c>
      <c r="BW300">
        <v>1</v>
      </c>
      <c r="BX300">
        <v>1</v>
      </c>
      <c r="BY300" t="s">
        <v>6</v>
      </c>
      <c r="BZ300">
        <v>95</v>
      </c>
      <c r="CA300">
        <v>65</v>
      </c>
      <c r="CF300">
        <v>0</v>
      </c>
      <c r="CG300">
        <v>0</v>
      </c>
      <c r="CM300">
        <v>0</v>
      </c>
      <c r="CN300" t="s">
        <v>6</v>
      </c>
      <c r="CO300">
        <v>0</v>
      </c>
      <c r="CP300">
        <f t="shared" si="250"/>
        <v>923.88</v>
      </c>
      <c r="CQ300">
        <f t="shared" si="251"/>
        <v>94.988799999999998</v>
      </c>
      <c r="CR300">
        <f t="shared" si="252"/>
        <v>23.287999999999997</v>
      </c>
      <c r="CS300">
        <f t="shared" si="253"/>
        <v>3.28</v>
      </c>
      <c r="CT300">
        <f t="shared" si="254"/>
        <v>332.39519999999999</v>
      </c>
      <c r="CU300">
        <f t="shared" si="255"/>
        <v>0</v>
      </c>
      <c r="CV300">
        <f t="shared" si="256"/>
        <v>5.39</v>
      </c>
      <c r="CW300">
        <f t="shared" si="257"/>
        <v>0.04</v>
      </c>
      <c r="CX300">
        <f t="shared" si="258"/>
        <v>0</v>
      </c>
      <c r="CY300">
        <f t="shared" si="259"/>
        <v>653.72349999999994</v>
      </c>
      <c r="CZ300">
        <f t="shared" si="260"/>
        <v>447.28449999999998</v>
      </c>
      <c r="DC300" t="s">
        <v>6</v>
      </c>
      <c r="DD300" t="s">
        <v>6</v>
      </c>
      <c r="DE300" t="s">
        <v>6</v>
      </c>
      <c r="DF300" t="s">
        <v>6</v>
      </c>
      <c r="DG300" t="s">
        <v>6</v>
      </c>
      <c r="DH300" t="s">
        <v>6</v>
      </c>
      <c r="DI300" t="s">
        <v>6</v>
      </c>
      <c r="DJ300" t="s">
        <v>6</v>
      </c>
      <c r="DK300" t="s">
        <v>6</v>
      </c>
      <c r="DL300" t="s">
        <v>6</v>
      </c>
      <c r="DM300" t="s">
        <v>6</v>
      </c>
      <c r="DN300">
        <v>0</v>
      </c>
      <c r="DO300">
        <v>0</v>
      </c>
      <c r="DP300">
        <v>1</v>
      </c>
      <c r="DQ300">
        <v>1</v>
      </c>
      <c r="DU300">
        <v>1003</v>
      </c>
      <c r="DV300" t="s">
        <v>34</v>
      </c>
      <c r="DW300" t="s">
        <v>34</v>
      </c>
      <c r="DX300">
        <v>100</v>
      </c>
      <c r="EE300">
        <v>16510370</v>
      </c>
      <c r="EF300">
        <v>3</v>
      </c>
      <c r="EG300" t="s">
        <v>591</v>
      </c>
      <c r="EH300">
        <v>0</v>
      </c>
      <c r="EI300" t="s">
        <v>6</v>
      </c>
      <c r="EJ300">
        <v>2</v>
      </c>
      <c r="EK300">
        <v>108001</v>
      </c>
      <c r="EL300" t="s">
        <v>592</v>
      </c>
      <c r="EM300" t="s">
        <v>593</v>
      </c>
      <c r="EO300" t="s">
        <v>6</v>
      </c>
      <c r="EQ300">
        <v>131072</v>
      </c>
      <c r="ER300">
        <v>68.7</v>
      </c>
      <c r="ES300">
        <v>14.48</v>
      </c>
      <c r="ET300">
        <v>3.55</v>
      </c>
      <c r="EU300">
        <v>0.5</v>
      </c>
      <c r="EV300">
        <v>50.67</v>
      </c>
      <c r="EW300">
        <v>5.39</v>
      </c>
      <c r="EX300">
        <v>0.04</v>
      </c>
      <c r="EY300">
        <v>0</v>
      </c>
      <c r="FQ300">
        <v>0</v>
      </c>
      <c r="FR300">
        <f t="shared" si="261"/>
        <v>0</v>
      </c>
      <c r="FS300">
        <v>0</v>
      </c>
      <c r="FX300">
        <v>95</v>
      </c>
      <c r="FY300">
        <v>65</v>
      </c>
      <c r="GA300" t="s">
        <v>6</v>
      </c>
      <c r="GD300">
        <v>0</v>
      </c>
      <c r="GF300">
        <v>-1215790049</v>
      </c>
      <c r="GG300">
        <v>1</v>
      </c>
      <c r="GH300">
        <v>1</v>
      </c>
      <c r="GI300">
        <v>4</v>
      </c>
      <c r="GJ300">
        <v>0</v>
      </c>
      <c r="GK300">
        <f>ROUND(R300*(R12)/100,2)</f>
        <v>0</v>
      </c>
      <c r="GL300">
        <f t="shared" si="262"/>
        <v>0</v>
      </c>
      <c r="GM300">
        <f t="shared" si="263"/>
        <v>2024.88</v>
      </c>
      <c r="GN300">
        <f t="shared" si="264"/>
        <v>0</v>
      </c>
      <c r="GO300">
        <f t="shared" si="265"/>
        <v>2024.88</v>
      </c>
      <c r="GP300">
        <f t="shared" si="266"/>
        <v>0</v>
      </c>
      <c r="GR300">
        <v>0</v>
      </c>
      <c r="GS300">
        <v>3</v>
      </c>
      <c r="GT300">
        <v>0</v>
      </c>
      <c r="GU300" t="s">
        <v>6</v>
      </c>
      <c r="GV300">
        <f t="shared" si="267"/>
        <v>0</v>
      </c>
      <c r="GW300">
        <v>1</v>
      </c>
      <c r="GX300">
        <f t="shared" si="268"/>
        <v>0</v>
      </c>
      <c r="HA300">
        <v>0</v>
      </c>
      <c r="HB300">
        <v>0</v>
      </c>
      <c r="IK300">
        <v>0</v>
      </c>
    </row>
    <row r="301" spans="1:245" x14ac:dyDescent="0.2">
      <c r="A301">
        <v>18</v>
      </c>
      <c r="B301">
        <v>1</v>
      </c>
      <c r="C301">
        <v>392</v>
      </c>
      <c r="E301" t="s">
        <v>638</v>
      </c>
      <c r="F301" t="s">
        <v>639</v>
      </c>
      <c r="G301" t="s">
        <v>640</v>
      </c>
      <c r="H301" t="s">
        <v>641</v>
      </c>
      <c r="I301">
        <f>I300*J301</f>
        <v>0.20499999999999999</v>
      </c>
      <c r="J301">
        <v>0.1</v>
      </c>
      <c r="O301">
        <f t="shared" si="230"/>
        <v>14740.18</v>
      </c>
      <c r="P301">
        <f t="shared" si="231"/>
        <v>14740.18</v>
      </c>
      <c r="Q301">
        <f t="shared" si="232"/>
        <v>0</v>
      </c>
      <c r="R301">
        <f t="shared" si="233"/>
        <v>0</v>
      </c>
      <c r="S301">
        <f t="shared" si="234"/>
        <v>0</v>
      </c>
      <c r="T301">
        <f t="shared" si="235"/>
        <v>0</v>
      </c>
      <c r="U301">
        <f t="shared" si="236"/>
        <v>0</v>
      </c>
      <c r="V301">
        <f t="shared" si="237"/>
        <v>0</v>
      </c>
      <c r="W301">
        <f t="shared" si="238"/>
        <v>0</v>
      </c>
      <c r="X301">
        <f t="shared" si="239"/>
        <v>0</v>
      </c>
      <c r="Y301">
        <f t="shared" si="240"/>
        <v>0</v>
      </c>
      <c r="AA301">
        <v>16748969</v>
      </c>
      <c r="AB301">
        <f t="shared" si="241"/>
        <v>10960.87</v>
      </c>
      <c r="AC301">
        <f t="shared" si="242"/>
        <v>10960.87</v>
      </c>
      <c r="AD301">
        <f t="shared" si="243"/>
        <v>0</v>
      </c>
      <c r="AE301">
        <f t="shared" si="244"/>
        <v>0</v>
      </c>
      <c r="AF301">
        <f t="shared" si="245"/>
        <v>0</v>
      </c>
      <c r="AG301">
        <f t="shared" si="246"/>
        <v>0</v>
      </c>
      <c r="AH301">
        <f t="shared" si="247"/>
        <v>0</v>
      </c>
      <c r="AI301">
        <f t="shared" si="248"/>
        <v>0</v>
      </c>
      <c r="AJ301">
        <f t="shared" si="249"/>
        <v>0</v>
      </c>
      <c r="AK301">
        <v>10960.87</v>
      </c>
      <c r="AL301">
        <v>10960.87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  <c r="AS301">
        <v>0</v>
      </c>
      <c r="AT301">
        <v>95</v>
      </c>
      <c r="AU301">
        <v>65</v>
      </c>
      <c r="AV301">
        <v>1</v>
      </c>
      <c r="AW301">
        <v>1</v>
      </c>
      <c r="AZ301">
        <v>6.56</v>
      </c>
      <c r="BA301">
        <v>1</v>
      </c>
      <c r="BB301">
        <v>1</v>
      </c>
      <c r="BC301">
        <v>6.56</v>
      </c>
      <c r="BD301" t="s">
        <v>6</v>
      </c>
      <c r="BE301" t="s">
        <v>6</v>
      </c>
      <c r="BF301" t="s">
        <v>6</v>
      </c>
      <c r="BG301" t="s">
        <v>6</v>
      </c>
      <c r="BH301">
        <v>3</v>
      </c>
      <c r="BI301">
        <v>2</v>
      </c>
      <c r="BJ301" t="s">
        <v>642</v>
      </c>
      <c r="BM301">
        <v>108001</v>
      </c>
      <c r="BN301">
        <v>0</v>
      </c>
      <c r="BO301" t="s">
        <v>6</v>
      </c>
      <c r="BP301">
        <v>0</v>
      </c>
      <c r="BQ301">
        <v>3</v>
      </c>
      <c r="BR301">
        <v>0</v>
      </c>
      <c r="BS301">
        <v>1</v>
      </c>
      <c r="BT301">
        <v>1</v>
      </c>
      <c r="BU301">
        <v>1</v>
      </c>
      <c r="BV301">
        <v>1</v>
      </c>
      <c r="BW301">
        <v>1</v>
      </c>
      <c r="BX301">
        <v>1</v>
      </c>
      <c r="BY301" t="s">
        <v>6</v>
      </c>
      <c r="BZ301">
        <v>95</v>
      </c>
      <c r="CA301">
        <v>65</v>
      </c>
      <c r="CF301">
        <v>0</v>
      </c>
      <c r="CG301">
        <v>0</v>
      </c>
      <c r="CM301">
        <v>0</v>
      </c>
      <c r="CN301" t="s">
        <v>6</v>
      </c>
      <c r="CO301">
        <v>0</v>
      </c>
      <c r="CP301">
        <f t="shared" si="250"/>
        <v>14740.18</v>
      </c>
      <c r="CQ301">
        <f t="shared" si="251"/>
        <v>71903.307199999996</v>
      </c>
      <c r="CR301">
        <f t="shared" si="252"/>
        <v>0</v>
      </c>
      <c r="CS301">
        <f t="shared" si="253"/>
        <v>0</v>
      </c>
      <c r="CT301">
        <f t="shared" si="254"/>
        <v>0</v>
      </c>
      <c r="CU301">
        <f t="shared" si="255"/>
        <v>0</v>
      </c>
      <c r="CV301">
        <f t="shared" si="256"/>
        <v>0</v>
      </c>
      <c r="CW301">
        <f t="shared" si="257"/>
        <v>0</v>
      </c>
      <c r="CX301">
        <f t="shared" si="258"/>
        <v>0</v>
      </c>
      <c r="CY301">
        <f t="shared" si="259"/>
        <v>0</v>
      </c>
      <c r="CZ301">
        <f t="shared" si="260"/>
        <v>0</v>
      </c>
      <c r="DC301" t="s">
        <v>6</v>
      </c>
      <c r="DD301" t="s">
        <v>6</v>
      </c>
      <c r="DE301" t="s">
        <v>6</v>
      </c>
      <c r="DF301" t="s">
        <v>6</v>
      </c>
      <c r="DG301" t="s">
        <v>6</v>
      </c>
      <c r="DH301" t="s">
        <v>6</v>
      </c>
      <c r="DI301" t="s">
        <v>6</v>
      </c>
      <c r="DJ301" t="s">
        <v>6</v>
      </c>
      <c r="DK301" t="s">
        <v>6</v>
      </c>
      <c r="DL301" t="s">
        <v>6</v>
      </c>
      <c r="DM301" t="s">
        <v>6</v>
      </c>
      <c r="DN301">
        <v>0</v>
      </c>
      <c r="DO301">
        <v>0</v>
      </c>
      <c r="DP301">
        <v>1</v>
      </c>
      <c r="DQ301">
        <v>1</v>
      </c>
      <c r="DU301">
        <v>1013</v>
      </c>
      <c r="DV301" t="s">
        <v>641</v>
      </c>
      <c r="DW301" t="s">
        <v>643</v>
      </c>
      <c r="DX301">
        <v>1</v>
      </c>
      <c r="EE301">
        <v>16510370</v>
      </c>
      <c r="EF301">
        <v>3</v>
      </c>
      <c r="EG301" t="s">
        <v>591</v>
      </c>
      <c r="EH301">
        <v>0</v>
      </c>
      <c r="EI301" t="s">
        <v>6</v>
      </c>
      <c r="EJ301">
        <v>2</v>
      </c>
      <c r="EK301">
        <v>108001</v>
      </c>
      <c r="EL301" t="s">
        <v>592</v>
      </c>
      <c r="EM301" t="s">
        <v>593</v>
      </c>
      <c r="EO301" t="s">
        <v>6</v>
      </c>
      <c r="EQ301">
        <v>0</v>
      </c>
      <c r="ER301">
        <v>10960.87</v>
      </c>
      <c r="ES301">
        <v>10960.87</v>
      </c>
      <c r="ET301">
        <v>0</v>
      </c>
      <c r="EU301">
        <v>0</v>
      </c>
      <c r="EV301">
        <v>0</v>
      </c>
      <c r="EW301">
        <v>0</v>
      </c>
      <c r="EX301">
        <v>0</v>
      </c>
      <c r="FQ301">
        <v>0</v>
      </c>
      <c r="FR301">
        <f t="shared" si="261"/>
        <v>0</v>
      </c>
      <c r="FS301">
        <v>0</v>
      </c>
      <c r="FX301">
        <v>95</v>
      </c>
      <c r="FY301">
        <v>65</v>
      </c>
      <c r="GA301" t="s">
        <v>6</v>
      </c>
      <c r="GD301">
        <v>0</v>
      </c>
      <c r="GF301">
        <v>-798446083</v>
      </c>
      <c r="GG301">
        <v>1</v>
      </c>
      <c r="GH301">
        <v>1</v>
      </c>
      <c r="GI301">
        <v>4</v>
      </c>
      <c r="GJ301">
        <v>0</v>
      </c>
      <c r="GK301">
        <f>ROUND(R301*(R12)/100,2)</f>
        <v>0</v>
      </c>
      <c r="GL301">
        <f t="shared" si="262"/>
        <v>0</v>
      </c>
      <c r="GM301">
        <f t="shared" si="263"/>
        <v>14740.18</v>
      </c>
      <c r="GN301">
        <f t="shared" si="264"/>
        <v>0</v>
      </c>
      <c r="GO301">
        <f t="shared" si="265"/>
        <v>14740.18</v>
      </c>
      <c r="GP301">
        <f t="shared" si="266"/>
        <v>0</v>
      </c>
      <c r="GR301">
        <v>0</v>
      </c>
      <c r="GS301">
        <v>3</v>
      </c>
      <c r="GT301">
        <v>0</v>
      </c>
      <c r="GU301" t="s">
        <v>6</v>
      </c>
      <c r="GV301">
        <f t="shared" si="267"/>
        <v>0</v>
      </c>
      <c r="GW301">
        <v>1</v>
      </c>
      <c r="GX301">
        <f t="shared" si="268"/>
        <v>0</v>
      </c>
      <c r="HA301">
        <v>0</v>
      </c>
      <c r="HB301">
        <v>0</v>
      </c>
      <c r="IK301">
        <v>0</v>
      </c>
    </row>
    <row r="302" spans="1:245" x14ac:dyDescent="0.2">
      <c r="A302">
        <v>17</v>
      </c>
      <c r="B302">
        <v>1</v>
      </c>
      <c r="C302">
        <f>ROW(SmtRes!A399)</f>
        <v>399</v>
      </c>
      <c r="D302">
        <f>ROW(EtalonRes!A375)</f>
        <v>375</v>
      </c>
      <c r="E302" t="s">
        <v>644</v>
      </c>
      <c r="F302" t="s">
        <v>645</v>
      </c>
      <c r="G302" t="s">
        <v>646</v>
      </c>
      <c r="H302" t="s">
        <v>242</v>
      </c>
      <c r="I302">
        <v>51</v>
      </c>
      <c r="J302">
        <v>0</v>
      </c>
      <c r="O302">
        <f t="shared" si="230"/>
        <v>1769.82</v>
      </c>
      <c r="P302">
        <f t="shared" si="231"/>
        <v>137.16999999999999</v>
      </c>
      <c r="Q302">
        <f t="shared" si="232"/>
        <v>0</v>
      </c>
      <c r="R302">
        <f t="shared" si="233"/>
        <v>0</v>
      </c>
      <c r="S302">
        <f t="shared" si="234"/>
        <v>1632.65</v>
      </c>
      <c r="T302">
        <f t="shared" si="235"/>
        <v>0</v>
      </c>
      <c r="U302">
        <f t="shared" si="236"/>
        <v>25.5</v>
      </c>
      <c r="V302">
        <f t="shared" si="237"/>
        <v>0</v>
      </c>
      <c r="W302">
        <f t="shared" si="238"/>
        <v>0</v>
      </c>
      <c r="X302">
        <f t="shared" si="239"/>
        <v>1306.1199999999999</v>
      </c>
      <c r="Y302">
        <f t="shared" si="240"/>
        <v>979.59</v>
      </c>
      <c r="AA302">
        <v>16748969</v>
      </c>
      <c r="AB302">
        <f t="shared" si="241"/>
        <v>5.29</v>
      </c>
      <c r="AC302">
        <f t="shared" si="242"/>
        <v>0.41</v>
      </c>
      <c r="AD302">
        <f t="shared" si="243"/>
        <v>0</v>
      </c>
      <c r="AE302">
        <f t="shared" si="244"/>
        <v>0</v>
      </c>
      <c r="AF302">
        <f t="shared" si="245"/>
        <v>4.88</v>
      </c>
      <c r="AG302">
        <f t="shared" si="246"/>
        <v>0</v>
      </c>
      <c r="AH302">
        <f t="shared" si="247"/>
        <v>0.5</v>
      </c>
      <c r="AI302">
        <f t="shared" si="248"/>
        <v>0</v>
      </c>
      <c r="AJ302">
        <f t="shared" si="249"/>
        <v>0</v>
      </c>
      <c r="AK302">
        <v>5.29</v>
      </c>
      <c r="AL302">
        <v>0.41</v>
      </c>
      <c r="AM302">
        <v>0</v>
      </c>
      <c r="AN302">
        <v>0</v>
      </c>
      <c r="AO302">
        <v>4.88</v>
      </c>
      <c r="AP302">
        <v>0</v>
      </c>
      <c r="AQ302">
        <v>0.5</v>
      </c>
      <c r="AR302">
        <v>0</v>
      </c>
      <c r="AS302">
        <v>0</v>
      </c>
      <c r="AT302">
        <v>80</v>
      </c>
      <c r="AU302">
        <v>60</v>
      </c>
      <c r="AV302">
        <v>1</v>
      </c>
      <c r="AW302">
        <v>1</v>
      </c>
      <c r="AZ302">
        <v>6.56</v>
      </c>
      <c r="BA302">
        <v>6.56</v>
      </c>
      <c r="BB302">
        <v>6.56</v>
      </c>
      <c r="BC302">
        <v>6.56</v>
      </c>
      <c r="BD302" t="s">
        <v>6</v>
      </c>
      <c r="BE302" t="s">
        <v>6</v>
      </c>
      <c r="BF302" t="s">
        <v>6</v>
      </c>
      <c r="BG302" t="s">
        <v>6</v>
      </c>
      <c r="BH302">
        <v>0</v>
      </c>
      <c r="BI302">
        <v>2</v>
      </c>
      <c r="BJ302" t="s">
        <v>647</v>
      </c>
      <c r="BM302">
        <v>110011</v>
      </c>
      <c r="BN302">
        <v>0</v>
      </c>
      <c r="BO302" t="s">
        <v>6</v>
      </c>
      <c r="BP302">
        <v>0</v>
      </c>
      <c r="BQ302">
        <v>3</v>
      </c>
      <c r="BR302">
        <v>0</v>
      </c>
      <c r="BS302">
        <v>6.56</v>
      </c>
      <c r="BT302">
        <v>1</v>
      </c>
      <c r="BU302">
        <v>1</v>
      </c>
      <c r="BV302">
        <v>1</v>
      </c>
      <c r="BW302">
        <v>1</v>
      </c>
      <c r="BX302">
        <v>1</v>
      </c>
      <c r="BY302" t="s">
        <v>6</v>
      </c>
      <c r="BZ302">
        <v>80</v>
      </c>
      <c r="CA302">
        <v>60</v>
      </c>
      <c r="CF302">
        <v>0</v>
      </c>
      <c r="CG302">
        <v>0</v>
      </c>
      <c r="CM302">
        <v>0</v>
      </c>
      <c r="CN302" t="s">
        <v>6</v>
      </c>
      <c r="CO302">
        <v>0</v>
      </c>
      <c r="CP302">
        <f t="shared" si="250"/>
        <v>1769.8200000000002</v>
      </c>
      <c r="CQ302">
        <f t="shared" si="251"/>
        <v>2.6895999999999995</v>
      </c>
      <c r="CR302">
        <f t="shared" si="252"/>
        <v>0</v>
      </c>
      <c r="CS302">
        <f t="shared" si="253"/>
        <v>0</v>
      </c>
      <c r="CT302">
        <f t="shared" si="254"/>
        <v>32.012799999999999</v>
      </c>
      <c r="CU302">
        <f t="shared" si="255"/>
        <v>0</v>
      </c>
      <c r="CV302">
        <f t="shared" si="256"/>
        <v>0.5</v>
      </c>
      <c r="CW302">
        <f t="shared" si="257"/>
        <v>0</v>
      </c>
      <c r="CX302">
        <f t="shared" si="258"/>
        <v>0</v>
      </c>
      <c r="CY302">
        <f t="shared" si="259"/>
        <v>1306.1199999999999</v>
      </c>
      <c r="CZ302">
        <f t="shared" si="260"/>
        <v>979.59</v>
      </c>
      <c r="DC302" t="s">
        <v>6</v>
      </c>
      <c r="DD302" t="s">
        <v>6</v>
      </c>
      <c r="DE302" t="s">
        <v>6</v>
      </c>
      <c r="DF302" t="s">
        <v>6</v>
      </c>
      <c r="DG302" t="s">
        <v>6</v>
      </c>
      <c r="DH302" t="s">
        <v>6</v>
      </c>
      <c r="DI302" t="s">
        <v>6</v>
      </c>
      <c r="DJ302" t="s">
        <v>6</v>
      </c>
      <c r="DK302" t="s">
        <v>6</v>
      </c>
      <c r="DL302" t="s">
        <v>6</v>
      </c>
      <c r="DM302" t="s">
        <v>6</v>
      </c>
      <c r="DN302">
        <v>0</v>
      </c>
      <c r="DO302">
        <v>0</v>
      </c>
      <c r="DP302">
        <v>1</v>
      </c>
      <c r="DQ302">
        <v>1</v>
      </c>
      <c r="DU302">
        <v>1013</v>
      </c>
      <c r="DV302" t="s">
        <v>242</v>
      </c>
      <c r="DW302" t="s">
        <v>242</v>
      </c>
      <c r="DX302">
        <v>1</v>
      </c>
      <c r="EE302">
        <v>16510417</v>
      </c>
      <c r="EF302">
        <v>3</v>
      </c>
      <c r="EG302" t="s">
        <v>591</v>
      </c>
      <c r="EH302">
        <v>0</v>
      </c>
      <c r="EI302" t="s">
        <v>6</v>
      </c>
      <c r="EJ302">
        <v>2</v>
      </c>
      <c r="EK302">
        <v>110011</v>
      </c>
      <c r="EL302" t="s">
        <v>648</v>
      </c>
      <c r="EM302" t="s">
        <v>649</v>
      </c>
      <c r="EO302" t="s">
        <v>6</v>
      </c>
      <c r="EQ302">
        <v>131072</v>
      </c>
      <c r="ER302">
        <v>5.29</v>
      </c>
      <c r="ES302">
        <v>0.41</v>
      </c>
      <c r="ET302">
        <v>0</v>
      </c>
      <c r="EU302">
        <v>0</v>
      </c>
      <c r="EV302">
        <v>4.88</v>
      </c>
      <c r="EW302">
        <v>0.5</v>
      </c>
      <c r="EX302">
        <v>0</v>
      </c>
      <c r="EY302">
        <v>0</v>
      </c>
      <c r="FQ302">
        <v>0</v>
      </c>
      <c r="FR302">
        <f t="shared" si="261"/>
        <v>0</v>
      </c>
      <c r="FS302">
        <v>0</v>
      </c>
      <c r="FX302">
        <v>80</v>
      </c>
      <c r="FY302">
        <v>60</v>
      </c>
      <c r="GA302" t="s">
        <v>6</v>
      </c>
      <c r="GD302">
        <v>0</v>
      </c>
      <c r="GF302">
        <v>287023441</v>
      </c>
      <c r="GG302">
        <v>1</v>
      </c>
      <c r="GH302">
        <v>1</v>
      </c>
      <c r="GI302">
        <v>4</v>
      </c>
      <c r="GJ302">
        <v>0</v>
      </c>
      <c r="GK302">
        <f>ROUND(R302*(R12)/100,2)</f>
        <v>0</v>
      </c>
      <c r="GL302">
        <f t="shared" si="262"/>
        <v>0</v>
      </c>
      <c r="GM302">
        <f t="shared" si="263"/>
        <v>4055.53</v>
      </c>
      <c r="GN302">
        <f t="shared" si="264"/>
        <v>0</v>
      </c>
      <c r="GO302">
        <f t="shared" si="265"/>
        <v>4055.53</v>
      </c>
      <c r="GP302">
        <f t="shared" si="266"/>
        <v>0</v>
      </c>
      <c r="GR302">
        <v>0</v>
      </c>
      <c r="GS302">
        <v>3</v>
      </c>
      <c r="GT302">
        <v>0</v>
      </c>
      <c r="GU302" t="s">
        <v>6</v>
      </c>
      <c r="GV302">
        <f t="shared" si="267"/>
        <v>0</v>
      </c>
      <c r="GW302">
        <v>1</v>
      </c>
      <c r="GX302">
        <f t="shared" si="268"/>
        <v>0</v>
      </c>
      <c r="HA302">
        <v>0</v>
      </c>
      <c r="HB302">
        <v>0</v>
      </c>
      <c r="IK302">
        <v>0</v>
      </c>
    </row>
    <row r="303" spans="1:245" x14ac:dyDescent="0.2">
      <c r="A303">
        <v>18</v>
      </c>
      <c r="B303">
        <v>1</v>
      </c>
      <c r="C303">
        <v>398</v>
      </c>
      <c r="E303" t="s">
        <v>650</v>
      </c>
      <c r="F303" t="s">
        <v>651</v>
      </c>
      <c r="G303" t="s">
        <v>652</v>
      </c>
      <c r="H303" t="s">
        <v>53</v>
      </c>
      <c r="I303">
        <f>I302*J303</f>
        <v>51</v>
      </c>
      <c r="J303">
        <v>1</v>
      </c>
      <c r="O303">
        <f t="shared" si="230"/>
        <v>2883.91</v>
      </c>
      <c r="P303">
        <f t="shared" si="231"/>
        <v>2883.91</v>
      </c>
      <c r="Q303">
        <f t="shared" si="232"/>
        <v>0</v>
      </c>
      <c r="R303">
        <f t="shared" si="233"/>
        <v>0</v>
      </c>
      <c r="S303">
        <f t="shared" si="234"/>
        <v>0</v>
      </c>
      <c r="T303">
        <f t="shared" si="235"/>
        <v>0</v>
      </c>
      <c r="U303">
        <f t="shared" si="236"/>
        <v>0</v>
      </c>
      <c r="V303">
        <f t="shared" si="237"/>
        <v>0</v>
      </c>
      <c r="W303">
        <f t="shared" si="238"/>
        <v>0</v>
      </c>
      <c r="X303">
        <f t="shared" si="239"/>
        <v>0</v>
      </c>
      <c r="Y303">
        <f t="shared" si="240"/>
        <v>0</v>
      </c>
      <c r="AA303">
        <v>16748969</v>
      </c>
      <c r="AB303">
        <f t="shared" si="241"/>
        <v>8.6199999999999992</v>
      </c>
      <c r="AC303">
        <f t="shared" si="242"/>
        <v>8.6199999999999992</v>
      </c>
      <c r="AD303">
        <f t="shared" si="243"/>
        <v>0</v>
      </c>
      <c r="AE303">
        <f t="shared" si="244"/>
        <v>0</v>
      </c>
      <c r="AF303">
        <f t="shared" si="245"/>
        <v>0</v>
      </c>
      <c r="AG303">
        <f t="shared" si="246"/>
        <v>0</v>
      </c>
      <c r="AH303">
        <f t="shared" si="247"/>
        <v>0</v>
      </c>
      <c r="AI303">
        <f t="shared" si="248"/>
        <v>0</v>
      </c>
      <c r="AJ303">
        <f t="shared" si="249"/>
        <v>0</v>
      </c>
      <c r="AK303">
        <v>8.6199999999999992</v>
      </c>
      <c r="AL303">
        <v>8.6199999999999992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80</v>
      </c>
      <c r="AU303">
        <v>60</v>
      </c>
      <c r="AV303">
        <v>1</v>
      </c>
      <c r="AW303">
        <v>1</v>
      </c>
      <c r="AZ303">
        <v>6.56</v>
      </c>
      <c r="BA303">
        <v>1</v>
      </c>
      <c r="BB303">
        <v>1</v>
      </c>
      <c r="BC303">
        <v>6.56</v>
      </c>
      <c r="BD303" t="s">
        <v>6</v>
      </c>
      <c r="BE303" t="s">
        <v>6</v>
      </c>
      <c r="BF303" t="s">
        <v>6</v>
      </c>
      <c r="BG303" t="s">
        <v>6</v>
      </c>
      <c r="BH303">
        <v>3</v>
      </c>
      <c r="BI303">
        <v>2</v>
      </c>
      <c r="BJ303" t="s">
        <v>653</v>
      </c>
      <c r="BM303">
        <v>110011</v>
      </c>
      <c r="BN303">
        <v>0</v>
      </c>
      <c r="BO303" t="s">
        <v>6</v>
      </c>
      <c r="BP303">
        <v>0</v>
      </c>
      <c r="BQ303">
        <v>3</v>
      </c>
      <c r="BR303">
        <v>0</v>
      </c>
      <c r="BS303">
        <v>1</v>
      </c>
      <c r="BT303">
        <v>1</v>
      </c>
      <c r="BU303">
        <v>1</v>
      </c>
      <c r="BV303">
        <v>1</v>
      </c>
      <c r="BW303">
        <v>1</v>
      </c>
      <c r="BX303">
        <v>1</v>
      </c>
      <c r="BY303" t="s">
        <v>6</v>
      </c>
      <c r="BZ303">
        <v>80</v>
      </c>
      <c r="CA303">
        <v>60</v>
      </c>
      <c r="CF303">
        <v>0</v>
      </c>
      <c r="CG303">
        <v>0</v>
      </c>
      <c r="CM303">
        <v>0</v>
      </c>
      <c r="CN303" t="s">
        <v>6</v>
      </c>
      <c r="CO303">
        <v>0</v>
      </c>
      <c r="CP303">
        <f t="shared" si="250"/>
        <v>2883.91</v>
      </c>
      <c r="CQ303">
        <f t="shared" si="251"/>
        <v>56.547199999999989</v>
      </c>
      <c r="CR303">
        <f t="shared" si="252"/>
        <v>0</v>
      </c>
      <c r="CS303">
        <f t="shared" si="253"/>
        <v>0</v>
      </c>
      <c r="CT303">
        <f t="shared" si="254"/>
        <v>0</v>
      </c>
      <c r="CU303">
        <f t="shared" si="255"/>
        <v>0</v>
      </c>
      <c r="CV303">
        <f t="shared" si="256"/>
        <v>0</v>
      </c>
      <c r="CW303">
        <f t="shared" si="257"/>
        <v>0</v>
      </c>
      <c r="CX303">
        <f t="shared" si="258"/>
        <v>0</v>
      </c>
      <c r="CY303">
        <f t="shared" si="259"/>
        <v>0</v>
      </c>
      <c r="CZ303">
        <f t="shared" si="260"/>
        <v>0</v>
      </c>
      <c r="DC303" t="s">
        <v>6</v>
      </c>
      <c r="DD303" t="s">
        <v>6</v>
      </c>
      <c r="DE303" t="s">
        <v>6</v>
      </c>
      <c r="DF303" t="s">
        <v>6</v>
      </c>
      <c r="DG303" t="s">
        <v>6</v>
      </c>
      <c r="DH303" t="s">
        <v>6</v>
      </c>
      <c r="DI303" t="s">
        <v>6</v>
      </c>
      <c r="DJ303" t="s">
        <v>6</v>
      </c>
      <c r="DK303" t="s">
        <v>6</v>
      </c>
      <c r="DL303" t="s">
        <v>6</v>
      </c>
      <c r="DM303" t="s">
        <v>6</v>
      </c>
      <c r="DN303">
        <v>0</v>
      </c>
      <c r="DO303">
        <v>0</v>
      </c>
      <c r="DP303">
        <v>1</v>
      </c>
      <c r="DQ303">
        <v>1</v>
      </c>
      <c r="DU303">
        <v>1010</v>
      </c>
      <c r="DV303" t="s">
        <v>53</v>
      </c>
      <c r="DW303" t="s">
        <v>53</v>
      </c>
      <c r="DX303">
        <v>1</v>
      </c>
      <c r="EE303">
        <v>16510417</v>
      </c>
      <c r="EF303">
        <v>3</v>
      </c>
      <c r="EG303" t="s">
        <v>591</v>
      </c>
      <c r="EH303">
        <v>0</v>
      </c>
      <c r="EI303" t="s">
        <v>6</v>
      </c>
      <c r="EJ303">
        <v>2</v>
      </c>
      <c r="EK303">
        <v>110011</v>
      </c>
      <c r="EL303" t="s">
        <v>648</v>
      </c>
      <c r="EM303" t="s">
        <v>649</v>
      </c>
      <c r="EO303" t="s">
        <v>6</v>
      </c>
      <c r="EQ303">
        <v>0</v>
      </c>
      <c r="ER303">
        <v>8.6199999999999992</v>
      </c>
      <c r="ES303">
        <v>8.6199999999999992</v>
      </c>
      <c r="ET303">
        <v>0</v>
      </c>
      <c r="EU303">
        <v>0</v>
      </c>
      <c r="EV303">
        <v>0</v>
      </c>
      <c r="EW303">
        <v>0</v>
      </c>
      <c r="EX303">
        <v>0</v>
      </c>
      <c r="FQ303">
        <v>0</v>
      </c>
      <c r="FR303">
        <f t="shared" si="261"/>
        <v>0</v>
      </c>
      <c r="FS303">
        <v>0</v>
      </c>
      <c r="FX303">
        <v>80</v>
      </c>
      <c r="FY303">
        <v>60</v>
      </c>
      <c r="GA303" t="s">
        <v>6</v>
      </c>
      <c r="GD303">
        <v>0</v>
      </c>
      <c r="GF303">
        <v>-1197549434</v>
      </c>
      <c r="GG303">
        <v>1</v>
      </c>
      <c r="GH303">
        <v>1</v>
      </c>
      <c r="GI303">
        <v>4</v>
      </c>
      <c r="GJ303">
        <v>0</v>
      </c>
      <c r="GK303">
        <f>ROUND(R303*(R12)/100,2)</f>
        <v>0</v>
      </c>
      <c r="GL303">
        <f t="shared" si="262"/>
        <v>0</v>
      </c>
      <c r="GM303">
        <f t="shared" si="263"/>
        <v>2883.91</v>
      </c>
      <c r="GN303">
        <f t="shared" si="264"/>
        <v>0</v>
      </c>
      <c r="GO303">
        <f t="shared" si="265"/>
        <v>2883.91</v>
      </c>
      <c r="GP303">
        <f t="shared" si="266"/>
        <v>0</v>
      </c>
      <c r="GR303">
        <v>0</v>
      </c>
      <c r="GS303">
        <v>3</v>
      </c>
      <c r="GT303">
        <v>0</v>
      </c>
      <c r="GU303" t="s">
        <v>6</v>
      </c>
      <c r="GV303">
        <f t="shared" si="267"/>
        <v>0</v>
      </c>
      <c r="GW303">
        <v>1</v>
      </c>
      <c r="GX303">
        <f t="shared" si="268"/>
        <v>0</v>
      </c>
      <c r="HA303">
        <v>0</v>
      </c>
      <c r="HB303">
        <v>0</v>
      </c>
      <c r="IK303">
        <v>0</v>
      </c>
    </row>
    <row r="304" spans="1:245" x14ac:dyDescent="0.2">
      <c r="A304">
        <v>17</v>
      </c>
      <c r="B304">
        <v>1</v>
      </c>
      <c r="C304">
        <f>ROW(SmtRes!A400)</f>
        <v>400</v>
      </c>
      <c r="D304">
        <f>ROW(EtalonRes!A377)</f>
        <v>377</v>
      </c>
      <c r="E304" t="s">
        <v>654</v>
      </c>
      <c r="F304" t="s">
        <v>655</v>
      </c>
      <c r="G304" t="s">
        <v>656</v>
      </c>
      <c r="H304" t="s">
        <v>46</v>
      </c>
      <c r="I304">
        <f>ROUND(11/100,9)</f>
        <v>0.11</v>
      </c>
      <c r="J304">
        <v>0</v>
      </c>
      <c r="O304">
        <f t="shared" si="230"/>
        <v>33.79</v>
      </c>
      <c r="P304">
        <f t="shared" si="231"/>
        <v>0</v>
      </c>
      <c r="Q304">
        <f t="shared" si="232"/>
        <v>0</v>
      </c>
      <c r="R304">
        <f t="shared" si="233"/>
        <v>0</v>
      </c>
      <c r="S304">
        <f t="shared" si="234"/>
        <v>33.79</v>
      </c>
      <c r="T304">
        <f t="shared" si="235"/>
        <v>0</v>
      </c>
      <c r="U304">
        <f t="shared" si="236"/>
        <v>0.60389999999999999</v>
      </c>
      <c r="V304">
        <f t="shared" si="237"/>
        <v>0</v>
      </c>
      <c r="W304">
        <f t="shared" si="238"/>
        <v>0</v>
      </c>
      <c r="X304">
        <f t="shared" si="239"/>
        <v>26.36</v>
      </c>
      <c r="Y304">
        <f t="shared" si="240"/>
        <v>16.899999999999999</v>
      </c>
      <c r="AA304">
        <v>16748969</v>
      </c>
      <c r="AB304">
        <f t="shared" si="241"/>
        <v>46.83</v>
      </c>
      <c r="AC304">
        <f t="shared" si="242"/>
        <v>0</v>
      </c>
      <c r="AD304">
        <f t="shared" si="243"/>
        <v>0</v>
      </c>
      <c r="AE304">
        <f t="shared" si="244"/>
        <v>0</v>
      </c>
      <c r="AF304">
        <f t="shared" si="245"/>
        <v>46.83</v>
      </c>
      <c r="AG304">
        <f t="shared" si="246"/>
        <v>0</v>
      </c>
      <c r="AH304">
        <f t="shared" si="247"/>
        <v>5.49</v>
      </c>
      <c r="AI304">
        <f t="shared" si="248"/>
        <v>0</v>
      </c>
      <c r="AJ304">
        <f t="shared" si="249"/>
        <v>0</v>
      </c>
      <c r="AK304">
        <v>46.83</v>
      </c>
      <c r="AL304">
        <v>0</v>
      </c>
      <c r="AM304">
        <v>0</v>
      </c>
      <c r="AN304">
        <v>0</v>
      </c>
      <c r="AO304">
        <v>46.83</v>
      </c>
      <c r="AP304">
        <v>0</v>
      </c>
      <c r="AQ304">
        <v>5.49</v>
      </c>
      <c r="AR304">
        <v>0</v>
      </c>
      <c r="AS304">
        <v>0</v>
      </c>
      <c r="AT304">
        <v>78</v>
      </c>
      <c r="AU304">
        <v>50</v>
      </c>
      <c r="AV304">
        <v>1</v>
      </c>
      <c r="AW304">
        <v>1</v>
      </c>
      <c r="AZ304">
        <v>6.56</v>
      </c>
      <c r="BA304">
        <v>6.56</v>
      </c>
      <c r="BB304">
        <v>6.56</v>
      </c>
      <c r="BC304">
        <v>6.56</v>
      </c>
      <c r="BD304" t="s">
        <v>6</v>
      </c>
      <c r="BE304" t="s">
        <v>6</v>
      </c>
      <c r="BF304" t="s">
        <v>6</v>
      </c>
      <c r="BG304" t="s">
        <v>6</v>
      </c>
      <c r="BH304">
        <v>0</v>
      </c>
      <c r="BI304">
        <v>1</v>
      </c>
      <c r="BJ304" t="s">
        <v>657</v>
      </c>
      <c r="BM304">
        <v>69001</v>
      </c>
      <c r="BN304">
        <v>0</v>
      </c>
      <c r="BO304" t="s">
        <v>6</v>
      </c>
      <c r="BP304">
        <v>0</v>
      </c>
      <c r="BQ304">
        <v>6</v>
      </c>
      <c r="BR304">
        <v>0</v>
      </c>
      <c r="BS304">
        <v>6.56</v>
      </c>
      <c r="BT304">
        <v>1</v>
      </c>
      <c r="BU304">
        <v>1</v>
      </c>
      <c r="BV304">
        <v>1</v>
      </c>
      <c r="BW304">
        <v>1</v>
      </c>
      <c r="BX304">
        <v>1</v>
      </c>
      <c r="BY304" t="s">
        <v>6</v>
      </c>
      <c r="BZ304">
        <v>78</v>
      </c>
      <c r="CA304">
        <v>50</v>
      </c>
      <c r="CF304">
        <v>0</v>
      </c>
      <c r="CG304">
        <v>0</v>
      </c>
      <c r="CM304">
        <v>0</v>
      </c>
      <c r="CN304" t="s">
        <v>6</v>
      </c>
      <c r="CO304">
        <v>0</v>
      </c>
      <c r="CP304">
        <f t="shared" si="250"/>
        <v>33.79</v>
      </c>
      <c r="CQ304">
        <f t="shared" si="251"/>
        <v>0</v>
      </c>
      <c r="CR304">
        <f t="shared" si="252"/>
        <v>0</v>
      </c>
      <c r="CS304">
        <f t="shared" si="253"/>
        <v>0</v>
      </c>
      <c r="CT304">
        <f t="shared" si="254"/>
        <v>307.20479999999998</v>
      </c>
      <c r="CU304">
        <f t="shared" si="255"/>
        <v>0</v>
      </c>
      <c r="CV304">
        <f t="shared" si="256"/>
        <v>5.49</v>
      </c>
      <c r="CW304">
        <f t="shared" si="257"/>
        <v>0</v>
      </c>
      <c r="CX304">
        <f t="shared" si="258"/>
        <v>0</v>
      </c>
      <c r="CY304">
        <f t="shared" si="259"/>
        <v>26.356199999999998</v>
      </c>
      <c r="CZ304">
        <f t="shared" si="260"/>
        <v>16.895</v>
      </c>
      <c r="DC304" t="s">
        <v>6</v>
      </c>
      <c r="DD304" t="s">
        <v>6</v>
      </c>
      <c r="DE304" t="s">
        <v>6</v>
      </c>
      <c r="DF304" t="s">
        <v>6</v>
      </c>
      <c r="DG304" t="s">
        <v>6</v>
      </c>
      <c r="DH304" t="s">
        <v>6</v>
      </c>
      <c r="DI304" t="s">
        <v>6</v>
      </c>
      <c r="DJ304" t="s">
        <v>6</v>
      </c>
      <c r="DK304" t="s">
        <v>6</v>
      </c>
      <c r="DL304" t="s">
        <v>6</v>
      </c>
      <c r="DM304" t="s">
        <v>6</v>
      </c>
      <c r="DN304">
        <v>0</v>
      </c>
      <c r="DO304">
        <v>0</v>
      </c>
      <c r="DP304">
        <v>1</v>
      </c>
      <c r="DQ304">
        <v>1</v>
      </c>
      <c r="DU304">
        <v>1013</v>
      </c>
      <c r="DV304" t="s">
        <v>46</v>
      </c>
      <c r="DW304" t="s">
        <v>46</v>
      </c>
      <c r="DX304">
        <v>1</v>
      </c>
      <c r="EE304">
        <v>16510614</v>
      </c>
      <c r="EF304">
        <v>6</v>
      </c>
      <c r="EG304" t="s">
        <v>36</v>
      </c>
      <c r="EH304">
        <v>0</v>
      </c>
      <c r="EI304" t="s">
        <v>6</v>
      </c>
      <c r="EJ304">
        <v>1</v>
      </c>
      <c r="EK304">
        <v>69001</v>
      </c>
      <c r="EL304" t="s">
        <v>553</v>
      </c>
      <c r="EM304" t="s">
        <v>554</v>
      </c>
      <c r="EO304" t="s">
        <v>6</v>
      </c>
      <c r="EQ304">
        <v>131072</v>
      </c>
      <c r="ER304">
        <v>46.83</v>
      </c>
      <c r="ES304">
        <v>0</v>
      </c>
      <c r="ET304">
        <v>0</v>
      </c>
      <c r="EU304">
        <v>0</v>
      </c>
      <c r="EV304">
        <v>46.83</v>
      </c>
      <c r="EW304">
        <v>5.49</v>
      </c>
      <c r="EX304">
        <v>0</v>
      </c>
      <c r="EY304">
        <v>0</v>
      </c>
      <c r="FQ304">
        <v>0</v>
      </c>
      <c r="FR304">
        <f t="shared" si="261"/>
        <v>0</v>
      </c>
      <c r="FS304">
        <v>0</v>
      </c>
      <c r="FX304">
        <v>78</v>
      </c>
      <c r="FY304">
        <v>50</v>
      </c>
      <c r="GA304" t="s">
        <v>6</v>
      </c>
      <c r="GD304">
        <v>0</v>
      </c>
      <c r="GF304">
        <v>-746968197</v>
      </c>
      <c r="GG304">
        <v>1</v>
      </c>
      <c r="GH304">
        <v>1</v>
      </c>
      <c r="GI304">
        <v>4</v>
      </c>
      <c r="GJ304">
        <v>0</v>
      </c>
      <c r="GK304">
        <f>ROUND(R304*(R12)/100,2)</f>
        <v>0</v>
      </c>
      <c r="GL304">
        <f t="shared" si="262"/>
        <v>0</v>
      </c>
      <c r="GM304">
        <f t="shared" si="263"/>
        <v>77.05</v>
      </c>
      <c r="GN304">
        <f t="shared" si="264"/>
        <v>77.05</v>
      </c>
      <c r="GO304">
        <f t="shared" si="265"/>
        <v>0</v>
      </c>
      <c r="GP304">
        <f t="shared" si="266"/>
        <v>0</v>
      </c>
      <c r="GR304">
        <v>0</v>
      </c>
      <c r="GS304">
        <v>3</v>
      </c>
      <c r="GT304">
        <v>0</v>
      </c>
      <c r="GU304" t="s">
        <v>6</v>
      </c>
      <c r="GV304">
        <f t="shared" si="267"/>
        <v>0</v>
      </c>
      <c r="GW304">
        <v>1</v>
      </c>
      <c r="GX304">
        <f t="shared" si="268"/>
        <v>0</v>
      </c>
      <c r="HA304">
        <v>0</v>
      </c>
      <c r="HB304">
        <v>0</v>
      </c>
      <c r="IK304">
        <v>0</v>
      </c>
    </row>
    <row r="305" spans="1:245" x14ac:dyDescent="0.2">
      <c r="A305">
        <v>17</v>
      </c>
      <c r="B305">
        <v>1</v>
      </c>
      <c r="C305">
        <f>ROW(SmtRes!A411)</f>
        <v>411</v>
      </c>
      <c r="D305">
        <f>ROW(EtalonRes!A387)</f>
        <v>387</v>
      </c>
      <c r="E305" t="s">
        <v>658</v>
      </c>
      <c r="F305" t="s">
        <v>659</v>
      </c>
      <c r="G305" t="s">
        <v>660</v>
      </c>
      <c r="H305" t="s">
        <v>34</v>
      </c>
      <c r="I305">
        <f>ROUND(6.6/100,9)</f>
        <v>6.6000000000000003E-2</v>
      </c>
      <c r="J305">
        <v>0</v>
      </c>
      <c r="O305">
        <f t="shared" si="230"/>
        <v>108.64</v>
      </c>
      <c r="P305">
        <f t="shared" si="231"/>
        <v>37.99</v>
      </c>
      <c r="Q305">
        <f t="shared" si="232"/>
        <v>8.4600000000000009</v>
      </c>
      <c r="R305">
        <f t="shared" si="233"/>
        <v>1.2</v>
      </c>
      <c r="S305">
        <f t="shared" si="234"/>
        <v>62.19</v>
      </c>
      <c r="T305">
        <f t="shared" si="235"/>
        <v>0</v>
      </c>
      <c r="U305">
        <f t="shared" si="236"/>
        <v>1.00848</v>
      </c>
      <c r="V305">
        <f t="shared" si="237"/>
        <v>1.452E-2</v>
      </c>
      <c r="W305">
        <f t="shared" si="238"/>
        <v>0</v>
      </c>
      <c r="X305">
        <f t="shared" si="239"/>
        <v>60.22</v>
      </c>
      <c r="Y305">
        <f t="shared" si="240"/>
        <v>41.2</v>
      </c>
      <c r="AA305">
        <v>16748969</v>
      </c>
      <c r="AB305">
        <f t="shared" si="241"/>
        <v>250.92</v>
      </c>
      <c r="AC305">
        <f t="shared" si="242"/>
        <v>87.74</v>
      </c>
      <c r="AD305">
        <f t="shared" si="243"/>
        <v>19.55</v>
      </c>
      <c r="AE305">
        <f t="shared" si="244"/>
        <v>2.77</v>
      </c>
      <c r="AF305">
        <f t="shared" si="245"/>
        <v>143.63</v>
      </c>
      <c r="AG305">
        <f t="shared" si="246"/>
        <v>0</v>
      </c>
      <c r="AH305">
        <f t="shared" si="247"/>
        <v>15.28</v>
      </c>
      <c r="AI305">
        <f t="shared" si="248"/>
        <v>0.22</v>
      </c>
      <c r="AJ305">
        <f t="shared" si="249"/>
        <v>0</v>
      </c>
      <c r="AK305">
        <v>250.92</v>
      </c>
      <c r="AL305">
        <v>87.74</v>
      </c>
      <c r="AM305">
        <v>19.55</v>
      </c>
      <c r="AN305">
        <v>2.77</v>
      </c>
      <c r="AO305">
        <v>143.63</v>
      </c>
      <c r="AP305">
        <v>0</v>
      </c>
      <c r="AQ305">
        <v>15.28</v>
      </c>
      <c r="AR305">
        <v>0.22</v>
      </c>
      <c r="AS305">
        <v>0</v>
      </c>
      <c r="AT305">
        <v>95</v>
      </c>
      <c r="AU305">
        <v>65</v>
      </c>
      <c r="AV305">
        <v>1</v>
      </c>
      <c r="AW305">
        <v>1</v>
      </c>
      <c r="AZ305">
        <v>6.56</v>
      </c>
      <c r="BA305">
        <v>6.56</v>
      </c>
      <c r="BB305">
        <v>6.56</v>
      </c>
      <c r="BC305">
        <v>6.56</v>
      </c>
      <c r="BD305" t="s">
        <v>6</v>
      </c>
      <c r="BE305" t="s">
        <v>6</v>
      </c>
      <c r="BF305" t="s">
        <v>6</v>
      </c>
      <c r="BG305" t="s">
        <v>6</v>
      </c>
      <c r="BH305">
        <v>0</v>
      </c>
      <c r="BI305">
        <v>2</v>
      </c>
      <c r="BJ305" t="s">
        <v>661</v>
      </c>
      <c r="BM305">
        <v>108001</v>
      </c>
      <c r="BN305">
        <v>0</v>
      </c>
      <c r="BO305" t="s">
        <v>6</v>
      </c>
      <c r="BP305">
        <v>0</v>
      </c>
      <c r="BQ305">
        <v>3</v>
      </c>
      <c r="BR305">
        <v>0</v>
      </c>
      <c r="BS305">
        <v>6.56</v>
      </c>
      <c r="BT305">
        <v>1</v>
      </c>
      <c r="BU305">
        <v>1</v>
      </c>
      <c r="BV305">
        <v>1</v>
      </c>
      <c r="BW305">
        <v>1</v>
      </c>
      <c r="BX305">
        <v>1</v>
      </c>
      <c r="BY305" t="s">
        <v>6</v>
      </c>
      <c r="BZ305">
        <v>95</v>
      </c>
      <c r="CA305">
        <v>65</v>
      </c>
      <c r="CF305">
        <v>0</v>
      </c>
      <c r="CG305">
        <v>0</v>
      </c>
      <c r="CM305">
        <v>0</v>
      </c>
      <c r="CN305" t="s">
        <v>6</v>
      </c>
      <c r="CO305">
        <v>0</v>
      </c>
      <c r="CP305">
        <f t="shared" si="250"/>
        <v>108.64</v>
      </c>
      <c r="CQ305">
        <f t="shared" si="251"/>
        <v>575.57439999999997</v>
      </c>
      <c r="CR305">
        <f t="shared" si="252"/>
        <v>128.24799999999999</v>
      </c>
      <c r="CS305">
        <f t="shared" si="253"/>
        <v>18.171199999999999</v>
      </c>
      <c r="CT305">
        <f t="shared" si="254"/>
        <v>942.2127999999999</v>
      </c>
      <c r="CU305">
        <f t="shared" si="255"/>
        <v>0</v>
      </c>
      <c r="CV305">
        <f t="shared" si="256"/>
        <v>15.28</v>
      </c>
      <c r="CW305">
        <f t="shared" si="257"/>
        <v>0.22</v>
      </c>
      <c r="CX305">
        <f t="shared" si="258"/>
        <v>0</v>
      </c>
      <c r="CY305">
        <f t="shared" si="259"/>
        <v>60.220500000000001</v>
      </c>
      <c r="CZ305">
        <f t="shared" si="260"/>
        <v>41.203500000000005</v>
      </c>
      <c r="DC305" t="s">
        <v>6</v>
      </c>
      <c r="DD305" t="s">
        <v>6</v>
      </c>
      <c r="DE305" t="s">
        <v>6</v>
      </c>
      <c r="DF305" t="s">
        <v>6</v>
      </c>
      <c r="DG305" t="s">
        <v>6</v>
      </c>
      <c r="DH305" t="s">
        <v>6</v>
      </c>
      <c r="DI305" t="s">
        <v>6</v>
      </c>
      <c r="DJ305" t="s">
        <v>6</v>
      </c>
      <c r="DK305" t="s">
        <v>6</v>
      </c>
      <c r="DL305" t="s">
        <v>6</v>
      </c>
      <c r="DM305" t="s">
        <v>6</v>
      </c>
      <c r="DN305">
        <v>0</v>
      </c>
      <c r="DO305">
        <v>0</v>
      </c>
      <c r="DP305">
        <v>1</v>
      </c>
      <c r="DQ305">
        <v>1</v>
      </c>
      <c r="DU305">
        <v>1003</v>
      </c>
      <c r="DV305" t="s">
        <v>34</v>
      </c>
      <c r="DW305" t="s">
        <v>34</v>
      </c>
      <c r="DX305">
        <v>100</v>
      </c>
      <c r="EE305">
        <v>16510370</v>
      </c>
      <c r="EF305">
        <v>3</v>
      </c>
      <c r="EG305" t="s">
        <v>591</v>
      </c>
      <c r="EH305">
        <v>0</v>
      </c>
      <c r="EI305" t="s">
        <v>6</v>
      </c>
      <c r="EJ305">
        <v>2</v>
      </c>
      <c r="EK305">
        <v>108001</v>
      </c>
      <c r="EL305" t="s">
        <v>592</v>
      </c>
      <c r="EM305" t="s">
        <v>593</v>
      </c>
      <c r="EO305" t="s">
        <v>6</v>
      </c>
      <c r="EQ305">
        <v>131072</v>
      </c>
      <c r="ER305">
        <v>250.92</v>
      </c>
      <c r="ES305">
        <v>87.74</v>
      </c>
      <c r="ET305">
        <v>19.55</v>
      </c>
      <c r="EU305">
        <v>2.77</v>
      </c>
      <c r="EV305">
        <v>143.63</v>
      </c>
      <c r="EW305">
        <v>15.28</v>
      </c>
      <c r="EX305">
        <v>0.22</v>
      </c>
      <c r="EY305">
        <v>0</v>
      </c>
      <c r="FQ305">
        <v>0</v>
      </c>
      <c r="FR305">
        <f t="shared" si="261"/>
        <v>0</v>
      </c>
      <c r="FS305">
        <v>0</v>
      </c>
      <c r="FX305">
        <v>95</v>
      </c>
      <c r="FY305">
        <v>65</v>
      </c>
      <c r="GA305" t="s">
        <v>6</v>
      </c>
      <c r="GD305">
        <v>0</v>
      </c>
      <c r="GF305">
        <v>-137810929</v>
      </c>
      <c r="GG305">
        <v>1</v>
      </c>
      <c r="GH305">
        <v>1</v>
      </c>
      <c r="GI305">
        <v>4</v>
      </c>
      <c r="GJ305">
        <v>0</v>
      </c>
      <c r="GK305">
        <f>ROUND(R305*(R12)/100,2)</f>
        <v>0</v>
      </c>
      <c r="GL305">
        <f t="shared" si="262"/>
        <v>0</v>
      </c>
      <c r="GM305">
        <f t="shared" si="263"/>
        <v>210.06</v>
      </c>
      <c r="GN305">
        <f t="shared" si="264"/>
        <v>0</v>
      </c>
      <c r="GO305">
        <f t="shared" si="265"/>
        <v>210.06</v>
      </c>
      <c r="GP305">
        <f t="shared" si="266"/>
        <v>0</v>
      </c>
      <c r="GR305">
        <v>0</v>
      </c>
      <c r="GS305">
        <v>3</v>
      </c>
      <c r="GT305">
        <v>0</v>
      </c>
      <c r="GU305" t="s">
        <v>6</v>
      </c>
      <c r="GV305">
        <f t="shared" si="267"/>
        <v>0</v>
      </c>
      <c r="GW305">
        <v>1</v>
      </c>
      <c r="GX305">
        <f t="shared" si="268"/>
        <v>0</v>
      </c>
      <c r="HA305">
        <v>0</v>
      </c>
      <c r="HB305">
        <v>0</v>
      </c>
      <c r="IK305">
        <v>0</v>
      </c>
    </row>
    <row r="306" spans="1:245" x14ac:dyDescent="0.2">
      <c r="A306">
        <v>18</v>
      </c>
      <c r="B306">
        <v>1</v>
      </c>
      <c r="C306">
        <v>410</v>
      </c>
      <c r="E306" t="s">
        <v>662</v>
      </c>
      <c r="F306" t="s">
        <v>663</v>
      </c>
      <c r="G306" t="s">
        <v>664</v>
      </c>
      <c r="H306" t="s">
        <v>632</v>
      </c>
      <c r="I306">
        <f>I305*J306</f>
        <v>0.66</v>
      </c>
      <c r="J306">
        <v>10</v>
      </c>
      <c r="O306">
        <f t="shared" si="230"/>
        <v>344.07</v>
      </c>
      <c r="P306">
        <f t="shared" si="231"/>
        <v>344.07</v>
      </c>
      <c r="Q306">
        <f t="shared" si="232"/>
        <v>0</v>
      </c>
      <c r="R306">
        <f t="shared" si="233"/>
        <v>0</v>
      </c>
      <c r="S306">
        <f t="shared" si="234"/>
        <v>0</v>
      </c>
      <c r="T306">
        <f t="shared" si="235"/>
        <v>0</v>
      </c>
      <c r="U306">
        <f t="shared" si="236"/>
        <v>0</v>
      </c>
      <c r="V306">
        <f t="shared" si="237"/>
        <v>0</v>
      </c>
      <c r="W306">
        <f t="shared" si="238"/>
        <v>0</v>
      </c>
      <c r="X306">
        <f t="shared" si="239"/>
        <v>0</v>
      </c>
      <c r="Y306">
        <f t="shared" si="240"/>
        <v>0</v>
      </c>
      <c r="AA306">
        <v>16748969</v>
      </c>
      <c r="AB306">
        <f t="shared" si="241"/>
        <v>79.47</v>
      </c>
      <c r="AC306">
        <f t="shared" si="242"/>
        <v>79.47</v>
      </c>
      <c r="AD306">
        <f t="shared" si="243"/>
        <v>0</v>
      </c>
      <c r="AE306">
        <f t="shared" si="244"/>
        <v>0</v>
      </c>
      <c r="AF306">
        <f t="shared" si="245"/>
        <v>0</v>
      </c>
      <c r="AG306">
        <f t="shared" si="246"/>
        <v>0</v>
      </c>
      <c r="AH306">
        <f t="shared" si="247"/>
        <v>0</v>
      </c>
      <c r="AI306">
        <f t="shared" si="248"/>
        <v>0</v>
      </c>
      <c r="AJ306">
        <f t="shared" si="249"/>
        <v>0</v>
      </c>
      <c r="AK306">
        <v>79.47</v>
      </c>
      <c r="AL306">
        <v>79.47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  <c r="AS306">
        <v>0</v>
      </c>
      <c r="AT306">
        <v>95</v>
      </c>
      <c r="AU306">
        <v>65</v>
      </c>
      <c r="AV306">
        <v>1</v>
      </c>
      <c r="AW306">
        <v>1</v>
      </c>
      <c r="AZ306">
        <v>6.56</v>
      </c>
      <c r="BA306">
        <v>1</v>
      </c>
      <c r="BB306">
        <v>1</v>
      </c>
      <c r="BC306">
        <v>6.56</v>
      </c>
      <c r="BD306" t="s">
        <v>6</v>
      </c>
      <c r="BE306" t="s">
        <v>6</v>
      </c>
      <c r="BF306" t="s">
        <v>6</v>
      </c>
      <c r="BG306" t="s">
        <v>6</v>
      </c>
      <c r="BH306">
        <v>3</v>
      </c>
      <c r="BI306">
        <v>2</v>
      </c>
      <c r="BJ306" t="s">
        <v>665</v>
      </c>
      <c r="BM306">
        <v>108001</v>
      </c>
      <c r="BN306">
        <v>0</v>
      </c>
      <c r="BO306" t="s">
        <v>6</v>
      </c>
      <c r="BP306">
        <v>0</v>
      </c>
      <c r="BQ306">
        <v>3</v>
      </c>
      <c r="BR306">
        <v>0</v>
      </c>
      <c r="BS306">
        <v>1</v>
      </c>
      <c r="BT306">
        <v>1</v>
      </c>
      <c r="BU306">
        <v>1</v>
      </c>
      <c r="BV306">
        <v>1</v>
      </c>
      <c r="BW306">
        <v>1</v>
      </c>
      <c r="BX306">
        <v>1</v>
      </c>
      <c r="BY306" t="s">
        <v>6</v>
      </c>
      <c r="BZ306">
        <v>95</v>
      </c>
      <c r="CA306">
        <v>65</v>
      </c>
      <c r="CF306">
        <v>0</v>
      </c>
      <c r="CG306">
        <v>0</v>
      </c>
      <c r="CM306">
        <v>0</v>
      </c>
      <c r="CN306" t="s">
        <v>6</v>
      </c>
      <c r="CO306">
        <v>0</v>
      </c>
      <c r="CP306">
        <f t="shared" si="250"/>
        <v>344.07</v>
      </c>
      <c r="CQ306">
        <f t="shared" si="251"/>
        <v>521.32319999999993</v>
      </c>
      <c r="CR306">
        <f t="shared" si="252"/>
        <v>0</v>
      </c>
      <c r="CS306">
        <f t="shared" si="253"/>
        <v>0</v>
      </c>
      <c r="CT306">
        <f t="shared" si="254"/>
        <v>0</v>
      </c>
      <c r="CU306">
        <f t="shared" si="255"/>
        <v>0</v>
      </c>
      <c r="CV306">
        <f t="shared" si="256"/>
        <v>0</v>
      </c>
      <c r="CW306">
        <f t="shared" si="257"/>
        <v>0</v>
      </c>
      <c r="CX306">
        <f t="shared" si="258"/>
        <v>0</v>
      </c>
      <c r="CY306">
        <f t="shared" si="259"/>
        <v>0</v>
      </c>
      <c r="CZ306">
        <f t="shared" si="260"/>
        <v>0</v>
      </c>
      <c r="DC306" t="s">
        <v>6</v>
      </c>
      <c r="DD306" t="s">
        <v>6</v>
      </c>
      <c r="DE306" t="s">
        <v>6</v>
      </c>
      <c r="DF306" t="s">
        <v>6</v>
      </c>
      <c r="DG306" t="s">
        <v>6</v>
      </c>
      <c r="DH306" t="s">
        <v>6</v>
      </c>
      <c r="DI306" t="s">
        <v>6</v>
      </c>
      <c r="DJ306" t="s">
        <v>6</v>
      </c>
      <c r="DK306" t="s">
        <v>6</v>
      </c>
      <c r="DL306" t="s">
        <v>6</v>
      </c>
      <c r="DM306" t="s">
        <v>6</v>
      </c>
      <c r="DN306">
        <v>0</v>
      </c>
      <c r="DO306">
        <v>0</v>
      </c>
      <c r="DP306">
        <v>1</v>
      </c>
      <c r="DQ306">
        <v>1</v>
      </c>
      <c r="DU306">
        <v>1003</v>
      </c>
      <c r="DV306" t="s">
        <v>632</v>
      </c>
      <c r="DW306" t="s">
        <v>632</v>
      </c>
      <c r="DX306">
        <v>10</v>
      </c>
      <c r="EE306">
        <v>16510370</v>
      </c>
      <c r="EF306">
        <v>3</v>
      </c>
      <c r="EG306" t="s">
        <v>591</v>
      </c>
      <c r="EH306">
        <v>0</v>
      </c>
      <c r="EI306" t="s">
        <v>6</v>
      </c>
      <c r="EJ306">
        <v>2</v>
      </c>
      <c r="EK306">
        <v>108001</v>
      </c>
      <c r="EL306" t="s">
        <v>592</v>
      </c>
      <c r="EM306" t="s">
        <v>593</v>
      </c>
      <c r="EO306" t="s">
        <v>6</v>
      </c>
      <c r="EQ306">
        <v>0</v>
      </c>
      <c r="ER306">
        <v>79.47</v>
      </c>
      <c r="ES306">
        <v>79.47</v>
      </c>
      <c r="ET306">
        <v>0</v>
      </c>
      <c r="EU306">
        <v>0</v>
      </c>
      <c r="EV306">
        <v>0</v>
      </c>
      <c r="EW306">
        <v>0</v>
      </c>
      <c r="EX306">
        <v>0</v>
      </c>
      <c r="FQ306">
        <v>0</v>
      </c>
      <c r="FR306">
        <f t="shared" si="261"/>
        <v>0</v>
      </c>
      <c r="FS306">
        <v>0</v>
      </c>
      <c r="FX306">
        <v>95</v>
      </c>
      <c r="FY306">
        <v>65</v>
      </c>
      <c r="GA306" t="s">
        <v>6</v>
      </c>
      <c r="GD306">
        <v>0</v>
      </c>
      <c r="GF306">
        <v>1974421767</v>
      </c>
      <c r="GG306">
        <v>1</v>
      </c>
      <c r="GH306">
        <v>1</v>
      </c>
      <c r="GI306">
        <v>4</v>
      </c>
      <c r="GJ306">
        <v>0</v>
      </c>
      <c r="GK306">
        <f>ROUND(R306*(R12)/100,2)</f>
        <v>0</v>
      </c>
      <c r="GL306">
        <f t="shared" si="262"/>
        <v>0</v>
      </c>
      <c r="GM306">
        <f t="shared" si="263"/>
        <v>344.07</v>
      </c>
      <c r="GN306">
        <f t="shared" si="264"/>
        <v>0</v>
      </c>
      <c r="GO306">
        <f t="shared" si="265"/>
        <v>344.07</v>
      </c>
      <c r="GP306">
        <f t="shared" si="266"/>
        <v>0</v>
      </c>
      <c r="GR306">
        <v>0</v>
      </c>
      <c r="GS306">
        <v>3</v>
      </c>
      <c r="GT306">
        <v>0</v>
      </c>
      <c r="GU306" t="s">
        <v>6</v>
      </c>
      <c r="GV306">
        <f t="shared" si="267"/>
        <v>0</v>
      </c>
      <c r="GW306">
        <v>1</v>
      </c>
      <c r="GX306">
        <f t="shared" si="268"/>
        <v>0</v>
      </c>
      <c r="HA306">
        <v>0</v>
      </c>
      <c r="HB306">
        <v>0</v>
      </c>
      <c r="IK306">
        <v>0</v>
      </c>
    </row>
    <row r="307" spans="1:245" x14ac:dyDescent="0.2">
      <c r="A307">
        <v>17</v>
      </c>
      <c r="B307">
        <v>1</v>
      </c>
      <c r="C307">
        <f>ROW(SmtRes!A420)</f>
        <v>420</v>
      </c>
      <c r="D307">
        <f>ROW(EtalonRes!A395)</f>
        <v>395</v>
      </c>
      <c r="E307" t="s">
        <v>666</v>
      </c>
      <c r="F307" t="s">
        <v>596</v>
      </c>
      <c r="G307" t="s">
        <v>667</v>
      </c>
      <c r="H307" t="s">
        <v>242</v>
      </c>
      <c r="I307">
        <v>1</v>
      </c>
      <c r="J307">
        <v>0</v>
      </c>
      <c r="O307">
        <f t="shared" si="230"/>
        <v>219.23</v>
      </c>
      <c r="P307">
        <f t="shared" si="231"/>
        <v>40.67</v>
      </c>
      <c r="Q307">
        <f t="shared" si="232"/>
        <v>116.57</v>
      </c>
      <c r="R307">
        <f t="shared" si="233"/>
        <v>16.47</v>
      </c>
      <c r="S307">
        <f t="shared" si="234"/>
        <v>61.99</v>
      </c>
      <c r="T307">
        <f t="shared" si="235"/>
        <v>0</v>
      </c>
      <c r="U307">
        <f t="shared" si="236"/>
        <v>0.9</v>
      </c>
      <c r="V307">
        <f t="shared" si="237"/>
        <v>0.2</v>
      </c>
      <c r="W307">
        <f t="shared" si="238"/>
        <v>0</v>
      </c>
      <c r="X307">
        <f t="shared" si="239"/>
        <v>74.540000000000006</v>
      </c>
      <c r="Y307">
        <f t="shared" si="240"/>
        <v>51</v>
      </c>
      <c r="AA307">
        <v>16748969</v>
      </c>
      <c r="AB307">
        <f t="shared" si="241"/>
        <v>33.42</v>
      </c>
      <c r="AC307">
        <f t="shared" si="242"/>
        <v>6.2</v>
      </c>
      <c r="AD307">
        <f t="shared" si="243"/>
        <v>17.77</v>
      </c>
      <c r="AE307">
        <f t="shared" si="244"/>
        <v>2.5099999999999998</v>
      </c>
      <c r="AF307">
        <f t="shared" si="245"/>
        <v>9.4499999999999993</v>
      </c>
      <c r="AG307">
        <f t="shared" si="246"/>
        <v>0</v>
      </c>
      <c r="AH307">
        <f t="shared" si="247"/>
        <v>0.9</v>
      </c>
      <c r="AI307">
        <f t="shared" si="248"/>
        <v>0.2</v>
      </c>
      <c r="AJ307">
        <f t="shared" si="249"/>
        <v>0</v>
      </c>
      <c r="AK307">
        <v>33.42</v>
      </c>
      <c r="AL307">
        <v>6.2</v>
      </c>
      <c r="AM307">
        <v>17.77</v>
      </c>
      <c r="AN307">
        <v>2.5099999999999998</v>
      </c>
      <c r="AO307">
        <v>9.4499999999999993</v>
      </c>
      <c r="AP307">
        <v>0</v>
      </c>
      <c r="AQ307">
        <v>0.9</v>
      </c>
      <c r="AR307">
        <v>0.2</v>
      </c>
      <c r="AS307">
        <v>0</v>
      </c>
      <c r="AT307">
        <v>95</v>
      </c>
      <c r="AU307">
        <v>65</v>
      </c>
      <c r="AV307">
        <v>1</v>
      </c>
      <c r="AW307">
        <v>1</v>
      </c>
      <c r="AZ307">
        <v>6.56</v>
      </c>
      <c r="BA307">
        <v>6.56</v>
      </c>
      <c r="BB307">
        <v>6.56</v>
      </c>
      <c r="BC307">
        <v>6.56</v>
      </c>
      <c r="BD307" t="s">
        <v>6</v>
      </c>
      <c r="BE307" t="s">
        <v>6</v>
      </c>
      <c r="BF307" t="s">
        <v>6</v>
      </c>
      <c r="BG307" t="s">
        <v>6</v>
      </c>
      <c r="BH307">
        <v>0</v>
      </c>
      <c r="BI307">
        <v>2</v>
      </c>
      <c r="BJ307" t="s">
        <v>598</v>
      </c>
      <c r="BM307">
        <v>108001</v>
      </c>
      <c r="BN307">
        <v>0</v>
      </c>
      <c r="BO307" t="s">
        <v>6</v>
      </c>
      <c r="BP307">
        <v>0</v>
      </c>
      <c r="BQ307">
        <v>3</v>
      </c>
      <c r="BR307">
        <v>0</v>
      </c>
      <c r="BS307">
        <v>6.56</v>
      </c>
      <c r="BT307">
        <v>1</v>
      </c>
      <c r="BU307">
        <v>1</v>
      </c>
      <c r="BV307">
        <v>1</v>
      </c>
      <c r="BW307">
        <v>1</v>
      </c>
      <c r="BX307">
        <v>1</v>
      </c>
      <c r="BY307" t="s">
        <v>6</v>
      </c>
      <c r="BZ307">
        <v>95</v>
      </c>
      <c r="CA307">
        <v>65</v>
      </c>
      <c r="CF307">
        <v>0</v>
      </c>
      <c r="CG307">
        <v>0</v>
      </c>
      <c r="CM307">
        <v>0</v>
      </c>
      <c r="CN307" t="s">
        <v>6</v>
      </c>
      <c r="CO307">
        <v>0</v>
      </c>
      <c r="CP307">
        <f t="shared" si="250"/>
        <v>219.23000000000002</v>
      </c>
      <c r="CQ307">
        <f t="shared" si="251"/>
        <v>40.671999999999997</v>
      </c>
      <c r="CR307">
        <f t="shared" si="252"/>
        <v>116.57119999999999</v>
      </c>
      <c r="CS307">
        <f t="shared" si="253"/>
        <v>16.465599999999998</v>
      </c>
      <c r="CT307">
        <f t="shared" si="254"/>
        <v>61.99199999999999</v>
      </c>
      <c r="CU307">
        <f t="shared" si="255"/>
        <v>0</v>
      </c>
      <c r="CV307">
        <f t="shared" si="256"/>
        <v>0.9</v>
      </c>
      <c r="CW307">
        <f t="shared" si="257"/>
        <v>0.2</v>
      </c>
      <c r="CX307">
        <f t="shared" si="258"/>
        <v>0</v>
      </c>
      <c r="CY307">
        <f t="shared" si="259"/>
        <v>74.537000000000006</v>
      </c>
      <c r="CZ307">
        <f t="shared" si="260"/>
        <v>50.999000000000002</v>
      </c>
      <c r="DC307" t="s">
        <v>6</v>
      </c>
      <c r="DD307" t="s">
        <v>6</v>
      </c>
      <c r="DE307" t="s">
        <v>6</v>
      </c>
      <c r="DF307" t="s">
        <v>6</v>
      </c>
      <c r="DG307" t="s">
        <v>6</v>
      </c>
      <c r="DH307" t="s">
        <v>6</v>
      </c>
      <c r="DI307" t="s">
        <v>6</v>
      </c>
      <c r="DJ307" t="s">
        <v>6</v>
      </c>
      <c r="DK307" t="s">
        <v>6</v>
      </c>
      <c r="DL307" t="s">
        <v>6</v>
      </c>
      <c r="DM307" t="s">
        <v>6</v>
      </c>
      <c r="DN307">
        <v>0</v>
      </c>
      <c r="DO307">
        <v>0</v>
      </c>
      <c r="DP307">
        <v>1</v>
      </c>
      <c r="DQ307">
        <v>1</v>
      </c>
      <c r="DU307">
        <v>1013</v>
      </c>
      <c r="DV307" t="s">
        <v>242</v>
      </c>
      <c r="DW307" t="s">
        <v>242</v>
      </c>
      <c r="DX307">
        <v>1</v>
      </c>
      <c r="EE307">
        <v>16510370</v>
      </c>
      <c r="EF307">
        <v>3</v>
      </c>
      <c r="EG307" t="s">
        <v>591</v>
      </c>
      <c r="EH307">
        <v>0</v>
      </c>
      <c r="EI307" t="s">
        <v>6</v>
      </c>
      <c r="EJ307">
        <v>2</v>
      </c>
      <c r="EK307">
        <v>108001</v>
      </c>
      <c r="EL307" t="s">
        <v>592</v>
      </c>
      <c r="EM307" t="s">
        <v>593</v>
      </c>
      <c r="EO307" t="s">
        <v>6</v>
      </c>
      <c r="EQ307">
        <v>131072</v>
      </c>
      <c r="ER307">
        <v>33.42</v>
      </c>
      <c r="ES307">
        <v>6.2</v>
      </c>
      <c r="ET307">
        <v>17.77</v>
      </c>
      <c r="EU307">
        <v>2.5099999999999998</v>
      </c>
      <c r="EV307">
        <v>9.4499999999999993</v>
      </c>
      <c r="EW307">
        <v>0.9</v>
      </c>
      <c r="EX307">
        <v>0.2</v>
      </c>
      <c r="EY307">
        <v>0</v>
      </c>
      <c r="FQ307">
        <v>0</v>
      </c>
      <c r="FR307">
        <f t="shared" si="261"/>
        <v>0</v>
      </c>
      <c r="FS307">
        <v>0</v>
      </c>
      <c r="FX307">
        <v>95</v>
      </c>
      <c r="FY307">
        <v>65</v>
      </c>
      <c r="GA307" t="s">
        <v>6</v>
      </c>
      <c r="GD307">
        <v>0</v>
      </c>
      <c r="GF307">
        <v>-64978218</v>
      </c>
      <c r="GG307">
        <v>1</v>
      </c>
      <c r="GH307">
        <v>1</v>
      </c>
      <c r="GI307">
        <v>4</v>
      </c>
      <c r="GJ307">
        <v>0</v>
      </c>
      <c r="GK307">
        <f>ROUND(R307*(R12)/100,2)</f>
        <v>0</v>
      </c>
      <c r="GL307">
        <f t="shared" si="262"/>
        <v>0</v>
      </c>
      <c r="GM307">
        <f t="shared" si="263"/>
        <v>344.77</v>
      </c>
      <c r="GN307">
        <f t="shared" si="264"/>
        <v>0</v>
      </c>
      <c r="GO307">
        <f t="shared" si="265"/>
        <v>344.77</v>
      </c>
      <c r="GP307">
        <f t="shared" si="266"/>
        <v>0</v>
      </c>
      <c r="GR307">
        <v>0</v>
      </c>
      <c r="GS307">
        <v>3</v>
      </c>
      <c r="GT307">
        <v>0</v>
      </c>
      <c r="GU307" t="s">
        <v>6</v>
      </c>
      <c r="GV307">
        <f t="shared" si="267"/>
        <v>0</v>
      </c>
      <c r="GW307">
        <v>1</v>
      </c>
      <c r="GX307">
        <f t="shared" si="268"/>
        <v>0</v>
      </c>
      <c r="HA307">
        <v>0</v>
      </c>
      <c r="HB307">
        <v>0</v>
      </c>
      <c r="IK307">
        <v>0</v>
      </c>
    </row>
    <row r="308" spans="1:245" x14ac:dyDescent="0.2">
      <c r="A308">
        <v>18</v>
      </c>
      <c r="B308">
        <v>1</v>
      </c>
      <c r="C308">
        <v>419</v>
      </c>
      <c r="E308" t="s">
        <v>668</v>
      </c>
      <c r="F308" t="s">
        <v>669</v>
      </c>
      <c r="G308" t="s">
        <v>670</v>
      </c>
      <c r="H308" t="s">
        <v>53</v>
      </c>
      <c r="I308">
        <f>I307*J308</f>
        <v>1</v>
      </c>
      <c r="J308">
        <v>1</v>
      </c>
      <c r="O308">
        <f t="shared" si="230"/>
        <v>9805.69</v>
      </c>
      <c r="P308">
        <f t="shared" si="231"/>
        <v>9805.69</v>
      </c>
      <c r="Q308">
        <f t="shared" si="232"/>
        <v>0</v>
      </c>
      <c r="R308">
        <f t="shared" si="233"/>
        <v>0</v>
      </c>
      <c r="S308">
        <f t="shared" si="234"/>
        <v>0</v>
      </c>
      <c r="T308">
        <f t="shared" si="235"/>
        <v>0</v>
      </c>
      <c r="U308">
        <f t="shared" si="236"/>
        <v>0</v>
      </c>
      <c r="V308">
        <f t="shared" si="237"/>
        <v>0</v>
      </c>
      <c r="W308">
        <f t="shared" si="238"/>
        <v>0</v>
      </c>
      <c r="X308">
        <f t="shared" si="239"/>
        <v>0</v>
      </c>
      <c r="Y308">
        <f t="shared" si="240"/>
        <v>0</v>
      </c>
      <c r="AA308">
        <v>16748969</v>
      </c>
      <c r="AB308">
        <f t="shared" si="241"/>
        <v>1494.77</v>
      </c>
      <c r="AC308">
        <f t="shared" si="242"/>
        <v>1494.77</v>
      </c>
      <c r="AD308">
        <f t="shared" si="243"/>
        <v>0</v>
      </c>
      <c r="AE308">
        <f t="shared" si="244"/>
        <v>0</v>
      </c>
      <c r="AF308">
        <f t="shared" si="245"/>
        <v>0</v>
      </c>
      <c r="AG308">
        <f t="shared" si="246"/>
        <v>0</v>
      </c>
      <c r="AH308">
        <f t="shared" si="247"/>
        <v>0</v>
      </c>
      <c r="AI308">
        <f t="shared" si="248"/>
        <v>0</v>
      </c>
      <c r="AJ308">
        <f t="shared" si="249"/>
        <v>0</v>
      </c>
      <c r="AK308">
        <v>1494.77</v>
      </c>
      <c r="AL308">
        <v>1494.77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  <c r="AS308">
        <v>0</v>
      </c>
      <c r="AT308">
        <v>95</v>
      </c>
      <c r="AU308">
        <v>65</v>
      </c>
      <c r="AV308">
        <v>1</v>
      </c>
      <c r="AW308">
        <v>1</v>
      </c>
      <c r="AZ308">
        <v>6.56</v>
      </c>
      <c r="BA308">
        <v>1</v>
      </c>
      <c r="BB308">
        <v>1</v>
      </c>
      <c r="BC308">
        <v>6.56</v>
      </c>
      <c r="BD308" t="s">
        <v>6</v>
      </c>
      <c r="BE308" t="s">
        <v>6</v>
      </c>
      <c r="BF308" t="s">
        <v>6</v>
      </c>
      <c r="BG308" t="s">
        <v>6</v>
      </c>
      <c r="BH308">
        <v>3</v>
      </c>
      <c r="BI308">
        <v>2</v>
      </c>
      <c r="BJ308" t="s">
        <v>671</v>
      </c>
      <c r="BM308">
        <v>108001</v>
      </c>
      <c r="BN308">
        <v>0</v>
      </c>
      <c r="BO308" t="s">
        <v>6</v>
      </c>
      <c r="BP308">
        <v>0</v>
      </c>
      <c r="BQ308">
        <v>3</v>
      </c>
      <c r="BR308">
        <v>0</v>
      </c>
      <c r="BS308">
        <v>1</v>
      </c>
      <c r="BT308">
        <v>1</v>
      </c>
      <c r="BU308">
        <v>1</v>
      </c>
      <c r="BV308">
        <v>1</v>
      </c>
      <c r="BW308">
        <v>1</v>
      </c>
      <c r="BX308">
        <v>1</v>
      </c>
      <c r="BY308" t="s">
        <v>6</v>
      </c>
      <c r="BZ308">
        <v>95</v>
      </c>
      <c r="CA308">
        <v>65</v>
      </c>
      <c r="CF308">
        <v>0</v>
      </c>
      <c r="CG308">
        <v>0</v>
      </c>
      <c r="CM308">
        <v>0</v>
      </c>
      <c r="CN308" t="s">
        <v>6</v>
      </c>
      <c r="CO308">
        <v>0</v>
      </c>
      <c r="CP308">
        <f t="shared" si="250"/>
        <v>9805.69</v>
      </c>
      <c r="CQ308">
        <f t="shared" si="251"/>
        <v>9805.6911999999993</v>
      </c>
      <c r="CR308">
        <f t="shared" si="252"/>
        <v>0</v>
      </c>
      <c r="CS308">
        <f t="shared" si="253"/>
        <v>0</v>
      </c>
      <c r="CT308">
        <f t="shared" si="254"/>
        <v>0</v>
      </c>
      <c r="CU308">
        <f t="shared" si="255"/>
        <v>0</v>
      </c>
      <c r="CV308">
        <f t="shared" si="256"/>
        <v>0</v>
      </c>
      <c r="CW308">
        <f t="shared" si="257"/>
        <v>0</v>
      </c>
      <c r="CX308">
        <f t="shared" si="258"/>
        <v>0</v>
      </c>
      <c r="CY308">
        <f t="shared" si="259"/>
        <v>0</v>
      </c>
      <c r="CZ308">
        <f t="shared" si="260"/>
        <v>0</v>
      </c>
      <c r="DC308" t="s">
        <v>6</v>
      </c>
      <c r="DD308" t="s">
        <v>6</v>
      </c>
      <c r="DE308" t="s">
        <v>6</v>
      </c>
      <c r="DF308" t="s">
        <v>6</v>
      </c>
      <c r="DG308" t="s">
        <v>6</v>
      </c>
      <c r="DH308" t="s">
        <v>6</v>
      </c>
      <c r="DI308" t="s">
        <v>6</v>
      </c>
      <c r="DJ308" t="s">
        <v>6</v>
      </c>
      <c r="DK308" t="s">
        <v>6</v>
      </c>
      <c r="DL308" t="s">
        <v>6</v>
      </c>
      <c r="DM308" t="s">
        <v>6</v>
      </c>
      <c r="DN308">
        <v>0</v>
      </c>
      <c r="DO308">
        <v>0</v>
      </c>
      <c r="DP308">
        <v>1</v>
      </c>
      <c r="DQ308">
        <v>1</v>
      </c>
      <c r="DU308">
        <v>1010</v>
      </c>
      <c r="DV308" t="s">
        <v>53</v>
      </c>
      <c r="DW308" t="s">
        <v>53</v>
      </c>
      <c r="DX308">
        <v>1</v>
      </c>
      <c r="EE308">
        <v>16510370</v>
      </c>
      <c r="EF308">
        <v>3</v>
      </c>
      <c r="EG308" t="s">
        <v>591</v>
      </c>
      <c r="EH308">
        <v>0</v>
      </c>
      <c r="EI308" t="s">
        <v>6</v>
      </c>
      <c r="EJ308">
        <v>2</v>
      </c>
      <c r="EK308">
        <v>108001</v>
      </c>
      <c r="EL308" t="s">
        <v>592</v>
      </c>
      <c r="EM308" t="s">
        <v>593</v>
      </c>
      <c r="EO308" t="s">
        <v>6</v>
      </c>
      <c r="EQ308">
        <v>0</v>
      </c>
      <c r="ER308">
        <v>1494.77</v>
      </c>
      <c r="ES308">
        <v>1494.77</v>
      </c>
      <c r="ET308">
        <v>0</v>
      </c>
      <c r="EU308">
        <v>0</v>
      </c>
      <c r="EV308">
        <v>0</v>
      </c>
      <c r="EW308">
        <v>0</v>
      </c>
      <c r="EX308">
        <v>0</v>
      </c>
      <c r="FQ308">
        <v>0</v>
      </c>
      <c r="FR308">
        <f t="shared" si="261"/>
        <v>0</v>
      </c>
      <c r="FS308">
        <v>0</v>
      </c>
      <c r="FX308">
        <v>95</v>
      </c>
      <c r="FY308">
        <v>65</v>
      </c>
      <c r="GA308" t="s">
        <v>6</v>
      </c>
      <c r="GD308">
        <v>0</v>
      </c>
      <c r="GF308">
        <v>487973268</v>
      </c>
      <c r="GG308">
        <v>1</v>
      </c>
      <c r="GH308">
        <v>1</v>
      </c>
      <c r="GI308">
        <v>4</v>
      </c>
      <c r="GJ308">
        <v>0</v>
      </c>
      <c r="GK308">
        <f>ROUND(R308*(R12)/100,2)</f>
        <v>0</v>
      </c>
      <c r="GL308">
        <f t="shared" si="262"/>
        <v>0</v>
      </c>
      <c r="GM308">
        <f t="shared" si="263"/>
        <v>9805.69</v>
      </c>
      <c r="GN308">
        <f t="shared" si="264"/>
        <v>0</v>
      </c>
      <c r="GO308">
        <f t="shared" si="265"/>
        <v>9805.69</v>
      </c>
      <c r="GP308">
        <f t="shared" si="266"/>
        <v>0</v>
      </c>
      <c r="GR308">
        <v>0</v>
      </c>
      <c r="GS308">
        <v>3</v>
      </c>
      <c r="GT308">
        <v>0</v>
      </c>
      <c r="GU308" t="s">
        <v>6</v>
      </c>
      <c r="GV308">
        <f t="shared" si="267"/>
        <v>0</v>
      </c>
      <c r="GW308">
        <v>1</v>
      </c>
      <c r="GX308">
        <f t="shared" si="268"/>
        <v>0</v>
      </c>
      <c r="HA308">
        <v>0</v>
      </c>
      <c r="HB308">
        <v>0</v>
      </c>
      <c r="IK308">
        <v>0</v>
      </c>
    </row>
    <row r="309" spans="1:245" x14ac:dyDescent="0.2">
      <c r="A309">
        <v>17</v>
      </c>
      <c r="B309">
        <v>1</v>
      </c>
      <c r="C309">
        <f>ROW(SmtRes!A435)</f>
        <v>435</v>
      </c>
      <c r="D309">
        <f>ROW(EtalonRes!A409)</f>
        <v>409</v>
      </c>
      <c r="E309" t="s">
        <v>672</v>
      </c>
      <c r="F309" t="s">
        <v>673</v>
      </c>
      <c r="G309" t="s">
        <v>674</v>
      </c>
      <c r="H309" t="s">
        <v>242</v>
      </c>
      <c r="I309">
        <v>7</v>
      </c>
      <c r="J309">
        <v>0</v>
      </c>
      <c r="O309">
        <f t="shared" si="230"/>
        <v>3304.87</v>
      </c>
      <c r="P309">
        <f t="shared" si="231"/>
        <v>2545.35</v>
      </c>
      <c r="Q309">
        <f t="shared" si="232"/>
        <v>51.89</v>
      </c>
      <c r="R309">
        <f t="shared" si="233"/>
        <v>0</v>
      </c>
      <c r="S309">
        <f t="shared" si="234"/>
        <v>707.63</v>
      </c>
      <c r="T309">
        <f t="shared" si="235"/>
        <v>0</v>
      </c>
      <c r="U309">
        <f t="shared" si="236"/>
        <v>11.34</v>
      </c>
      <c r="V309">
        <f t="shared" si="237"/>
        <v>0</v>
      </c>
      <c r="W309">
        <f t="shared" si="238"/>
        <v>0</v>
      </c>
      <c r="X309">
        <f t="shared" si="239"/>
        <v>672.25</v>
      </c>
      <c r="Y309">
        <f t="shared" si="240"/>
        <v>459.96</v>
      </c>
      <c r="AA309">
        <v>16748969</v>
      </c>
      <c r="AB309">
        <f t="shared" si="241"/>
        <v>71.97</v>
      </c>
      <c r="AC309">
        <f t="shared" si="242"/>
        <v>55.43</v>
      </c>
      <c r="AD309">
        <f t="shared" si="243"/>
        <v>1.1299999999999999</v>
      </c>
      <c r="AE309">
        <f t="shared" si="244"/>
        <v>0</v>
      </c>
      <c r="AF309">
        <f t="shared" si="245"/>
        <v>15.41</v>
      </c>
      <c r="AG309">
        <f t="shared" si="246"/>
        <v>0</v>
      </c>
      <c r="AH309">
        <f t="shared" si="247"/>
        <v>1.62</v>
      </c>
      <c r="AI309">
        <f t="shared" si="248"/>
        <v>0</v>
      </c>
      <c r="AJ309">
        <f t="shared" si="249"/>
        <v>0</v>
      </c>
      <c r="AK309">
        <v>71.97</v>
      </c>
      <c r="AL309">
        <v>55.43</v>
      </c>
      <c r="AM309">
        <v>1.1299999999999999</v>
      </c>
      <c r="AN309">
        <v>0</v>
      </c>
      <c r="AO309">
        <v>15.41</v>
      </c>
      <c r="AP309">
        <v>0</v>
      </c>
      <c r="AQ309">
        <v>1.62</v>
      </c>
      <c r="AR309">
        <v>0</v>
      </c>
      <c r="AS309">
        <v>0</v>
      </c>
      <c r="AT309">
        <v>95</v>
      </c>
      <c r="AU309">
        <v>65</v>
      </c>
      <c r="AV309">
        <v>1</v>
      </c>
      <c r="AW309">
        <v>1</v>
      </c>
      <c r="AZ309">
        <v>6.56</v>
      </c>
      <c r="BA309">
        <v>6.56</v>
      </c>
      <c r="BB309">
        <v>6.56</v>
      </c>
      <c r="BC309">
        <v>6.56</v>
      </c>
      <c r="BD309" t="s">
        <v>6</v>
      </c>
      <c r="BE309" t="s">
        <v>6</v>
      </c>
      <c r="BF309" t="s">
        <v>6</v>
      </c>
      <c r="BG309" t="s">
        <v>6</v>
      </c>
      <c r="BH309">
        <v>0</v>
      </c>
      <c r="BI309">
        <v>2</v>
      </c>
      <c r="BJ309" t="s">
        <v>675</v>
      </c>
      <c r="BM309">
        <v>108001</v>
      </c>
      <c r="BN309">
        <v>0</v>
      </c>
      <c r="BO309" t="s">
        <v>6</v>
      </c>
      <c r="BP309">
        <v>0</v>
      </c>
      <c r="BQ309">
        <v>3</v>
      </c>
      <c r="BR309">
        <v>0</v>
      </c>
      <c r="BS309">
        <v>6.56</v>
      </c>
      <c r="BT309">
        <v>1</v>
      </c>
      <c r="BU309">
        <v>1</v>
      </c>
      <c r="BV309">
        <v>1</v>
      </c>
      <c r="BW309">
        <v>1</v>
      </c>
      <c r="BX309">
        <v>1</v>
      </c>
      <c r="BY309" t="s">
        <v>6</v>
      </c>
      <c r="BZ309">
        <v>95</v>
      </c>
      <c r="CA309">
        <v>65</v>
      </c>
      <c r="CF309">
        <v>0</v>
      </c>
      <c r="CG309">
        <v>0</v>
      </c>
      <c r="CM309">
        <v>0</v>
      </c>
      <c r="CN309" t="s">
        <v>6</v>
      </c>
      <c r="CO309">
        <v>0</v>
      </c>
      <c r="CP309">
        <f t="shared" si="250"/>
        <v>3304.87</v>
      </c>
      <c r="CQ309">
        <f t="shared" si="251"/>
        <v>363.62079999999997</v>
      </c>
      <c r="CR309">
        <f t="shared" si="252"/>
        <v>7.4127999999999989</v>
      </c>
      <c r="CS309">
        <f t="shared" si="253"/>
        <v>0</v>
      </c>
      <c r="CT309">
        <f t="shared" si="254"/>
        <v>101.08959999999999</v>
      </c>
      <c r="CU309">
        <f t="shared" si="255"/>
        <v>0</v>
      </c>
      <c r="CV309">
        <f t="shared" si="256"/>
        <v>1.62</v>
      </c>
      <c r="CW309">
        <f t="shared" si="257"/>
        <v>0</v>
      </c>
      <c r="CX309">
        <f t="shared" si="258"/>
        <v>0</v>
      </c>
      <c r="CY309">
        <f t="shared" si="259"/>
        <v>672.24850000000004</v>
      </c>
      <c r="CZ309">
        <f t="shared" si="260"/>
        <v>459.95949999999999</v>
      </c>
      <c r="DC309" t="s">
        <v>6</v>
      </c>
      <c r="DD309" t="s">
        <v>6</v>
      </c>
      <c r="DE309" t="s">
        <v>6</v>
      </c>
      <c r="DF309" t="s">
        <v>6</v>
      </c>
      <c r="DG309" t="s">
        <v>6</v>
      </c>
      <c r="DH309" t="s">
        <v>6</v>
      </c>
      <c r="DI309" t="s">
        <v>6</v>
      </c>
      <c r="DJ309" t="s">
        <v>6</v>
      </c>
      <c r="DK309" t="s">
        <v>6</v>
      </c>
      <c r="DL309" t="s">
        <v>6</v>
      </c>
      <c r="DM309" t="s">
        <v>6</v>
      </c>
      <c r="DN309">
        <v>0</v>
      </c>
      <c r="DO309">
        <v>0</v>
      </c>
      <c r="DP309">
        <v>1</v>
      </c>
      <c r="DQ309">
        <v>1</v>
      </c>
      <c r="DU309">
        <v>1013</v>
      </c>
      <c r="DV309" t="s">
        <v>242</v>
      </c>
      <c r="DW309" t="s">
        <v>242</v>
      </c>
      <c r="DX309">
        <v>1</v>
      </c>
      <c r="EE309">
        <v>16510370</v>
      </c>
      <c r="EF309">
        <v>3</v>
      </c>
      <c r="EG309" t="s">
        <v>591</v>
      </c>
      <c r="EH309">
        <v>0</v>
      </c>
      <c r="EI309" t="s">
        <v>6</v>
      </c>
      <c r="EJ309">
        <v>2</v>
      </c>
      <c r="EK309">
        <v>108001</v>
      </c>
      <c r="EL309" t="s">
        <v>592</v>
      </c>
      <c r="EM309" t="s">
        <v>593</v>
      </c>
      <c r="EO309" t="s">
        <v>6</v>
      </c>
      <c r="EQ309">
        <v>131072</v>
      </c>
      <c r="ER309">
        <v>71.97</v>
      </c>
      <c r="ES309">
        <v>55.43</v>
      </c>
      <c r="ET309">
        <v>1.1299999999999999</v>
      </c>
      <c r="EU309">
        <v>0</v>
      </c>
      <c r="EV309">
        <v>15.41</v>
      </c>
      <c r="EW309">
        <v>1.62</v>
      </c>
      <c r="EX309">
        <v>0</v>
      </c>
      <c r="EY309">
        <v>0</v>
      </c>
      <c r="FQ309">
        <v>0</v>
      </c>
      <c r="FR309">
        <f t="shared" si="261"/>
        <v>0</v>
      </c>
      <c r="FS309">
        <v>0</v>
      </c>
      <c r="FX309">
        <v>95</v>
      </c>
      <c r="FY309">
        <v>65</v>
      </c>
      <c r="GA309" t="s">
        <v>6</v>
      </c>
      <c r="GD309">
        <v>0</v>
      </c>
      <c r="GF309">
        <v>-545657699</v>
      </c>
      <c r="GG309">
        <v>1</v>
      </c>
      <c r="GH309">
        <v>1</v>
      </c>
      <c r="GI309">
        <v>4</v>
      </c>
      <c r="GJ309">
        <v>0</v>
      </c>
      <c r="GK309">
        <f>ROUND(R309*(R12)/100,2)</f>
        <v>0</v>
      </c>
      <c r="GL309">
        <f t="shared" si="262"/>
        <v>0</v>
      </c>
      <c r="GM309">
        <f t="shared" si="263"/>
        <v>4437.08</v>
      </c>
      <c r="GN309">
        <f t="shared" si="264"/>
        <v>0</v>
      </c>
      <c r="GO309">
        <f t="shared" si="265"/>
        <v>4437.08</v>
      </c>
      <c r="GP309">
        <f t="shared" si="266"/>
        <v>0</v>
      </c>
      <c r="GR309">
        <v>0</v>
      </c>
      <c r="GS309">
        <v>3</v>
      </c>
      <c r="GT309">
        <v>0</v>
      </c>
      <c r="GU309" t="s">
        <v>6</v>
      </c>
      <c r="GV309">
        <f t="shared" si="267"/>
        <v>0</v>
      </c>
      <c r="GW309">
        <v>1</v>
      </c>
      <c r="GX309">
        <f t="shared" si="268"/>
        <v>0</v>
      </c>
      <c r="HA309">
        <v>0</v>
      </c>
      <c r="HB309">
        <v>0</v>
      </c>
      <c r="IK309">
        <v>0</v>
      </c>
    </row>
    <row r="310" spans="1:245" x14ac:dyDescent="0.2">
      <c r="A310">
        <v>18</v>
      </c>
      <c r="B310">
        <v>1</v>
      </c>
      <c r="C310">
        <v>434</v>
      </c>
      <c r="E310" t="s">
        <v>676</v>
      </c>
      <c r="F310" t="s">
        <v>677</v>
      </c>
      <c r="G310" t="s">
        <v>678</v>
      </c>
      <c r="H310" t="s">
        <v>53</v>
      </c>
      <c r="I310">
        <f>I309*J310</f>
        <v>7</v>
      </c>
      <c r="J310">
        <v>1</v>
      </c>
      <c r="O310">
        <f t="shared" si="230"/>
        <v>3747.53</v>
      </c>
      <c r="P310">
        <f t="shared" si="231"/>
        <v>3747.53</v>
      </c>
      <c r="Q310">
        <f t="shared" si="232"/>
        <v>0</v>
      </c>
      <c r="R310">
        <f t="shared" si="233"/>
        <v>0</v>
      </c>
      <c r="S310">
        <f t="shared" si="234"/>
        <v>0</v>
      </c>
      <c r="T310">
        <f t="shared" si="235"/>
        <v>0</v>
      </c>
      <c r="U310">
        <f t="shared" si="236"/>
        <v>0</v>
      </c>
      <c r="V310">
        <f t="shared" si="237"/>
        <v>0</v>
      </c>
      <c r="W310">
        <f t="shared" si="238"/>
        <v>0</v>
      </c>
      <c r="X310">
        <f t="shared" si="239"/>
        <v>0</v>
      </c>
      <c r="Y310">
        <f t="shared" si="240"/>
        <v>0</v>
      </c>
      <c r="AA310">
        <v>16748969</v>
      </c>
      <c r="AB310">
        <f t="shared" si="241"/>
        <v>81.61</v>
      </c>
      <c r="AC310">
        <f t="shared" si="242"/>
        <v>81.61</v>
      </c>
      <c r="AD310">
        <f t="shared" si="243"/>
        <v>0</v>
      </c>
      <c r="AE310">
        <f t="shared" si="244"/>
        <v>0</v>
      </c>
      <c r="AF310">
        <f t="shared" si="245"/>
        <v>0</v>
      </c>
      <c r="AG310">
        <f t="shared" si="246"/>
        <v>0</v>
      </c>
      <c r="AH310">
        <f t="shared" si="247"/>
        <v>0</v>
      </c>
      <c r="AI310">
        <f t="shared" si="248"/>
        <v>0</v>
      </c>
      <c r="AJ310">
        <f t="shared" si="249"/>
        <v>0</v>
      </c>
      <c r="AK310">
        <v>81.61</v>
      </c>
      <c r="AL310">
        <v>81.61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  <c r="AS310">
        <v>0</v>
      </c>
      <c r="AT310">
        <v>95</v>
      </c>
      <c r="AU310">
        <v>65</v>
      </c>
      <c r="AV310">
        <v>1</v>
      </c>
      <c r="AW310">
        <v>1</v>
      </c>
      <c r="AZ310">
        <v>6.56</v>
      </c>
      <c r="BA310">
        <v>1</v>
      </c>
      <c r="BB310">
        <v>1</v>
      </c>
      <c r="BC310">
        <v>6.56</v>
      </c>
      <c r="BD310" t="s">
        <v>6</v>
      </c>
      <c r="BE310" t="s">
        <v>6</v>
      </c>
      <c r="BF310" t="s">
        <v>6</v>
      </c>
      <c r="BG310" t="s">
        <v>6</v>
      </c>
      <c r="BH310">
        <v>3</v>
      </c>
      <c r="BI310">
        <v>2</v>
      </c>
      <c r="BJ310" t="s">
        <v>679</v>
      </c>
      <c r="BM310">
        <v>108001</v>
      </c>
      <c r="BN310">
        <v>0</v>
      </c>
      <c r="BO310" t="s">
        <v>6</v>
      </c>
      <c r="BP310">
        <v>0</v>
      </c>
      <c r="BQ310">
        <v>3</v>
      </c>
      <c r="BR310">
        <v>0</v>
      </c>
      <c r="BS310">
        <v>1</v>
      </c>
      <c r="BT310">
        <v>1</v>
      </c>
      <c r="BU310">
        <v>1</v>
      </c>
      <c r="BV310">
        <v>1</v>
      </c>
      <c r="BW310">
        <v>1</v>
      </c>
      <c r="BX310">
        <v>1</v>
      </c>
      <c r="BY310" t="s">
        <v>6</v>
      </c>
      <c r="BZ310">
        <v>95</v>
      </c>
      <c r="CA310">
        <v>65</v>
      </c>
      <c r="CF310">
        <v>0</v>
      </c>
      <c r="CG310">
        <v>0</v>
      </c>
      <c r="CM310">
        <v>0</v>
      </c>
      <c r="CN310" t="s">
        <v>6</v>
      </c>
      <c r="CO310">
        <v>0</v>
      </c>
      <c r="CP310">
        <f t="shared" si="250"/>
        <v>3747.53</v>
      </c>
      <c r="CQ310">
        <f t="shared" si="251"/>
        <v>535.36159999999995</v>
      </c>
      <c r="CR310">
        <f t="shared" si="252"/>
        <v>0</v>
      </c>
      <c r="CS310">
        <f t="shared" si="253"/>
        <v>0</v>
      </c>
      <c r="CT310">
        <f t="shared" si="254"/>
        <v>0</v>
      </c>
      <c r="CU310">
        <f t="shared" si="255"/>
        <v>0</v>
      </c>
      <c r="CV310">
        <f t="shared" si="256"/>
        <v>0</v>
      </c>
      <c r="CW310">
        <f t="shared" si="257"/>
        <v>0</v>
      </c>
      <c r="CX310">
        <f t="shared" si="258"/>
        <v>0</v>
      </c>
      <c r="CY310">
        <f t="shared" si="259"/>
        <v>0</v>
      </c>
      <c r="CZ310">
        <f t="shared" si="260"/>
        <v>0</v>
      </c>
      <c r="DC310" t="s">
        <v>6</v>
      </c>
      <c r="DD310" t="s">
        <v>6</v>
      </c>
      <c r="DE310" t="s">
        <v>6</v>
      </c>
      <c r="DF310" t="s">
        <v>6</v>
      </c>
      <c r="DG310" t="s">
        <v>6</v>
      </c>
      <c r="DH310" t="s">
        <v>6</v>
      </c>
      <c r="DI310" t="s">
        <v>6</v>
      </c>
      <c r="DJ310" t="s">
        <v>6</v>
      </c>
      <c r="DK310" t="s">
        <v>6</v>
      </c>
      <c r="DL310" t="s">
        <v>6</v>
      </c>
      <c r="DM310" t="s">
        <v>6</v>
      </c>
      <c r="DN310">
        <v>0</v>
      </c>
      <c r="DO310">
        <v>0</v>
      </c>
      <c r="DP310">
        <v>1</v>
      </c>
      <c r="DQ310">
        <v>1</v>
      </c>
      <c r="DU310">
        <v>1010</v>
      </c>
      <c r="DV310" t="s">
        <v>53</v>
      </c>
      <c r="DW310" t="s">
        <v>53</v>
      </c>
      <c r="DX310">
        <v>1</v>
      </c>
      <c r="EE310">
        <v>16510370</v>
      </c>
      <c r="EF310">
        <v>3</v>
      </c>
      <c r="EG310" t="s">
        <v>591</v>
      </c>
      <c r="EH310">
        <v>0</v>
      </c>
      <c r="EI310" t="s">
        <v>6</v>
      </c>
      <c r="EJ310">
        <v>2</v>
      </c>
      <c r="EK310">
        <v>108001</v>
      </c>
      <c r="EL310" t="s">
        <v>592</v>
      </c>
      <c r="EM310" t="s">
        <v>593</v>
      </c>
      <c r="EO310" t="s">
        <v>6</v>
      </c>
      <c r="EQ310">
        <v>0</v>
      </c>
      <c r="ER310">
        <v>81.61</v>
      </c>
      <c r="ES310">
        <v>81.61</v>
      </c>
      <c r="ET310">
        <v>0</v>
      </c>
      <c r="EU310">
        <v>0</v>
      </c>
      <c r="EV310">
        <v>0</v>
      </c>
      <c r="EW310">
        <v>0</v>
      </c>
      <c r="EX310">
        <v>0</v>
      </c>
      <c r="FQ310">
        <v>0</v>
      </c>
      <c r="FR310">
        <f t="shared" si="261"/>
        <v>0</v>
      </c>
      <c r="FS310">
        <v>0</v>
      </c>
      <c r="FX310">
        <v>95</v>
      </c>
      <c r="FY310">
        <v>65</v>
      </c>
      <c r="GA310" t="s">
        <v>6</v>
      </c>
      <c r="GD310">
        <v>0</v>
      </c>
      <c r="GF310">
        <v>-2112522711</v>
      </c>
      <c r="GG310">
        <v>1</v>
      </c>
      <c r="GH310">
        <v>1</v>
      </c>
      <c r="GI310">
        <v>4</v>
      </c>
      <c r="GJ310">
        <v>0</v>
      </c>
      <c r="GK310">
        <f>ROUND(R310*(R12)/100,2)</f>
        <v>0</v>
      </c>
      <c r="GL310">
        <f t="shared" si="262"/>
        <v>0</v>
      </c>
      <c r="GM310">
        <f t="shared" si="263"/>
        <v>3747.53</v>
      </c>
      <c r="GN310">
        <f t="shared" si="264"/>
        <v>0</v>
      </c>
      <c r="GO310">
        <f t="shared" si="265"/>
        <v>3747.53</v>
      </c>
      <c r="GP310">
        <f t="shared" si="266"/>
        <v>0</v>
      </c>
      <c r="GR310">
        <v>0</v>
      </c>
      <c r="GS310">
        <v>3</v>
      </c>
      <c r="GT310">
        <v>0</v>
      </c>
      <c r="GU310" t="s">
        <v>6</v>
      </c>
      <c r="GV310">
        <f t="shared" si="267"/>
        <v>0</v>
      </c>
      <c r="GW310">
        <v>1</v>
      </c>
      <c r="GX310">
        <f t="shared" si="268"/>
        <v>0</v>
      </c>
      <c r="HA310">
        <v>0</v>
      </c>
      <c r="HB310">
        <v>0</v>
      </c>
      <c r="IK310">
        <v>0</v>
      </c>
    </row>
    <row r="311" spans="1:245" x14ac:dyDescent="0.2">
      <c r="A311">
        <v>17</v>
      </c>
      <c r="B311">
        <v>1</v>
      </c>
      <c r="C311">
        <f>ROW(SmtRes!A440)</f>
        <v>440</v>
      </c>
      <c r="D311">
        <f>ROW(EtalonRes!A412)</f>
        <v>412</v>
      </c>
      <c r="E311" t="s">
        <v>680</v>
      </c>
      <c r="F311" t="s">
        <v>681</v>
      </c>
      <c r="G311" t="s">
        <v>682</v>
      </c>
      <c r="H311" t="s">
        <v>242</v>
      </c>
      <c r="I311">
        <v>2</v>
      </c>
      <c r="J311">
        <v>0</v>
      </c>
      <c r="O311">
        <f t="shared" si="230"/>
        <v>151.01</v>
      </c>
      <c r="P311">
        <f t="shared" si="231"/>
        <v>5.25</v>
      </c>
      <c r="Q311">
        <f t="shared" si="232"/>
        <v>0</v>
      </c>
      <c r="R311">
        <f t="shared" si="233"/>
        <v>0</v>
      </c>
      <c r="S311">
        <f t="shared" si="234"/>
        <v>145.76</v>
      </c>
      <c r="T311">
        <f t="shared" si="235"/>
        <v>0</v>
      </c>
      <c r="U311">
        <f t="shared" si="236"/>
        <v>2.2400000000000002</v>
      </c>
      <c r="V311">
        <f t="shared" si="237"/>
        <v>0</v>
      </c>
      <c r="W311">
        <f t="shared" si="238"/>
        <v>0</v>
      </c>
      <c r="X311">
        <f t="shared" si="239"/>
        <v>138.47</v>
      </c>
      <c r="Y311">
        <f t="shared" si="240"/>
        <v>94.74</v>
      </c>
      <c r="AA311">
        <v>16748969</v>
      </c>
      <c r="AB311">
        <f t="shared" si="241"/>
        <v>11.51</v>
      </c>
      <c r="AC311">
        <f t="shared" si="242"/>
        <v>0.4</v>
      </c>
      <c r="AD311">
        <f t="shared" si="243"/>
        <v>0</v>
      </c>
      <c r="AE311">
        <f t="shared" si="244"/>
        <v>0</v>
      </c>
      <c r="AF311">
        <f t="shared" si="245"/>
        <v>11.11</v>
      </c>
      <c r="AG311">
        <f t="shared" si="246"/>
        <v>0</v>
      </c>
      <c r="AH311">
        <f t="shared" si="247"/>
        <v>1.1200000000000001</v>
      </c>
      <c r="AI311">
        <f t="shared" si="248"/>
        <v>0</v>
      </c>
      <c r="AJ311">
        <f t="shared" si="249"/>
        <v>0</v>
      </c>
      <c r="AK311">
        <v>11.51</v>
      </c>
      <c r="AL311">
        <v>0.4</v>
      </c>
      <c r="AM311">
        <v>0</v>
      </c>
      <c r="AN311">
        <v>0</v>
      </c>
      <c r="AO311">
        <v>11.11</v>
      </c>
      <c r="AP311">
        <v>0</v>
      </c>
      <c r="AQ311">
        <v>1.1200000000000001</v>
      </c>
      <c r="AR311">
        <v>0</v>
      </c>
      <c r="AS311">
        <v>0</v>
      </c>
      <c r="AT311">
        <v>95</v>
      </c>
      <c r="AU311">
        <v>65</v>
      </c>
      <c r="AV311">
        <v>1</v>
      </c>
      <c r="AW311">
        <v>1</v>
      </c>
      <c r="AZ311">
        <v>6.56</v>
      </c>
      <c r="BA311">
        <v>6.56</v>
      </c>
      <c r="BB311">
        <v>6.56</v>
      </c>
      <c r="BC311">
        <v>6.56</v>
      </c>
      <c r="BD311" t="s">
        <v>6</v>
      </c>
      <c r="BE311" t="s">
        <v>6</v>
      </c>
      <c r="BF311" t="s">
        <v>6</v>
      </c>
      <c r="BG311" t="s">
        <v>6</v>
      </c>
      <c r="BH311">
        <v>0</v>
      </c>
      <c r="BI311">
        <v>2</v>
      </c>
      <c r="BJ311" t="s">
        <v>683</v>
      </c>
      <c r="BM311">
        <v>108001</v>
      </c>
      <c r="BN311">
        <v>0</v>
      </c>
      <c r="BO311" t="s">
        <v>6</v>
      </c>
      <c r="BP311">
        <v>0</v>
      </c>
      <c r="BQ311">
        <v>3</v>
      </c>
      <c r="BR311">
        <v>0</v>
      </c>
      <c r="BS311">
        <v>6.56</v>
      </c>
      <c r="BT311">
        <v>1</v>
      </c>
      <c r="BU311">
        <v>1</v>
      </c>
      <c r="BV311">
        <v>1</v>
      </c>
      <c r="BW311">
        <v>1</v>
      </c>
      <c r="BX311">
        <v>1</v>
      </c>
      <c r="BY311" t="s">
        <v>6</v>
      </c>
      <c r="BZ311">
        <v>95</v>
      </c>
      <c r="CA311">
        <v>65</v>
      </c>
      <c r="CF311">
        <v>0</v>
      </c>
      <c r="CG311">
        <v>0</v>
      </c>
      <c r="CM311">
        <v>0</v>
      </c>
      <c r="CN311" t="s">
        <v>6</v>
      </c>
      <c r="CO311">
        <v>0</v>
      </c>
      <c r="CP311">
        <f t="shared" si="250"/>
        <v>151.01</v>
      </c>
      <c r="CQ311">
        <f t="shared" si="251"/>
        <v>2.6240000000000001</v>
      </c>
      <c r="CR311">
        <f t="shared" si="252"/>
        <v>0</v>
      </c>
      <c r="CS311">
        <f t="shared" si="253"/>
        <v>0</v>
      </c>
      <c r="CT311">
        <f t="shared" si="254"/>
        <v>72.881599999999992</v>
      </c>
      <c r="CU311">
        <f t="shared" si="255"/>
        <v>0</v>
      </c>
      <c r="CV311">
        <f t="shared" si="256"/>
        <v>1.1200000000000001</v>
      </c>
      <c r="CW311">
        <f t="shared" si="257"/>
        <v>0</v>
      </c>
      <c r="CX311">
        <f t="shared" si="258"/>
        <v>0</v>
      </c>
      <c r="CY311">
        <f t="shared" si="259"/>
        <v>138.47199999999998</v>
      </c>
      <c r="CZ311">
        <f t="shared" si="260"/>
        <v>94.744</v>
      </c>
      <c r="DC311" t="s">
        <v>6</v>
      </c>
      <c r="DD311" t="s">
        <v>6</v>
      </c>
      <c r="DE311" t="s">
        <v>6</v>
      </c>
      <c r="DF311" t="s">
        <v>6</v>
      </c>
      <c r="DG311" t="s">
        <v>6</v>
      </c>
      <c r="DH311" t="s">
        <v>6</v>
      </c>
      <c r="DI311" t="s">
        <v>6</v>
      </c>
      <c r="DJ311" t="s">
        <v>6</v>
      </c>
      <c r="DK311" t="s">
        <v>6</v>
      </c>
      <c r="DL311" t="s">
        <v>6</v>
      </c>
      <c r="DM311" t="s">
        <v>6</v>
      </c>
      <c r="DN311">
        <v>0</v>
      </c>
      <c r="DO311">
        <v>0</v>
      </c>
      <c r="DP311">
        <v>1</v>
      </c>
      <c r="DQ311">
        <v>1</v>
      </c>
      <c r="DU311">
        <v>1013</v>
      </c>
      <c r="DV311" t="s">
        <v>242</v>
      </c>
      <c r="DW311" t="s">
        <v>242</v>
      </c>
      <c r="DX311">
        <v>1</v>
      </c>
      <c r="EE311">
        <v>16510370</v>
      </c>
      <c r="EF311">
        <v>3</v>
      </c>
      <c r="EG311" t="s">
        <v>591</v>
      </c>
      <c r="EH311">
        <v>0</v>
      </c>
      <c r="EI311" t="s">
        <v>6</v>
      </c>
      <c r="EJ311">
        <v>2</v>
      </c>
      <c r="EK311">
        <v>108001</v>
      </c>
      <c r="EL311" t="s">
        <v>592</v>
      </c>
      <c r="EM311" t="s">
        <v>593</v>
      </c>
      <c r="EO311" t="s">
        <v>6</v>
      </c>
      <c r="EQ311">
        <v>131072</v>
      </c>
      <c r="ER311">
        <v>11.51</v>
      </c>
      <c r="ES311">
        <v>0.4</v>
      </c>
      <c r="ET311">
        <v>0</v>
      </c>
      <c r="EU311">
        <v>0</v>
      </c>
      <c r="EV311">
        <v>11.11</v>
      </c>
      <c r="EW311">
        <v>1.1200000000000001</v>
      </c>
      <c r="EX311">
        <v>0</v>
      </c>
      <c r="EY311">
        <v>0</v>
      </c>
      <c r="FQ311">
        <v>0</v>
      </c>
      <c r="FR311">
        <f t="shared" si="261"/>
        <v>0</v>
      </c>
      <c r="FS311">
        <v>0</v>
      </c>
      <c r="FX311">
        <v>95</v>
      </c>
      <c r="FY311">
        <v>65</v>
      </c>
      <c r="GA311" t="s">
        <v>6</v>
      </c>
      <c r="GD311">
        <v>0</v>
      </c>
      <c r="GF311">
        <v>234181014</v>
      </c>
      <c r="GG311">
        <v>1</v>
      </c>
      <c r="GH311">
        <v>1</v>
      </c>
      <c r="GI311">
        <v>4</v>
      </c>
      <c r="GJ311">
        <v>0</v>
      </c>
      <c r="GK311">
        <f>ROUND(R311*(R12)/100,2)</f>
        <v>0</v>
      </c>
      <c r="GL311">
        <f t="shared" si="262"/>
        <v>0</v>
      </c>
      <c r="GM311">
        <f t="shared" si="263"/>
        <v>384.22</v>
      </c>
      <c r="GN311">
        <f t="shared" si="264"/>
        <v>0</v>
      </c>
      <c r="GO311">
        <f t="shared" si="265"/>
        <v>384.22</v>
      </c>
      <c r="GP311">
        <f t="shared" si="266"/>
        <v>0</v>
      </c>
      <c r="GR311">
        <v>0</v>
      </c>
      <c r="GS311">
        <v>3</v>
      </c>
      <c r="GT311">
        <v>0</v>
      </c>
      <c r="GU311" t="s">
        <v>6</v>
      </c>
      <c r="GV311">
        <f t="shared" si="267"/>
        <v>0</v>
      </c>
      <c r="GW311">
        <v>1</v>
      </c>
      <c r="GX311">
        <f t="shared" si="268"/>
        <v>0</v>
      </c>
      <c r="HA311">
        <v>0</v>
      </c>
      <c r="HB311">
        <v>0</v>
      </c>
      <c r="IK311">
        <v>0</v>
      </c>
    </row>
    <row r="312" spans="1:245" x14ac:dyDescent="0.2">
      <c r="A312">
        <v>18</v>
      </c>
      <c r="B312">
        <v>1</v>
      </c>
      <c r="C312">
        <v>438</v>
      </c>
      <c r="E312" t="s">
        <v>684</v>
      </c>
      <c r="F312" t="s">
        <v>685</v>
      </c>
      <c r="G312" t="s">
        <v>686</v>
      </c>
      <c r="H312" t="s">
        <v>53</v>
      </c>
      <c r="I312">
        <f>I311*J312</f>
        <v>1</v>
      </c>
      <c r="J312">
        <v>0.5</v>
      </c>
      <c r="O312">
        <f t="shared" si="230"/>
        <v>2810.3</v>
      </c>
      <c r="P312">
        <f t="shared" si="231"/>
        <v>2810.3</v>
      </c>
      <c r="Q312">
        <f t="shared" si="232"/>
        <v>0</v>
      </c>
      <c r="R312">
        <f t="shared" si="233"/>
        <v>0</v>
      </c>
      <c r="S312">
        <f t="shared" si="234"/>
        <v>0</v>
      </c>
      <c r="T312">
        <f t="shared" si="235"/>
        <v>0</v>
      </c>
      <c r="U312">
        <f t="shared" si="236"/>
        <v>0</v>
      </c>
      <c r="V312">
        <f t="shared" si="237"/>
        <v>0</v>
      </c>
      <c r="W312">
        <f t="shared" si="238"/>
        <v>0</v>
      </c>
      <c r="X312">
        <f t="shared" si="239"/>
        <v>0</v>
      </c>
      <c r="Y312">
        <f t="shared" si="240"/>
        <v>0</v>
      </c>
      <c r="AA312">
        <v>16748969</v>
      </c>
      <c r="AB312">
        <f t="shared" si="241"/>
        <v>428.4</v>
      </c>
      <c r="AC312">
        <f t="shared" si="242"/>
        <v>428.4</v>
      </c>
      <c r="AD312">
        <f t="shared" si="243"/>
        <v>0</v>
      </c>
      <c r="AE312">
        <f t="shared" si="244"/>
        <v>0</v>
      </c>
      <c r="AF312">
        <f t="shared" si="245"/>
        <v>0</v>
      </c>
      <c r="AG312">
        <f t="shared" si="246"/>
        <v>0</v>
      </c>
      <c r="AH312">
        <f t="shared" si="247"/>
        <v>0</v>
      </c>
      <c r="AI312">
        <f t="shared" si="248"/>
        <v>0</v>
      </c>
      <c r="AJ312">
        <f t="shared" si="249"/>
        <v>0</v>
      </c>
      <c r="AK312">
        <v>428.4</v>
      </c>
      <c r="AL312">
        <v>428.4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  <c r="AS312">
        <v>0</v>
      </c>
      <c r="AT312">
        <v>95</v>
      </c>
      <c r="AU312">
        <v>65</v>
      </c>
      <c r="AV312">
        <v>1</v>
      </c>
      <c r="AW312">
        <v>1</v>
      </c>
      <c r="AZ312">
        <v>6.56</v>
      </c>
      <c r="BA312">
        <v>1</v>
      </c>
      <c r="BB312">
        <v>1</v>
      </c>
      <c r="BC312">
        <v>6.56</v>
      </c>
      <c r="BD312" t="s">
        <v>6</v>
      </c>
      <c r="BE312" t="s">
        <v>6</v>
      </c>
      <c r="BF312" t="s">
        <v>6</v>
      </c>
      <c r="BG312" t="s">
        <v>6</v>
      </c>
      <c r="BH312">
        <v>3</v>
      </c>
      <c r="BI312">
        <v>2</v>
      </c>
      <c r="BJ312" t="s">
        <v>687</v>
      </c>
      <c r="BM312">
        <v>108001</v>
      </c>
      <c r="BN312">
        <v>0</v>
      </c>
      <c r="BO312" t="s">
        <v>6</v>
      </c>
      <c r="BP312">
        <v>0</v>
      </c>
      <c r="BQ312">
        <v>3</v>
      </c>
      <c r="BR312">
        <v>0</v>
      </c>
      <c r="BS312">
        <v>1</v>
      </c>
      <c r="BT312">
        <v>1</v>
      </c>
      <c r="BU312">
        <v>1</v>
      </c>
      <c r="BV312">
        <v>1</v>
      </c>
      <c r="BW312">
        <v>1</v>
      </c>
      <c r="BX312">
        <v>1</v>
      </c>
      <c r="BY312" t="s">
        <v>6</v>
      </c>
      <c r="BZ312">
        <v>95</v>
      </c>
      <c r="CA312">
        <v>65</v>
      </c>
      <c r="CF312">
        <v>0</v>
      </c>
      <c r="CG312">
        <v>0</v>
      </c>
      <c r="CM312">
        <v>0</v>
      </c>
      <c r="CN312" t="s">
        <v>6</v>
      </c>
      <c r="CO312">
        <v>0</v>
      </c>
      <c r="CP312">
        <f t="shared" si="250"/>
        <v>2810.3</v>
      </c>
      <c r="CQ312">
        <f t="shared" si="251"/>
        <v>2810.3039999999996</v>
      </c>
      <c r="CR312">
        <f t="shared" si="252"/>
        <v>0</v>
      </c>
      <c r="CS312">
        <f t="shared" si="253"/>
        <v>0</v>
      </c>
      <c r="CT312">
        <f t="shared" si="254"/>
        <v>0</v>
      </c>
      <c r="CU312">
        <f t="shared" si="255"/>
        <v>0</v>
      </c>
      <c r="CV312">
        <f t="shared" si="256"/>
        <v>0</v>
      </c>
      <c r="CW312">
        <f t="shared" si="257"/>
        <v>0</v>
      </c>
      <c r="CX312">
        <f t="shared" si="258"/>
        <v>0</v>
      </c>
      <c r="CY312">
        <f t="shared" si="259"/>
        <v>0</v>
      </c>
      <c r="CZ312">
        <f t="shared" si="260"/>
        <v>0</v>
      </c>
      <c r="DC312" t="s">
        <v>6</v>
      </c>
      <c r="DD312" t="s">
        <v>6</v>
      </c>
      <c r="DE312" t="s">
        <v>6</v>
      </c>
      <c r="DF312" t="s">
        <v>6</v>
      </c>
      <c r="DG312" t="s">
        <v>6</v>
      </c>
      <c r="DH312" t="s">
        <v>6</v>
      </c>
      <c r="DI312" t="s">
        <v>6</v>
      </c>
      <c r="DJ312" t="s">
        <v>6</v>
      </c>
      <c r="DK312" t="s">
        <v>6</v>
      </c>
      <c r="DL312" t="s">
        <v>6</v>
      </c>
      <c r="DM312" t="s">
        <v>6</v>
      </c>
      <c r="DN312">
        <v>0</v>
      </c>
      <c r="DO312">
        <v>0</v>
      </c>
      <c r="DP312">
        <v>1</v>
      </c>
      <c r="DQ312">
        <v>1</v>
      </c>
      <c r="DU312">
        <v>1010</v>
      </c>
      <c r="DV312" t="s">
        <v>53</v>
      </c>
      <c r="DW312" t="s">
        <v>53</v>
      </c>
      <c r="DX312">
        <v>1</v>
      </c>
      <c r="EE312">
        <v>16510370</v>
      </c>
      <c r="EF312">
        <v>3</v>
      </c>
      <c r="EG312" t="s">
        <v>591</v>
      </c>
      <c r="EH312">
        <v>0</v>
      </c>
      <c r="EI312" t="s">
        <v>6</v>
      </c>
      <c r="EJ312">
        <v>2</v>
      </c>
      <c r="EK312">
        <v>108001</v>
      </c>
      <c r="EL312" t="s">
        <v>592</v>
      </c>
      <c r="EM312" t="s">
        <v>593</v>
      </c>
      <c r="EO312" t="s">
        <v>6</v>
      </c>
      <c r="EQ312">
        <v>0</v>
      </c>
      <c r="ER312">
        <v>428.4</v>
      </c>
      <c r="ES312">
        <v>428.4</v>
      </c>
      <c r="ET312">
        <v>0</v>
      </c>
      <c r="EU312">
        <v>0</v>
      </c>
      <c r="EV312">
        <v>0</v>
      </c>
      <c r="EW312">
        <v>0</v>
      </c>
      <c r="EX312">
        <v>0</v>
      </c>
      <c r="FQ312">
        <v>0</v>
      </c>
      <c r="FR312">
        <f t="shared" si="261"/>
        <v>0</v>
      </c>
      <c r="FS312">
        <v>0</v>
      </c>
      <c r="FX312">
        <v>95</v>
      </c>
      <c r="FY312">
        <v>65</v>
      </c>
      <c r="GA312" t="s">
        <v>6</v>
      </c>
      <c r="GD312">
        <v>0</v>
      </c>
      <c r="GF312">
        <v>727481344</v>
      </c>
      <c r="GG312">
        <v>1</v>
      </c>
      <c r="GH312">
        <v>1</v>
      </c>
      <c r="GI312">
        <v>4</v>
      </c>
      <c r="GJ312">
        <v>0</v>
      </c>
      <c r="GK312">
        <f>ROUND(R312*(R12)/100,2)</f>
        <v>0</v>
      </c>
      <c r="GL312">
        <f t="shared" si="262"/>
        <v>0</v>
      </c>
      <c r="GM312">
        <f t="shared" si="263"/>
        <v>2810.3</v>
      </c>
      <c r="GN312">
        <f t="shared" si="264"/>
        <v>0</v>
      </c>
      <c r="GO312">
        <f t="shared" si="265"/>
        <v>2810.3</v>
      </c>
      <c r="GP312">
        <f t="shared" si="266"/>
        <v>0</v>
      </c>
      <c r="GR312">
        <v>0</v>
      </c>
      <c r="GS312">
        <v>3</v>
      </c>
      <c r="GT312">
        <v>0</v>
      </c>
      <c r="GU312" t="s">
        <v>6</v>
      </c>
      <c r="GV312">
        <f t="shared" si="267"/>
        <v>0</v>
      </c>
      <c r="GW312">
        <v>1</v>
      </c>
      <c r="GX312">
        <f t="shared" si="268"/>
        <v>0</v>
      </c>
      <c r="HA312">
        <v>0</v>
      </c>
      <c r="HB312">
        <v>0</v>
      </c>
      <c r="IK312">
        <v>0</v>
      </c>
    </row>
    <row r="313" spans="1:245" x14ac:dyDescent="0.2">
      <c r="A313">
        <v>18</v>
      </c>
      <c r="B313">
        <v>1</v>
      </c>
      <c r="C313">
        <v>439</v>
      </c>
      <c r="E313" t="s">
        <v>688</v>
      </c>
      <c r="F313" t="s">
        <v>689</v>
      </c>
      <c r="G313" t="s">
        <v>690</v>
      </c>
      <c r="H313" t="s">
        <v>53</v>
      </c>
      <c r="I313">
        <f>I311*J313</f>
        <v>1</v>
      </c>
      <c r="J313">
        <v>0.5</v>
      </c>
      <c r="O313">
        <f t="shared" si="230"/>
        <v>2810.3</v>
      </c>
      <c r="P313">
        <f t="shared" si="231"/>
        <v>2810.3</v>
      </c>
      <c r="Q313">
        <f t="shared" si="232"/>
        <v>0</v>
      </c>
      <c r="R313">
        <f t="shared" si="233"/>
        <v>0</v>
      </c>
      <c r="S313">
        <f t="shared" si="234"/>
        <v>0</v>
      </c>
      <c r="T313">
        <f t="shared" si="235"/>
        <v>0</v>
      </c>
      <c r="U313">
        <f t="shared" si="236"/>
        <v>0</v>
      </c>
      <c r="V313">
        <f t="shared" si="237"/>
        <v>0</v>
      </c>
      <c r="W313">
        <f t="shared" si="238"/>
        <v>0</v>
      </c>
      <c r="X313">
        <f t="shared" si="239"/>
        <v>0</v>
      </c>
      <c r="Y313">
        <f t="shared" si="240"/>
        <v>0</v>
      </c>
      <c r="AA313">
        <v>16748969</v>
      </c>
      <c r="AB313">
        <f t="shared" si="241"/>
        <v>428.4</v>
      </c>
      <c r="AC313">
        <f t="shared" si="242"/>
        <v>428.4</v>
      </c>
      <c r="AD313">
        <f t="shared" si="243"/>
        <v>0</v>
      </c>
      <c r="AE313">
        <f t="shared" si="244"/>
        <v>0</v>
      </c>
      <c r="AF313">
        <f t="shared" si="245"/>
        <v>0</v>
      </c>
      <c r="AG313">
        <f t="shared" si="246"/>
        <v>0</v>
      </c>
      <c r="AH313">
        <f t="shared" si="247"/>
        <v>0</v>
      </c>
      <c r="AI313">
        <f t="shared" si="248"/>
        <v>0</v>
      </c>
      <c r="AJ313">
        <f t="shared" si="249"/>
        <v>0</v>
      </c>
      <c r="AK313">
        <v>428.4</v>
      </c>
      <c r="AL313">
        <v>428.4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  <c r="AS313">
        <v>0</v>
      </c>
      <c r="AT313">
        <v>95</v>
      </c>
      <c r="AU313">
        <v>65</v>
      </c>
      <c r="AV313">
        <v>1</v>
      </c>
      <c r="AW313">
        <v>1</v>
      </c>
      <c r="AZ313">
        <v>6.56</v>
      </c>
      <c r="BA313">
        <v>1</v>
      </c>
      <c r="BB313">
        <v>1</v>
      </c>
      <c r="BC313">
        <v>6.56</v>
      </c>
      <c r="BD313" t="s">
        <v>6</v>
      </c>
      <c r="BE313" t="s">
        <v>6</v>
      </c>
      <c r="BF313" t="s">
        <v>6</v>
      </c>
      <c r="BG313" t="s">
        <v>6</v>
      </c>
      <c r="BH313">
        <v>3</v>
      </c>
      <c r="BI313">
        <v>2</v>
      </c>
      <c r="BJ313" t="s">
        <v>691</v>
      </c>
      <c r="BM313">
        <v>108001</v>
      </c>
      <c r="BN313">
        <v>0</v>
      </c>
      <c r="BO313" t="s">
        <v>6</v>
      </c>
      <c r="BP313">
        <v>0</v>
      </c>
      <c r="BQ313">
        <v>3</v>
      </c>
      <c r="BR313">
        <v>0</v>
      </c>
      <c r="BS313">
        <v>1</v>
      </c>
      <c r="BT313">
        <v>1</v>
      </c>
      <c r="BU313">
        <v>1</v>
      </c>
      <c r="BV313">
        <v>1</v>
      </c>
      <c r="BW313">
        <v>1</v>
      </c>
      <c r="BX313">
        <v>1</v>
      </c>
      <c r="BY313" t="s">
        <v>6</v>
      </c>
      <c r="BZ313">
        <v>95</v>
      </c>
      <c r="CA313">
        <v>65</v>
      </c>
      <c r="CF313">
        <v>0</v>
      </c>
      <c r="CG313">
        <v>0</v>
      </c>
      <c r="CM313">
        <v>0</v>
      </c>
      <c r="CN313" t="s">
        <v>6</v>
      </c>
      <c r="CO313">
        <v>0</v>
      </c>
      <c r="CP313">
        <f t="shared" si="250"/>
        <v>2810.3</v>
      </c>
      <c r="CQ313">
        <f t="shared" si="251"/>
        <v>2810.3039999999996</v>
      </c>
      <c r="CR313">
        <f t="shared" si="252"/>
        <v>0</v>
      </c>
      <c r="CS313">
        <f t="shared" si="253"/>
        <v>0</v>
      </c>
      <c r="CT313">
        <f t="shared" si="254"/>
        <v>0</v>
      </c>
      <c r="CU313">
        <f t="shared" si="255"/>
        <v>0</v>
      </c>
      <c r="CV313">
        <f t="shared" si="256"/>
        <v>0</v>
      </c>
      <c r="CW313">
        <f t="shared" si="257"/>
        <v>0</v>
      </c>
      <c r="CX313">
        <f t="shared" si="258"/>
        <v>0</v>
      </c>
      <c r="CY313">
        <f t="shared" si="259"/>
        <v>0</v>
      </c>
      <c r="CZ313">
        <f t="shared" si="260"/>
        <v>0</v>
      </c>
      <c r="DC313" t="s">
        <v>6</v>
      </c>
      <c r="DD313" t="s">
        <v>6</v>
      </c>
      <c r="DE313" t="s">
        <v>6</v>
      </c>
      <c r="DF313" t="s">
        <v>6</v>
      </c>
      <c r="DG313" t="s">
        <v>6</v>
      </c>
      <c r="DH313" t="s">
        <v>6</v>
      </c>
      <c r="DI313" t="s">
        <v>6</v>
      </c>
      <c r="DJ313" t="s">
        <v>6</v>
      </c>
      <c r="DK313" t="s">
        <v>6</v>
      </c>
      <c r="DL313" t="s">
        <v>6</v>
      </c>
      <c r="DM313" t="s">
        <v>6</v>
      </c>
      <c r="DN313">
        <v>0</v>
      </c>
      <c r="DO313">
        <v>0</v>
      </c>
      <c r="DP313">
        <v>1</v>
      </c>
      <c r="DQ313">
        <v>1</v>
      </c>
      <c r="DU313">
        <v>1010</v>
      </c>
      <c r="DV313" t="s">
        <v>53</v>
      </c>
      <c r="DW313" t="s">
        <v>53</v>
      </c>
      <c r="DX313">
        <v>1</v>
      </c>
      <c r="EE313">
        <v>16510370</v>
      </c>
      <c r="EF313">
        <v>3</v>
      </c>
      <c r="EG313" t="s">
        <v>591</v>
      </c>
      <c r="EH313">
        <v>0</v>
      </c>
      <c r="EI313" t="s">
        <v>6</v>
      </c>
      <c r="EJ313">
        <v>2</v>
      </c>
      <c r="EK313">
        <v>108001</v>
      </c>
      <c r="EL313" t="s">
        <v>592</v>
      </c>
      <c r="EM313" t="s">
        <v>593</v>
      </c>
      <c r="EO313" t="s">
        <v>6</v>
      </c>
      <c r="EQ313">
        <v>0</v>
      </c>
      <c r="ER313">
        <v>428.4</v>
      </c>
      <c r="ES313">
        <v>428.4</v>
      </c>
      <c r="ET313">
        <v>0</v>
      </c>
      <c r="EU313">
        <v>0</v>
      </c>
      <c r="EV313">
        <v>0</v>
      </c>
      <c r="EW313">
        <v>0</v>
      </c>
      <c r="EX313">
        <v>0</v>
      </c>
      <c r="FQ313">
        <v>0</v>
      </c>
      <c r="FR313">
        <f t="shared" si="261"/>
        <v>0</v>
      </c>
      <c r="FS313">
        <v>0</v>
      </c>
      <c r="FX313">
        <v>95</v>
      </c>
      <c r="FY313">
        <v>65</v>
      </c>
      <c r="GA313" t="s">
        <v>6</v>
      </c>
      <c r="GD313">
        <v>0</v>
      </c>
      <c r="GF313">
        <v>-2075971747</v>
      </c>
      <c r="GG313">
        <v>1</v>
      </c>
      <c r="GH313">
        <v>1</v>
      </c>
      <c r="GI313">
        <v>4</v>
      </c>
      <c r="GJ313">
        <v>0</v>
      </c>
      <c r="GK313">
        <f>ROUND(R313*(R12)/100,2)</f>
        <v>0</v>
      </c>
      <c r="GL313">
        <f t="shared" si="262"/>
        <v>0</v>
      </c>
      <c r="GM313">
        <f t="shared" si="263"/>
        <v>2810.3</v>
      </c>
      <c r="GN313">
        <f t="shared" si="264"/>
        <v>0</v>
      </c>
      <c r="GO313">
        <f t="shared" si="265"/>
        <v>2810.3</v>
      </c>
      <c r="GP313">
        <f t="shared" si="266"/>
        <v>0</v>
      </c>
      <c r="GR313">
        <v>0</v>
      </c>
      <c r="GS313">
        <v>3</v>
      </c>
      <c r="GT313">
        <v>0</v>
      </c>
      <c r="GU313" t="s">
        <v>6</v>
      </c>
      <c r="GV313">
        <f t="shared" si="267"/>
        <v>0</v>
      </c>
      <c r="GW313">
        <v>1</v>
      </c>
      <c r="GX313">
        <f t="shared" si="268"/>
        <v>0</v>
      </c>
      <c r="HA313">
        <v>0</v>
      </c>
      <c r="HB313">
        <v>0</v>
      </c>
      <c r="IK313">
        <v>0</v>
      </c>
    </row>
    <row r="314" spans="1:245" x14ac:dyDescent="0.2">
      <c r="A314">
        <v>17</v>
      </c>
      <c r="B314">
        <v>1</v>
      </c>
      <c r="C314">
        <f>ROW(SmtRes!A453)</f>
        <v>453</v>
      </c>
      <c r="D314">
        <f>ROW(EtalonRes!A424)</f>
        <v>424</v>
      </c>
      <c r="E314" t="s">
        <v>692</v>
      </c>
      <c r="F314" t="s">
        <v>693</v>
      </c>
      <c r="G314" t="s">
        <v>694</v>
      </c>
      <c r="H314" t="s">
        <v>34</v>
      </c>
      <c r="I314">
        <f>ROUND(5.6/100,9)</f>
        <v>5.6000000000000001E-2</v>
      </c>
      <c r="J314">
        <v>0</v>
      </c>
      <c r="O314">
        <f t="shared" si="230"/>
        <v>214.05</v>
      </c>
      <c r="P314">
        <f t="shared" si="231"/>
        <v>149.71</v>
      </c>
      <c r="Q314">
        <f t="shared" si="232"/>
        <v>34.78</v>
      </c>
      <c r="R314">
        <f t="shared" si="233"/>
        <v>8.57</v>
      </c>
      <c r="S314">
        <f t="shared" si="234"/>
        <v>29.56</v>
      </c>
      <c r="T314">
        <f t="shared" si="235"/>
        <v>0</v>
      </c>
      <c r="U314">
        <f t="shared" si="236"/>
        <v>0.47936000000000006</v>
      </c>
      <c r="V314">
        <f t="shared" si="237"/>
        <v>0.12712000000000001</v>
      </c>
      <c r="W314">
        <f t="shared" si="238"/>
        <v>0</v>
      </c>
      <c r="X314">
        <f t="shared" si="239"/>
        <v>36.22</v>
      </c>
      <c r="Y314">
        <f t="shared" si="240"/>
        <v>24.78</v>
      </c>
      <c r="AA314">
        <v>16748969</v>
      </c>
      <c r="AB314">
        <f t="shared" si="241"/>
        <v>582.66</v>
      </c>
      <c r="AC314">
        <f t="shared" si="242"/>
        <v>407.53</v>
      </c>
      <c r="AD314">
        <f t="shared" si="243"/>
        <v>94.67</v>
      </c>
      <c r="AE314">
        <f t="shared" si="244"/>
        <v>23.33</v>
      </c>
      <c r="AF314">
        <f t="shared" si="245"/>
        <v>80.459999999999994</v>
      </c>
      <c r="AG314">
        <f t="shared" si="246"/>
        <v>0</v>
      </c>
      <c r="AH314">
        <f t="shared" si="247"/>
        <v>8.56</v>
      </c>
      <c r="AI314">
        <f t="shared" si="248"/>
        <v>2.27</v>
      </c>
      <c r="AJ314">
        <f t="shared" si="249"/>
        <v>0</v>
      </c>
      <c r="AK314">
        <v>582.66</v>
      </c>
      <c r="AL314">
        <v>407.53</v>
      </c>
      <c r="AM314">
        <v>94.67</v>
      </c>
      <c r="AN314">
        <v>23.33</v>
      </c>
      <c r="AO314">
        <v>80.459999999999994</v>
      </c>
      <c r="AP314">
        <v>0</v>
      </c>
      <c r="AQ314">
        <v>8.56</v>
      </c>
      <c r="AR314">
        <v>2.27</v>
      </c>
      <c r="AS314">
        <v>0</v>
      </c>
      <c r="AT314">
        <v>95</v>
      </c>
      <c r="AU314">
        <v>65</v>
      </c>
      <c r="AV314">
        <v>1</v>
      </c>
      <c r="AW314">
        <v>1</v>
      </c>
      <c r="AZ314">
        <v>6.56</v>
      </c>
      <c r="BA314">
        <v>6.56</v>
      </c>
      <c r="BB314">
        <v>6.56</v>
      </c>
      <c r="BC314">
        <v>6.56</v>
      </c>
      <c r="BD314" t="s">
        <v>6</v>
      </c>
      <c r="BE314" t="s">
        <v>6</v>
      </c>
      <c r="BF314" t="s">
        <v>6</v>
      </c>
      <c r="BG314" t="s">
        <v>6</v>
      </c>
      <c r="BH314">
        <v>0</v>
      </c>
      <c r="BI314">
        <v>2</v>
      </c>
      <c r="BJ314" t="s">
        <v>695</v>
      </c>
      <c r="BM314">
        <v>108001</v>
      </c>
      <c r="BN314">
        <v>0</v>
      </c>
      <c r="BO314" t="s">
        <v>6</v>
      </c>
      <c r="BP314">
        <v>0</v>
      </c>
      <c r="BQ314">
        <v>3</v>
      </c>
      <c r="BR314">
        <v>0</v>
      </c>
      <c r="BS314">
        <v>6.56</v>
      </c>
      <c r="BT314">
        <v>1</v>
      </c>
      <c r="BU314">
        <v>1</v>
      </c>
      <c r="BV314">
        <v>1</v>
      </c>
      <c r="BW314">
        <v>1</v>
      </c>
      <c r="BX314">
        <v>1</v>
      </c>
      <c r="BY314" t="s">
        <v>6</v>
      </c>
      <c r="BZ314">
        <v>95</v>
      </c>
      <c r="CA314">
        <v>65</v>
      </c>
      <c r="CF314">
        <v>0</v>
      </c>
      <c r="CG314">
        <v>0</v>
      </c>
      <c r="CM314">
        <v>0</v>
      </c>
      <c r="CN314" t="s">
        <v>6</v>
      </c>
      <c r="CO314">
        <v>0</v>
      </c>
      <c r="CP314">
        <f t="shared" si="250"/>
        <v>214.05</v>
      </c>
      <c r="CQ314">
        <f t="shared" si="251"/>
        <v>2673.3967999999995</v>
      </c>
      <c r="CR314">
        <f t="shared" si="252"/>
        <v>621.03519999999992</v>
      </c>
      <c r="CS314">
        <f t="shared" si="253"/>
        <v>153.04479999999998</v>
      </c>
      <c r="CT314">
        <f t="shared" si="254"/>
        <v>527.81759999999997</v>
      </c>
      <c r="CU314">
        <f t="shared" si="255"/>
        <v>0</v>
      </c>
      <c r="CV314">
        <f t="shared" si="256"/>
        <v>8.56</v>
      </c>
      <c r="CW314">
        <f t="shared" si="257"/>
        <v>2.27</v>
      </c>
      <c r="CX314">
        <f t="shared" si="258"/>
        <v>0</v>
      </c>
      <c r="CY314">
        <f t="shared" si="259"/>
        <v>36.223499999999994</v>
      </c>
      <c r="CZ314">
        <f t="shared" si="260"/>
        <v>24.784499999999998</v>
      </c>
      <c r="DC314" t="s">
        <v>6</v>
      </c>
      <c r="DD314" t="s">
        <v>6</v>
      </c>
      <c r="DE314" t="s">
        <v>6</v>
      </c>
      <c r="DF314" t="s">
        <v>6</v>
      </c>
      <c r="DG314" t="s">
        <v>6</v>
      </c>
      <c r="DH314" t="s">
        <v>6</v>
      </c>
      <c r="DI314" t="s">
        <v>6</v>
      </c>
      <c r="DJ314" t="s">
        <v>6</v>
      </c>
      <c r="DK314" t="s">
        <v>6</v>
      </c>
      <c r="DL314" t="s">
        <v>6</v>
      </c>
      <c r="DM314" t="s">
        <v>6</v>
      </c>
      <c r="DN314">
        <v>0</v>
      </c>
      <c r="DO314">
        <v>0</v>
      </c>
      <c r="DP314">
        <v>1</v>
      </c>
      <c r="DQ314">
        <v>1</v>
      </c>
      <c r="DU314">
        <v>1003</v>
      </c>
      <c r="DV314" t="s">
        <v>34</v>
      </c>
      <c r="DW314" t="s">
        <v>34</v>
      </c>
      <c r="DX314">
        <v>100</v>
      </c>
      <c r="EE314">
        <v>16510370</v>
      </c>
      <c r="EF314">
        <v>3</v>
      </c>
      <c r="EG314" t="s">
        <v>591</v>
      </c>
      <c r="EH314">
        <v>0</v>
      </c>
      <c r="EI314" t="s">
        <v>6</v>
      </c>
      <c r="EJ314">
        <v>2</v>
      </c>
      <c r="EK314">
        <v>108001</v>
      </c>
      <c r="EL314" t="s">
        <v>592</v>
      </c>
      <c r="EM314" t="s">
        <v>593</v>
      </c>
      <c r="EO314" t="s">
        <v>6</v>
      </c>
      <c r="EQ314">
        <v>131072</v>
      </c>
      <c r="ER314">
        <v>582.66</v>
      </c>
      <c r="ES314">
        <v>407.53</v>
      </c>
      <c r="ET314">
        <v>94.67</v>
      </c>
      <c r="EU314">
        <v>23.33</v>
      </c>
      <c r="EV314">
        <v>80.459999999999994</v>
      </c>
      <c r="EW314">
        <v>8.56</v>
      </c>
      <c r="EX314">
        <v>2.27</v>
      </c>
      <c r="EY314">
        <v>0</v>
      </c>
      <c r="FQ314">
        <v>0</v>
      </c>
      <c r="FR314">
        <f t="shared" si="261"/>
        <v>0</v>
      </c>
      <c r="FS314">
        <v>0</v>
      </c>
      <c r="FX314">
        <v>95</v>
      </c>
      <c r="FY314">
        <v>65</v>
      </c>
      <c r="GA314" t="s">
        <v>6</v>
      </c>
      <c r="GD314">
        <v>0</v>
      </c>
      <c r="GF314">
        <v>-1279751464</v>
      </c>
      <c r="GG314">
        <v>1</v>
      </c>
      <c r="GH314">
        <v>1</v>
      </c>
      <c r="GI314">
        <v>4</v>
      </c>
      <c r="GJ314">
        <v>0</v>
      </c>
      <c r="GK314">
        <f>ROUND(R314*(R12)/100,2)</f>
        <v>0</v>
      </c>
      <c r="GL314">
        <f t="shared" si="262"/>
        <v>0</v>
      </c>
      <c r="GM314">
        <f t="shared" si="263"/>
        <v>275.05</v>
      </c>
      <c r="GN314">
        <f t="shared" si="264"/>
        <v>0</v>
      </c>
      <c r="GO314">
        <f t="shared" si="265"/>
        <v>275.05</v>
      </c>
      <c r="GP314">
        <f t="shared" si="266"/>
        <v>0</v>
      </c>
      <c r="GR314">
        <v>0</v>
      </c>
      <c r="GS314">
        <v>3</v>
      </c>
      <c r="GT314">
        <v>0</v>
      </c>
      <c r="GU314" t="s">
        <v>6</v>
      </c>
      <c r="GV314">
        <f t="shared" si="267"/>
        <v>0</v>
      </c>
      <c r="GW314">
        <v>1</v>
      </c>
      <c r="GX314">
        <f t="shared" si="268"/>
        <v>0</v>
      </c>
      <c r="HA314">
        <v>0</v>
      </c>
      <c r="HB314">
        <v>0</v>
      </c>
      <c r="IK314">
        <v>0</v>
      </c>
    </row>
    <row r="315" spans="1:245" x14ac:dyDescent="0.2">
      <c r="A315">
        <v>18</v>
      </c>
      <c r="B315">
        <v>1</v>
      </c>
      <c r="C315">
        <v>451</v>
      </c>
      <c r="E315" t="s">
        <v>696</v>
      </c>
      <c r="F315" t="s">
        <v>697</v>
      </c>
      <c r="G315" t="s">
        <v>698</v>
      </c>
      <c r="H315" t="s">
        <v>53</v>
      </c>
      <c r="I315">
        <f>I314*J315</f>
        <v>2.2400000000000002</v>
      </c>
      <c r="J315">
        <v>40</v>
      </c>
      <c r="O315">
        <f t="shared" si="230"/>
        <v>916.93</v>
      </c>
      <c r="P315">
        <f t="shared" si="231"/>
        <v>916.93</v>
      </c>
      <c r="Q315">
        <f t="shared" si="232"/>
        <v>0</v>
      </c>
      <c r="R315">
        <f t="shared" si="233"/>
        <v>0</v>
      </c>
      <c r="S315">
        <f t="shared" si="234"/>
        <v>0</v>
      </c>
      <c r="T315">
        <f t="shared" si="235"/>
        <v>0</v>
      </c>
      <c r="U315">
        <f t="shared" si="236"/>
        <v>0</v>
      </c>
      <c r="V315">
        <f t="shared" si="237"/>
        <v>0</v>
      </c>
      <c r="W315">
        <f t="shared" si="238"/>
        <v>0</v>
      </c>
      <c r="X315">
        <f t="shared" si="239"/>
        <v>0</v>
      </c>
      <c r="Y315">
        <f t="shared" si="240"/>
        <v>0</v>
      </c>
      <c r="AA315">
        <v>16748969</v>
      </c>
      <c r="AB315">
        <f t="shared" si="241"/>
        <v>62.4</v>
      </c>
      <c r="AC315">
        <f t="shared" si="242"/>
        <v>62.4</v>
      </c>
      <c r="AD315">
        <f t="shared" si="243"/>
        <v>0</v>
      </c>
      <c r="AE315">
        <f t="shared" si="244"/>
        <v>0</v>
      </c>
      <c r="AF315">
        <f t="shared" si="245"/>
        <v>0</v>
      </c>
      <c r="AG315">
        <f t="shared" si="246"/>
        <v>0</v>
      </c>
      <c r="AH315">
        <f t="shared" si="247"/>
        <v>0</v>
      </c>
      <c r="AI315">
        <f t="shared" si="248"/>
        <v>0</v>
      </c>
      <c r="AJ315">
        <f t="shared" si="249"/>
        <v>0</v>
      </c>
      <c r="AK315">
        <v>62.4</v>
      </c>
      <c r="AL315">
        <v>62.4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  <c r="AS315">
        <v>0</v>
      </c>
      <c r="AT315">
        <v>95</v>
      </c>
      <c r="AU315">
        <v>65</v>
      </c>
      <c r="AV315">
        <v>1</v>
      </c>
      <c r="AW315">
        <v>1</v>
      </c>
      <c r="AZ315">
        <v>6.56</v>
      </c>
      <c r="BA315">
        <v>1</v>
      </c>
      <c r="BB315">
        <v>1</v>
      </c>
      <c r="BC315">
        <v>6.56</v>
      </c>
      <c r="BD315" t="s">
        <v>6</v>
      </c>
      <c r="BE315" t="s">
        <v>6</v>
      </c>
      <c r="BF315" t="s">
        <v>6</v>
      </c>
      <c r="BG315" t="s">
        <v>6</v>
      </c>
      <c r="BH315">
        <v>3</v>
      </c>
      <c r="BI315">
        <v>2</v>
      </c>
      <c r="BJ315" t="s">
        <v>699</v>
      </c>
      <c r="BM315">
        <v>108001</v>
      </c>
      <c r="BN315">
        <v>0</v>
      </c>
      <c r="BO315" t="s">
        <v>6</v>
      </c>
      <c r="BP315">
        <v>0</v>
      </c>
      <c r="BQ315">
        <v>3</v>
      </c>
      <c r="BR315">
        <v>0</v>
      </c>
      <c r="BS315">
        <v>1</v>
      </c>
      <c r="BT315">
        <v>1</v>
      </c>
      <c r="BU315">
        <v>1</v>
      </c>
      <c r="BV315">
        <v>1</v>
      </c>
      <c r="BW315">
        <v>1</v>
      </c>
      <c r="BX315">
        <v>1</v>
      </c>
      <c r="BY315" t="s">
        <v>6</v>
      </c>
      <c r="BZ315">
        <v>95</v>
      </c>
      <c r="CA315">
        <v>65</v>
      </c>
      <c r="CF315">
        <v>0</v>
      </c>
      <c r="CG315">
        <v>0</v>
      </c>
      <c r="CM315">
        <v>0</v>
      </c>
      <c r="CN315" t="s">
        <v>6</v>
      </c>
      <c r="CO315">
        <v>0</v>
      </c>
      <c r="CP315">
        <f t="shared" si="250"/>
        <v>916.93</v>
      </c>
      <c r="CQ315">
        <f t="shared" si="251"/>
        <v>409.34399999999999</v>
      </c>
      <c r="CR315">
        <f t="shared" si="252"/>
        <v>0</v>
      </c>
      <c r="CS315">
        <f t="shared" si="253"/>
        <v>0</v>
      </c>
      <c r="CT315">
        <f t="shared" si="254"/>
        <v>0</v>
      </c>
      <c r="CU315">
        <f t="shared" si="255"/>
        <v>0</v>
      </c>
      <c r="CV315">
        <f t="shared" si="256"/>
        <v>0</v>
      </c>
      <c r="CW315">
        <f t="shared" si="257"/>
        <v>0</v>
      </c>
      <c r="CX315">
        <f t="shared" si="258"/>
        <v>0</v>
      </c>
      <c r="CY315">
        <f t="shared" si="259"/>
        <v>0</v>
      </c>
      <c r="CZ315">
        <f t="shared" si="260"/>
        <v>0</v>
      </c>
      <c r="DC315" t="s">
        <v>6</v>
      </c>
      <c r="DD315" t="s">
        <v>6</v>
      </c>
      <c r="DE315" t="s">
        <v>6</v>
      </c>
      <c r="DF315" t="s">
        <v>6</v>
      </c>
      <c r="DG315" t="s">
        <v>6</v>
      </c>
      <c r="DH315" t="s">
        <v>6</v>
      </c>
      <c r="DI315" t="s">
        <v>6</v>
      </c>
      <c r="DJ315" t="s">
        <v>6</v>
      </c>
      <c r="DK315" t="s">
        <v>6</v>
      </c>
      <c r="DL315" t="s">
        <v>6</v>
      </c>
      <c r="DM315" t="s">
        <v>6</v>
      </c>
      <c r="DN315">
        <v>0</v>
      </c>
      <c r="DO315">
        <v>0</v>
      </c>
      <c r="DP315">
        <v>1</v>
      </c>
      <c r="DQ315">
        <v>1</v>
      </c>
      <c r="DU315">
        <v>1010</v>
      </c>
      <c r="DV315" t="s">
        <v>53</v>
      </c>
      <c r="DW315" t="s">
        <v>53</v>
      </c>
      <c r="DX315">
        <v>1</v>
      </c>
      <c r="EE315">
        <v>16510370</v>
      </c>
      <c r="EF315">
        <v>3</v>
      </c>
      <c r="EG315" t="s">
        <v>591</v>
      </c>
      <c r="EH315">
        <v>0</v>
      </c>
      <c r="EI315" t="s">
        <v>6</v>
      </c>
      <c r="EJ315">
        <v>2</v>
      </c>
      <c r="EK315">
        <v>108001</v>
      </c>
      <c r="EL315" t="s">
        <v>592</v>
      </c>
      <c r="EM315" t="s">
        <v>593</v>
      </c>
      <c r="EO315" t="s">
        <v>6</v>
      </c>
      <c r="EQ315">
        <v>0</v>
      </c>
      <c r="ER315">
        <v>62.4</v>
      </c>
      <c r="ES315">
        <v>62.4</v>
      </c>
      <c r="ET315">
        <v>0</v>
      </c>
      <c r="EU315">
        <v>0</v>
      </c>
      <c r="EV315">
        <v>0</v>
      </c>
      <c r="EW315">
        <v>0</v>
      </c>
      <c r="EX315">
        <v>0</v>
      </c>
      <c r="FQ315">
        <v>0</v>
      </c>
      <c r="FR315">
        <f t="shared" si="261"/>
        <v>0</v>
      </c>
      <c r="FS315">
        <v>0</v>
      </c>
      <c r="FX315">
        <v>95</v>
      </c>
      <c r="FY315">
        <v>65</v>
      </c>
      <c r="GA315" t="s">
        <v>6</v>
      </c>
      <c r="GD315">
        <v>0</v>
      </c>
      <c r="GF315">
        <v>1131365880</v>
      </c>
      <c r="GG315">
        <v>1</v>
      </c>
      <c r="GH315">
        <v>1</v>
      </c>
      <c r="GI315">
        <v>4</v>
      </c>
      <c r="GJ315">
        <v>0</v>
      </c>
      <c r="GK315">
        <f>ROUND(R315*(R12)/100,2)</f>
        <v>0</v>
      </c>
      <c r="GL315">
        <f t="shared" si="262"/>
        <v>0</v>
      </c>
      <c r="GM315">
        <f t="shared" si="263"/>
        <v>916.93</v>
      </c>
      <c r="GN315">
        <f t="shared" si="264"/>
        <v>0</v>
      </c>
      <c r="GO315">
        <f t="shared" si="265"/>
        <v>916.93</v>
      </c>
      <c r="GP315">
        <f t="shared" si="266"/>
        <v>0</v>
      </c>
      <c r="GR315">
        <v>0</v>
      </c>
      <c r="GS315">
        <v>3</v>
      </c>
      <c r="GT315">
        <v>0</v>
      </c>
      <c r="GU315" t="s">
        <v>6</v>
      </c>
      <c r="GV315">
        <f t="shared" si="267"/>
        <v>0</v>
      </c>
      <c r="GW315">
        <v>1</v>
      </c>
      <c r="GX315">
        <f t="shared" si="268"/>
        <v>0</v>
      </c>
      <c r="HA315">
        <v>0</v>
      </c>
      <c r="HB315">
        <v>0</v>
      </c>
      <c r="IK315">
        <v>0</v>
      </c>
    </row>
    <row r="316" spans="1:245" x14ac:dyDescent="0.2">
      <c r="A316">
        <v>17</v>
      </c>
      <c r="B316">
        <v>1</v>
      </c>
      <c r="C316">
        <f>ROW(SmtRes!A465)</f>
        <v>465</v>
      </c>
      <c r="D316">
        <f>ROW(EtalonRes!A435)</f>
        <v>435</v>
      </c>
      <c r="E316" t="s">
        <v>700</v>
      </c>
      <c r="F316" t="s">
        <v>701</v>
      </c>
      <c r="G316" t="s">
        <v>702</v>
      </c>
      <c r="H316" t="s">
        <v>34</v>
      </c>
      <c r="I316">
        <f>ROUND(70/100,9)</f>
        <v>0.7</v>
      </c>
      <c r="J316">
        <v>0</v>
      </c>
      <c r="O316">
        <f t="shared" si="230"/>
        <v>3839.88</v>
      </c>
      <c r="P316">
        <f t="shared" si="231"/>
        <v>285.12</v>
      </c>
      <c r="Q316">
        <f t="shared" si="232"/>
        <v>2962.39</v>
      </c>
      <c r="R316">
        <f t="shared" si="233"/>
        <v>282.18</v>
      </c>
      <c r="S316">
        <f t="shared" si="234"/>
        <v>592.37</v>
      </c>
      <c r="T316">
        <f t="shared" si="235"/>
        <v>0</v>
      </c>
      <c r="U316">
        <f t="shared" si="236"/>
        <v>9.3869999999999987</v>
      </c>
      <c r="V316">
        <f t="shared" si="237"/>
        <v>3.206</v>
      </c>
      <c r="W316">
        <f t="shared" si="238"/>
        <v>0</v>
      </c>
      <c r="X316">
        <f t="shared" si="239"/>
        <v>830.82</v>
      </c>
      <c r="Y316">
        <f t="shared" si="240"/>
        <v>568.46</v>
      </c>
      <c r="AA316">
        <v>16748969</v>
      </c>
      <c r="AB316">
        <f t="shared" si="241"/>
        <v>836.21</v>
      </c>
      <c r="AC316">
        <f t="shared" si="242"/>
        <v>62.09</v>
      </c>
      <c r="AD316">
        <f t="shared" si="243"/>
        <v>645.12</v>
      </c>
      <c r="AE316">
        <f t="shared" si="244"/>
        <v>61.45</v>
      </c>
      <c r="AF316">
        <f t="shared" si="245"/>
        <v>129</v>
      </c>
      <c r="AG316">
        <f t="shared" si="246"/>
        <v>0</v>
      </c>
      <c r="AH316">
        <f t="shared" si="247"/>
        <v>13.41</v>
      </c>
      <c r="AI316">
        <f t="shared" si="248"/>
        <v>4.58</v>
      </c>
      <c r="AJ316">
        <f t="shared" si="249"/>
        <v>0</v>
      </c>
      <c r="AK316">
        <v>836.21</v>
      </c>
      <c r="AL316">
        <v>62.09</v>
      </c>
      <c r="AM316">
        <v>645.12</v>
      </c>
      <c r="AN316">
        <v>61.45</v>
      </c>
      <c r="AO316">
        <v>129</v>
      </c>
      <c r="AP316">
        <v>0</v>
      </c>
      <c r="AQ316">
        <v>13.41</v>
      </c>
      <c r="AR316">
        <v>4.58</v>
      </c>
      <c r="AS316">
        <v>0</v>
      </c>
      <c r="AT316">
        <v>95</v>
      </c>
      <c r="AU316">
        <v>65</v>
      </c>
      <c r="AV316">
        <v>1</v>
      </c>
      <c r="AW316">
        <v>1</v>
      </c>
      <c r="AZ316">
        <v>6.56</v>
      </c>
      <c r="BA316">
        <v>6.56</v>
      </c>
      <c r="BB316">
        <v>6.56</v>
      </c>
      <c r="BC316">
        <v>6.56</v>
      </c>
      <c r="BD316" t="s">
        <v>6</v>
      </c>
      <c r="BE316" t="s">
        <v>6</v>
      </c>
      <c r="BF316" t="s">
        <v>6</v>
      </c>
      <c r="BG316" t="s">
        <v>6</v>
      </c>
      <c r="BH316">
        <v>0</v>
      </c>
      <c r="BI316">
        <v>2</v>
      </c>
      <c r="BJ316" t="s">
        <v>703</v>
      </c>
      <c r="BM316">
        <v>108001</v>
      </c>
      <c r="BN316">
        <v>0</v>
      </c>
      <c r="BO316" t="s">
        <v>6</v>
      </c>
      <c r="BP316">
        <v>0</v>
      </c>
      <c r="BQ316">
        <v>3</v>
      </c>
      <c r="BR316">
        <v>0</v>
      </c>
      <c r="BS316">
        <v>6.56</v>
      </c>
      <c r="BT316">
        <v>1</v>
      </c>
      <c r="BU316">
        <v>1</v>
      </c>
      <c r="BV316">
        <v>1</v>
      </c>
      <c r="BW316">
        <v>1</v>
      </c>
      <c r="BX316">
        <v>1</v>
      </c>
      <c r="BY316" t="s">
        <v>6</v>
      </c>
      <c r="BZ316">
        <v>95</v>
      </c>
      <c r="CA316">
        <v>65</v>
      </c>
      <c r="CF316">
        <v>0</v>
      </c>
      <c r="CG316">
        <v>0</v>
      </c>
      <c r="CM316">
        <v>0</v>
      </c>
      <c r="CN316" t="s">
        <v>6</v>
      </c>
      <c r="CO316">
        <v>0</v>
      </c>
      <c r="CP316">
        <f t="shared" si="250"/>
        <v>3839.8799999999997</v>
      </c>
      <c r="CQ316">
        <f t="shared" si="251"/>
        <v>407.31040000000002</v>
      </c>
      <c r="CR316">
        <f t="shared" si="252"/>
        <v>4231.9871999999996</v>
      </c>
      <c r="CS316">
        <f t="shared" si="253"/>
        <v>403.11199999999997</v>
      </c>
      <c r="CT316">
        <f t="shared" si="254"/>
        <v>846.2399999999999</v>
      </c>
      <c r="CU316">
        <f t="shared" si="255"/>
        <v>0</v>
      </c>
      <c r="CV316">
        <f t="shared" si="256"/>
        <v>13.41</v>
      </c>
      <c r="CW316">
        <f t="shared" si="257"/>
        <v>4.58</v>
      </c>
      <c r="CX316">
        <f t="shared" si="258"/>
        <v>0</v>
      </c>
      <c r="CY316">
        <f t="shared" si="259"/>
        <v>830.82249999999999</v>
      </c>
      <c r="CZ316">
        <f t="shared" si="260"/>
        <v>568.45749999999998</v>
      </c>
      <c r="DC316" t="s">
        <v>6</v>
      </c>
      <c r="DD316" t="s">
        <v>6</v>
      </c>
      <c r="DE316" t="s">
        <v>6</v>
      </c>
      <c r="DF316" t="s">
        <v>6</v>
      </c>
      <c r="DG316" t="s">
        <v>6</v>
      </c>
      <c r="DH316" t="s">
        <v>6</v>
      </c>
      <c r="DI316" t="s">
        <v>6</v>
      </c>
      <c r="DJ316" t="s">
        <v>6</v>
      </c>
      <c r="DK316" t="s">
        <v>6</v>
      </c>
      <c r="DL316" t="s">
        <v>6</v>
      </c>
      <c r="DM316" t="s">
        <v>6</v>
      </c>
      <c r="DN316">
        <v>0</v>
      </c>
      <c r="DO316">
        <v>0</v>
      </c>
      <c r="DP316">
        <v>1</v>
      </c>
      <c r="DQ316">
        <v>1</v>
      </c>
      <c r="DU316">
        <v>1003</v>
      </c>
      <c r="DV316" t="s">
        <v>34</v>
      </c>
      <c r="DW316" t="s">
        <v>34</v>
      </c>
      <c r="DX316">
        <v>100</v>
      </c>
      <c r="EE316">
        <v>16510370</v>
      </c>
      <c r="EF316">
        <v>3</v>
      </c>
      <c r="EG316" t="s">
        <v>591</v>
      </c>
      <c r="EH316">
        <v>0</v>
      </c>
      <c r="EI316" t="s">
        <v>6</v>
      </c>
      <c r="EJ316">
        <v>2</v>
      </c>
      <c r="EK316">
        <v>108001</v>
      </c>
      <c r="EL316" t="s">
        <v>592</v>
      </c>
      <c r="EM316" t="s">
        <v>593</v>
      </c>
      <c r="EO316" t="s">
        <v>6</v>
      </c>
      <c r="EQ316">
        <v>131072</v>
      </c>
      <c r="ER316">
        <v>836.21</v>
      </c>
      <c r="ES316">
        <v>62.09</v>
      </c>
      <c r="ET316">
        <v>645.12</v>
      </c>
      <c r="EU316">
        <v>61.45</v>
      </c>
      <c r="EV316">
        <v>129</v>
      </c>
      <c r="EW316">
        <v>13.41</v>
      </c>
      <c r="EX316">
        <v>4.58</v>
      </c>
      <c r="EY316">
        <v>0</v>
      </c>
      <c r="FQ316">
        <v>0</v>
      </c>
      <c r="FR316">
        <f t="shared" si="261"/>
        <v>0</v>
      </c>
      <c r="FS316">
        <v>0</v>
      </c>
      <c r="FX316">
        <v>95</v>
      </c>
      <c r="FY316">
        <v>65</v>
      </c>
      <c r="GA316" t="s">
        <v>6</v>
      </c>
      <c r="GD316">
        <v>0</v>
      </c>
      <c r="GF316">
        <v>641266311</v>
      </c>
      <c r="GG316">
        <v>1</v>
      </c>
      <c r="GH316">
        <v>1</v>
      </c>
      <c r="GI316">
        <v>4</v>
      </c>
      <c r="GJ316">
        <v>0</v>
      </c>
      <c r="GK316">
        <f>ROUND(R316*(R12)/100,2)</f>
        <v>0</v>
      </c>
      <c r="GL316">
        <f t="shared" si="262"/>
        <v>0</v>
      </c>
      <c r="GM316">
        <f t="shared" si="263"/>
        <v>5239.16</v>
      </c>
      <c r="GN316">
        <f t="shared" si="264"/>
        <v>0</v>
      </c>
      <c r="GO316">
        <f t="shared" si="265"/>
        <v>5239.16</v>
      </c>
      <c r="GP316">
        <f t="shared" si="266"/>
        <v>0</v>
      </c>
      <c r="GR316">
        <v>0</v>
      </c>
      <c r="GS316">
        <v>3</v>
      </c>
      <c r="GT316">
        <v>0</v>
      </c>
      <c r="GU316" t="s">
        <v>6</v>
      </c>
      <c r="GV316">
        <f t="shared" si="267"/>
        <v>0</v>
      </c>
      <c r="GW316">
        <v>1</v>
      </c>
      <c r="GX316">
        <f t="shared" si="268"/>
        <v>0</v>
      </c>
      <c r="HA316">
        <v>0</v>
      </c>
      <c r="HB316">
        <v>0</v>
      </c>
      <c r="IK316">
        <v>0</v>
      </c>
    </row>
    <row r="317" spans="1:245" x14ac:dyDescent="0.2">
      <c r="A317">
        <v>18</v>
      </c>
      <c r="B317">
        <v>1</v>
      </c>
      <c r="C317">
        <v>464</v>
      </c>
      <c r="E317" t="s">
        <v>704</v>
      </c>
      <c r="F317" t="s">
        <v>705</v>
      </c>
      <c r="G317" t="s">
        <v>706</v>
      </c>
      <c r="H317" t="s">
        <v>641</v>
      </c>
      <c r="I317">
        <f>I316*J317</f>
        <v>7.0000000000000007E-2</v>
      </c>
      <c r="J317">
        <v>0.10000000000000002</v>
      </c>
      <c r="O317">
        <f t="shared" si="230"/>
        <v>14242.17</v>
      </c>
      <c r="P317">
        <f t="shared" si="231"/>
        <v>14242.17</v>
      </c>
      <c r="Q317">
        <f t="shared" si="232"/>
        <v>0</v>
      </c>
      <c r="R317">
        <f t="shared" si="233"/>
        <v>0</v>
      </c>
      <c r="S317">
        <f t="shared" si="234"/>
        <v>0</v>
      </c>
      <c r="T317">
        <f t="shared" si="235"/>
        <v>0</v>
      </c>
      <c r="U317">
        <f t="shared" si="236"/>
        <v>0</v>
      </c>
      <c r="V317">
        <f t="shared" si="237"/>
        <v>0</v>
      </c>
      <c r="W317">
        <f t="shared" si="238"/>
        <v>0</v>
      </c>
      <c r="X317">
        <f t="shared" si="239"/>
        <v>0</v>
      </c>
      <c r="Y317">
        <f t="shared" si="240"/>
        <v>0</v>
      </c>
      <c r="AA317">
        <v>16748969</v>
      </c>
      <c r="AB317">
        <f t="shared" si="241"/>
        <v>31015.17</v>
      </c>
      <c r="AC317">
        <f t="shared" si="242"/>
        <v>31015.17</v>
      </c>
      <c r="AD317">
        <f t="shared" si="243"/>
        <v>0</v>
      </c>
      <c r="AE317">
        <f t="shared" si="244"/>
        <v>0</v>
      </c>
      <c r="AF317">
        <f t="shared" si="245"/>
        <v>0</v>
      </c>
      <c r="AG317">
        <f t="shared" si="246"/>
        <v>0</v>
      </c>
      <c r="AH317">
        <f t="shared" si="247"/>
        <v>0</v>
      </c>
      <c r="AI317">
        <f t="shared" si="248"/>
        <v>0</v>
      </c>
      <c r="AJ317">
        <f t="shared" si="249"/>
        <v>0</v>
      </c>
      <c r="AK317">
        <v>31015.17</v>
      </c>
      <c r="AL317">
        <v>31015.17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  <c r="AS317">
        <v>0</v>
      </c>
      <c r="AT317">
        <v>95</v>
      </c>
      <c r="AU317">
        <v>65</v>
      </c>
      <c r="AV317">
        <v>1</v>
      </c>
      <c r="AW317">
        <v>1</v>
      </c>
      <c r="AZ317">
        <v>6.56</v>
      </c>
      <c r="BA317">
        <v>1</v>
      </c>
      <c r="BB317">
        <v>1</v>
      </c>
      <c r="BC317">
        <v>6.56</v>
      </c>
      <c r="BD317" t="s">
        <v>6</v>
      </c>
      <c r="BE317" t="s">
        <v>6</v>
      </c>
      <c r="BF317" t="s">
        <v>6</v>
      </c>
      <c r="BG317" t="s">
        <v>6</v>
      </c>
      <c r="BH317">
        <v>3</v>
      </c>
      <c r="BI317">
        <v>2</v>
      </c>
      <c r="BJ317" t="s">
        <v>707</v>
      </c>
      <c r="BM317">
        <v>108001</v>
      </c>
      <c r="BN317">
        <v>0</v>
      </c>
      <c r="BO317" t="s">
        <v>6</v>
      </c>
      <c r="BP317">
        <v>0</v>
      </c>
      <c r="BQ317">
        <v>3</v>
      </c>
      <c r="BR317">
        <v>0</v>
      </c>
      <c r="BS317">
        <v>1</v>
      </c>
      <c r="BT317">
        <v>1</v>
      </c>
      <c r="BU317">
        <v>1</v>
      </c>
      <c r="BV317">
        <v>1</v>
      </c>
      <c r="BW317">
        <v>1</v>
      </c>
      <c r="BX317">
        <v>1</v>
      </c>
      <c r="BY317" t="s">
        <v>6</v>
      </c>
      <c r="BZ317">
        <v>95</v>
      </c>
      <c r="CA317">
        <v>65</v>
      </c>
      <c r="CF317">
        <v>0</v>
      </c>
      <c r="CG317">
        <v>0</v>
      </c>
      <c r="CM317">
        <v>0</v>
      </c>
      <c r="CN317" t="s">
        <v>6</v>
      </c>
      <c r="CO317">
        <v>0</v>
      </c>
      <c r="CP317">
        <f t="shared" si="250"/>
        <v>14242.17</v>
      </c>
      <c r="CQ317">
        <f t="shared" si="251"/>
        <v>203459.51519999997</v>
      </c>
      <c r="CR317">
        <f t="shared" si="252"/>
        <v>0</v>
      </c>
      <c r="CS317">
        <f t="shared" si="253"/>
        <v>0</v>
      </c>
      <c r="CT317">
        <f t="shared" si="254"/>
        <v>0</v>
      </c>
      <c r="CU317">
        <f t="shared" si="255"/>
        <v>0</v>
      </c>
      <c r="CV317">
        <f t="shared" si="256"/>
        <v>0</v>
      </c>
      <c r="CW317">
        <f t="shared" si="257"/>
        <v>0</v>
      </c>
      <c r="CX317">
        <f t="shared" si="258"/>
        <v>0</v>
      </c>
      <c r="CY317">
        <f t="shared" si="259"/>
        <v>0</v>
      </c>
      <c r="CZ317">
        <f t="shared" si="260"/>
        <v>0</v>
      </c>
      <c r="DC317" t="s">
        <v>6</v>
      </c>
      <c r="DD317" t="s">
        <v>6</v>
      </c>
      <c r="DE317" t="s">
        <v>6</v>
      </c>
      <c r="DF317" t="s">
        <v>6</v>
      </c>
      <c r="DG317" t="s">
        <v>6</v>
      </c>
      <c r="DH317" t="s">
        <v>6</v>
      </c>
      <c r="DI317" t="s">
        <v>6</v>
      </c>
      <c r="DJ317" t="s">
        <v>6</v>
      </c>
      <c r="DK317" t="s">
        <v>6</v>
      </c>
      <c r="DL317" t="s">
        <v>6</v>
      </c>
      <c r="DM317" t="s">
        <v>6</v>
      </c>
      <c r="DN317">
        <v>0</v>
      </c>
      <c r="DO317">
        <v>0</v>
      </c>
      <c r="DP317">
        <v>1</v>
      </c>
      <c r="DQ317">
        <v>1</v>
      </c>
      <c r="DU317">
        <v>1013</v>
      </c>
      <c r="DV317" t="s">
        <v>641</v>
      </c>
      <c r="DW317" t="s">
        <v>643</v>
      </c>
      <c r="DX317">
        <v>1</v>
      </c>
      <c r="EE317">
        <v>16510370</v>
      </c>
      <c r="EF317">
        <v>3</v>
      </c>
      <c r="EG317" t="s">
        <v>591</v>
      </c>
      <c r="EH317">
        <v>0</v>
      </c>
      <c r="EI317" t="s">
        <v>6</v>
      </c>
      <c r="EJ317">
        <v>2</v>
      </c>
      <c r="EK317">
        <v>108001</v>
      </c>
      <c r="EL317" t="s">
        <v>592</v>
      </c>
      <c r="EM317" t="s">
        <v>593</v>
      </c>
      <c r="EO317" t="s">
        <v>6</v>
      </c>
      <c r="EQ317">
        <v>0</v>
      </c>
      <c r="ER317">
        <v>31015.17</v>
      </c>
      <c r="ES317">
        <v>31015.17</v>
      </c>
      <c r="ET317">
        <v>0</v>
      </c>
      <c r="EU317">
        <v>0</v>
      </c>
      <c r="EV317">
        <v>0</v>
      </c>
      <c r="EW317">
        <v>0</v>
      </c>
      <c r="EX317">
        <v>0</v>
      </c>
      <c r="FQ317">
        <v>0</v>
      </c>
      <c r="FR317">
        <f t="shared" si="261"/>
        <v>0</v>
      </c>
      <c r="FS317">
        <v>0</v>
      </c>
      <c r="FX317">
        <v>95</v>
      </c>
      <c r="FY317">
        <v>65</v>
      </c>
      <c r="GA317" t="s">
        <v>6</v>
      </c>
      <c r="GD317">
        <v>0</v>
      </c>
      <c r="GF317">
        <v>934625288</v>
      </c>
      <c r="GG317">
        <v>1</v>
      </c>
      <c r="GH317">
        <v>1</v>
      </c>
      <c r="GI317">
        <v>4</v>
      </c>
      <c r="GJ317">
        <v>0</v>
      </c>
      <c r="GK317">
        <f>ROUND(R317*(R12)/100,2)</f>
        <v>0</v>
      </c>
      <c r="GL317">
        <f t="shared" si="262"/>
        <v>0</v>
      </c>
      <c r="GM317">
        <f t="shared" si="263"/>
        <v>14242.17</v>
      </c>
      <c r="GN317">
        <f t="shared" si="264"/>
        <v>0</v>
      </c>
      <c r="GO317">
        <f t="shared" si="265"/>
        <v>14242.17</v>
      </c>
      <c r="GP317">
        <f t="shared" si="266"/>
        <v>0</v>
      </c>
      <c r="GR317">
        <v>0</v>
      </c>
      <c r="GS317">
        <v>3</v>
      </c>
      <c r="GT317">
        <v>0</v>
      </c>
      <c r="GU317" t="s">
        <v>6</v>
      </c>
      <c r="GV317">
        <f t="shared" si="267"/>
        <v>0</v>
      </c>
      <c r="GW317">
        <v>1</v>
      </c>
      <c r="GX317">
        <f t="shared" si="268"/>
        <v>0</v>
      </c>
      <c r="HA317">
        <v>0</v>
      </c>
      <c r="HB317">
        <v>0</v>
      </c>
      <c r="IK317">
        <v>0</v>
      </c>
    </row>
    <row r="319" spans="1:245" x14ac:dyDescent="0.2">
      <c r="A319" s="2">
        <v>51</v>
      </c>
      <c r="B319" s="2">
        <f>B288</f>
        <v>1</v>
      </c>
      <c r="C319" s="2">
        <f>A288</f>
        <v>5</v>
      </c>
      <c r="D319" s="2">
        <f>ROW(A288)</f>
        <v>288</v>
      </c>
      <c r="E319" s="2"/>
      <c r="F319" s="2" t="str">
        <f>IF(F288&lt;&gt;"",F288,"")</f>
        <v>Новый подраздел</v>
      </c>
      <c r="G319" s="2" t="str">
        <f>IF(G288&lt;&gt;"",G288,"")</f>
        <v>2 Монтаж освещения</v>
      </c>
      <c r="H319" s="2">
        <v>0</v>
      </c>
      <c r="I319" s="2"/>
      <c r="J319" s="2"/>
      <c r="K319" s="2"/>
      <c r="L319" s="2"/>
      <c r="M319" s="2"/>
      <c r="N319" s="2"/>
      <c r="O319" s="2">
        <f t="shared" ref="O319:T319" si="269">ROUND(AB319,2)</f>
        <v>164506.53</v>
      </c>
      <c r="P319" s="2">
        <f t="shared" si="269"/>
        <v>153547.81</v>
      </c>
      <c r="Q319" s="2">
        <f t="shared" si="269"/>
        <v>3324.22</v>
      </c>
      <c r="R319" s="2">
        <f t="shared" si="269"/>
        <v>329.59</v>
      </c>
      <c r="S319" s="2">
        <f t="shared" si="269"/>
        <v>7634.5</v>
      </c>
      <c r="T319" s="2">
        <f t="shared" si="269"/>
        <v>0</v>
      </c>
      <c r="U319" s="2">
        <f>AH319</f>
        <v>120.27884</v>
      </c>
      <c r="V319" s="2">
        <f>AI319</f>
        <v>3.8051399999999997</v>
      </c>
      <c r="W319" s="2">
        <f>ROUND(AJ319,2)</f>
        <v>0</v>
      </c>
      <c r="X319" s="2">
        <f>ROUND(AK319,2)</f>
        <v>7315.25</v>
      </c>
      <c r="Y319" s="2">
        <f>ROUND(AL319,2)</f>
        <v>5089.96</v>
      </c>
      <c r="Z319" s="2"/>
      <c r="AA319" s="2"/>
      <c r="AB319" s="2">
        <f>ROUND(SUMIF(AA292:AA317,"=16748969",O292:O317),2)</f>
        <v>164506.53</v>
      </c>
      <c r="AC319" s="2">
        <f>ROUND(SUMIF(AA292:AA317,"=16748969",P292:P317),2)</f>
        <v>153547.81</v>
      </c>
      <c r="AD319" s="2">
        <f>ROUND(SUMIF(AA292:AA317,"=16748969",Q292:Q317),2)</f>
        <v>3324.22</v>
      </c>
      <c r="AE319" s="2">
        <f>ROUND(SUMIF(AA292:AA317,"=16748969",R292:R317),2)</f>
        <v>329.59</v>
      </c>
      <c r="AF319" s="2">
        <f>ROUND(SUMIF(AA292:AA317,"=16748969",S292:S317),2)</f>
        <v>7634.5</v>
      </c>
      <c r="AG319" s="2">
        <f>ROUND(SUMIF(AA292:AA317,"=16748969",T292:T317),2)</f>
        <v>0</v>
      </c>
      <c r="AH319" s="2">
        <f>SUMIF(AA292:AA317,"=16748969",U292:U317)</f>
        <v>120.27884</v>
      </c>
      <c r="AI319" s="2">
        <f>SUMIF(AA292:AA317,"=16748969",V292:V317)</f>
        <v>3.8051399999999997</v>
      </c>
      <c r="AJ319" s="2">
        <f>ROUND(SUMIF(AA292:AA317,"=16748969",W292:W317),2)</f>
        <v>0</v>
      </c>
      <c r="AK319" s="2">
        <f>ROUND(SUMIF(AA292:AA317,"=16748969",X292:X317),2)</f>
        <v>7315.25</v>
      </c>
      <c r="AL319" s="2">
        <f>ROUND(SUMIF(AA292:AA317,"=16748969",Y292:Y317),2)</f>
        <v>5089.96</v>
      </c>
      <c r="AM319" s="2"/>
      <c r="AN319" s="2"/>
      <c r="AO319" s="2">
        <f t="shared" ref="AO319:BC319" si="270">ROUND(BX319,2)</f>
        <v>0</v>
      </c>
      <c r="AP319" s="2">
        <f t="shared" si="270"/>
        <v>0</v>
      </c>
      <c r="AQ319" s="2">
        <f t="shared" si="270"/>
        <v>0</v>
      </c>
      <c r="AR319" s="2">
        <f t="shared" si="270"/>
        <v>176911.74</v>
      </c>
      <c r="AS319" s="2">
        <f t="shared" si="270"/>
        <v>77.05</v>
      </c>
      <c r="AT319" s="2">
        <f t="shared" si="270"/>
        <v>176834.69</v>
      </c>
      <c r="AU319" s="2">
        <f t="shared" si="270"/>
        <v>0</v>
      </c>
      <c r="AV319" s="2">
        <f t="shared" si="270"/>
        <v>153547.81</v>
      </c>
      <c r="AW319" s="2">
        <f t="shared" si="270"/>
        <v>153547.81</v>
      </c>
      <c r="AX319" s="2">
        <f t="shared" si="270"/>
        <v>0</v>
      </c>
      <c r="AY319" s="2">
        <f t="shared" si="270"/>
        <v>153547.81</v>
      </c>
      <c r="AZ319" s="2">
        <f t="shared" si="270"/>
        <v>0</v>
      </c>
      <c r="BA319" s="2">
        <f t="shared" si="270"/>
        <v>0</v>
      </c>
      <c r="BB319" s="2">
        <f t="shared" si="270"/>
        <v>0</v>
      </c>
      <c r="BC319" s="2">
        <f t="shared" si="270"/>
        <v>0</v>
      </c>
      <c r="BD319" s="2"/>
      <c r="BE319" s="2"/>
      <c r="BF319" s="2"/>
      <c r="BG319" s="2"/>
      <c r="BH319" s="2"/>
      <c r="BI319" s="2"/>
      <c r="BJ319" s="2"/>
      <c r="BK319" s="2"/>
      <c r="BL319" s="2"/>
      <c r="BM319" s="2"/>
      <c r="BN319" s="2"/>
      <c r="BO319" s="2"/>
      <c r="BP319" s="2"/>
      <c r="BQ319" s="2"/>
      <c r="BR319" s="2"/>
      <c r="BS319" s="2"/>
      <c r="BT319" s="2"/>
      <c r="BU319" s="2"/>
      <c r="BV319" s="2"/>
      <c r="BW319" s="2"/>
      <c r="BX319" s="2">
        <f>ROUND(SUMIF(AA292:AA317,"=16748969",FQ292:FQ317),2)</f>
        <v>0</v>
      </c>
      <c r="BY319" s="2">
        <f>ROUND(SUMIF(AA292:AA317,"=16748969",FR292:FR317),2)</f>
        <v>0</v>
      </c>
      <c r="BZ319" s="2">
        <f>ROUND(SUMIF(AA292:AA317,"=16748969",GL292:GL317),2)</f>
        <v>0</v>
      </c>
      <c r="CA319" s="2">
        <f>ROUND(SUMIF(AA292:AA317,"=16748969",GM292:GM317),2)</f>
        <v>176911.74</v>
      </c>
      <c r="CB319" s="2">
        <f>ROUND(SUMIF(AA292:AA317,"=16748969",GN292:GN317),2)</f>
        <v>77.05</v>
      </c>
      <c r="CC319" s="2">
        <f>ROUND(SUMIF(AA292:AA317,"=16748969",GO292:GO317),2)</f>
        <v>176834.69</v>
      </c>
      <c r="CD319" s="2">
        <f>ROUND(SUMIF(AA292:AA317,"=16748969",GP292:GP317),2)</f>
        <v>0</v>
      </c>
      <c r="CE319" s="2">
        <f>AC319-BX319</f>
        <v>153547.81</v>
      </c>
      <c r="CF319" s="2">
        <f>AC319-BY319</f>
        <v>153547.81</v>
      </c>
      <c r="CG319" s="2">
        <f>BX319-BZ319</f>
        <v>0</v>
      </c>
      <c r="CH319" s="2">
        <f>AC319-BX319-BY319+BZ319</f>
        <v>153547.81</v>
      </c>
      <c r="CI319" s="2">
        <f>BY319-BZ319</f>
        <v>0</v>
      </c>
      <c r="CJ319" s="2">
        <f>ROUND(SUMIF(AA292:AA317,"=16748969",GX292:GX317),2)</f>
        <v>0</v>
      </c>
      <c r="CK319" s="2">
        <f>ROUND(SUMIF(AA292:AA317,"=16748969",GY292:GY317),2)</f>
        <v>0</v>
      </c>
      <c r="CL319" s="2">
        <f>ROUND(SUMIF(AA292:AA317,"=16748969",GZ292:GZ317),2)</f>
        <v>0</v>
      </c>
      <c r="CM319" s="2"/>
      <c r="CN319" s="2"/>
      <c r="CO319" s="2"/>
      <c r="CP319" s="2"/>
      <c r="CQ319" s="2"/>
      <c r="CR319" s="2"/>
      <c r="CS319" s="2"/>
      <c r="CT319" s="2"/>
      <c r="CU319" s="2"/>
      <c r="CV319" s="2"/>
      <c r="CW319" s="2"/>
      <c r="CX319" s="2"/>
      <c r="CY319" s="2"/>
      <c r="CZ319" s="2"/>
      <c r="DA319" s="2"/>
      <c r="DB319" s="2"/>
      <c r="DC319" s="2"/>
      <c r="DD319" s="2"/>
      <c r="DE319" s="2"/>
      <c r="DF319" s="2"/>
      <c r="DG319" s="3"/>
      <c r="DH319" s="3"/>
      <c r="DI319" s="3"/>
      <c r="DJ319" s="3"/>
      <c r="DK319" s="3"/>
      <c r="DL319" s="3"/>
      <c r="DM319" s="3"/>
      <c r="DN319" s="3"/>
      <c r="DO319" s="3"/>
      <c r="DP319" s="3"/>
      <c r="DQ319" s="3"/>
      <c r="DR319" s="3"/>
      <c r="DS319" s="3"/>
      <c r="DT319" s="3"/>
      <c r="DU319" s="3"/>
      <c r="DV319" s="3"/>
      <c r="DW319" s="3"/>
      <c r="DX319" s="3"/>
      <c r="DY319" s="3"/>
      <c r="DZ319" s="3"/>
      <c r="EA319" s="3"/>
      <c r="EB319" s="3"/>
      <c r="EC319" s="3"/>
      <c r="ED319" s="3"/>
      <c r="EE319" s="3"/>
      <c r="EF319" s="3"/>
      <c r="EG319" s="3"/>
      <c r="EH319" s="3"/>
      <c r="EI319" s="3"/>
      <c r="EJ319" s="3"/>
      <c r="EK319" s="3"/>
      <c r="EL319" s="3"/>
      <c r="EM319" s="3"/>
      <c r="EN319" s="3"/>
      <c r="EO319" s="3"/>
      <c r="EP319" s="3"/>
      <c r="EQ319" s="3"/>
      <c r="ER319" s="3"/>
      <c r="ES319" s="3"/>
      <c r="ET319" s="3"/>
      <c r="EU319" s="3"/>
      <c r="EV319" s="3"/>
      <c r="EW319" s="3"/>
      <c r="EX319" s="3"/>
      <c r="EY319" s="3"/>
      <c r="EZ319" s="3"/>
      <c r="FA319" s="3"/>
      <c r="FB319" s="3"/>
      <c r="FC319" s="3"/>
      <c r="FD319" s="3"/>
      <c r="FE319" s="3"/>
      <c r="FF319" s="3"/>
      <c r="FG319" s="3"/>
      <c r="FH319" s="3"/>
      <c r="FI319" s="3"/>
      <c r="FJ319" s="3"/>
      <c r="FK319" s="3"/>
      <c r="FL319" s="3"/>
      <c r="FM319" s="3"/>
      <c r="FN319" s="3"/>
      <c r="FO319" s="3"/>
      <c r="FP319" s="3"/>
      <c r="FQ319" s="3"/>
      <c r="FR319" s="3"/>
      <c r="FS319" s="3"/>
      <c r="FT319" s="3"/>
      <c r="FU319" s="3"/>
      <c r="FV319" s="3"/>
      <c r="FW319" s="3"/>
      <c r="FX319" s="3"/>
      <c r="FY319" s="3"/>
      <c r="FZ319" s="3"/>
      <c r="GA319" s="3"/>
      <c r="GB319" s="3"/>
      <c r="GC319" s="3"/>
      <c r="GD319" s="3"/>
      <c r="GE319" s="3"/>
      <c r="GF319" s="3"/>
      <c r="GG319" s="3"/>
      <c r="GH319" s="3"/>
      <c r="GI319" s="3"/>
      <c r="GJ319" s="3"/>
      <c r="GK319" s="3"/>
      <c r="GL319" s="3"/>
      <c r="GM319" s="3"/>
      <c r="GN319" s="3"/>
      <c r="GO319" s="3"/>
      <c r="GP319" s="3"/>
      <c r="GQ319" s="3"/>
      <c r="GR319" s="3"/>
      <c r="GS319" s="3"/>
      <c r="GT319" s="3"/>
      <c r="GU319" s="3"/>
      <c r="GV319" s="3"/>
      <c r="GW319" s="3"/>
      <c r="GX319" s="3">
        <v>0</v>
      </c>
    </row>
    <row r="321" spans="1:23" x14ac:dyDescent="0.2">
      <c r="A321" s="4">
        <v>50</v>
      </c>
      <c r="B321" s="4">
        <v>0</v>
      </c>
      <c r="C321" s="4">
        <v>0</v>
      </c>
      <c r="D321" s="4">
        <v>1</v>
      </c>
      <c r="E321" s="4">
        <v>201</v>
      </c>
      <c r="F321" s="4">
        <f>ROUND(Source!O319,O321)</f>
        <v>164506.53</v>
      </c>
      <c r="G321" s="4" t="s">
        <v>115</v>
      </c>
      <c r="H321" s="4" t="s">
        <v>116</v>
      </c>
      <c r="I321" s="4"/>
      <c r="J321" s="4"/>
      <c r="K321" s="4">
        <v>201</v>
      </c>
      <c r="L321" s="4">
        <v>1</v>
      </c>
      <c r="M321" s="4">
        <v>3</v>
      </c>
      <c r="N321" s="4" t="s">
        <v>6</v>
      </c>
      <c r="O321" s="4">
        <v>2</v>
      </c>
      <c r="P321" s="4"/>
      <c r="Q321" s="4"/>
      <c r="R321" s="4"/>
      <c r="S321" s="4"/>
      <c r="T321" s="4"/>
      <c r="U321" s="4"/>
      <c r="V321" s="4"/>
      <c r="W321" s="4"/>
    </row>
    <row r="322" spans="1:23" x14ac:dyDescent="0.2">
      <c r="A322" s="4">
        <v>50</v>
      </c>
      <c r="B322" s="4">
        <v>0</v>
      </c>
      <c r="C322" s="4">
        <v>0</v>
      </c>
      <c r="D322" s="4">
        <v>1</v>
      </c>
      <c r="E322" s="4">
        <v>202</v>
      </c>
      <c r="F322" s="4">
        <f>ROUND(Source!P319,O322)</f>
        <v>153547.81</v>
      </c>
      <c r="G322" s="4" t="s">
        <v>117</v>
      </c>
      <c r="H322" s="4" t="s">
        <v>118</v>
      </c>
      <c r="I322" s="4"/>
      <c r="J322" s="4"/>
      <c r="K322" s="4">
        <v>202</v>
      </c>
      <c r="L322" s="4">
        <v>2</v>
      </c>
      <c r="M322" s="4">
        <v>3</v>
      </c>
      <c r="N322" s="4" t="s">
        <v>6</v>
      </c>
      <c r="O322" s="4">
        <v>2</v>
      </c>
      <c r="P322" s="4"/>
      <c r="Q322" s="4"/>
      <c r="R322" s="4"/>
      <c r="S322" s="4"/>
      <c r="T322" s="4"/>
      <c r="U322" s="4"/>
      <c r="V322" s="4"/>
      <c r="W322" s="4"/>
    </row>
    <row r="323" spans="1:23" x14ac:dyDescent="0.2">
      <c r="A323" s="4">
        <v>50</v>
      </c>
      <c r="B323" s="4">
        <v>0</v>
      </c>
      <c r="C323" s="4">
        <v>0</v>
      </c>
      <c r="D323" s="4">
        <v>1</v>
      </c>
      <c r="E323" s="4">
        <v>222</v>
      </c>
      <c r="F323" s="4">
        <f>ROUND(Source!AO319,O323)</f>
        <v>0</v>
      </c>
      <c r="G323" s="4" t="s">
        <v>119</v>
      </c>
      <c r="H323" s="4" t="s">
        <v>120</v>
      </c>
      <c r="I323" s="4"/>
      <c r="J323" s="4"/>
      <c r="K323" s="4">
        <v>222</v>
      </c>
      <c r="L323" s="4">
        <v>3</v>
      </c>
      <c r="M323" s="4">
        <v>3</v>
      </c>
      <c r="N323" s="4" t="s">
        <v>6</v>
      </c>
      <c r="O323" s="4">
        <v>2</v>
      </c>
      <c r="P323" s="4"/>
      <c r="Q323" s="4"/>
      <c r="R323" s="4"/>
      <c r="S323" s="4"/>
      <c r="T323" s="4"/>
      <c r="U323" s="4"/>
      <c r="V323" s="4"/>
      <c r="W323" s="4"/>
    </row>
    <row r="324" spans="1:23" x14ac:dyDescent="0.2">
      <c r="A324" s="4">
        <v>50</v>
      </c>
      <c r="B324" s="4">
        <v>0</v>
      </c>
      <c r="C324" s="4">
        <v>0</v>
      </c>
      <c r="D324" s="4">
        <v>1</v>
      </c>
      <c r="E324" s="4">
        <v>225</v>
      </c>
      <c r="F324" s="4">
        <f>ROUND(Source!AV319,O324)</f>
        <v>153547.81</v>
      </c>
      <c r="G324" s="4" t="s">
        <v>121</v>
      </c>
      <c r="H324" s="4" t="s">
        <v>122</v>
      </c>
      <c r="I324" s="4"/>
      <c r="J324" s="4"/>
      <c r="K324" s="4">
        <v>225</v>
      </c>
      <c r="L324" s="4">
        <v>4</v>
      </c>
      <c r="M324" s="4">
        <v>3</v>
      </c>
      <c r="N324" s="4" t="s">
        <v>6</v>
      </c>
      <c r="O324" s="4">
        <v>2</v>
      </c>
      <c r="P324" s="4"/>
      <c r="Q324" s="4"/>
      <c r="R324" s="4"/>
      <c r="S324" s="4"/>
      <c r="T324" s="4"/>
      <c r="U324" s="4"/>
      <c r="V324" s="4"/>
      <c r="W324" s="4"/>
    </row>
    <row r="325" spans="1:23" x14ac:dyDescent="0.2">
      <c r="A325" s="4">
        <v>50</v>
      </c>
      <c r="B325" s="4">
        <v>0</v>
      </c>
      <c r="C325" s="4">
        <v>0</v>
      </c>
      <c r="D325" s="4">
        <v>1</v>
      </c>
      <c r="E325" s="4">
        <v>226</v>
      </c>
      <c r="F325" s="4">
        <f>ROUND(Source!AW319,O325)</f>
        <v>153547.81</v>
      </c>
      <c r="G325" s="4" t="s">
        <v>123</v>
      </c>
      <c r="H325" s="4" t="s">
        <v>124</v>
      </c>
      <c r="I325" s="4"/>
      <c r="J325" s="4"/>
      <c r="K325" s="4">
        <v>226</v>
      </c>
      <c r="L325" s="4">
        <v>5</v>
      </c>
      <c r="M325" s="4">
        <v>3</v>
      </c>
      <c r="N325" s="4" t="s">
        <v>6</v>
      </c>
      <c r="O325" s="4">
        <v>2</v>
      </c>
      <c r="P325" s="4"/>
      <c r="Q325" s="4"/>
      <c r="R325" s="4"/>
      <c r="S325" s="4"/>
      <c r="T325" s="4"/>
      <c r="U325" s="4"/>
      <c r="V325" s="4"/>
      <c r="W325" s="4"/>
    </row>
    <row r="326" spans="1:23" x14ac:dyDescent="0.2">
      <c r="A326" s="4">
        <v>50</v>
      </c>
      <c r="B326" s="4">
        <v>0</v>
      </c>
      <c r="C326" s="4">
        <v>0</v>
      </c>
      <c r="D326" s="4">
        <v>1</v>
      </c>
      <c r="E326" s="4">
        <v>227</v>
      </c>
      <c r="F326" s="4">
        <f>ROUND(Source!AX319,O326)</f>
        <v>0</v>
      </c>
      <c r="G326" s="4" t="s">
        <v>125</v>
      </c>
      <c r="H326" s="4" t="s">
        <v>126</v>
      </c>
      <c r="I326" s="4"/>
      <c r="J326" s="4"/>
      <c r="K326" s="4">
        <v>227</v>
      </c>
      <c r="L326" s="4">
        <v>6</v>
      </c>
      <c r="M326" s="4">
        <v>3</v>
      </c>
      <c r="N326" s="4" t="s">
        <v>6</v>
      </c>
      <c r="O326" s="4">
        <v>2</v>
      </c>
      <c r="P326" s="4"/>
      <c r="Q326" s="4"/>
      <c r="R326" s="4"/>
      <c r="S326" s="4"/>
      <c r="T326" s="4"/>
      <c r="U326" s="4"/>
      <c r="V326" s="4"/>
      <c r="W326" s="4"/>
    </row>
    <row r="327" spans="1:23" x14ac:dyDescent="0.2">
      <c r="A327" s="4">
        <v>50</v>
      </c>
      <c r="B327" s="4">
        <v>0</v>
      </c>
      <c r="C327" s="4">
        <v>0</v>
      </c>
      <c r="D327" s="4">
        <v>1</v>
      </c>
      <c r="E327" s="4">
        <v>228</v>
      </c>
      <c r="F327" s="4">
        <f>ROUND(Source!AY319,O327)</f>
        <v>153547.81</v>
      </c>
      <c r="G327" s="4" t="s">
        <v>127</v>
      </c>
      <c r="H327" s="4" t="s">
        <v>128</v>
      </c>
      <c r="I327" s="4"/>
      <c r="J327" s="4"/>
      <c r="K327" s="4">
        <v>228</v>
      </c>
      <c r="L327" s="4">
        <v>7</v>
      </c>
      <c r="M327" s="4">
        <v>3</v>
      </c>
      <c r="N327" s="4" t="s">
        <v>6</v>
      </c>
      <c r="O327" s="4">
        <v>2</v>
      </c>
      <c r="P327" s="4"/>
      <c r="Q327" s="4"/>
      <c r="R327" s="4"/>
      <c r="S327" s="4"/>
      <c r="T327" s="4"/>
      <c r="U327" s="4"/>
      <c r="V327" s="4"/>
      <c r="W327" s="4"/>
    </row>
    <row r="328" spans="1:23" x14ac:dyDescent="0.2">
      <c r="A328" s="4">
        <v>50</v>
      </c>
      <c r="B328" s="4">
        <v>0</v>
      </c>
      <c r="C328" s="4">
        <v>0</v>
      </c>
      <c r="D328" s="4">
        <v>1</v>
      </c>
      <c r="E328" s="4">
        <v>216</v>
      </c>
      <c r="F328" s="4">
        <f>ROUND(Source!AP319,O328)</f>
        <v>0</v>
      </c>
      <c r="G328" s="4" t="s">
        <v>129</v>
      </c>
      <c r="H328" s="4" t="s">
        <v>130</v>
      </c>
      <c r="I328" s="4"/>
      <c r="J328" s="4"/>
      <c r="K328" s="4">
        <v>216</v>
      </c>
      <c r="L328" s="4">
        <v>8</v>
      </c>
      <c r="M328" s="4">
        <v>3</v>
      </c>
      <c r="N328" s="4" t="s">
        <v>6</v>
      </c>
      <c r="O328" s="4">
        <v>2</v>
      </c>
      <c r="P328" s="4"/>
      <c r="Q328" s="4"/>
      <c r="R328" s="4"/>
      <c r="S328" s="4"/>
      <c r="T328" s="4"/>
      <c r="U328" s="4"/>
      <c r="V328" s="4"/>
      <c r="W328" s="4"/>
    </row>
    <row r="329" spans="1:23" x14ac:dyDescent="0.2">
      <c r="A329" s="4">
        <v>50</v>
      </c>
      <c r="B329" s="4">
        <v>0</v>
      </c>
      <c r="C329" s="4">
        <v>0</v>
      </c>
      <c r="D329" s="4">
        <v>1</v>
      </c>
      <c r="E329" s="4">
        <v>223</v>
      </c>
      <c r="F329" s="4">
        <f>ROUND(Source!AQ319,O329)</f>
        <v>0</v>
      </c>
      <c r="G329" s="4" t="s">
        <v>131</v>
      </c>
      <c r="H329" s="4" t="s">
        <v>132</v>
      </c>
      <c r="I329" s="4"/>
      <c r="J329" s="4"/>
      <c r="K329" s="4">
        <v>223</v>
      </c>
      <c r="L329" s="4">
        <v>9</v>
      </c>
      <c r="M329" s="4">
        <v>3</v>
      </c>
      <c r="N329" s="4" t="s">
        <v>6</v>
      </c>
      <c r="O329" s="4">
        <v>2</v>
      </c>
      <c r="P329" s="4"/>
      <c r="Q329" s="4"/>
      <c r="R329" s="4"/>
      <c r="S329" s="4"/>
      <c r="T329" s="4"/>
      <c r="U329" s="4"/>
      <c r="V329" s="4"/>
      <c r="W329" s="4"/>
    </row>
    <row r="330" spans="1:23" x14ac:dyDescent="0.2">
      <c r="A330" s="4">
        <v>50</v>
      </c>
      <c r="B330" s="4">
        <v>0</v>
      </c>
      <c r="C330" s="4">
        <v>0</v>
      </c>
      <c r="D330" s="4">
        <v>1</v>
      </c>
      <c r="E330" s="4">
        <v>229</v>
      </c>
      <c r="F330" s="4">
        <f>ROUND(Source!AZ319,O330)</f>
        <v>0</v>
      </c>
      <c r="G330" s="4" t="s">
        <v>133</v>
      </c>
      <c r="H330" s="4" t="s">
        <v>134</v>
      </c>
      <c r="I330" s="4"/>
      <c r="J330" s="4"/>
      <c r="K330" s="4">
        <v>229</v>
      </c>
      <c r="L330" s="4">
        <v>10</v>
      </c>
      <c r="M330" s="4">
        <v>3</v>
      </c>
      <c r="N330" s="4" t="s">
        <v>6</v>
      </c>
      <c r="O330" s="4">
        <v>2</v>
      </c>
      <c r="P330" s="4"/>
      <c r="Q330" s="4"/>
      <c r="R330" s="4"/>
      <c r="S330" s="4"/>
      <c r="T330" s="4"/>
      <c r="U330" s="4"/>
      <c r="V330" s="4"/>
      <c r="W330" s="4"/>
    </row>
    <row r="331" spans="1:23" x14ac:dyDescent="0.2">
      <c r="A331" s="4">
        <v>50</v>
      </c>
      <c r="B331" s="4">
        <v>0</v>
      </c>
      <c r="C331" s="4">
        <v>0</v>
      </c>
      <c r="D331" s="4">
        <v>1</v>
      </c>
      <c r="E331" s="4">
        <v>203</v>
      </c>
      <c r="F331" s="4">
        <f>ROUND(Source!Q319,O331)</f>
        <v>3324.22</v>
      </c>
      <c r="G331" s="4" t="s">
        <v>135</v>
      </c>
      <c r="H331" s="4" t="s">
        <v>136</v>
      </c>
      <c r="I331" s="4"/>
      <c r="J331" s="4"/>
      <c r="K331" s="4">
        <v>203</v>
      </c>
      <c r="L331" s="4">
        <v>11</v>
      </c>
      <c r="M331" s="4">
        <v>3</v>
      </c>
      <c r="N331" s="4" t="s">
        <v>6</v>
      </c>
      <c r="O331" s="4">
        <v>2</v>
      </c>
      <c r="P331" s="4"/>
      <c r="Q331" s="4"/>
      <c r="R331" s="4"/>
      <c r="S331" s="4"/>
      <c r="T331" s="4"/>
      <c r="U331" s="4"/>
      <c r="V331" s="4"/>
      <c r="W331" s="4"/>
    </row>
    <row r="332" spans="1:23" x14ac:dyDescent="0.2">
      <c r="A332" s="4">
        <v>50</v>
      </c>
      <c r="B332" s="4">
        <v>0</v>
      </c>
      <c r="C332" s="4">
        <v>0</v>
      </c>
      <c r="D332" s="4">
        <v>1</v>
      </c>
      <c r="E332" s="4">
        <v>231</v>
      </c>
      <c r="F332" s="4">
        <f>ROUND(Source!BB319,O332)</f>
        <v>0</v>
      </c>
      <c r="G332" s="4" t="s">
        <v>137</v>
      </c>
      <c r="H332" s="4" t="s">
        <v>138</v>
      </c>
      <c r="I332" s="4"/>
      <c r="J332" s="4"/>
      <c r="K332" s="4">
        <v>231</v>
      </c>
      <c r="L332" s="4">
        <v>12</v>
      </c>
      <c r="M332" s="4">
        <v>3</v>
      </c>
      <c r="N332" s="4" t="s">
        <v>6</v>
      </c>
      <c r="O332" s="4">
        <v>2</v>
      </c>
      <c r="P332" s="4"/>
      <c r="Q332" s="4"/>
      <c r="R332" s="4"/>
      <c r="S332" s="4"/>
      <c r="T332" s="4"/>
      <c r="U332" s="4"/>
      <c r="V332" s="4"/>
      <c r="W332" s="4"/>
    </row>
    <row r="333" spans="1:23" x14ac:dyDescent="0.2">
      <c r="A333" s="4">
        <v>50</v>
      </c>
      <c r="B333" s="4">
        <v>0</v>
      </c>
      <c r="C333" s="4">
        <v>0</v>
      </c>
      <c r="D333" s="4">
        <v>1</v>
      </c>
      <c r="E333" s="4">
        <v>204</v>
      </c>
      <c r="F333" s="4">
        <f>ROUND(Source!R319,O333)</f>
        <v>329.59</v>
      </c>
      <c r="G333" s="4" t="s">
        <v>139</v>
      </c>
      <c r="H333" s="4" t="s">
        <v>140</v>
      </c>
      <c r="I333" s="4"/>
      <c r="J333" s="4"/>
      <c r="K333" s="4">
        <v>204</v>
      </c>
      <c r="L333" s="4">
        <v>13</v>
      </c>
      <c r="M333" s="4">
        <v>3</v>
      </c>
      <c r="N333" s="4" t="s">
        <v>6</v>
      </c>
      <c r="O333" s="4">
        <v>2</v>
      </c>
      <c r="P333" s="4"/>
      <c r="Q333" s="4"/>
      <c r="R333" s="4"/>
      <c r="S333" s="4"/>
      <c r="T333" s="4"/>
      <c r="U333" s="4"/>
      <c r="V333" s="4"/>
      <c r="W333" s="4"/>
    </row>
    <row r="334" spans="1:23" x14ac:dyDescent="0.2">
      <c r="A334" s="4">
        <v>50</v>
      </c>
      <c r="B334" s="4">
        <v>0</v>
      </c>
      <c r="C334" s="4">
        <v>0</v>
      </c>
      <c r="D334" s="4">
        <v>1</v>
      </c>
      <c r="E334" s="4">
        <v>205</v>
      </c>
      <c r="F334" s="4">
        <f>ROUND(Source!S319,O334)</f>
        <v>7634.5</v>
      </c>
      <c r="G334" s="4" t="s">
        <v>141</v>
      </c>
      <c r="H334" s="4" t="s">
        <v>142</v>
      </c>
      <c r="I334" s="4"/>
      <c r="J334" s="4"/>
      <c r="K334" s="4">
        <v>205</v>
      </c>
      <c r="L334" s="4">
        <v>14</v>
      </c>
      <c r="M334" s="4">
        <v>3</v>
      </c>
      <c r="N334" s="4" t="s">
        <v>6</v>
      </c>
      <c r="O334" s="4">
        <v>2</v>
      </c>
      <c r="P334" s="4"/>
      <c r="Q334" s="4"/>
      <c r="R334" s="4"/>
      <c r="S334" s="4"/>
      <c r="T334" s="4"/>
      <c r="U334" s="4"/>
      <c r="V334" s="4"/>
      <c r="W334" s="4"/>
    </row>
    <row r="335" spans="1:23" x14ac:dyDescent="0.2">
      <c r="A335" s="4">
        <v>50</v>
      </c>
      <c r="B335" s="4">
        <v>0</v>
      </c>
      <c r="C335" s="4">
        <v>0</v>
      </c>
      <c r="D335" s="4">
        <v>1</v>
      </c>
      <c r="E335" s="4">
        <v>232</v>
      </c>
      <c r="F335" s="4">
        <f>ROUND(Source!BC319,O335)</f>
        <v>0</v>
      </c>
      <c r="G335" s="4" t="s">
        <v>143</v>
      </c>
      <c r="H335" s="4" t="s">
        <v>144</v>
      </c>
      <c r="I335" s="4"/>
      <c r="J335" s="4"/>
      <c r="K335" s="4">
        <v>232</v>
      </c>
      <c r="L335" s="4">
        <v>15</v>
      </c>
      <c r="M335" s="4">
        <v>3</v>
      </c>
      <c r="N335" s="4" t="s">
        <v>6</v>
      </c>
      <c r="O335" s="4">
        <v>2</v>
      </c>
      <c r="P335" s="4"/>
      <c r="Q335" s="4"/>
      <c r="R335" s="4"/>
      <c r="S335" s="4"/>
      <c r="T335" s="4"/>
      <c r="U335" s="4"/>
      <c r="V335" s="4"/>
      <c r="W335" s="4"/>
    </row>
    <row r="336" spans="1:23" x14ac:dyDescent="0.2">
      <c r="A336" s="4">
        <v>50</v>
      </c>
      <c r="B336" s="4">
        <v>0</v>
      </c>
      <c r="C336" s="4">
        <v>0</v>
      </c>
      <c r="D336" s="4">
        <v>1</v>
      </c>
      <c r="E336" s="4">
        <v>214</v>
      </c>
      <c r="F336" s="4">
        <f>ROUND(Source!AS319,O336)</f>
        <v>77.05</v>
      </c>
      <c r="G336" s="4" t="s">
        <v>145</v>
      </c>
      <c r="H336" s="4" t="s">
        <v>146</v>
      </c>
      <c r="I336" s="4"/>
      <c r="J336" s="4"/>
      <c r="K336" s="4">
        <v>214</v>
      </c>
      <c r="L336" s="4">
        <v>16</v>
      </c>
      <c r="M336" s="4">
        <v>3</v>
      </c>
      <c r="N336" s="4" t="s">
        <v>6</v>
      </c>
      <c r="O336" s="4">
        <v>2</v>
      </c>
      <c r="P336" s="4"/>
      <c r="Q336" s="4"/>
      <c r="R336" s="4"/>
      <c r="S336" s="4"/>
      <c r="T336" s="4"/>
      <c r="U336" s="4"/>
      <c r="V336" s="4"/>
      <c r="W336" s="4"/>
    </row>
    <row r="337" spans="1:245" x14ac:dyDescent="0.2">
      <c r="A337" s="4">
        <v>50</v>
      </c>
      <c r="B337" s="4">
        <v>0</v>
      </c>
      <c r="C337" s="4">
        <v>0</v>
      </c>
      <c r="D337" s="4">
        <v>1</v>
      </c>
      <c r="E337" s="4">
        <v>215</v>
      </c>
      <c r="F337" s="4">
        <f>ROUND(Source!AT319,O337)</f>
        <v>176834.69</v>
      </c>
      <c r="G337" s="4" t="s">
        <v>147</v>
      </c>
      <c r="H337" s="4" t="s">
        <v>148</v>
      </c>
      <c r="I337" s="4"/>
      <c r="J337" s="4"/>
      <c r="K337" s="4">
        <v>215</v>
      </c>
      <c r="L337" s="4">
        <v>17</v>
      </c>
      <c r="M337" s="4">
        <v>3</v>
      </c>
      <c r="N337" s="4" t="s">
        <v>6</v>
      </c>
      <c r="O337" s="4">
        <v>2</v>
      </c>
      <c r="P337" s="4"/>
      <c r="Q337" s="4"/>
      <c r="R337" s="4"/>
      <c r="S337" s="4"/>
      <c r="T337" s="4"/>
      <c r="U337" s="4"/>
      <c r="V337" s="4"/>
      <c r="W337" s="4"/>
    </row>
    <row r="338" spans="1:245" x14ac:dyDescent="0.2">
      <c r="A338" s="4">
        <v>50</v>
      </c>
      <c r="B338" s="4">
        <v>0</v>
      </c>
      <c r="C338" s="4">
        <v>0</v>
      </c>
      <c r="D338" s="4">
        <v>1</v>
      </c>
      <c r="E338" s="4">
        <v>217</v>
      </c>
      <c r="F338" s="4">
        <f>ROUND(Source!AU319,O338)</f>
        <v>0</v>
      </c>
      <c r="G338" s="4" t="s">
        <v>149</v>
      </c>
      <c r="H338" s="4" t="s">
        <v>150</v>
      </c>
      <c r="I338" s="4"/>
      <c r="J338" s="4"/>
      <c r="K338" s="4">
        <v>217</v>
      </c>
      <c r="L338" s="4">
        <v>18</v>
      </c>
      <c r="M338" s="4">
        <v>3</v>
      </c>
      <c r="N338" s="4" t="s">
        <v>6</v>
      </c>
      <c r="O338" s="4">
        <v>2</v>
      </c>
      <c r="P338" s="4"/>
      <c r="Q338" s="4"/>
      <c r="R338" s="4"/>
      <c r="S338" s="4"/>
      <c r="T338" s="4"/>
      <c r="U338" s="4"/>
      <c r="V338" s="4"/>
      <c r="W338" s="4"/>
    </row>
    <row r="339" spans="1:245" x14ac:dyDescent="0.2">
      <c r="A339" s="4">
        <v>50</v>
      </c>
      <c r="B339" s="4">
        <v>0</v>
      </c>
      <c r="C339" s="4">
        <v>0</v>
      </c>
      <c r="D339" s="4">
        <v>1</v>
      </c>
      <c r="E339" s="4">
        <v>230</v>
      </c>
      <c r="F339" s="4">
        <f>ROUND(Source!BA319,O339)</f>
        <v>0</v>
      </c>
      <c r="G339" s="4" t="s">
        <v>151</v>
      </c>
      <c r="H339" s="4" t="s">
        <v>152</v>
      </c>
      <c r="I339" s="4"/>
      <c r="J339" s="4"/>
      <c r="K339" s="4">
        <v>230</v>
      </c>
      <c r="L339" s="4">
        <v>19</v>
      </c>
      <c r="M339" s="4">
        <v>3</v>
      </c>
      <c r="N339" s="4" t="s">
        <v>6</v>
      </c>
      <c r="O339" s="4">
        <v>2</v>
      </c>
      <c r="P339" s="4"/>
      <c r="Q339" s="4"/>
      <c r="R339" s="4"/>
      <c r="S339" s="4"/>
      <c r="T339" s="4"/>
      <c r="U339" s="4"/>
      <c r="V339" s="4"/>
      <c r="W339" s="4"/>
    </row>
    <row r="340" spans="1:245" x14ac:dyDescent="0.2">
      <c r="A340" s="4">
        <v>50</v>
      </c>
      <c r="B340" s="4">
        <v>0</v>
      </c>
      <c r="C340" s="4">
        <v>0</v>
      </c>
      <c r="D340" s="4">
        <v>1</v>
      </c>
      <c r="E340" s="4">
        <v>206</v>
      </c>
      <c r="F340" s="4">
        <f>ROUND(Source!T319,O340)</f>
        <v>0</v>
      </c>
      <c r="G340" s="4" t="s">
        <v>153</v>
      </c>
      <c r="H340" s="4" t="s">
        <v>154</v>
      </c>
      <c r="I340" s="4"/>
      <c r="J340" s="4"/>
      <c r="K340" s="4">
        <v>206</v>
      </c>
      <c r="L340" s="4">
        <v>20</v>
      </c>
      <c r="M340" s="4">
        <v>3</v>
      </c>
      <c r="N340" s="4" t="s">
        <v>6</v>
      </c>
      <c r="O340" s="4">
        <v>2</v>
      </c>
      <c r="P340" s="4"/>
      <c r="Q340" s="4"/>
      <c r="R340" s="4"/>
      <c r="S340" s="4"/>
      <c r="T340" s="4"/>
      <c r="U340" s="4"/>
      <c r="V340" s="4"/>
      <c r="W340" s="4"/>
    </row>
    <row r="341" spans="1:245" x14ac:dyDescent="0.2">
      <c r="A341" s="4">
        <v>50</v>
      </c>
      <c r="B341" s="4">
        <v>0</v>
      </c>
      <c r="C341" s="4">
        <v>0</v>
      </c>
      <c r="D341" s="4">
        <v>1</v>
      </c>
      <c r="E341" s="4">
        <v>207</v>
      </c>
      <c r="F341" s="4">
        <f>Source!U319</f>
        <v>120.27884</v>
      </c>
      <c r="G341" s="4" t="s">
        <v>155</v>
      </c>
      <c r="H341" s="4" t="s">
        <v>156</v>
      </c>
      <c r="I341" s="4"/>
      <c r="J341" s="4"/>
      <c r="K341" s="4">
        <v>207</v>
      </c>
      <c r="L341" s="4">
        <v>21</v>
      </c>
      <c r="M341" s="4">
        <v>3</v>
      </c>
      <c r="N341" s="4" t="s">
        <v>6</v>
      </c>
      <c r="O341" s="4">
        <v>-1</v>
      </c>
      <c r="P341" s="4"/>
      <c r="Q341" s="4"/>
      <c r="R341" s="4"/>
      <c r="S341" s="4"/>
      <c r="T341" s="4"/>
      <c r="U341" s="4"/>
      <c r="V341" s="4"/>
      <c r="W341" s="4"/>
    </row>
    <row r="342" spans="1:245" x14ac:dyDescent="0.2">
      <c r="A342" s="4">
        <v>50</v>
      </c>
      <c r="B342" s="4">
        <v>0</v>
      </c>
      <c r="C342" s="4">
        <v>0</v>
      </c>
      <c r="D342" s="4">
        <v>1</v>
      </c>
      <c r="E342" s="4">
        <v>208</v>
      </c>
      <c r="F342" s="4">
        <f>Source!V319</f>
        <v>3.8051399999999997</v>
      </c>
      <c r="G342" s="4" t="s">
        <v>157</v>
      </c>
      <c r="H342" s="4" t="s">
        <v>158</v>
      </c>
      <c r="I342" s="4"/>
      <c r="J342" s="4"/>
      <c r="K342" s="4">
        <v>208</v>
      </c>
      <c r="L342" s="4">
        <v>22</v>
      </c>
      <c r="M342" s="4">
        <v>3</v>
      </c>
      <c r="N342" s="4" t="s">
        <v>6</v>
      </c>
      <c r="O342" s="4">
        <v>-1</v>
      </c>
      <c r="P342" s="4"/>
      <c r="Q342" s="4"/>
      <c r="R342" s="4"/>
      <c r="S342" s="4"/>
      <c r="T342" s="4"/>
      <c r="U342" s="4"/>
      <c r="V342" s="4"/>
      <c r="W342" s="4"/>
    </row>
    <row r="343" spans="1:245" x14ac:dyDescent="0.2">
      <c r="A343" s="4">
        <v>50</v>
      </c>
      <c r="B343" s="4">
        <v>0</v>
      </c>
      <c r="C343" s="4">
        <v>0</v>
      </c>
      <c r="D343" s="4">
        <v>1</v>
      </c>
      <c r="E343" s="4">
        <v>209</v>
      </c>
      <c r="F343" s="4">
        <f>ROUND(Source!W319,O343)</f>
        <v>0</v>
      </c>
      <c r="G343" s="4" t="s">
        <v>159</v>
      </c>
      <c r="H343" s="4" t="s">
        <v>160</v>
      </c>
      <c r="I343" s="4"/>
      <c r="J343" s="4"/>
      <c r="K343" s="4">
        <v>209</v>
      </c>
      <c r="L343" s="4">
        <v>23</v>
      </c>
      <c r="M343" s="4">
        <v>3</v>
      </c>
      <c r="N343" s="4" t="s">
        <v>6</v>
      </c>
      <c r="O343" s="4">
        <v>2</v>
      </c>
      <c r="P343" s="4"/>
      <c r="Q343" s="4"/>
      <c r="R343" s="4"/>
      <c r="S343" s="4"/>
      <c r="T343" s="4"/>
      <c r="U343" s="4"/>
      <c r="V343" s="4"/>
      <c r="W343" s="4"/>
    </row>
    <row r="344" spans="1:245" x14ac:dyDescent="0.2">
      <c r="A344" s="4">
        <v>50</v>
      </c>
      <c r="B344" s="4">
        <v>0</v>
      </c>
      <c r="C344" s="4">
        <v>0</v>
      </c>
      <c r="D344" s="4">
        <v>1</v>
      </c>
      <c r="E344" s="4">
        <v>210</v>
      </c>
      <c r="F344" s="4">
        <f>ROUND(Source!X319,O344)</f>
        <v>7315.25</v>
      </c>
      <c r="G344" s="4" t="s">
        <v>161</v>
      </c>
      <c r="H344" s="4" t="s">
        <v>162</v>
      </c>
      <c r="I344" s="4"/>
      <c r="J344" s="4"/>
      <c r="K344" s="4">
        <v>210</v>
      </c>
      <c r="L344" s="4">
        <v>24</v>
      </c>
      <c r="M344" s="4">
        <v>3</v>
      </c>
      <c r="N344" s="4" t="s">
        <v>6</v>
      </c>
      <c r="O344" s="4">
        <v>2</v>
      </c>
      <c r="P344" s="4"/>
      <c r="Q344" s="4"/>
      <c r="R344" s="4"/>
      <c r="S344" s="4"/>
      <c r="T344" s="4"/>
      <c r="U344" s="4"/>
      <c r="V344" s="4"/>
      <c r="W344" s="4"/>
    </row>
    <row r="345" spans="1:245" x14ac:dyDescent="0.2">
      <c r="A345" s="4">
        <v>50</v>
      </c>
      <c r="B345" s="4">
        <v>0</v>
      </c>
      <c r="C345" s="4">
        <v>0</v>
      </c>
      <c r="D345" s="4">
        <v>1</v>
      </c>
      <c r="E345" s="4">
        <v>211</v>
      </c>
      <c r="F345" s="4">
        <f>ROUND(Source!Y319,O345)</f>
        <v>5089.96</v>
      </c>
      <c r="G345" s="4" t="s">
        <v>163</v>
      </c>
      <c r="H345" s="4" t="s">
        <v>164</v>
      </c>
      <c r="I345" s="4"/>
      <c r="J345" s="4"/>
      <c r="K345" s="4">
        <v>211</v>
      </c>
      <c r="L345" s="4">
        <v>25</v>
      </c>
      <c r="M345" s="4">
        <v>3</v>
      </c>
      <c r="N345" s="4" t="s">
        <v>6</v>
      </c>
      <c r="O345" s="4">
        <v>2</v>
      </c>
      <c r="P345" s="4"/>
      <c r="Q345" s="4"/>
      <c r="R345" s="4"/>
      <c r="S345" s="4"/>
      <c r="T345" s="4"/>
      <c r="U345" s="4"/>
      <c r="V345" s="4"/>
      <c r="W345" s="4"/>
    </row>
    <row r="346" spans="1:245" x14ac:dyDescent="0.2">
      <c r="A346" s="4">
        <v>50</v>
      </c>
      <c r="B346" s="4">
        <v>0</v>
      </c>
      <c r="C346" s="4">
        <v>0</v>
      </c>
      <c r="D346" s="4">
        <v>1</v>
      </c>
      <c r="E346" s="4">
        <v>224</v>
      </c>
      <c r="F346" s="4">
        <f>ROUND(Source!AR319,O346)</f>
        <v>176911.74</v>
      </c>
      <c r="G346" s="4" t="s">
        <v>165</v>
      </c>
      <c r="H346" s="4" t="s">
        <v>166</v>
      </c>
      <c r="I346" s="4"/>
      <c r="J346" s="4"/>
      <c r="K346" s="4">
        <v>224</v>
      </c>
      <c r="L346" s="4">
        <v>26</v>
      </c>
      <c r="M346" s="4">
        <v>3</v>
      </c>
      <c r="N346" s="4" t="s">
        <v>6</v>
      </c>
      <c r="O346" s="4">
        <v>2</v>
      </c>
      <c r="P346" s="4"/>
      <c r="Q346" s="4"/>
      <c r="R346" s="4"/>
      <c r="S346" s="4"/>
      <c r="T346" s="4"/>
      <c r="U346" s="4"/>
      <c r="V346" s="4"/>
      <c r="W346" s="4"/>
    </row>
    <row r="348" spans="1:245" x14ac:dyDescent="0.2">
      <c r="A348" s="1">
        <v>5</v>
      </c>
      <c r="B348" s="1">
        <v>1</v>
      </c>
      <c r="C348" s="1"/>
      <c r="D348" s="1">
        <f>ROW(A390)</f>
        <v>390</v>
      </c>
      <c r="E348" s="1"/>
      <c r="F348" s="1" t="s">
        <v>15</v>
      </c>
      <c r="G348" s="1" t="s">
        <v>708</v>
      </c>
      <c r="H348" s="1" t="s">
        <v>6</v>
      </c>
      <c r="I348" s="1">
        <v>0</v>
      </c>
      <c r="J348" s="1"/>
      <c r="K348" s="1">
        <v>0</v>
      </c>
      <c r="L348" s="1"/>
      <c r="M348" s="1"/>
      <c r="N348" s="1"/>
      <c r="O348" s="1"/>
      <c r="P348" s="1"/>
      <c r="Q348" s="1"/>
      <c r="R348" s="1"/>
      <c r="S348" s="1"/>
      <c r="T348" s="1"/>
      <c r="U348" s="1" t="s">
        <v>6</v>
      </c>
      <c r="V348" s="1">
        <v>0</v>
      </c>
      <c r="W348" s="1"/>
      <c r="X348" s="1"/>
      <c r="Y348" s="1"/>
      <c r="Z348" s="1"/>
      <c r="AA348" s="1"/>
      <c r="AB348" s="1" t="s">
        <v>6</v>
      </c>
      <c r="AC348" s="1" t="s">
        <v>6</v>
      </c>
      <c r="AD348" s="1" t="s">
        <v>6</v>
      </c>
      <c r="AE348" s="1" t="s">
        <v>6</v>
      </c>
      <c r="AF348" s="1" t="s">
        <v>6</v>
      </c>
      <c r="AG348" s="1" t="s">
        <v>6</v>
      </c>
      <c r="AH348" s="1"/>
      <c r="AI348" s="1"/>
      <c r="AJ348" s="1"/>
      <c r="AK348" s="1"/>
      <c r="AL348" s="1"/>
      <c r="AM348" s="1"/>
      <c r="AN348" s="1"/>
      <c r="AO348" s="1"/>
      <c r="AP348" s="1" t="s">
        <v>6</v>
      </c>
      <c r="AQ348" s="1" t="s">
        <v>6</v>
      </c>
      <c r="AR348" s="1" t="s">
        <v>6</v>
      </c>
      <c r="AS348" s="1"/>
      <c r="AT348" s="1"/>
      <c r="AU348" s="1"/>
      <c r="AV348" s="1"/>
      <c r="AW348" s="1"/>
      <c r="AX348" s="1"/>
      <c r="AY348" s="1"/>
      <c r="AZ348" s="1" t="s">
        <v>6</v>
      </c>
      <c r="BA348" s="1"/>
      <c r="BB348" s="1" t="s">
        <v>6</v>
      </c>
      <c r="BC348" s="1" t="s">
        <v>6</v>
      </c>
      <c r="BD348" s="1" t="s">
        <v>6</v>
      </c>
      <c r="BE348" s="1" t="s">
        <v>6</v>
      </c>
      <c r="BF348" s="1" t="s">
        <v>6</v>
      </c>
      <c r="BG348" s="1" t="s">
        <v>6</v>
      </c>
      <c r="BH348" s="1" t="s">
        <v>6</v>
      </c>
      <c r="BI348" s="1" t="s">
        <v>6</v>
      </c>
      <c r="BJ348" s="1" t="s">
        <v>6</v>
      </c>
      <c r="BK348" s="1" t="s">
        <v>6</v>
      </c>
      <c r="BL348" s="1" t="s">
        <v>6</v>
      </c>
      <c r="BM348" s="1" t="s">
        <v>6</v>
      </c>
      <c r="BN348" s="1" t="s">
        <v>6</v>
      </c>
      <c r="BO348" s="1" t="s">
        <v>6</v>
      </c>
      <c r="BP348" s="1" t="s">
        <v>6</v>
      </c>
      <c r="BQ348" s="1"/>
      <c r="BR348" s="1"/>
      <c r="BS348" s="1"/>
      <c r="BT348" s="1"/>
      <c r="BU348" s="1"/>
      <c r="BV348" s="1"/>
      <c r="BW348" s="1"/>
      <c r="BX348" s="1">
        <v>0</v>
      </c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>
        <v>0</v>
      </c>
    </row>
    <row r="350" spans="1:245" x14ac:dyDescent="0.2">
      <c r="A350" s="2">
        <v>52</v>
      </c>
      <c r="B350" s="2">
        <f t="shared" ref="B350:G350" si="271">B390</f>
        <v>1</v>
      </c>
      <c r="C350" s="2">
        <f t="shared" si="271"/>
        <v>5</v>
      </c>
      <c r="D350" s="2">
        <f t="shared" si="271"/>
        <v>348</v>
      </c>
      <c r="E350" s="2">
        <f t="shared" si="271"/>
        <v>0</v>
      </c>
      <c r="F350" s="2" t="str">
        <f t="shared" si="271"/>
        <v>Новый подраздел</v>
      </c>
      <c r="G350" s="2" t="str">
        <f t="shared" si="271"/>
        <v>3 Монтаж силовой части</v>
      </c>
      <c r="H350" s="2"/>
      <c r="I350" s="2"/>
      <c r="J350" s="2"/>
      <c r="K350" s="2"/>
      <c r="L350" s="2"/>
      <c r="M350" s="2"/>
      <c r="N350" s="2"/>
      <c r="O350" s="2">
        <f t="shared" ref="O350:AT350" si="272">O390</f>
        <v>289734.01</v>
      </c>
      <c r="P350" s="2">
        <f t="shared" si="272"/>
        <v>278246.36</v>
      </c>
      <c r="Q350" s="2">
        <f t="shared" si="272"/>
        <v>886.99</v>
      </c>
      <c r="R350" s="2">
        <f t="shared" si="272"/>
        <v>98.54</v>
      </c>
      <c r="S350" s="2">
        <f t="shared" si="272"/>
        <v>10600.66</v>
      </c>
      <c r="T350" s="2">
        <f t="shared" si="272"/>
        <v>0</v>
      </c>
      <c r="U350" s="2">
        <f t="shared" si="272"/>
        <v>168.15101999999999</v>
      </c>
      <c r="V350" s="2">
        <f t="shared" si="272"/>
        <v>1.21146</v>
      </c>
      <c r="W350" s="2">
        <f t="shared" si="272"/>
        <v>0</v>
      </c>
      <c r="X350" s="2">
        <f t="shared" si="272"/>
        <v>10160.58</v>
      </c>
      <c r="Y350" s="2">
        <f t="shared" si="272"/>
        <v>6951.26</v>
      </c>
      <c r="Z350" s="2">
        <f t="shared" si="272"/>
        <v>0</v>
      </c>
      <c r="AA350" s="2">
        <f t="shared" si="272"/>
        <v>0</v>
      </c>
      <c r="AB350" s="2">
        <f t="shared" si="272"/>
        <v>289734.01</v>
      </c>
      <c r="AC350" s="2">
        <f t="shared" si="272"/>
        <v>278246.36</v>
      </c>
      <c r="AD350" s="2">
        <f t="shared" si="272"/>
        <v>886.99</v>
      </c>
      <c r="AE350" s="2">
        <f t="shared" si="272"/>
        <v>98.54</v>
      </c>
      <c r="AF350" s="2">
        <f t="shared" si="272"/>
        <v>10600.66</v>
      </c>
      <c r="AG350" s="2">
        <f t="shared" si="272"/>
        <v>0</v>
      </c>
      <c r="AH350" s="2">
        <f t="shared" si="272"/>
        <v>168.15101999999999</v>
      </c>
      <c r="AI350" s="2">
        <f t="shared" si="272"/>
        <v>1.21146</v>
      </c>
      <c r="AJ350" s="2">
        <f t="shared" si="272"/>
        <v>0</v>
      </c>
      <c r="AK350" s="2">
        <f t="shared" si="272"/>
        <v>10160.58</v>
      </c>
      <c r="AL350" s="2">
        <f t="shared" si="272"/>
        <v>6951.26</v>
      </c>
      <c r="AM350" s="2">
        <f t="shared" si="272"/>
        <v>0</v>
      </c>
      <c r="AN350" s="2">
        <f t="shared" si="272"/>
        <v>0</v>
      </c>
      <c r="AO350" s="2">
        <f t="shared" si="272"/>
        <v>0</v>
      </c>
      <c r="AP350" s="2">
        <f t="shared" si="272"/>
        <v>0</v>
      </c>
      <c r="AQ350" s="2">
        <f t="shared" si="272"/>
        <v>0</v>
      </c>
      <c r="AR350" s="2">
        <f t="shared" si="272"/>
        <v>306845.84999999998</v>
      </c>
      <c r="AS350" s="2">
        <f t="shared" si="272"/>
        <v>49.02</v>
      </c>
      <c r="AT350" s="2">
        <f t="shared" si="272"/>
        <v>306796.83</v>
      </c>
      <c r="AU350" s="2">
        <f t="shared" ref="AU350:BZ350" si="273">AU390</f>
        <v>0</v>
      </c>
      <c r="AV350" s="2">
        <f t="shared" si="273"/>
        <v>278246.36</v>
      </c>
      <c r="AW350" s="2">
        <f t="shared" si="273"/>
        <v>278246.36</v>
      </c>
      <c r="AX350" s="2">
        <f t="shared" si="273"/>
        <v>0</v>
      </c>
      <c r="AY350" s="2">
        <f t="shared" si="273"/>
        <v>278246.36</v>
      </c>
      <c r="AZ350" s="2">
        <f t="shared" si="273"/>
        <v>0</v>
      </c>
      <c r="BA350" s="2">
        <f t="shared" si="273"/>
        <v>0</v>
      </c>
      <c r="BB350" s="2">
        <f t="shared" si="273"/>
        <v>0</v>
      </c>
      <c r="BC350" s="2">
        <f t="shared" si="273"/>
        <v>0</v>
      </c>
      <c r="BD350" s="2">
        <f t="shared" si="273"/>
        <v>0</v>
      </c>
      <c r="BE350" s="2">
        <f t="shared" si="273"/>
        <v>0</v>
      </c>
      <c r="BF350" s="2">
        <f t="shared" si="273"/>
        <v>0</v>
      </c>
      <c r="BG350" s="2">
        <f t="shared" si="273"/>
        <v>0</v>
      </c>
      <c r="BH350" s="2">
        <f t="shared" si="273"/>
        <v>0</v>
      </c>
      <c r="BI350" s="2">
        <f t="shared" si="273"/>
        <v>0</v>
      </c>
      <c r="BJ350" s="2">
        <f t="shared" si="273"/>
        <v>0</v>
      </c>
      <c r="BK350" s="2">
        <f t="shared" si="273"/>
        <v>0</v>
      </c>
      <c r="BL350" s="2">
        <f t="shared" si="273"/>
        <v>0</v>
      </c>
      <c r="BM350" s="2">
        <f t="shared" si="273"/>
        <v>0</v>
      </c>
      <c r="BN350" s="2">
        <f t="shared" si="273"/>
        <v>0</v>
      </c>
      <c r="BO350" s="2">
        <f t="shared" si="273"/>
        <v>0</v>
      </c>
      <c r="BP350" s="2">
        <f t="shared" si="273"/>
        <v>0</v>
      </c>
      <c r="BQ350" s="2">
        <f t="shared" si="273"/>
        <v>0</v>
      </c>
      <c r="BR350" s="2">
        <f t="shared" si="273"/>
        <v>0</v>
      </c>
      <c r="BS350" s="2">
        <f t="shared" si="273"/>
        <v>0</v>
      </c>
      <c r="BT350" s="2">
        <f t="shared" si="273"/>
        <v>0</v>
      </c>
      <c r="BU350" s="2">
        <f t="shared" si="273"/>
        <v>0</v>
      </c>
      <c r="BV350" s="2">
        <f t="shared" si="273"/>
        <v>0</v>
      </c>
      <c r="BW350" s="2">
        <f t="shared" si="273"/>
        <v>0</v>
      </c>
      <c r="BX350" s="2">
        <f t="shared" si="273"/>
        <v>0</v>
      </c>
      <c r="BY350" s="2">
        <f t="shared" si="273"/>
        <v>0</v>
      </c>
      <c r="BZ350" s="2">
        <f t="shared" si="273"/>
        <v>0</v>
      </c>
      <c r="CA350" s="2">
        <f t="shared" ref="CA350:DF350" si="274">CA390</f>
        <v>306845.84999999998</v>
      </c>
      <c r="CB350" s="2">
        <f t="shared" si="274"/>
        <v>49.02</v>
      </c>
      <c r="CC350" s="2">
        <f t="shared" si="274"/>
        <v>306796.83</v>
      </c>
      <c r="CD350" s="2">
        <f t="shared" si="274"/>
        <v>0</v>
      </c>
      <c r="CE350" s="2">
        <f t="shared" si="274"/>
        <v>278246.36</v>
      </c>
      <c r="CF350" s="2">
        <f t="shared" si="274"/>
        <v>278246.36</v>
      </c>
      <c r="CG350" s="2">
        <f t="shared" si="274"/>
        <v>0</v>
      </c>
      <c r="CH350" s="2">
        <f t="shared" si="274"/>
        <v>278246.36</v>
      </c>
      <c r="CI350" s="2">
        <f t="shared" si="274"/>
        <v>0</v>
      </c>
      <c r="CJ350" s="2">
        <f t="shared" si="274"/>
        <v>0</v>
      </c>
      <c r="CK350" s="2">
        <f t="shared" si="274"/>
        <v>0</v>
      </c>
      <c r="CL350" s="2">
        <f t="shared" si="274"/>
        <v>0</v>
      </c>
      <c r="CM350" s="2">
        <f t="shared" si="274"/>
        <v>0</v>
      </c>
      <c r="CN350" s="2">
        <f t="shared" si="274"/>
        <v>0</v>
      </c>
      <c r="CO350" s="2">
        <f t="shared" si="274"/>
        <v>0</v>
      </c>
      <c r="CP350" s="2">
        <f t="shared" si="274"/>
        <v>0</v>
      </c>
      <c r="CQ350" s="2">
        <f t="shared" si="274"/>
        <v>0</v>
      </c>
      <c r="CR350" s="2">
        <f t="shared" si="274"/>
        <v>0</v>
      </c>
      <c r="CS350" s="2">
        <f t="shared" si="274"/>
        <v>0</v>
      </c>
      <c r="CT350" s="2">
        <f t="shared" si="274"/>
        <v>0</v>
      </c>
      <c r="CU350" s="2">
        <f t="shared" si="274"/>
        <v>0</v>
      </c>
      <c r="CV350" s="2">
        <f t="shared" si="274"/>
        <v>0</v>
      </c>
      <c r="CW350" s="2">
        <f t="shared" si="274"/>
        <v>0</v>
      </c>
      <c r="CX350" s="2">
        <f t="shared" si="274"/>
        <v>0</v>
      </c>
      <c r="CY350" s="2">
        <f t="shared" si="274"/>
        <v>0</v>
      </c>
      <c r="CZ350" s="2">
        <f t="shared" si="274"/>
        <v>0</v>
      </c>
      <c r="DA350" s="2">
        <f t="shared" si="274"/>
        <v>0</v>
      </c>
      <c r="DB350" s="2">
        <f t="shared" si="274"/>
        <v>0</v>
      </c>
      <c r="DC350" s="2">
        <f t="shared" si="274"/>
        <v>0</v>
      </c>
      <c r="DD350" s="2">
        <f t="shared" si="274"/>
        <v>0</v>
      </c>
      <c r="DE350" s="2">
        <f t="shared" si="274"/>
        <v>0</v>
      </c>
      <c r="DF350" s="2">
        <f t="shared" si="274"/>
        <v>0</v>
      </c>
      <c r="DG350" s="3">
        <f t="shared" ref="DG350:EL350" si="275">DG390</f>
        <v>0</v>
      </c>
      <c r="DH350" s="3">
        <f t="shared" si="275"/>
        <v>0</v>
      </c>
      <c r="DI350" s="3">
        <f t="shared" si="275"/>
        <v>0</v>
      </c>
      <c r="DJ350" s="3">
        <f t="shared" si="275"/>
        <v>0</v>
      </c>
      <c r="DK350" s="3">
        <f t="shared" si="275"/>
        <v>0</v>
      </c>
      <c r="DL350" s="3">
        <f t="shared" si="275"/>
        <v>0</v>
      </c>
      <c r="DM350" s="3">
        <f t="shared" si="275"/>
        <v>0</v>
      </c>
      <c r="DN350" s="3">
        <f t="shared" si="275"/>
        <v>0</v>
      </c>
      <c r="DO350" s="3">
        <f t="shared" si="275"/>
        <v>0</v>
      </c>
      <c r="DP350" s="3">
        <f t="shared" si="275"/>
        <v>0</v>
      </c>
      <c r="DQ350" s="3">
        <f t="shared" si="275"/>
        <v>0</v>
      </c>
      <c r="DR350" s="3">
        <f t="shared" si="275"/>
        <v>0</v>
      </c>
      <c r="DS350" s="3">
        <f t="shared" si="275"/>
        <v>0</v>
      </c>
      <c r="DT350" s="3">
        <f t="shared" si="275"/>
        <v>0</v>
      </c>
      <c r="DU350" s="3">
        <f t="shared" si="275"/>
        <v>0</v>
      </c>
      <c r="DV350" s="3">
        <f t="shared" si="275"/>
        <v>0</v>
      </c>
      <c r="DW350" s="3">
        <f t="shared" si="275"/>
        <v>0</v>
      </c>
      <c r="DX350" s="3">
        <f t="shared" si="275"/>
        <v>0</v>
      </c>
      <c r="DY350" s="3">
        <f t="shared" si="275"/>
        <v>0</v>
      </c>
      <c r="DZ350" s="3">
        <f t="shared" si="275"/>
        <v>0</v>
      </c>
      <c r="EA350" s="3">
        <f t="shared" si="275"/>
        <v>0</v>
      </c>
      <c r="EB350" s="3">
        <f t="shared" si="275"/>
        <v>0</v>
      </c>
      <c r="EC350" s="3">
        <f t="shared" si="275"/>
        <v>0</v>
      </c>
      <c r="ED350" s="3">
        <f t="shared" si="275"/>
        <v>0</v>
      </c>
      <c r="EE350" s="3">
        <f t="shared" si="275"/>
        <v>0</v>
      </c>
      <c r="EF350" s="3">
        <f t="shared" si="275"/>
        <v>0</v>
      </c>
      <c r="EG350" s="3">
        <f t="shared" si="275"/>
        <v>0</v>
      </c>
      <c r="EH350" s="3">
        <f t="shared" si="275"/>
        <v>0</v>
      </c>
      <c r="EI350" s="3">
        <f t="shared" si="275"/>
        <v>0</v>
      </c>
      <c r="EJ350" s="3">
        <f t="shared" si="275"/>
        <v>0</v>
      </c>
      <c r="EK350" s="3">
        <f t="shared" si="275"/>
        <v>0</v>
      </c>
      <c r="EL350" s="3">
        <f t="shared" si="275"/>
        <v>0</v>
      </c>
      <c r="EM350" s="3">
        <f t="shared" ref="EM350:FR350" si="276">EM390</f>
        <v>0</v>
      </c>
      <c r="EN350" s="3">
        <f t="shared" si="276"/>
        <v>0</v>
      </c>
      <c r="EO350" s="3">
        <f t="shared" si="276"/>
        <v>0</v>
      </c>
      <c r="EP350" s="3">
        <f t="shared" si="276"/>
        <v>0</v>
      </c>
      <c r="EQ350" s="3">
        <f t="shared" si="276"/>
        <v>0</v>
      </c>
      <c r="ER350" s="3">
        <f t="shared" si="276"/>
        <v>0</v>
      </c>
      <c r="ES350" s="3">
        <f t="shared" si="276"/>
        <v>0</v>
      </c>
      <c r="ET350" s="3">
        <f t="shared" si="276"/>
        <v>0</v>
      </c>
      <c r="EU350" s="3">
        <f t="shared" si="276"/>
        <v>0</v>
      </c>
      <c r="EV350" s="3">
        <f t="shared" si="276"/>
        <v>0</v>
      </c>
      <c r="EW350" s="3">
        <f t="shared" si="276"/>
        <v>0</v>
      </c>
      <c r="EX350" s="3">
        <f t="shared" si="276"/>
        <v>0</v>
      </c>
      <c r="EY350" s="3">
        <f t="shared" si="276"/>
        <v>0</v>
      </c>
      <c r="EZ350" s="3">
        <f t="shared" si="276"/>
        <v>0</v>
      </c>
      <c r="FA350" s="3">
        <f t="shared" si="276"/>
        <v>0</v>
      </c>
      <c r="FB350" s="3">
        <f t="shared" si="276"/>
        <v>0</v>
      </c>
      <c r="FC350" s="3">
        <f t="shared" si="276"/>
        <v>0</v>
      </c>
      <c r="FD350" s="3">
        <f t="shared" si="276"/>
        <v>0</v>
      </c>
      <c r="FE350" s="3">
        <f t="shared" si="276"/>
        <v>0</v>
      </c>
      <c r="FF350" s="3">
        <f t="shared" si="276"/>
        <v>0</v>
      </c>
      <c r="FG350" s="3">
        <f t="shared" si="276"/>
        <v>0</v>
      </c>
      <c r="FH350" s="3">
        <f t="shared" si="276"/>
        <v>0</v>
      </c>
      <c r="FI350" s="3">
        <f t="shared" si="276"/>
        <v>0</v>
      </c>
      <c r="FJ350" s="3">
        <f t="shared" si="276"/>
        <v>0</v>
      </c>
      <c r="FK350" s="3">
        <f t="shared" si="276"/>
        <v>0</v>
      </c>
      <c r="FL350" s="3">
        <f t="shared" si="276"/>
        <v>0</v>
      </c>
      <c r="FM350" s="3">
        <f t="shared" si="276"/>
        <v>0</v>
      </c>
      <c r="FN350" s="3">
        <f t="shared" si="276"/>
        <v>0</v>
      </c>
      <c r="FO350" s="3">
        <f t="shared" si="276"/>
        <v>0</v>
      </c>
      <c r="FP350" s="3">
        <f t="shared" si="276"/>
        <v>0</v>
      </c>
      <c r="FQ350" s="3">
        <f t="shared" si="276"/>
        <v>0</v>
      </c>
      <c r="FR350" s="3">
        <f t="shared" si="276"/>
        <v>0</v>
      </c>
      <c r="FS350" s="3">
        <f t="shared" ref="FS350:GX350" si="277">FS390</f>
        <v>0</v>
      </c>
      <c r="FT350" s="3">
        <f t="shared" si="277"/>
        <v>0</v>
      </c>
      <c r="FU350" s="3">
        <f t="shared" si="277"/>
        <v>0</v>
      </c>
      <c r="FV350" s="3">
        <f t="shared" si="277"/>
        <v>0</v>
      </c>
      <c r="FW350" s="3">
        <f t="shared" si="277"/>
        <v>0</v>
      </c>
      <c r="FX350" s="3">
        <f t="shared" si="277"/>
        <v>0</v>
      </c>
      <c r="FY350" s="3">
        <f t="shared" si="277"/>
        <v>0</v>
      </c>
      <c r="FZ350" s="3">
        <f t="shared" si="277"/>
        <v>0</v>
      </c>
      <c r="GA350" s="3">
        <f t="shared" si="277"/>
        <v>0</v>
      </c>
      <c r="GB350" s="3">
        <f t="shared" si="277"/>
        <v>0</v>
      </c>
      <c r="GC350" s="3">
        <f t="shared" si="277"/>
        <v>0</v>
      </c>
      <c r="GD350" s="3">
        <f t="shared" si="277"/>
        <v>0</v>
      </c>
      <c r="GE350" s="3">
        <f t="shared" si="277"/>
        <v>0</v>
      </c>
      <c r="GF350" s="3">
        <f t="shared" si="277"/>
        <v>0</v>
      </c>
      <c r="GG350" s="3">
        <f t="shared" si="277"/>
        <v>0</v>
      </c>
      <c r="GH350" s="3">
        <f t="shared" si="277"/>
        <v>0</v>
      </c>
      <c r="GI350" s="3">
        <f t="shared" si="277"/>
        <v>0</v>
      </c>
      <c r="GJ350" s="3">
        <f t="shared" si="277"/>
        <v>0</v>
      </c>
      <c r="GK350" s="3">
        <f t="shared" si="277"/>
        <v>0</v>
      </c>
      <c r="GL350" s="3">
        <f t="shared" si="277"/>
        <v>0</v>
      </c>
      <c r="GM350" s="3">
        <f t="shared" si="277"/>
        <v>0</v>
      </c>
      <c r="GN350" s="3">
        <f t="shared" si="277"/>
        <v>0</v>
      </c>
      <c r="GO350" s="3">
        <f t="shared" si="277"/>
        <v>0</v>
      </c>
      <c r="GP350" s="3">
        <f t="shared" si="277"/>
        <v>0</v>
      </c>
      <c r="GQ350" s="3">
        <f t="shared" si="277"/>
        <v>0</v>
      </c>
      <c r="GR350" s="3">
        <f t="shared" si="277"/>
        <v>0</v>
      </c>
      <c r="GS350" s="3">
        <f t="shared" si="277"/>
        <v>0</v>
      </c>
      <c r="GT350" s="3">
        <f t="shared" si="277"/>
        <v>0</v>
      </c>
      <c r="GU350" s="3">
        <f t="shared" si="277"/>
        <v>0</v>
      </c>
      <c r="GV350" s="3">
        <f t="shared" si="277"/>
        <v>0</v>
      </c>
      <c r="GW350" s="3">
        <f t="shared" si="277"/>
        <v>0</v>
      </c>
      <c r="GX350" s="3">
        <f t="shared" si="277"/>
        <v>0</v>
      </c>
    </row>
    <row r="352" spans="1:245" x14ac:dyDescent="0.2">
      <c r="A352">
        <v>17</v>
      </c>
      <c r="B352">
        <v>1</v>
      </c>
      <c r="C352">
        <f>ROW(SmtRes!A472)</f>
        <v>472</v>
      </c>
      <c r="D352">
        <f>ROW(EtalonRes!A441)</f>
        <v>441</v>
      </c>
      <c r="E352" t="s">
        <v>709</v>
      </c>
      <c r="F352" t="s">
        <v>710</v>
      </c>
      <c r="G352" t="s">
        <v>711</v>
      </c>
      <c r="H352" t="s">
        <v>34</v>
      </c>
      <c r="I352">
        <f>ROUND(95/100,9)</f>
        <v>0.95</v>
      </c>
      <c r="J352">
        <v>0</v>
      </c>
      <c r="O352">
        <f t="shared" ref="O352:O388" si="278">ROUND(CP352,2)</f>
        <v>1788.08</v>
      </c>
      <c r="P352">
        <f t="shared" ref="P352:P388" si="279">ROUND(CQ352*I352,2)</f>
        <v>581.26</v>
      </c>
      <c r="Q352">
        <f t="shared" ref="Q352:Q388" si="280">ROUND(CR352*I352,2)</f>
        <v>1.93</v>
      </c>
      <c r="R352">
        <f t="shared" ref="R352:R388" si="281">ROUND(CS352*I352,2)</f>
        <v>0.87</v>
      </c>
      <c r="S352">
        <f t="shared" ref="S352:S388" si="282">ROUND(CT352*I352,2)</f>
        <v>1204.8900000000001</v>
      </c>
      <c r="T352">
        <f t="shared" ref="T352:T388" si="283">ROUND(CU352*I352,2)</f>
        <v>0</v>
      </c>
      <c r="U352">
        <f t="shared" ref="U352:U388" si="284">CV352*I352</f>
        <v>19.313499999999998</v>
      </c>
      <c r="V352">
        <f t="shared" ref="V352:V388" si="285">CW352*I352</f>
        <v>9.4999999999999998E-3</v>
      </c>
      <c r="W352">
        <f t="shared" ref="W352:W388" si="286">ROUND(CX352*I352,2)</f>
        <v>0</v>
      </c>
      <c r="X352">
        <f t="shared" ref="X352:X388" si="287">ROUND(CY352,2)</f>
        <v>1145.47</v>
      </c>
      <c r="Y352">
        <f t="shared" ref="Y352:Y388" si="288">ROUND(CZ352,2)</f>
        <v>783.74</v>
      </c>
      <c r="AA352">
        <v>16748969</v>
      </c>
      <c r="AB352">
        <f t="shared" ref="AB352:AB388" si="289">ROUND((AC352+AD352+AF352),2)</f>
        <v>286.92</v>
      </c>
      <c r="AC352">
        <f t="shared" ref="AC352:AC388" si="290">ROUND((ES352),2)</f>
        <v>93.27</v>
      </c>
      <c r="AD352">
        <f t="shared" ref="AD352:AD388" si="291">ROUND((((ET352)-(EU352))+AE352),2)</f>
        <v>0.31</v>
      </c>
      <c r="AE352">
        <f t="shared" ref="AE352:AE388" si="292">ROUND((EU352),2)</f>
        <v>0.14000000000000001</v>
      </c>
      <c r="AF352">
        <f t="shared" ref="AF352:AF388" si="293">ROUND((EV352),2)</f>
        <v>193.34</v>
      </c>
      <c r="AG352">
        <f t="shared" ref="AG352:AG388" si="294">ROUND((AP352),2)</f>
        <v>0</v>
      </c>
      <c r="AH352">
        <f t="shared" ref="AH352:AH388" si="295">(EW352)</f>
        <v>20.329999999999998</v>
      </c>
      <c r="AI352">
        <f t="shared" ref="AI352:AI388" si="296">(EX352)</f>
        <v>0.01</v>
      </c>
      <c r="AJ352">
        <f t="shared" ref="AJ352:AJ388" si="297">ROUND((AS352),2)</f>
        <v>0</v>
      </c>
      <c r="AK352">
        <v>286.92</v>
      </c>
      <c r="AL352">
        <v>93.27</v>
      </c>
      <c r="AM352">
        <v>0.31</v>
      </c>
      <c r="AN352">
        <v>0.14000000000000001</v>
      </c>
      <c r="AO352">
        <v>193.34</v>
      </c>
      <c r="AP352">
        <v>0</v>
      </c>
      <c r="AQ352">
        <v>20.329999999999998</v>
      </c>
      <c r="AR352">
        <v>0.01</v>
      </c>
      <c r="AS352">
        <v>0</v>
      </c>
      <c r="AT352">
        <v>95</v>
      </c>
      <c r="AU352">
        <v>65</v>
      </c>
      <c r="AV352">
        <v>1</v>
      </c>
      <c r="AW352">
        <v>1</v>
      </c>
      <c r="AZ352">
        <v>6.56</v>
      </c>
      <c r="BA352">
        <v>6.56</v>
      </c>
      <c r="BB352">
        <v>6.56</v>
      </c>
      <c r="BC352">
        <v>6.56</v>
      </c>
      <c r="BD352" t="s">
        <v>6</v>
      </c>
      <c r="BE352" t="s">
        <v>6</v>
      </c>
      <c r="BF352" t="s">
        <v>6</v>
      </c>
      <c r="BG352" t="s">
        <v>6</v>
      </c>
      <c r="BH352">
        <v>0</v>
      </c>
      <c r="BI352">
        <v>2</v>
      </c>
      <c r="BJ352" t="s">
        <v>712</v>
      </c>
      <c r="BM352">
        <v>108001</v>
      </c>
      <c r="BN352">
        <v>0</v>
      </c>
      <c r="BO352" t="s">
        <v>6</v>
      </c>
      <c r="BP352">
        <v>0</v>
      </c>
      <c r="BQ352">
        <v>3</v>
      </c>
      <c r="BR352">
        <v>0</v>
      </c>
      <c r="BS352">
        <v>6.56</v>
      </c>
      <c r="BT352">
        <v>1</v>
      </c>
      <c r="BU352">
        <v>1</v>
      </c>
      <c r="BV352">
        <v>1</v>
      </c>
      <c r="BW352">
        <v>1</v>
      </c>
      <c r="BX352">
        <v>1</v>
      </c>
      <c r="BY352" t="s">
        <v>6</v>
      </c>
      <c r="BZ352">
        <v>95</v>
      </c>
      <c r="CA352">
        <v>65</v>
      </c>
      <c r="CF352">
        <v>0</v>
      </c>
      <c r="CG352">
        <v>0</v>
      </c>
      <c r="CM352">
        <v>0</v>
      </c>
      <c r="CN352" t="s">
        <v>6</v>
      </c>
      <c r="CO352">
        <v>0</v>
      </c>
      <c r="CP352">
        <f t="shared" ref="CP352:CP388" si="298">(P352+Q352+S352)</f>
        <v>1788.08</v>
      </c>
      <c r="CQ352">
        <f t="shared" ref="CQ352:CQ388" si="299">AC352*BC352</f>
        <v>611.85119999999995</v>
      </c>
      <c r="CR352">
        <f t="shared" ref="CR352:CR388" si="300">AD352*BB352</f>
        <v>2.0335999999999999</v>
      </c>
      <c r="CS352">
        <f t="shared" ref="CS352:CS388" si="301">AE352*BS352</f>
        <v>0.91839999999999999</v>
      </c>
      <c r="CT352">
        <f t="shared" ref="CT352:CT388" si="302">AF352*BA352</f>
        <v>1268.3103999999998</v>
      </c>
      <c r="CU352">
        <f t="shared" ref="CU352:CU388" si="303">AG352</f>
        <v>0</v>
      </c>
      <c r="CV352">
        <f t="shared" ref="CV352:CV388" si="304">AH352</f>
        <v>20.329999999999998</v>
      </c>
      <c r="CW352">
        <f t="shared" ref="CW352:CW388" si="305">AI352</f>
        <v>0.01</v>
      </c>
      <c r="CX352">
        <f t="shared" ref="CX352:CX388" si="306">AJ352</f>
        <v>0</v>
      </c>
      <c r="CY352">
        <f t="shared" ref="CY352:CY388" si="307">(((S352+R352)*AT352)/100)</f>
        <v>1145.472</v>
      </c>
      <c r="CZ352">
        <f t="shared" ref="CZ352:CZ388" si="308">(((S352+R352)*AU352)/100)</f>
        <v>783.74399999999991</v>
      </c>
      <c r="DC352" t="s">
        <v>6</v>
      </c>
      <c r="DD352" t="s">
        <v>6</v>
      </c>
      <c r="DE352" t="s">
        <v>6</v>
      </c>
      <c r="DF352" t="s">
        <v>6</v>
      </c>
      <c r="DG352" t="s">
        <v>6</v>
      </c>
      <c r="DH352" t="s">
        <v>6</v>
      </c>
      <c r="DI352" t="s">
        <v>6</v>
      </c>
      <c r="DJ352" t="s">
        <v>6</v>
      </c>
      <c r="DK352" t="s">
        <v>6</v>
      </c>
      <c r="DL352" t="s">
        <v>6</v>
      </c>
      <c r="DM352" t="s">
        <v>6</v>
      </c>
      <c r="DN352">
        <v>0</v>
      </c>
      <c r="DO352">
        <v>0</v>
      </c>
      <c r="DP352">
        <v>1</v>
      </c>
      <c r="DQ352">
        <v>1</v>
      </c>
      <c r="DU352">
        <v>1003</v>
      </c>
      <c r="DV352" t="s">
        <v>34</v>
      </c>
      <c r="DW352" t="s">
        <v>34</v>
      </c>
      <c r="DX352">
        <v>100</v>
      </c>
      <c r="EE352">
        <v>16510370</v>
      </c>
      <c r="EF352">
        <v>3</v>
      </c>
      <c r="EG352" t="s">
        <v>591</v>
      </c>
      <c r="EH352">
        <v>0</v>
      </c>
      <c r="EI352" t="s">
        <v>6</v>
      </c>
      <c r="EJ352">
        <v>2</v>
      </c>
      <c r="EK352">
        <v>108001</v>
      </c>
      <c r="EL352" t="s">
        <v>592</v>
      </c>
      <c r="EM352" t="s">
        <v>593</v>
      </c>
      <c r="EO352" t="s">
        <v>6</v>
      </c>
      <c r="EQ352">
        <v>131072</v>
      </c>
      <c r="ER352">
        <v>286.92</v>
      </c>
      <c r="ES352">
        <v>93.27</v>
      </c>
      <c r="ET352">
        <v>0.31</v>
      </c>
      <c r="EU352">
        <v>0.14000000000000001</v>
      </c>
      <c r="EV352">
        <v>193.34</v>
      </c>
      <c r="EW352">
        <v>20.329999999999998</v>
      </c>
      <c r="EX352">
        <v>0.01</v>
      </c>
      <c r="EY352">
        <v>0</v>
      </c>
      <c r="FQ352">
        <v>0</v>
      </c>
      <c r="FR352">
        <f t="shared" ref="FR352:FR388" si="309">ROUND(IF(AND(BH352=3,BI352=3),P352,0),2)</f>
        <v>0</v>
      </c>
      <c r="FS352">
        <v>0</v>
      </c>
      <c r="FX352">
        <v>95</v>
      </c>
      <c r="FY352">
        <v>65</v>
      </c>
      <c r="GA352" t="s">
        <v>6</v>
      </c>
      <c r="GD352">
        <v>0</v>
      </c>
      <c r="GF352">
        <v>816409345</v>
      </c>
      <c r="GG352">
        <v>1</v>
      </c>
      <c r="GH352">
        <v>1</v>
      </c>
      <c r="GI352">
        <v>4</v>
      </c>
      <c r="GJ352">
        <v>0</v>
      </c>
      <c r="GK352">
        <f>ROUND(R352*(R12)/100,2)</f>
        <v>0</v>
      </c>
      <c r="GL352">
        <f t="shared" ref="GL352:GL388" si="310">ROUND(IF(AND(BH352=3,BI352=3,FS352&lt;&gt;0),P352,0),2)</f>
        <v>0</v>
      </c>
      <c r="GM352">
        <f t="shared" ref="GM352:GM388" si="311">ROUND(O352+X352+Y352+GK352,2)+GX352</f>
        <v>3717.29</v>
      </c>
      <c r="GN352">
        <f t="shared" ref="GN352:GN388" si="312">IF(OR(BI352=0,BI352=1),ROUND(O352+X352+Y352+GK352,2),0)</f>
        <v>0</v>
      </c>
      <c r="GO352">
        <f t="shared" ref="GO352:GO388" si="313">IF(BI352=2,ROUND(O352+X352+Y352+GK352,2),0)</f>
        <v>3717.29</v>
      </c>
      <c r="GP352">
        <f t="shared" ref="GP352:GP388" si="314">IF(BI352=4,ROUND(O352+X352+Y352+GK352,2)+GX352,0)</f>
        <v>0</v>
      </c>
      <c r="GR352">
        <v>0</v>
      </c>
      <c r="GS352">
        <v>3</v>
      </c>
      <c r="GT352">
        <v>0</v>
      </c>
      <c r="GU352" t="s">
        <v>6</v>
      </c>
      <c r="GV352">
        <f t="shared" ref="GV352:GV388" si="315">ROUND(GT352,2)</f>
        <v>0</v>
      </c>
      <c r="GW352">
        <v>1</v>
      </c>
      <c r="GX352">
        <f t="shared" ref="GX352:GX388" si="316">ROUND(GV352*GW352*I352,2)</f>
        <v>0</v>
      </c>
      <c r="HA352">
        <v>0</v>
      </c>
      <c r="HB352">
        <v>0</v>
      </c>
      <c r="IK352">
        <v>0</v>
      </c>
    </row>
    <row r="353" spans="1:245" x14ac:dyDescent="0.2">
      <c r="A353">
        <v>18</v>
      </c>
      <c r="B353">
        <v>1</v>
      </c>
      <c r="C353">
        <v>471</v>
      </c>
      <c r="E353" t="s">
        <v>713</v>
      </c>
      <c r="F353" t="s">
        <v>714</v>
      </c>
      <c r="G353" t="s">
        <v>715</v>
      </c>
      <c r="H353" t="s">
        <v>34</v>
      </c>
      <c r="I353">
        <f>I352*J353</f>
        <v>0.95</v>
      </c>
      <c r="J353">
        <v>1</v>
      </c>
      <c r="O353">
        <f t="shared" si="278"/>
        <v>8475.52</v>
      </c>
      <c r="P353">
        <f t="shared" si="279"/>
        <v>8475.52</v>
      </c>
      <c r="Q353">
        <f t="shared" si="280"/>
        <v>0</v>
      </c>
      <c r="R353">
        <f t="shared" si="281"/>
        <v>0</v>
      </c>
      <c r="S353">
        <f t="shared" si="282"/>
        <v>0</v>
      </c>
      <c r="T353">
        <f t="shared" si="283"/>
        <v>0</v>
      </c>
      <c r="U353">
        <f t="shared" si="284"/>
        <v>0</v>
      </c>
      <c r="V353">
        <f t="shared" si="285"/>
        <v>0</v>
      </c>
      <c r="W353">
        <f t="shared" si="286"/>
        <v>0</v>
      </c>
      <c r="X353">
        <f t="shared" si="287"/>
        <v>0</v>
      </c>
      <c r="Y353">
        <f t="shared" si="288"/>
        <v>0</v>
      </c>
      <c r="AA353">
        <v>16748969</v>
      </c>
      <c r="AB353">
        <f t="shared" si="289"/>
        <v>1360</v>
      </c>
      <c r="AC353">
        <f t="shared" si="290"/>
        <v>1360</v>
      </c>
      <c r="AD353">
        <f t="shared" si="291"/>
        <v>0</v>
      </c>
      <c r="AE353">
        <f t="shared" si="292"/>
        <v>0</v>
      </c>
      <c r="AF353">
        <f t="shared" si="293"/>
        <v>0</v>
      </c>
      <c r="AG353">
        <f t="shared" si="294"/>
        <v>0</v>
      </c>
      <c r="AH353">
        <f t="shared" si="295"/>
        <v>0</v>
      </c>
      <c r="AI353">
        <f t="shared" si="296"/>
        <v>0</v>
      </c>
      <c r="AJ353">
        <f t="shared" si="297"/>
        <v>0</v>
      </c>
      <c r="AK353">
        <v>1360</v>
      </c>
      <c r="AL353">
        <v>1360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  <c r="AS353">
        <v>0</v>
      </c>
      <c r="AT353">
        <v>95</v>
      </c>
      <c r="AU353">
        <v>65</v>
      </c>
      <c r="AV353">
        <v>1</v>
      </c>
      <c r="AW353">
        <v>1</v>
      </c>
      <c r="AZ353">
        <v>6.56</v>
      </c>
      <c r="BA353">
        <v>1</v>
      </c>
      <c r="BB353">
        <v>1</v>
      </c>
      <c r="BC353">
        <v>6.56</v>
      </c>
      <c r="BD353" t="s">
        <v>6</v>
      </c>
      <c r="BE353" t="s">
        <v>6</v>
      </c>
      <c r="BF353" t="s">
        <v>6</v>
      </c>
      <c r="BG353" t="s">
        <v>6</v>
      </c>
      <c r="BH353">
        <v>3</v>
      </c>
      <c r="BI353">
        <v>2</v>
      </c>
      <c r="BJ353" t="s">
        <v>716</v>
      </c>
      <c r="BM353">
        <v>108001</v>
      </c>
      <c r="BN353">
        <v>0</v>
      </c>
      <c r="BO353" t="s">
        <v>6</v>
      </c>
      <c r="BP353">
        <v>0</v>
      </c>
      <c r="BQ353">
        <v>3</v>
      </c>
      <c r="BR353">
        <v>0</v>
      </c>
      <c r="BS353">
        <v>1</v>
      </c>
      <c r="BT353">
        <v>1</v>
      </c>
      <c r="BU353">
        <v>1</v>
      </c>
      <c r="BV353">
        <v>1</v>
      </c>
      <c r="BW353">
        <v>1</v>
      </c>
      <c r="BX353">
        <v>1</v>
      </c>
      <c r="BY353" t="s">
        <v>6</v>
      </c>
      <c r="BZ353">
        <v>95</v>
      </c>
      <c r="CA353">
        <v>65</v>
      </c>
      <c r="CF353">
        <v>0</v>
      </c>
      <c r="CG353">
        <v>0</v>
      </c>
      <c r="CM353">
        <v>0</v>
      </c>
      <c r="CN353" t="s">
        <v>6</v>
      </c>
      <c r="CO353">
        <v>0</v>
      </c>
      <c r="CP353">
        <f t="shared" si="298"/>
        <v>8475.52</v>
      </c>
      <c r="CQ353">
        <f t="shared" si="299"/>
        <v>8921.6</v>
      </c>
      <c r="CR353">
        <f t="shared" si="300"/>
        <v>0</v>
      </c>
      <c r="CS353">
        <f t="shared" si="301"/>
        <v>0</v>
      </c>
      <c r="CT353">
        <f t="shared" si="302"/>
        <v>0</v>
      </c>
      <c r="CU353">
        <f t="shared" si="303"/>
        <v>0</v>
      </c>
      <c r="CV353">
        <f t="shared" si="304"/>
        <v>0</v>
      </c>
      <c r="CW353">
        <f t="shared" si="305"/>
        <v>0</v>
      </c>
      <c r="CX353">
        <f t="shared" si="306"/>
        <v>0</v>
      </c>
      <c r="CY353">
        <f t="shared" si="307"/>
        <v>0</v>
      </c>
      <c r="CZ353">
        <f t="shared" si="308"/>
        <v>0</v>
      </c>
      <c r="DC353" t="s">
        <v>6</v>
      </c>
      <c r="DD353" t="s">
        <v>6</v>
      </c>
      <c r="DE353" t="s">
        <v>6</v>
      </c>
      <c r="DF353" t="s">
        <v>6</v>
      </c>
      <c r="DG353" t="s">
        <v>6</v>
      </c>
      <c r="DH353" t="s">
        <v>6</v>
      </c>
      <c r="DI353" t="s">
        <v>6</v>
      </c>
      <c r="DJ353" t="s">
        <v>6</v>
      </c>
      <c r="DK353" t="s">
        <v>6</v>
      </c>
      <c r="DL353" t="s">
        <v>6</v>
      </c>
      <c r="DM353" t="s">
        <v>6</v>
      </c>
      <c r="DN353">
        <v>0</v>
      </c>
      <c r="DO353">
        <v>0</v>
      </c>
      <c r="DP353">
        <v>1</v>
      </c>
      <c r="DQ353">
        <v>1</v>
      </c>
      <c r="DU353">
        <v>1003</v>
      </c>
      <c r="DV353" t="s">
        <v>34</v>
      </c>
      <c r="DW353" t="s">
        <v>34</v>
      </c>
      <c r="DX353">
        <v>100</v>
      </c>
      <c r="EE353">
        <v>16510370</v>
      </c>
      <c r="EF353">
        <v>3</v>
      </c>
      <c r="EG353" t="s">
        <v>591</v>
      </c>
      <c r="EH353">
        <v>0</v>
      </c>
      <c r="EI353" t="s">
        <v>6</v>
      </c>
      <c r="EJ353">
        <v>2</v>
      </c>
      <c r="EK353">
        <v>108001</v>
      </c>
      <c r="EL353" t="s">
        <v>592</v>
      </c>
      <c r="EM353" t="s">
        <v>593</v>
      </c>
      <c r="EO353" t="s">
        <v>6</v>
      </c>
      <c r="EQ353">
        <v>0</v>
      </c>
      <c r="ER353">
        <v>1360</v>
      </c>
      <c r="ES353">
        <v>1360</v>
      </c>
      <c r="ET353">
        <v>0</v>
      </c>
      <c r="EU353">
        <v>0</v>
      </c>
      <c r="EV353">
        <v>0</v>
      </c>
      <c r="EW353">
        <v>0</v>
      </c>
      <c r="EX353">
        <v>0</v>
      </c>
      <c r="FQ353">
        <v>0</v>
      </c>
      <c r="FR353">
        <f t="shared" si="309"/>
        <v>0</v>
      </c>
      <c r="FS353">
        <v>0</v>
      </c>
      <c r="FX353">
        <v>95</v>
      </c>
      <c r="FY353">
        <v>65</v>
      </c>
      <c r="GA353" t="s">
        <v>6</v>
      </c>
      <c r="GD353">
        <v>0</v>
      </c>
      <c r="GF353">
        <v>-960028865</v>
      </c>
      <c r="GG353">
        <v>1</v>
      </c>
      <c r="GH353">
        <v>1</v>
      </c>
      <c r="GI353">
        <v>4</v>
      </c>
      <c r="GJ353">
        <v>0</v>
      </c>
      <c r="GK353">
        <f>ROUND(R353*(R12)/100,2)</f>
        <v>0</v>
      </c>
      <c r="GL353">
        <f t="shared" si="310"/>
        <v>0</v>
      </c>
      <c r="GM353">
        <f t="shared" si="311"/>
        <v>8475.52</v>
      </c>
      <c r="GN353">
        <f t="shared" si="312"/>
        <v>0</v>
      </c>
      <c r="GO353">
        <f t="shared" si="313"/>
        <v>8475.52</v>
      </c>
      <c r="GP353">
        <f t="shared" si="314"/>
        <v>0</v>
      </c>
      <c r="GR353">
        <v>0</v>
      </c>
      <c r="GS353">
        <v>3</v>
      </c>
      <c r="GT353">
        <v>0</v>
      </c>
      <c r="GU353" t="s">
        <v>6</v>
      </c>
      <c r="GV353">
        <f t="shared" si="315"/>
        <v>0</v>
      </c>
      <c r="GW353">
        <v>1</v>
      </c>
      <c r="GX353">
        <f t="shared" si="316"/>
        <v>0</v>
      </c>
      <c r="HA353">
        <v>0</v>
      </c>
      <c r="HB353">
        <v>0</v>
      </c>
      <c r="IK353">
        <v>0</v>
      </c>
    </row>
    <row r="354" spans="1:245" x14ac:dyDescent="0.2">
      <c r="A354">
        <v>17</v>
      </c>
      <c r="B354">
        <v>1</v>
      </c>
      <c r="C354">
        <f>ROW(SmtRes!A482)</f>
        <v>482</v>
      </c>
      <c r="D354">
        <f>ROW(EtalonRes!A450)</f>
        <v>450</v>
      </c>
      <c r="E354" t="s">
        <v>717</v>
      </c>
      <c r="F354" t="s">
        <v>718</v>
      </c>
      <c r="G354" t="s">
        <v>719</v>
      </c>
      <c r="H354" t="s">
        <v>46</v>
      </c>
      <c r="I354">
        <f>ROUND(112/100,9)</f>
        <v>1.1200000000000001</v>
      </c>
      <c r="J354">
        <v>0</v>
      </c>
      <c r="O354">
        <f t="shared" si="278"/>
        <v>3335.11</v>
      </c>
      <c r="P354">
        <f t="shared" si="279"/>
        <v>781.89</v>
      </c>
      <c r="Q354">
        <f t="shared" si="280"/>
        <v>34.31</v>
      </c>
      <c r="R354">
        <f t="shared" si="281"/>
        <v>4.7</v>
      </c>
      <c r="S354">
        <f t="shared" si="282"/>
        <v>2518.91</v>
      </c>
      <c r="T354">
        <f t="shared" si="283"/>
        <v>0</v>
      </c>
      <c r="U354">
        <f t="shared" si="284"/>
        <v>38.707200000000007</v>
      </c>
      <c r="V354">
        <f t="shared" si="285"/>
        <v>5.6000000000000008E-2</v>
      </c>
      <c r="W354">
        <f t="shared" si="286"/>
        <v>0</v>
      </c>
      <c r="X354">
        <f t="shared" si="287"/>
        <v>2397.4299999999998</v>
      </c>
      <c r="Y354">
        <f t="shared" si="288"/>
        <v>1640.35</v>
      </c>
      <c r="AA354">
        <v>16748969</v>
      </c>
      <c r="AB354">
        <f t="shared" si="289"/>
        <v>453.93</v>
      </c>
      <c r="AC354">
        <f t="shared" si="290"/>
        <v>106.42</v>
      </c>
      <c r="AD354">
        <f t="shared" si="291"/>
        <v>4.67</v>
      </c>
      <c r="AE354">
        <f t="shared" si="292"/>
        <v>0.64</v>
      </c>
      <c r="AF354">
        <f t="shared" si="293"/>
        <v>342.84</v>
      </c>
      <c r="AG354">
        <f t="shared" si="294"/>
        <v>0</v>
      </c>
      <c r="AH354">
        <f t="shared" si="295"/>
        <v>34.56</v>
      </c>
      <c r="AI354">
        <f t="shared" si="296"/>
        <v>0.05</v>
      </c>
      <c r="AJ354">
        <f t="shared" si="297"/>
        <v>0</v>
      </c>
      <c r="AK354">
        <v>453.93</v>
      </c>
      <c r="AL354">
        <v>106.42</v>
      </c>
      <c r="AM354">
        <v>4.67</v>
      </c>
      <c r="AN354">
        <v>0.64</v>
      </c>
      <c r="AO354">
        <v>342.84</v>
      </c>
      <c r="AP354">
        <v>0</v>
      </c>
      <c r="AQ354">
        <v>34.56</v>
      </c>
      <c r="AR354">
        <v>0.05</v>
      </c>
      <c r="AS354">
        <v>0</v>
      </c>
      <c r="AT354">
        <v>95</v>
      </c>
      <c r="AU354">
        <v>65</v>
      </c>
      <c r="AV354">
        <v>1</v>
      </c>
      <c r="AW354">
        <v>1</v>
      </c>
      <c r="AZ354">
        <v>6.56</v>
      </c>
      <c r="BA354">
        <v>6.56</v>
      </c>
      <c r="BB354">
        <v>6.56</v>
      </c>
      <c r="BC354">
        <v>6.56</v>
      </c>
      <c r="BD354" t="s">
        <v>6</v>
      </c>
      <c r="BE354" t="s">
        <v>6</v>
      </c>
      <c r="BF354" t="s">
        <v>6</v>
      </c>
      <c r="BG354" t="s">
        <v>6</v>
      </c>
      <c r="BH354">
        <v>0</v>
      </c>
      <c r="BI354">
        <v>2</v>
      </c>
      <c r="BJ354" t="s">
        <v>720</v>
      </c>
      <c r="BM354">
        <v>108001</v>
      </c>
      <c r="BN354">
        <v>0</v>
      </c>
      <c r="BO354" t="s">
        <v>6</v>
      </c>
      <c r="BP354">
        <v>0</v>
      </c>
      <c r="BQ354">
        <v>3</v>
      </c>
      <c r="BR354">
        <v>0</v>
      </c>
      <c r="BS354">
        <v>6.56</v>
      </c>
      <c r="BT354">
        <v>1</v>
      </c>
      <c r="BU354">
        <v>1</v>
      </c>
      <c r="BV354">
        <v>1</v>
      </c>
      <c r="BW354">
        <v>1</v>
      </c>
      <c r="BX354">
        <v>1</v>
      </c>
      <c r="BY354" t="s">
        <v>6</v>
      </c>
      <c r="BZ354">
        <v>95</v>
      </c>
      <c r="CA354">
        <v>65</v>
      </c>
      <c r="CF354">
        <v>0</v>
      </c>
      <c r="CG354">
        <v>0</v>
      </c>
      <c r="CM354">
        <v>0</v>
      </c>
      <c r="CN354" t="s">
        <v>6</v>
      </c>
      <c r="CO354">
        <v>0</v>
      </c>
      <c r="CP354">
        <f t="shared" si="298"/>
        <v>3335.1099999999997</v>
      </c>
      <c r="CQ354">
        <f t="shared" si="299"/>
        <v>698.11519999999996</v>
      </c>
      <c r="CR354">
        <f t="shared" si="300"/>
        <v>30.635199999999998</v>
      </c>
      <c r="CS354">
        <f t="shared" si="301"/>
        <v>4.1983999999999995</v>
      </c>
      <c r="CT354">
        <f t="shared" si="302"/>
        <v>2249.0303999999996</v>
      </c>
      <c r="CU354">
        <f t="shared" si="303"/>
        <v>0</v>
      </c>
      <c r="CV354">
        <f t="shared" si="304"/>
        <v>34.56</v>
      </c>
      <c r="CW354">
        <f t="shared" si="305"/>
        <v>0.05</v>
      </c>
      <c r="CX354">
        <f t="shared" si="306"/>
        <v>0</v>
      </c>
      <c r="CY354">
        <f t="shared" si="307"/>
        <v>2397.4294999999997</v>
      </c>
      <c r="CZ354">
        <f t="shared" si="308"/>
        <v>1640.3464999999997</v>
      </c>
      <c r="DC354" t="s">
        <v>6</v>
      </c>
      <c r="DD354" t="s">
        <v>6</v>
      </c>
      <c r="DE354" t="s">
        <v>6</v>
      </c>
      <c r="DF354" t="s">
        <v>6</v>
      </c>
      <c r="DG354" t="s">
        <v>6</v>
      </c>
      <c r="DH354" t="s">
        <v>6</v>
      </c>
      <c r="DI354" t="s">
        <v>6</v>
      </c>
      <c r="DJ354" t="s">
        <v>6</v>
      </c>
      <c r="DK354" t="s">
        <v>6</v>
      </c>
      <c r="DL354" t="s">
        <v>6</v>
      </c>
      <c r="DM354" t="s">
        <v>6</v>
      </c>
      <c r="DN354">
        <v>0</v>
      </c>
      <c r="DO354">
        <v>0</v>
      </c>
      <c r="DP354">
        <v>1</v>
      </c>
      <c r="DQ354">
        <v>1</v>
      </c>
      <c r="DU354">
        <v>1013</v>
      </c>
      <c r="DV354" t="s">
        <v>46</v>
      </c>
      <c r="DW354" t="s">
        <v>46</v>
      </c>
      <c r="DX354">
        <v>1</v>
      </c>
      <c r="EE354">
        <v>16510370</v>
      </c>
      <c r="EF354">
        <v>3</v>
      </c>
      <c r="EG354" t="s">
        <v>591</v>
      </c>
      <c r="EH354">
        <v>0</v>
      </c>
      <c r="EI354" t="s">
        <v>6</v>
      </c>
      <c r="EJ354">
        <v>2</v>
      </c>
      <c r="EK354">
        <v>108001</v>
      </c>
      <c r="EL354" t="s">
        <v>592</v>
      </c>
      <c r="EM354" t="s">
        <v>593</v>
      </c>
      <c r="EO354" t="s">
        <v>6</v>
      </c>
      <c r="EQ354">
        <v>131072</v>
      </c>
      <c r="ER354">
        <v>453.93</v>
      </c>
      <c r="ES354">
        <v>106.42</v>
      </c>
      <c r="ET354">
        <v>4.67</v>
      </c>
      <c r="EU354">
        <v>0.64</v>
      </c>
      <c r="EV354">
        <v>342.84</v>
      </c>
      <c r="EW354">
        <v>34.56</v>
      </c>
      <c r="EX354">
        <v>0.05</v>
      </c>
      <c r="EY354">
        <v>0</v>
      </c>
      <c r="FQ354">
        <v>0</v>
      </c>
      <c r="FR354">
        <f t="shared" si="309"/>
        <v>0</v>
      </c>
      <c r="FS354">
        <v>0</v>
      </c>
      <c r="FX354">
        <v>95</v>
      </c>
      <c r="FY354">
        <v>65</v>
      </c>
      <c r="GA354" t="s">
        <v>6</v>
      </c>
      <c r="GD354">
        <v>0</v>
      </c>
      <c r="GF354">
        <v>1188648583</v>
      </c>
      <c r="GG354">
        <v>1</v>
      </c>
      <c r="GH354">
        <v>1</v>
      </c>
      <c r="GI354">
        <v>4</v>
      </c>
      <c r="GJ354">
        <v>0</v>
      </c>
      <c r="GK354">
        <f>ROUND(R354*(R12)/100,2)</f>
        <v>0</v>
      </c>
      <c r="GL354">
        <f t="shared" si="310"/>
        <v>0</v>
      </c>
      <c r="GM354">
        <f t="shared" si="311"/>
        <v>7372.89</v>
      </c>
      <c r="GN354">
        <f t="shared" si="312"/>
        <v>0</v>
      </c>
      <c r="GO354">
        <f t="shared" si="313"/>
        <v>7372.89</v>
      </c>
      <c r="GP354">
        <f t="shared" si="314"/>
        <v>0</v>
      </c>
      <c r="GR354">
        <v>0</v>
      </c>
      <c r="GS354">
        <v>3</v>
      </c>
      <c r="GT354">
        <v>0</v>
      </c>
      <c r="GU354" t="s">
        <v>6</v>
      </c>
      <c r="GV354">
        <f t="shared" si="315"/>
        <v>0</v>
      </c>
      <c r="GW354">
        <v>1</v>
      </c>
      <c r="GX354">
        <f t="shared" si="316"/>
        <v>0</v>
      </c>
      <c r="HA354">
        <v>0</v>
      </c>
      <c r="HB354">
        <v>0</v>
      </c>
      <c r="IK354">
        <v>0</v>
      </c>
    </row>
    <row r="355" spans="1:245" x14ac:dyDescent="0.2">
      <c r="A355">
        <v>18</v>
      </c>
      <c r="B355">
        <v>1</v>
      </c>
      <c r="C355">
        <v>481</v>
      </c>
      <c r="E355" t="s">
        <v>721</v>
      </c>
      <c r="F355" t="s">
        <v>722</v>
      </c>
      <c r="G355" t="s">
        <v>723</v>
      </c>
      <c r="H355" t="s">
        <v>724</v>
      </c>
      <c r="I355">
        <f>I354*J355</f>
        <v>1.1200000000000001</v>
      </c>
      <c r="J355">
        <v>1</v>
      </c>
      <c r="O355">
        <f t="shared" si="278"/>
        <v>4239.33</v>
      </c>
      <c r="P355">
        <f t="shared" si="279"/>
        <v>4239.33</v>
      </c>
      <c r="Q355">
        <f t="shared" si="280"/>
        <v>0</v>
      </c>
      <c r="R355">
        <f t="shared" si="281"/>
        <v>0</v>
      </c>
      <c r="S355">
        <f t="shared" si="282"/>
        <v>0</v>
      </c>
      <c r="T355">
        <f t="shared" si="283"/>
        <v>0</v>
      </c>
      <c r="U355">
        <f t="shared" si="284"/>
        <v>0</v>
      </c>
      <c r="V355">
        <f t="shared" si="285"/>
        <v>0</v>
      </c>
      <c r="W355">
        <f t="shared" si="286"/>
        <v>0</v>
      </c>
      <c r="X355">
        <f t="shared" si="287"/>
        <v>0</v>
      </c>
      <c r="Y355">
        <f t="shared" si="288"/>
        <v>0</v>
      </c>
      <c r="AA355">
        <v>16748969</v>
      </c>
      <c r="AB355">
        <f t="shared" si="289"/>
        <v>577</v>
      </c>
      <c r="AC355">
        <f t="shared" si="290"/>
        <v>577</v>
      </c>
      <c r="AD355">
        <f t="shared" si="291"/>
        <v>0</v>
      </c>
      <c r="AE355">
        <f t="shared" si="292"/>
        <v>0</v>
      </c>
      <c r="AF355">
        <f t="shared" si="293"/>
        <v>0</v>
      </c>
      <c r="AG355">
        <f t="shared" si="294"/>
        <v>0</v>
      </c>
      <c r="AH355">
        <f t="shared" si="295"/>
        <v>0</v>
      </c>
      <c r="AI355">
        <f t="shared" si="296"/>
        <v>0</v>
      </c>
      <c r="AJ355">
        <f t="shared" si="297"/>
        <v>0</v>
      </c>
      <c r="AK355">
        <v>577</v>
      </c>
      <c r="AL355">
        <v>577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  <c r="AS355">
        <v>0</v>
      </c>
      <c r="AT355">
        <v>95</v>
      </c>
      <c r="AU355">
        <v>65</v>
      </c>
      <c r="AV355">
        <v>1</v>
      </c>
      <c r="AW355">
        <v>1</v>
      </c>
      <c r="AZ355">
        <v>6.56</v>
      </c>
      <c r="BA355">
        <v>1</v>
      </c>
      <c r="BB355">
        <v>1</v>
      </c>
      <c r="BC355">
        <v>6.56</v>
      </c>
      <c r="BD355" t="s">
        <v>6</v>
      </c>
      <c r="BE355" t="s">
        <v>6</v>
      </c>
      <c r="BF355" t="s">
        <v>6</v>
      </c>
      <c r="BG355" t="s">
        <v>6</v>
      </c>
      <c r="BH355">
        <v>3</v>
      </c>
      <c r="BI355">
        <v>2</v>
      </c>
      <c r="BJ355" t="s">
        <v>725</v>
      </c>
      <c r="BM355">
        <v>108001</v>
      </c>
      <c r="BN355">
        <v>0</v>
      </c>
      <c r="BO355" t="s">
        <v>6</v>
      </c>
      <c r="BP355">
        <v>0</v>
      </c>
      <c r="BQ355">
        <v>3</v>
      </c>
      <c r="BR355">
        <v>0</v>
      </c>
      <c r="BS355">
        <v>1</v>
      </c>
      <c r="BT355">
        <v>1</v>
      </c>
      <c r="BU355">
        <v>1</v>
      </c>
      <c r="BV355">
        <v>1</v>
      </c>
      <c r="BW355">
        <v>1</v>
      </c>
      <c r="BX355">
        <v>1</v>
      </c>
      <c r="BY355" t="s">
        <v>6</v>
      </c>
      <c r="BZ355">
        <v>95</v>
      </c>
      <c r="CA355">
        <v>65</v>
      </c>
      <c r="CF355">
        <v>0</v>
      </c>
      <c r="CG355">
        <v>0</v>
      </c>
      <c r="CM355">
        <v>0</v>
      </c>
      <c r="CN355" t="s">
        <v>6</v>
      </c>
      <c r="CO355">
        <v>0</v>
      </c>
      <c r="CP355">
        <f t="shared" si="298"/>
        <v>4239.33</v>
      </c>
      <c r="CQ355">
        <f t="shared" si="299"/>
        <v>3785.12</v>
      </c>
      <c r="CR355">
        <f t="shared" si="300"/>
        <v>0</v>
      </c>
      <c r="CS355">
        <f t="shared" si="301"/>
        <v>0</v>
      </c>
      <c r="CT355">
        <f t="shared" si="302"/>
        <v>0</v>
      </c>
      <c r="CU355">
        <f t="shared" si="303"/>
        <v>0</v>
      </c>
      <c r="CV355">
        <f t="shared" si="304"/>
        <v>0</v>
      </c>
      <c r="CW355">
        <f t="shared" si="305"/>
        <v>0</v>
      </c>
      <c r="CX355">
        <f t="shared" si="306"/>
        <v>0</v>
      </c>
      <c r="CY355">
        <f t="shared" si="307"/>
        <v>0</v>
      </c>
      <c r="CZ355">
        <f t="shared" si="308"/>
        <v>0</v>
      </c>
      <c r="DC355" t="s">
        <v>6</v>
      </c>
      <c r="DD355" t="s">
        <v>6</v>
      </c>
      <c r="DE355" t="s">
        <v>6</v>
      </c>
      <c r="DF355" t="s">
        <v>6</v>
      </c>
      <c r="DG355" t="s">
        <v>6</v>
      </c>
      <c r="DH355" t="s">
        <v>6</v>
      </c>
      <c r="DI355" t="s">
        <v>6</v>
      </c>
      <c r="DJ355" t="s">
        <v>6</v>
      </c>
      <c r="DK355" t="s">
        <v>6</v>
      </c>
      <c r="DL355" t="s">
        <v>6</v>
      </c>
      <c r="DM355" t="s">
        <v>6</v>
      </c>
      <c r="DN355">
        <v>0</v>
      </c>
      <c r="DO355">
        <v>0</v>
      </c>
      <c r="DP355">
        <v>1</v>
      </c>
      <c r="DQ355">
        <v>1</v>
      </c>
      <c r="DU355">
        <v>1010</v>
      </c>
      <c r="DV355" t="s">
        <v>724</v>
      </c>
      <c r="DW355" t="s">
        <v>724</v>
      </c>
      <c r="DX355">
        <v>100</v>
      </c>
      <c r="EE355">
        <v>16510370</v>
      </c>
      <c r="EF355">
        <v>3</v>
      </c>
      <c r="EG355" t="s">
        <v>591</v>
      </c>
      <c r="EH355">
        <v>0</v>
      </c>
      <c r="EI355" t="s">
        <v>6</v>
      </c>
      <c r="EJ355">
        <v>2</v>
      </c>
      <c r="EK355">
        <v>108001</v>
      </c>
      <c r="EL355" t="s">
        <v>592</v>
      </c>
      <c r="EM355" t="s">
        <v>593</v>
      </c>
      <c r="EO355" t="s">
        <v>6</v>
      </c>
      <c r="EQ355">
        <v>0</v>
      </c>
      <c r="ER355">
        <v>577</v>
      </c>
      <c r="ES355">
        <v>577</v>
      </c>
      <c r="ET355">
        <v>0</v>
      </c>
      <c r="EU355">
        <v>0</v>
      </c>
      <c r="EV355">
        <v>0</v>
      </c>
      <c r="EW355">
        <v>0</v>
      </c>
      <c r="EX355">
        <v>0</v>
      </c>
      <c r="FQ355">
        <v>0</v>
      </c>
      <c r="FR355">
        <f t="shared" si="309"/>
        <v>0</v>
      </c>
      <c r="FS355">
        <v>0</v>
      </c>
      <c r="FX355">
        <v>95</v>
      </c>
      <c r="FY355">
        <v>65</v>
      </c>
      <c r="GA355" t="s">
        <v>6</v>
      </c>
      <c r="GD355">
        <v>0</v>
      </c>
      <c r="GF355">
        <v>833885235</v>
      </c>
      <c r="GG355">
        <v>1</v>
      </c>
      <c r="GH355">
        <v>1</v>
      </c>
      <c r="GI355">
        <v>4</v>
      </c>
      <c r="GJ355">
        <v>0</v>
      </c>
      <c r="GK355">
        <f>ROUND(R355*(R12)/100,2)</f>
        <v>0</v>
      </c>
      <c r="GL355">
        <f t="shared" si="310"/>
        <v>0</v>
      </c>
      <c r="GM355">
        <f t="shared" si="311"/>
        <v>4239.33</v>
      </c>
      <c r="GN355">
        <f t="shared" si="312"/>
        <v>0</v>
      </c>
      <c r="GO355">
        <f t="shared" si="313"/>
        <v>4239.33</v>
      </c>
      <c r="GP355">
        <f t="shared" si="314"/>
        <v>0</v>
      </c>
      <c r="GR355">
        <v>0</v>
      </c>
      <c r="GS355">
        <v>3</v>
      </c>
      <c r="GT355">
        <v>0</v>
      </c>
      <c r="GU355" t="s">
        <v>6</v>
      </c>
      <c r="GV355">
        <f t="shared" si="315"/>
        <v>0</v>
      </c>
      <c r="GW355">
        <v>1</v>
      </c>
      <c r="GX355">
        <f t="shared" si="316"/>
        <v>0</v>
      </c>
      <c r="HA355">
        <v>0</v>
      </c>
      <c r="HB355">
        <v>0</v>
      </c>
      <c r="IK355">
        <v>0</v>
      </c>
    </row>
    <row r="356" spans="1:245" x14ac:dyDescent="0.2">
      <c r="A356">
        <v>17</v>
      </c>
      <c r="B356">
        <v>1</v>
      </c>
      <c r="C356">
        <f>ROW(SmtRes!A493)</f>
        <v>493</v>
      </c>
      <c r="D356">
        <f>ROW(EtalonRes!A460)</f>
        <v>460</v>
      </c>
      <c r="E356" t="s">
        <v>726</v>
      </c>
      <c r="F356" t="s">
        <v>727</v>
      </c>
      <c r="G356" t="s">
        <v>728</v>
      </c>
      <c r="H356" t="s">
        <v>46</v>
      </c>
      <c r="I356">
        <f>ROUND(1/100,9)</f>
        <v>0.01</v>
      </c>
      <c r="J356">
        <v>0</v>
      </c>
      <c r="O356">
        <f t="shared" si="278"/>
        <v>50.54</v>
      </c>
      <c r="P356">
        <f t="shared" si="279"/>
        <v>8.41</v>
      </c>
      <c r="Q356">
        <f t="shared" si="280"/>
        <v>2.5099999999999998</v>
      </c>
      <c r="R356">
        <f t="shared" si="281"/>
        <v>0.13</v>
      </c>
      <c r="S356">
        <f t="shared" si="282"/>
        <v>39.619999999999997</v>
      </c>
      <c r="T356">
        <f t="shared" si="283"/>
        <v>0</v>
      </c>
      <c r="U356">
        <f t="shared" si="284"/>
        <v>0.60880000000000001</v>
      </c>
      <c r="V356">
        <f t="shared" si="285"/>
        <v>1.6000000000000001E-3</v>
      </c>
      <c r="W356">
        <f t="shared" si="286"/>
        <v>0</v>
      </c>
      <c r="X356">
        <f t="shared" si="287"/>
        <v>37.76</v>
      </c>
      <c r="Y356">
        <f t="shared" si="288"/>
        <v>25.84</v>
      </c>
      <c r="AA356">
        <v>16748969</v>
      </c>
      <c r="AB356">
        <f t="shared" si="289"/>
        <v>770.35</v>
      </c>
      <c r="AC356">
        <f t="shared" si="290"/>
        <v>128.13999999999999</v>
      </c>
      <c r="AD356">
        <f t="shared" si="291"/>
        <v>38.28</v>
      </c>
      <c r="AE356">
        <f t="shared" si="292"/>
        <v>2.0099999999999998</v>
      </c>
      <c r="AF356">
        <f t="shared" si="293"/>
        <v>603.92999999999995</v>
      </c>
      <c r="AG356">
        <f t="shared" si="294"/>
        <v>0</v>
      </c>
      <c r="AH356">
        <f t="shared" si="295"/>
        <v>60.88</v>
      </c>
      <c r="AI356">
        <f t="shared" si="296"/>
        <v>0.16</v>
      </c>
      <c r="AJ356">
        <f t="shared" si="297"/>
        <v>0</v>
      </c>
      <c r="AK356">
        <v>770.35</v>
      </c>
      <c r="AL356">
        <v>128.13999999999999</v>
      </c>
      <c r="AM356">
        <v>38.28</v>
      </c>
      <c r="AN356">
        <v>2.0099999999999998</v>
      </c>
      <c r="AO356">
        <v>603.92999999999995</v>
      </c>
      <c r="AP356">
        <v>0</v>
      </c>
      <c r="AQ356">
        <v>60.88</v>
      </c>
      <c r="AR356">
        <v>0.16</v>
      </c>
      <c r="AS356">
        <v>0</v>
      </c>
      <c r="AT356">
        <v>95</v>
      </c>
      <c r="AU356">
        <v>65</v>
      </c>
      <c r="AV356">
        <v>1</v>
      </c>
      <c r="AW356">
        <v>1</v>
      </c>
      <c r="AZ356">
        <v>6.56</v>
      </c>
      <c r="BA356">
        <v>6.56</v>
      </c>
      <c r="BB356">
        <v>6.56</v>
      </c>
      <c r="BC356">
        <v>6.56</v>
      </c>
      <c r="BD356" t="s">
        <v>6</v>
      </c>
      <c r="BE356" t="s">
        <v>6</v>
      </c>
      <c r="BF356" t="s">
        <v>6</v>
      </c>
      <c r="BG356" t="s">
        <v>6</v>
      </c>
      <c r="BH356">
        <v>0</v>
      </c>
      <c r="BI356">
        <v>2</v>
      </c>
      <c r="BJ356" t="s">
        <v>729</v>
      </c>
      <c r="BM356">
        <v>108001</v>
      </c>
      <c r="BN356">
        <v>0</v>
      </c>
      <c r="BO356" t="s">
        <v>6</v>
      </c>
      <c r="BP356">
        <v>0</v>
      </c>
      <c r="BQ356">
        <v>3</v>
      </c>
      <c r="BR356">
        <v>0</v>
      </c>
      <c r="BS356">
        <v>6.56</v>
      </c>
      <c r="BT356">
        <v>1</v>
      </c>
      <c r="BU356">
        <v>1</v>
      </c>
      <c r="BV356">
        <v>1</v>
      </c>
      <c r="BW356">
        <v>1</v>
      </c>
      <c r="BX356">
        <v>1</v>
      </c>
      <c r="BY356" t="s">
        <v>6</v>
      </c>
      <c r="BZ356">
        <v>95</v>
      </c>
      <c r="CA356">
        <v>65</v>
      </c>
      <c r="CF356">
        <v>0</v>
      </c>
      <c r="CG356">
        <v>0</v>
      </c>
      <c r="CM356">
        <v>0</v>
      </c>
      <c r="CN356" t="s">
        <v>6</v>
      </c>
      <c r="CO356">
        <v>0</v>
      </c>
      <c r="CP356">
        <f t="shared" si="298"/>
        <v>50.54</v>
      </c>
      <c r="CQ356">
        <f t="shared" si="299"/>
        <v>840.59839999999986</v>
      </c>
      <c r="CR356">
        <f t="shared" si="300"/>
        <v>251.11679999999998</v>
      </c>
      <c r="CS356">
        <f t="shared" si="301"/>
        <v>13.185599999999997</v>
      </c>
      <c r="CT356">
        <f t="shared" si="302"/>
        <v>3961.7807999999995</v>
      </c>
      <c r="CU356">
        <f t="shared" si="303"/>
        <v>0</v>
      </c>
      <c r="CV356">
        <f t="shared" si="304"/>
        <v>60.88</v>
      </c>
      <c r="CW356">
        <f t="shared" si="305"/>
        <v>0.16</v>
      </c>
      <c r="CX356">
        <f t="shared" si="306"/>
        <v>0</v>
      </c>
      <c r="CY356">
        <f t="shared" si="307"/>
        <v>37.762500000000003</v>
      </c>
      <c r="CZ356">
        <f t="shared" si="308"/>
        <v>25.837499999999999</v>
      </c>
      <c r="DC356" t="s">
        <v>6</v>
      </c>
      <c r="DD356" t="s">
        <v>6</v>
      </c>
      <c r="DE356" t="s">
        <v>6</v>
      </c>
      <c r="DF356" t="s">
        <v>6</v>
      </c>
      <c r="DG356" t="s">
        <v>6</v>
      </c>
      <c r="DH356" t="s">
        <v>6</v>
      </c>
      <c r="DI356" t="s">
        <v>6</v>
      </c>
      <c r="DJ356" t="s">
        <v>6</v>
      </c>
      <c r="DK356" t="s">
        <v>6</v>
      </c>
      <c r="DL356" t="s">
        <v>6</v>
      </c>
      <c r="DM356" t="s">
        <v>6</v>
      </c>
      <c r="DN356">
        <v>0</v>
      </c>
      <c r="DO356">
        <v>0</v>
      </c>
      <c r="DP356">
        <v>1</v>
      </c>
      <c r="DQ356">
        <v>1</v>
      </c>
      <c r="DU356">
        <v>1013</v>
      </c>
      <c r="DV356" t="s">
        <v>46</v>
      </c>
      <c r="DW356" t="s">
        <v>46</v>
      </c>
      <c r="DX356">
        <v>1</v>
      </c>
      <c r="EE356">
        <v>16510370</v>
      </c>
      <c r="EF356">
        <v>3</v>
      </c>
      <c r="EG356" t="s">
        <v>591</v>
      </c>
      <c r="EH356">
        <v>0</v>
      </c>
      <c r="EI356" t="s">
        <v>6</v>
      </c>
      <c r="EJ356">
        <v>2</v>
      </c>
      <c r="EK356">
        <v>108001</v>
      </c>
      <c r="EL356" t="s">
        <v>592</v>
      </c>
      <c r="EM356" t="s">
        <v>593</v>
      </c>
      <c r="EO356" t="s">
        <v>6</v>
      </c>
      <c r="EQ356">
        <v>131072</v>
      </c>
      <c r="ER356">
        <v>770.35</v>
      </c>
      <c r="ES356">
        <v>128.13999999999999</v>
      </c>
      <c r="ET356">
        <v>38.28</v>
      </c>
      <c r="EU356">
        <v>2.0099999999999998</v>
      </c>
      <c r="EV356">
        <v>603.92999999999995</v>
      </c>
      <c r="EW356">
        <v>60.88</v>
      </c>
      <c r="EX356">
        <v>0.16</v>
      </c>
      <c r="EY356">
        <v>0</v>
      </c>
      <c r="FQ356">
        <v>0</v>
      </c>
      <c r="FR356">
        <f t="shared" si="309"/>
        <v>0</v>
      </c>
      <c r="FS356">
        <v>0</v>
      </c>
      <c r="FX356">
        <v>95</v>
      </c>
      <c r="FY356">
        <v>65</v>
      </c>
      <c r="GA356" t="s">
        <v>6</v>
      </c>
      <c r="GD356">
        <v>0</v>
      </c>
      <c r="GF356">
        <v>1485613327</v>
      </c>
      <c r="GG356">
        <v>1</v>
      </c>
      <c r="GH356">
        <v>1</v>
      </c>
      <c r="GI356">
        <v>4</v>
      </c>
      <c r="GJ356">
        <v>0</v>
      </c>
      <c r="GK356">
        <f>ROUND(R356*(R12)/100,2)</f>
        <v>0</v>
      </c>
      <c r="GL356">
        <f t="shared" si="310"/>
        <v>0</v>
      </c>
      <c r="GM356">
        <f t="shared" si="311"/>
        <v>114.14</v>
      </c>
      <c r="GN356">
        <f t="shared" si="312"/>
        <v>0</v>
      </c>
      <c r="GO356">
        <f t="shared" si="313"/>
        <v>114.14</v>
      </c>
      <c r="GP356">
        <f t="shared" si="314"/>
        <v>0</v>
      </c>
      <c r="GR356">
        <v>0</v>
      </c>
      <c r="GS356">
        <v>3</v>
      </c>
      <c r="GT356">
        <v>0</v>
      </c>
      <c r="GU356" t="s">
        <v>6</v>
      </c>
      <c r="GV356">
        <f t="shared" si="315"/>
        <v>0</v>
      </c>
      <c r="GW356">
        <v>1</v>
      </c>
      <c r="GX356">
        <f t="shared" si="316"/>
        <v>0</v>
      </c>
      <c r="HA356">
        <v>0</v>
      </c>
      <c r="HB356">
        <v>0</v>
      </c>
      <c r="IK356">
        <v>0</v>
      </c>
    </row>
    <row r="357" spans="1:245" x14ac:dyDescent="0.2">
      <c r="A357">
        <v>18</v>
      </c>
      <c r="B357">
        <v>1</v>
      </c>
      <c r="C357">
        <v>492</v>
      </c>
      <c r="E357" t="s">
        <v>730</v>
      </c>
      <c r="F357" t="s">
        <v>731</v>
      </c>
      <c r="G357" t="s">
        <v>732</v>
      </c>
      <c r="H357" t="s">
        <v>724</v>
      </c>
      <c r="I357">
        <f>I356*J357</f>
        <v>0.01</v>
      </c>
      <c r="J357">
        <v>1</v>
      </c>
      <c r="O357">
        <f t="shared" si="278"/>
        <v>19.89</v>
      </c>
      <c r="P357">
        <f t="shared" si="279"/>
        <v>19.89</v>
      </c>
      <c r="Q357">
        <f t="shared" si="280"/>
        <v>0</v>
      </c>
      <c r="R357">
        <f t="shared" si="281"/>
        <v>0</v>
      </c>
      <c r="S357">
        <f t="shared" si="282"/>
        <v>0</v>
      </c>
      <c r="T357">
        <f t="shared" si="283"/>
        <v>0</v>
      </c>
      <c r="U357">
        <f t="shared" si="284"/>
        <v>0</v>
      </c>
      <c r="V357">
        <f t="shared" si="285"/>
        <v>0</v>
      </c>
      <c r="W357">
        <f t="shared" si="286"/>
        <v>0</v>
      </c>
      <c r="X357">
        <f t="shared" si="287"/>
        <v>0</v>
      </c>
      <c r="Y357">
        <f t="shared" si="288"/>
        <v>0</v>
      </c>
      <c r="AA357">
        <v>16748969</v>
      </c>
      <c r="AB357">
        <f t="shared" si="289"/>
        <v>303.13</v>
      </c>
      <c r="AC357">
        <f t="shared" si="290"/>
        <v>303.13</v>
      </c>
      <c r="AD357">
        <f t="shared" si="291"/>
        <v>0</v>
      </c>
      <c r="AE357">
        <f t="shared" si="292"/>
        <v>0</v>
      </c>
      <c r="AF357">
        <f t="shared" si="293"/>
        <v>0</v>
      </c>
      <c r="AG357">
        <f t="shared" si="294"/>
        <v>0</v>
      </c>
      <c r="AH357">
        <f t="shared" si="295"/>
        <v>0</v>
      </c>
      <c r="AI357">
        <f t="shared" si="296"/>
        <v>0</v>
      </c>
      <c r="AJ357">
        <f t="shared" si="297"/>
        <v>0</v>
      </c>
      <c r="AK357">
        <v>303.13</v>
      </c>
      <c r="AL357">
        <v>303.13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  <c r="AS357">
        <v>0</v>
      </c>
      <c r="AT357">
        <v>95</v>
      </c>
      <c r="AU357">
        <v>65</v>
      </c>
      <c r="AV357">
        <v>1</v>
      </c>
      <c r="AW357">
        <v>1</v>
      </c>
      <c r="AZ357">
        <v>6.56</v>
      </c>
      <c r="BA357">
        <v>1</v>
      </c>
      <c r="BB357">
        <v>1</v>
      </c>
      <c r="BC357">
        <v>6.56</v>
      </c>
      <c r="BD357" t="s">
        <v>6</v>
      </c>
      <c r="BE357" t="s">
        <v>6</v>
      </c>
      <c r="BF357" t="s">
        <v>6</v>
      </c>
      <c r="BG357" t="s">
        <v>6</v>
      </c>
      <c r="BH357">
        <v>3</v>
      </c>
      <c r="BI357">
        <v>2</v>
      </c>
      <c r="BJ357" t="s">
        <v>733</v>
      </c>
      <c r="BM357">
        <v>108001</v>
      </c>
      <c r="BN357">
        <v>0</v>
      </c>
      <c r="BO357" t="s">
        <v>6</v>
      </c>
      <c r="BP357">
        <v>0</v>
      </c>
      <c r="BQ357">
        <v>3</v>
      </c>
      <c r="BR357">
        <v>0</v>
      </c>
      <c r="BS357">
        <v>1</v>
      </c>
      <c r="BT357">
        <v>1</v>
      </c>
      <c r="BU357">
        <v>1</v>
      </c>
      <c r="BV357">
        <v>1</v>
      </c>
      <c r="BW357">
        <v>1</v>
      </c>
      <c r="BX357">
        <v>1</v>
      </c>
      <c r="BY357" t="s">
        <v>6</v>
      </c>
      <c r="BZ357">
        <v>95</v>
      </c>
      <c r="CA357">
        <v>65</v>
      </c>
      <c r="CF357">
        <v>0</v>
      </c>
      <c r="CG357">
        <v>0</v>
      </c>
      <c r="CM357">
        <v>0</v>
      </c>
      <c r="CN357" t="s">
        <v>6</v>
      </c>
      <c r="CO357">
        <v>0</v>
      </c>
      <c r="CP357">
        <f t="shared" si="298"/>
        <v>19.89</v>
      </c>
      <c r="CQ357">
        <f t="shared" si="299"/>
        <v>1988.5328</v>
      </c>
      <c r="CR357">
        <f t="shared" si="300"/>
        <v>0</v>
      </c>
      <c r="CS357">
        <f t="shared" si="301"/>
        <v>0</v>
      </c>
      <c r="CT357">
        <f t="shared" si="302"/>
        <v>0</v>
      </c>
      <c r="CU357">
        <f t="shared" si="303"/>
        <v>0</v>
      </c>
      <c r="CV357">
        <f t="shared" si="304"/>
        <v>0</v>
      </c>
      <c r="CW357">
        <f t="shared" si="305"/>
        <v>0</v>
      </c>
      <c r="CX357">
        <f t="shared" si="306"/>
        <v>0</v>
      </c>
      <c r="CY357">
        <f t="shared" si="307"/>
        <v>0</v>
      </c>
      <c r="CZ357">
        <f t="shared" si="308"/>
        <v>0</v>
      </c>
      <c r="DC357" t="s">
        <v>6</v>
      </c>
      <c r="DD357" t="s">
        <v>6</v>
      </c>
      <c r="DE357" t="s">
        <v>6</v>
      </c>
      <c r="DF357" t="s">
        <v>6</v>
      </c>
      <c r="DG357" t="s">
        <v>6</v>
      </c>
      <c r="DH357" t="s">
        <v>6</v>
      </c>
      <c r="DI357" t="s">
        <v>6</v>
      </c>
      <c r="DJ357" t="s">
        <v>6</v>
      </c>
      <c r="DK357" t="s">
        <v>6</v>
      </c>
      <c r="DL357" t="s">
        <v>6</v>
      </c>
      <c r="DM357" t="s">
        <v>6</v>
      </c>
      <c r="DN357">
        <v>0</v>
      </c>
      <c r="DO357">
        <v>0</v>
      </c>
      <c r="DP357">
        <v>1</v>
      </c>
      <c r="DQ357">
        <v>1</v>
      </c>
      <c r="DU357">
        <v>1010</v>
      </c>
      <c r="DV357" t="s">
        <v>724</v>
      </c>
      <c r="DW357" t="s">
        <v>724</v>
      </c>
      <c r="DX357">
        <v>100</v>
      </c>
      <c r="EE357">
        <v>16510370</v>
      </c>
      <c r="EF357">
        <v>3</v>
      </c>
      <c r="EG357" t="s">
        <v>591</v>
      </c>
      <c r="EH357">
        <v>0</v>
      </c>
      <c r="EI357" t="s">
        <v>6</v>
      </c>
      <c r="EJ357">
        <v>2</v>
      </c>
      <c r="EK357">
        <v>108001</v>
      </c>
      <c r="EL357" t="s">
        <v>592</v>
      </c>
      <c r="EM357" t="s">
        <v>593</v>
      </c>
      <c r="EO357" t="s">
        <v>6</v>
      </c>
      <c r="EQ357">
        <v>0</v>
      </c>
      <c r="ER357">
        <v>303.13</v>
      </c>
      <c r="ES357">
        <v>303.13</v>
      </c>
      <c r="ET357">
        <v>0</v>
      </c>
      <c r="EU357">
        <v>0</v>
      </c>
      <c r="EV357">
        <v>0</v>
      </c>
      <c r="EW357">
        <v>0</v>
      </c>
      <c r="EX357">
        <v>0</v>
      </c>
      <c r="FQ357">
        <v>0</v>
      </c>
      <c r="FR357">
        <f t="shared" si="309"/>
        <v>0</v>
      </c>
      <c r="FS357">
        <v>0</v>
      </c>
      <c r="FX357">
        <v>95</v>
      </c>
      <c r="FY357">
        <v>65</v>
      </c>
      <c r="GA357" t="s">
        <v>6</v>
      </c>
      <c r="GD357">
        <v>0</v>
      </c>
      <c r="GF357">
        <v>1844490983</v>
      </c>
      <c r="GG357">
        <v>1</v>
      </c>
      <c r="GH357">
        <v>1</v>
      </c>
      <c r="GI357">
        <v>4</v>
      </c>
      <c r="GJ357">
        <v>0</v>
      </c>
      <c r="GK357">
        <f>ROUND(R357*(R12)/100,2)</f>
        <v>0</v>
      </c>
      <c r="GL357">
        <f t="shared" si="310"/>
        <v>0</v>
      </c>
      <c r="GM357">
        <f t="shared" si="311"/>
        <v>19.89</v>
      </c>
      <c r="GN357">
        <f t="shared" si="312"/>
        <v>0</v>
      </c>
      <c r="GO357">
        <f t="shared" si="313"/>
        <v>19.89</v>
      </c>
      <c r="GP357">
        <f t="shared" si="314"/>
        <v>0</v>
      </c>
      <c r="GR357">
        <v>0</v>
      </c>
      <c r="GS357">
        <v>3</v>
      </c>
      <c r="GT357">
        <v>0</v>
      </c>
      <c r="GU357" t="s">
        <v>6</v>
      </c>
      <c r="GV357">
        <f t="shared" si="315"/>
        <v>0</v>
      </c>
      <c r="GW357">
        <v>1</v>
      </c>
      <c r="GX357">
        <f t="shared" si="316"/>
        <v>0</v>
      </c>
      <c r="HA357">
        <v>0</v>
      </c>
      <c r="HB357">
        <v>0</v>
      </c>
      <c r="IK357">
        <v>0</v>
      </c>
    </row>
    <row r="358" spans="1:245" x14ac:dyDescent="0.2">
      <c r="A358">
        <v>17</v>
      </c>
      <c r="B358">
        <v>1</v>
      </c>
      <c r="C358">
        <f>ROW(SmtRes!A502)</f>
        <v>502</v>
      </c>
      <c r="D358">
        <f>ROW(EtalonRes!A468)</f>
        <v>468</v>
      </c>
      <c r="E358" t="s">
        <v>734</v>
      </c>
      <c r="F358" t="s">
        <v>735</v>
      </c>
      <c r="G358" t="s">
        <v>736</v>
      </c>
      <c r="H358" t="s">
        <v>34</v>
      </c>
      <c r="I358">
        <f>ROUND(481/100,9)</f>
        <v>4.8099999999999996</v>
      </c>
      <c r="J358">
        <v>0</v>
      </c>
      <c r="O358">
        <f t="shared" si="278"/>
        <v>1600.4</v>
      </c>
      <c r="P358">
        <f t="shared" si="279"/>
        <v>429.13</v>
      </c>
      <c r="Q358">
        <f t="shared" si="280"/>
        <v>56.17</v>
      </c>
      <c r="R358">
        <f t="shared" si="281"/>
        <v>8.1999999999999993</v>
      </c>
      <c r="S358">
        <f t="shared" si="282"/>
        <v>1115.0999999999999</v>
      </c>
      <c r="T358">
        <f t="shared" si="283"/>
        <v>0</v>
      </c>
      <c r="U358">
        <f t="shared" si="284"/>
        <v>18.085599999999996</v>
      </c>
      <c r="V358">
        <f t="shared" si="285"/>
        <v>9.6199999999999994E-2</v>
      </c>
      <c r="W358">
        <f t="shared" si="286"/>
        <v>0</v>
      </c>
      <c r="X358">
        <f t="shared" si="287"/>
        <v>1067.1400000000001</v>
      </c>
      <c r="Y358">
        <f t="shared" si="288"/>
        <v>730.15</v>
      </c>
      <c r="AA358">
        <v>16748969</v>
      </c>
      <c r="AB358">
        <f t="shared" si="289"/>
        <v>50.72</v>
      </c>
      <c r="AC358">
        <f t="shared" si="290"/>
        <v>13.6</v>
      </c>
      <c r="AD358">
        <f t="shared" si="291"/>
        <v>1.78</v>
      </c>
      <c r="AE358">
        <f t="shared" si="292"/>
        <v>0.26</v>
      </c>
      <c r="AF358">
        <f t="shared" si="293"/>
        <v>35.340000000000003</v>
      </c>
      <c r="AG358">
        <f t="shared" si="294"/>
        <v>0</v>
      </c>
      <c r="AH358">
        <f t="shared" si="295"/>
        <v>3.76</v>
      </c>
      <c r="AI358">
        <f t="shared" si="296"/>
        <v>0.02</v>
      </c>
      <c r="AJ358">
        <f t="shared" si="297"/>
        <v>0</v>
      </c>
      <c r="AK358">
        <v>50.72</v>
      </c>
      <c r="AL358">
        <v>13.6</v>
      </c>
      <c r="AM358">
        <v>1.78</v>
      </c>
      <c r="AN358">
        <v>0.26</v>
      </c>
      <c r="AO358">
        <v>35.340000000000003</v>
      </c>
      <c r="AP358">
        <v>0</v>
      </c>
      <c r="AQ358">
        <v>3.76</v>
      </c>
      <c r="AR358">
        <v>0.02</v>
      </c>
      <c r="AS358">
        <v>0</v>
      </c>
      <c r="AT358">
        <v>95</v>
      </c>
      <c r="AU358">
        <v>65</v>
      </c>
      <c r="AV358">
        <v>1</v>
      </c>
      <c r="AW358">
        <v>1</v>
      </c>
      <c r="AZ358">
        <v>6.56</v>
      </c>
      <c r="BA358">
        <v>6.56</v>
      </c>
      <c r="BB358">
        <v>6.56</v>
      </c>
      <c r="BC358">
        <v>6.56</v>
      </c>
      <c r="BD358" t="s">
        <v>6</v>
      </c>
      <c r="BE358" t="s">
        <v>6</v>
      </c>
      <c r="BF358" t="s">
        <v>6</v>
      </c>
      <c r="BG358" t="s">
        <v>6</v>
      </c>
      <c r="BH358">
        <v>0</v>
      </c>
      <c r="BI358">
        <v>2</v>
      </c>
      <c r="BJ358" t="s">
        <v>737</v>
      </c>
      <c r="BM358">
        <v>108001</v>
      </c>
      <c r="BN358">
        <v>0</v>
      </c>
      <c r="BO358" t="s">
        <v>6</v>
      </c>
      <c r="BP358">
        <v>0</v>
      </c>
      <c r="BQ358">
        <v>3</v>
      </c>
      <c r="BR358">
        <v>0</v>
      </c>
      <c r="BS358">
        <v>6.56</v>
      </c>
      <c r="BT358">
        <v>1</v>
      </c>
      <c r="BU358">
        <v>1</v>
      </c>
      <c r="BV358">
        <v>1</v>
      </c>
      <c r="BW358">
        <v>1</v>
      </c>
      <c r="BX358">
        <v>1</v>
      </c>
      <c r="BY358" t="s">
        <v>6</v>
      </c>
      <c r="BZ358">
        <v>95</v>
      </c>
      <c r="CA358">
        <v>65</v>
      </c>
      <c r="CF358">
        <v>0</v>
      </c>
      <c r="CG358">
        <v>0</v>
      </c>
      <c r="CM358">
        <v>0</v>
      </c>
      <c r="CN358" t="s">
        <v>6</v>
      </c>
      <c r="CO358">
        <v>0</v>
      </c>
      <c r="CP358">
        <f t="shared" si="298"/>
        <v>1600.3999999999999</v>
      </c>
      <c r="CQ358">
        <f t="shared" si="299"/>
        <v>89.215999999999994</v>
      </c>
      <c r="CR358">
        <f t="shared" si="300"/>
        <v>11.6768</v>
      </c>
      <c r="CS358">
        <f t="shared" si="301"/>
        <v>1.7056</v>
      </c>
      <c r="CT358">
        <f t="shared" si="302"/>
        <v>231.8304</v>
      </c>
      <c r="CU358">
        <f t="shared" si="303"/>
        <v>0</v>
      </c>
      <c r="CV358">
        <f t="shared" si="304"/>
        <v>3.76</v>
      </c>
      <c r="CW358">
        <f t="shared" si="305"/>
        <v>0.02</v>
      </c>
      <c r="CX358">
        <f t="shared" si="306"/>
        <v>0</v>
      </c>
      <c r="CY358">
        <f t="shared" si="307"/>
        <v>1067.135</v>
      </c>
      <c r="CZ358">
        <f t="shared" si="308"/>
        <v>730.14499999999998</v>
      </c>
      <c r="DC358" t="s">
        <v>6</v>
      </c>
      <c r="DD358" t="s">
        <v>6</v>
      </c>
      <c r="DE358" t="s">
        <v>6</v>
      </c>
      <c r="DF358" t="s">
        <v>6</v>
      </c>
      <c r="DG358" t="s">
        <v>6</v>
      </c>
      <c r="DH358" t="s">
        <v>6</v>
      </c>
      <c r="DI358" t="s">
        <v>6</v>
      </c>
      <c r="DJ358" t="s">
        <v>6</v>
      </c>
      <c r="DK358" t="s">
        <v>6</v>
      </c>
      <c r="DL358" t="s">
        <v>6</v>
      </c>
      <c r="DM358" t="s">
        <v>6</v>
      </c>
      <c r="DN358">
        <v>0</v>
      </c>
      <c r="DO358">
        <v>0</v>
      </c>
      <c r="DP358">
        <v>1</v>
      </c>
      <c r="DQ358">
        <v>1</v>
      </c>
      <c r="DU358">
        <v>1003</v>
      </c>
      <c r="DV358" t="s">
        <v>34</v>
      </c>
      <c r="DW358" t="s">
        <v>34</v>
      </c>
      <c r="DX358">
        <v>100</v>
      </c>
      <c r="EE358">
        <v>16510370</v>
      </c>
      <c r="EF358">
        <v>3</v>
      </c>
      <c r="EG358" t="s">
        <v>591</v>
      </c>
      <c r="EH358">
        <v>0</v>
      </c>
      <c r="EI358" t="s">
        <v>6</v>
      </c>
      <c r="EJ358">
        <v>2</v>
      </c>
      <c r="EK358">
        <v>108001</v>
      </c>
      <c r="EL358" t="s">
        <v>592</v>
      </c>
      <c r="EM358" t="s">
        <v>593</v>
      </c>
      <c r="EO358" t="s">
        <v>6</v>
      </c>
      <c r="EQ358">
        <v>131072</v>
      </c>
      <c r="ER358">
        <v>50.72</v>
      </c>
      <c r="ES358">
        <v>13.6</v>
      </c>
      <c r="ET358">
        <v>1.78</v>
      </c>
      <c r="EU358">
        <v>0.26</v>
      </c>
      <c r="EV358">
        <v>35.340000000000003</v>
      </c>
      <c r="EW358">
        <v>3.76</v>
      </c>
      <c r="EX358">
        <v>0.02</v>
      </c>
      <c r="EY358">
        <v>0</v>
      </c>
      <c r="FQ358">
        <v>0</v>
      </c>
      <c r="FR358">
        <f t="shared" si="309"/>
        <v>0</v>
      </c>
      <c r="FS358">
        <v>0</v>
      </c>
      <c r="FX358">
        <v>95</v>
      </c>
      <c r="FY358">
        <v>65</v>
      </c>
      <c r="GA358" t="s">
        <v>6</v>
      </c>
      <c r="GD358">
        <v>0</v>
      </c>
      <c r="GF358">
        <v>-349670202</v>
      </c>
      <c r="GG358">
        <v>1</v>
      </c>
      <c r="GH358">
        <v>1</v>
      </c>
      <c r="GI358">
        <v>4</v>
      </c>
      <c r="GJ358">
        <v>0</v>
      </c>
      <c r="GK358">
        <f>ROUND(R358*(R12)/100,2)</f>
        <v>0</v>
      </c>
      <c r="GL358">
        <f t="shared" si="310"/>
        <v>0</v>
      </c>
      <c r="GM358">
        <f t="shared" si="311"/>
        <v>3397.69</v>
      </c>
      <c r="GN358">
        <f t="shared" si="312"/>
        <v>0</v>
      </c>
      <c r="GO358">
        <f t="shared" si="313"/>
        <v>3397.69</v>
      </c>
      <c r="GP358">
        <f t="shared" si="314"/>
        <v>0</v>
      </c>
      <c r="GR358">
        <v>0</v>
      </c>
      <c r="GS358">
        <v>3</v>
      </c>
      <c r="GT358">
        <v>0</v>
      </c>
      <c r="GU358" t="s">
        <v>6</v>
      </c>
      <c r="GV358">
        <f t="shared" si="315"/>
        <v>0</v>
      </c>
      <c r="GW358">
        <v>1</v>
      </c>
      <c r="GX358">
        <f t="shared" si="316"/>
        <v>0</v>
      </c>
      <c r="HA358">
        <v>0</v>
      </c>
      <c r="HB358">
        <v>0</v>
      </c>
      <c r="IK358">
        <v>0</v>
      </c>
    </row>
    <row r="359" spans="1:245" x14ac:dyDescent="0.2">
      <c r="A359">
        <v>18</v>
      </c>
      <c r="B359">
        <v>1</v>
      </c>
      <c r="C359">
        <v>501</v>
      </c>
      <c r="E359" t="s">
        <v>738</v>
      </c>
      <c r="F359" t="s">
        <v>739</v>
      </c>
      <c r="G359" t="s">
        <v>740</v>
      </c>
      <c r="H359" t="s">
        <v>641</v>
      </c>
      <c r="I359">
        <f>I358*J359</f>
        <v>0.48099999999999998</v>
      </c>
      <c r="J359">
        <v>0.1</v>
      </c>
      <c r="O359">
        <f t="shared" si="278"/>
        <v>21836.38</v>
      </c>
      <c r="P359">
        <f t="shared" si="279"/>
        <v>21836.38</v>
      </c>
      <c r="Q359">
        <f t="shared" si="280"/>
        <v>0</v>
      </c>
      <c r="R359">
        <f t="shared" si="281"/>
        <v>0</v>
      </c>
      <c r="S359">
        <f t="shared" si="282"/>
        <v>0</v>
      </c>
      <c r="T359">
        <f t="shared" si="283"/>
        <v>0</v>
      </c>
      <c r="U359">
        <f t="shared" si="284"/>
        <v>0</v>
      </c>
      <c r="V359">
        <f t="shared" si="285"/>
        <v>0</v>
      </c>
      <c r="W359">
        <f t="shared" si="286"/>
        <v>0</v>
      </c>
      <c r="X359">
        <f t="shared" si="287"/>
        <v>0</v>
      </c>
      <c r="Y359">
        <f t="shared" si="288"/>
        <v>0</v>
      </c>
      <c r="AA359">
        <v>16748969</v>
      </c>
      <c r="AB359">
        <f t="shared" si="289"/>
        <v>6920.41</v>
      </c>
      <c r="AC359">
        <f t="shared" si="290"/>
        <v>6920.41</v>
      </c>
      <c r="AD359">
        <f t="shared" si="291"/>
        <v>0</v>
      </c>
      <c r="AE359">
        <f t="shared" si="292"/>
        <v>0</v>
      </c>
      <c r="AF359">
        <f t="shared" si="293"/>
        <v>0</v>
      </c>
      <c r="AG359">
        <f t="shared" si="294"/>
        <v>0</v>
      </c>
      <c r="AH359">
        <f t="shared" si="295"/>
        <v>0</v>
      </c>
      <c r="AI359">
        <f t="shared" si="296"/>
        <v>0</v>
      </c>
      <c r="AJ359">
        <f t="shared" si="297"/>
        <v>0</v>
      </c>
      <c r="AK359">
        <v>6920.41</v>
      </c>
      <c r="AL359">
        <v>6920.41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  <c r="AS359">
        <v>0</v>
      </c>
      <c r="AT359">
        <v>95</v>
      </c>
      <c r="AU359">
        <v>65</v>
      </c>
      <c r="AV359">
        <v>1</v>
      </c>
      <c r="AW359">
        <v>1</v>
      </c>
      <c r="AZ359">
        <v>6.56</v>
      </c>
      <c r="BA359">
        <v>1</v>
      </c>
      <c r="BB359">
        <v>1</v>
      </c>
      <c r="BC359">
        <v>6.56</v>
      </c>
      <c r="BD359" t="s">
        <v>6</v>
      </c>
      <c r="BE359" t="s">
        <v>6</v>
      </c>
      <c r="BF359" t="s">
        <v>6</v>
      </c>
      <c r="BG359" t="s">
        <v>6</v>
      </c>
      <c r="BH359">
        <v>3</v>
      </c>
      <c r="BI359">
        <v>2</v>
      </c>
      <c r="BJ359" t="s">
        <v>741</v>
      </c>
      <c r="BM359">
        <v>108001</v>
      </c>
      <c r="BN359">
        <v>0</v>
      </c>
      <c r="BO359" t="s">
        <v>6</v>
      </c>
      <c r="BP359">
        <v>0</v>
      </c>
      <c r="BQ359">
        <v>3</v>
      </c>
      <c r="BR359">
        <v>0</v>
      </c>
      <c r="BS359">
        <v>1</v>
      </c>
      <c r="BT359">
        <v>1</v>
      </c>
      <c r="BU359">
        <v>1</v>
      </c>
      <c r="BV359">
        <v>1</v>
      </c>
      <c r="BW359">
        <v>1</v>
      </c>
      <c r="BX359">
        <v>1</v>
      </c>
      <c r="BY359" t="s">
        <v>6</v>
      </c>
      <c r="BZ359">
        <v>95</v>
      </c>
      <c r="CA359">
        <v>65</v>
      </c>
      <c r="CF359">
        <v>0</v>
      </c>
      <c r="CG359">
        <v>0</v>
      </c>
      <c r="CM359">
        <v>0</v>
      </c>
      <c r="CN359" t="s">
        <v>6</v>
      </c>
      <c r="CO359">
        <v>0</v>
      </c>
      <c r="CP359">
        <f t="shared" si="298"/>
        <v>21836.38</v>
      </c>
      <c r="CQ359">
        <f t="shared" si="299"/>
        <v>45397.889599999995</v>
      </c>
      <c r="CR359">
        <f t="shared" si="300"/>
        <v>0</v>
      </c>
      <c r="CS359">
        <f t="shared" si="301"/>
        <v>0</v>
      </c>
      <c r="CT359">
        <f t="shared" si="302"/>
        <v>0</v>
      </c>
      <c r="CU359">
        <f t="shared" si="303"/>
        <v>0</v>
      </c>
      <c r="CV359">
        <f t="shared" si="304"/>
        <v>0</v>
      </c>
      <c r="CW359">
        <f t="shared" si="305"/>
        <v>0</v>
      </c>
      <c r="CX359">
        <f t="shared" si="306"/>
        <v>0</v>
      </c>
      <c r="CY359">
        <f t="shared" si="307"/>
        <v>0</v>
      </c>
      <c r="CZ359">
        <f t="shared" si="308"/>
        <v>0</v>
      </c>
      <c r="DC359" t="s">
        <v>6</v>
      </c>
      <c r="DD359" t="s">
        <v>6</v>
      </c>
      <c r="DE359" t="s">
        <v>6</v>
      </c>
      <c r="DF359" t="s">
        <v>6</v>
      </c>
      <c r="DG359" t="s">
        <v>6</v>
      </c>
      <c r="DH359" t="s">
        <v>6</v>
      </c>
      <c r="DI359" t="s">
        <v>6</v>
      </c>
      <c r="DJ359" t="s">
        <v>6</v>
      </c>
      <c r="DK359" t="s">
        <v>6</v>
      </c>
      <c r="DL359" t="s">
        <v>6</v>
      </c>
      <c r="DM359" t="s">
        <v>6</v>
      </c>
      <c r="DN359">
        <v>0</v>
      </c>
      <c r="DO359">
        <v>0</v>
      </c>
      <c r="DP359">
        <v>1</v>
      </c>
      <c r="DQ359">
        <v>1</v>
      </c>
      <c r="DU359">
        <v>1013</v>
      </c>
      <c r="DV359" t="s">
        <v>641</v>
      </c>
      <c r="DW359" t="s">
        <v>643</v>
      </c>
      <c r="DX359">
        <v>1</v>
      </c>
      <c r="EE359">
        <v>16510370</v>
      </c>
      <c r="EF359">
        <v>3</v>
      </c>
      <c r="EG359" t="s">
        <v>591</v>
      </c>
      <c r="EH359">
        <v>0</v>
      </c>
      <c r="EI359" t="s">
        <v>6</v>
      </c>
      <c r="EJ359">
        <v>2</v>
      </c>
      <c r="EK359">
        <v>108001</v>
      </c>
      <c r="EL359" t="s">
        <v>592</v>
      </c>
      <c r="EM359" t="s">
        <v>593</v>
      </c>
      <c r="EO359" t="s">
        <v>6</v>
      </c>
      <c r="EQ359">
        <v>0</v>
      </c>
      <c r="ER359">
        <v>6920.41</v>
      </c>
      <c r="ES359">
        <v>6920.41</v>
      </c>
      <c r="ET359">
        <v>0</v>
      </c>
      <c r="EU359">
        <v>0</v>
      </c>
      <c r="EV359">
        <v>0</v>
      </c>
      <c r="EW359">
        <v>0</v>
      </c>
      <c r="EX359">
        <v>0</v>
      </c>
      <c r="FQ359">
        <v>0</v>
      </c>
      <c r="FR359">
        <f t="shared" si="309"/>
        <v>0</v>
      </c>
      <c r="FS359">
        <v>0</v>
      </c>
      <c r="FX359">
        <v>95</v>
      </c>
      <c r="FY359">
        <v>65</v>
      </c>
      <c r="GA359" t="s">
        <v>6</v>
      </c>
      <c r="GD359">
        <v>0</v>
      </c>
      <c r="GF359">
        <v>559331636</v>
      </c>
      <c r="GG359">
        <v>1</v>
      </c>
      <c r="GH359">
        <v>1</v>
      </c>
      <c r="GI359">
        <v>4</v>
      </c>
      <c r="GJ359">
        <v>0</v>
      </c>
      <c r="GK359">
        <f>ROUND(R359*(R12)/100,2)</f>
        <v>0</v>
      </c>
      <c r="GL359">
        <f t="shared" si="310"/>
        <v>0</v>
      </c>
      <c r="GM359">
        <f t="shared" si="311"/>
        <v>21836.38</v>
      </c>
      <c r="GN359">
        <f t="shared" si="312"/>
        <v>0</v>
      </c>
      <c r="GO359">
        <f t="shared" si="313"/>
        <v>21836.38</v>
      </c>
      <c r="GP359">
        <f t="shared" si="314"/>
        <v>0</v>
      </c>
      <c r="GR359">
        <v>0</v>
      </c>
      <c r="GS359">
        <v>3</v>
      </c>
      <c r="GT359">
        <v>0</v>
      </c>
      <c r="GU359" t="s">
        <v>6</v>
      </c>
      <c r="GV359">
        <f t="shared" si="315"/>
        <v>0</v>
      </c>
      <c r="GW359">
        <v>1</v>
      </c>
      <c r="GX359">
        <f t="shared" si="316"/>
        <v>0</v>
      </c>
      <c r="HA359">
        <v>0</v>
      </c>
      <c r="HB359">
        <v>0</v>
      </c>
      <c r="IK359">
        <v>0</v>
      </c>
    </row>
    <row r="360" spans="1:245" x14ac:dyDescent="0.2">
      <c r="A360">
        <v>17</v>
      </c>
      <c r="B360">
        <v>1</v>
      </c>
      <c r="C360">
        <f>ROW(SmtRes!A506)</f>
        <v>506</v>
      </c>
      <c r="D360">
        <f>ROW(EtalonRes!A471)</f>
        <v>471</v>
      </c>
      <c r="E360" t="s">
        <v>742</v>
      </c>
      <c r="F360" t="s">
        <v>626</v>
      </c>
      <c r="G360" t="s">
        <v>627</v>
      </c>
      <c r="H360" t="s">
        <v>34</v>
      </c>
      <c r="I360">
        <f>ROUND(57/100,9)</f>
        <v>0.56999999999999995</v>
      </c>
      <c r="J360">
        <v>0</v>
      </c>
      <c r="O360">
        <f t="shared" si="278"/>
        <v>584.54999999999995</v>
      </c>
      <c r="P360">
        <f t="shared" si="279"/>
        <v>62.78</v>
      </c>
      <c r="Q360">
        <f t="shared" si="280"/>
        <v>0</v>
      </c>
      <c r="R360">
        <f t="shared" si="281"/>
        <v>0</v>
      </c>
      <c r="S360">
        <f t="shared" si="282"/>
        <v>521.77</v>
      </c>
      <c r="T360">
        <f t="shared" si="283"/>
        <v>0</v>
      </c>
      <c r="U360">
        <f t="shared" si="284"/>
        <v>8.6639999999999997</v>
      </c>
      <c r="V360">
        <f t="shared" si="285"/>
        <v>0</v>
      </c>
      <c r="W360">
        <f t="shared" si="286"/>
        <v>0</v>
      </c>
      <c r="X360">
        <f t="shared" si="287"/>
        <v>495.68</v>
      </c>
      <c r="Y360">
        <f t="shared" si="288"/>
        <v>339.15</v>
      </c>
      <c r="AA360">
        <v>16748969</v>
      </c>
      <c r="AB360">
        <f t="shared" si="289"/>
        <v>156.33000000000001</v>
      </c>
      <c r="AC360">
        <f t="shared" si="290"/>
        <v>16.79</v>
      </c>
      <c r="AD360">
        <f t="shared" si="291"/>
        <v>0</v>
      </c>
      <c r="AE360">
        <f t="shared" si="292"/>
        <v>0</v>
      </c>
      <c r="AF360">
        <f t="shared" si="293"/>
        <v>139.54</v>
      </c>
      <c r="AG360">
        <f t="shared" si="294"/>
        <v>0</v>
      </c>
      <c r="AH360">
        <f t="shared" si="295"/>
        <v>15.2</v>
      </c>
      <c r="AI360">
        <f t="shared" si="296"/>
        <v>0</v>
      </c>
      <c r="AJ360">
        <f t="shared" si="297"/>
        <v>0</v>
      </c>
      <c r="AK360">
        <v>156.33000000000001</v>
      </c>
      <c r="AL360">
        <v>16.79</v>
      </c>
      <c r="AM360">
        <v>0</v>
      </c>
      <c r="AN360">
        <v>0</v>
      </c>
      <c r="AO360">
        <v>139.54</v>
      </c>
      <c r="AP360">
        <v>0</v>
      </c>
      <c r="AQ360">
        <v>15.2</v>
      </c>
      <c r="AR360">
        <v>0</v>
      </c>
      <c r="AS360">
        <v>0</v>
      </c>
      <c r="AT360">
        <v>95</v>
      </c>
      <c r="AU360">
        <v>65</v>
      </c>
      <c r="AV360">
        <v>1</v>
      </c>
      <c r="AW360">
        <v>1</v>
      </c>
      <c r="AZ360">
        <v>6.56</v>
      </c>
      <c r="BA360">
        <v>6.56</v>
      </c>
      <c r="BB360">
        <v>6.56</v>
      </c>
      <c r="BC360">
        <v>6.56</v>
      </c>
      <c r="BD360" t="s">
        <v>6</v>
      </c>
      <c r="BE360" t="s">
        <v>6</v>
      </c>
      <c r="BF360" t="s">
        <v>6</v>
      </c>
      <c r="BG360" t="s">
        <v>6</v>
      </c>
      <c r="BH360">
        <v>0</v>
      </c>
      <c r="BI360">
        <v>2</v>
      </c>
      <c r="BJ360" t="s">
        <v>628</v>
      </c>
      <c r="BM360">
        <v>108001</v>
      </c>
      <c r="BN360">
        <v>0</v>
      </c>
      <c r="BO360" t="s">
        <v>6</v>
      </c>
      <c r="BP360">
        <v>0</v>
      </c>
      <c r="BQ360">
        <v>3</v>
      </c>
      <c r="BR360">
        <v>0</v>
      </c>
      <c r="BS360">
        <v>6.56</v>
      </c>
      <c r="BT360">
        <v>1</v>
      </c>
      <c r="BU360">
        <v>1</v>
      </c>
      <c r="BV360">
        <v>1</v>
      </c>
      <c r="BW360">
        <v>1</v>
      </c>
      <c r="BX360">
        <v>1</v>
      </c>
      <c r="BY360" t="s">
        <v>6</v>
      </c>
      <c r="BZ360">
        <v>95</v>
      </c>
      <c r="CA360">
        <v>65</v>
      </c>
      <c r="CF360">
        <v>0</v>
      </c>
      <c r="CG360">
        <v>0</v>
      </c>
      <c r="CM360">
        <v>0</v>
      </c>
      <c r="CN360" t="s">
        <v>6</v>
      </c>
      <c r="CO360">
        <v>0</v>
      </c>
      <c r="CP360">
        <f t="shared" si="298"/>
        <v>584.54999999999995</v>
      </c>
      <c r="CQ360">
        <f t="shared" si="299"/>
        <v>110.14239999999998</v>
      </c>
      <c r="CR360">
        <f t="shared" si="300"/>
        <v>0</v>
      </c>
      <c r="CS360">
        <f t="shared" si="301"/>
        <v>0</v>
      </c>
      <c r="CT360">
        <f t="shared" si="302"/>
        <v>915.38239999999985</v>
      </c>
      <c r="CU360">
        <f t="shared" si="303"/>
        <v>0</v>
      </c>
      <c r="CV360">
        <f t="shared" si="304"/>
        <v>15.2</v>
      </c>
      <c r="CW360">
        <f t="shared" si="305"/>
        <v>0</v>
      </c>
      <c r="CX360">
        <f t="shared" si="306"/>
        <v>0</v>
      </c>
      <c r="CY360">
        <f t="shared" si="307"/>
        <v>495.68150000000003</v>
      </c>
      <c r="CZ360">
        <f t="shared" si="308"/>
        <v>339.15049999999997</v>
      </c>
      <c r="DC360" t="s">
        <v>6</v>
      </c>
      <c r="DD360" t="s">
        <v>6</v>
      </c>
      <c r="DE360" t="s">
        <v>6</v>
      </c>
      <c r="DF360" t="s">
        <v>6</v>
      </c>
      <c r="DG360" t="s">
        <v>6</v>
      </c>
      <c r="DH360" t="s">
        <v>6</v>
      </c>
      <c r="DI360" t="s">
        <v>6</v>
      </c>
      <c r="DJ360" t="s">
        <v>6</v>
      </c>
      <c r="DK360" t="s">
        <v>6</v>
      </c>
      <c r="DL360" t="s">
        <v>6</v>
      </c>
      <c r="DM360" t="s">
        <v>6</v>
      </c>
      <c r="DN360">
        <v>0</v>
      </c>
      <c r="DO360">
        <v>0</v>
      </c>
      <c r="DP360">
        <v>1</v>
      </c>
      <c r="DQ360">
        <v>1</v>
      </c>
      <c r="DU360">
        <v>1003</v>
      </c>
      <c r="DV360" t="s">
        <v>34</v>
      </c>
      <c r="DW360" t="s">
        <v>34</v>
      </c>
      <c r="DX360">
        <v>100</v>
      </c>
      <c r="EE360">
        <v>16510370</v>
      </c>
      <c r="EF360">
        <v>3</v>
      </c>
      <c r="EG360" t="s">
        <v>591</v>
      </c>
      <c r="EH360">
        <v>0</v>
      </c>
      <c r="EI360" t="s">
        <v>6</v>
      </c>
      <c r="EJ360">
        <v>2</v>
      </c>
      <c r="EK360">
        <v>108001</v>
      </c>
      <c r="EL360" t="s">
        <v>592</v>
      </c>
      <c r="EM360" t="s">
        <v>593</v>
      </c>
      <c r="EO360" t="s">
        <v>6</v>
      </c>
      <c r="EQ360">
        <v>131072</v>
      </c>
      <c r="ER360">
        <v>156.33000000000001</v>
      </c>
      <c r="ES360">
        <v>16.79</v>
      </c>
      <c r="ET360">
        <v>0</v>
      </c>
      <c r="EU360">
        <v>0</v>
      </c>
      <c r="EV360">
        <v>139.54</v>
      </c>
      <c r="EW360">
        <v>15.2</v>
      </c>
      <c r="EX360">
        <v>0</v>
      </c>
      <c r="EY360">
        <v>0</v>
      </c>
      <c r="FQ360">
        <v>0</v>
      </c>
      <c r="FR360">
        <f t="shared" si="309"/>
        <v>0</v>
      </c>
      <c r="FS360">
        <v>0</v>
      </c>
      <c r="FX360">
        <v>95</v>
      </c>
      <c r="FY360">
        <v>65</v>
      </c>
      <c r="GA360" t="s">
        <v>6</v>
      </c>
      <c r="GD360">
        <v>0</v>
      </c>
      <c r="GF360">
        <v>-596386547</v>
      </c>
      <c r="GG360">
        <v>1</v>
      </c>
      <c r="GH360">
        <v>1</v>
      </c>
      <c r="GI360">
        <v>4</v>
      </c>
      <c r="GJ360">
        <v>0</v>
      </c>
      <c r="GK360">
        <f>ROUND(R360*(R12)/100,2)</f>
        <v>0</v>
      </c>
      <c r="GL360">
        <f t="shared" si="310"/>
        <v>0</v>
      </c>
      <c r="GM360">
        <f t="shared" si="311"/>
        <v>1419.38</v>
      </c>
      <c r="GN360">
        <f t="shared" si="312"/>
        <v>0</v>
      </c>
      <c r="GO360">
        <f t="shared" si="313"/>
        <v>1419.38</v>
      </c>
      <c r="GP360">
        <f t="shared" si="314"/>
        <v>0</v>
      </c>
      <c r="GR360">
        <v>0</v>
      </c>
      <c r="GS360">
        <v>3</v>
      </c>
      <c r="GT360">
        <v>0</v>
      </c>
      <c r="GU360" t="s">
        <v>6</v>
      </c>
      <c r="GV360">
        <f t="shared" si="315"/>
        <v>0</v>
      </c>
      <c r="GW360">
        <v>1</v>
      </c>
      <c r="GX360">
        <f t="shared" si="316"/>
        <v>0</v>
      </c>
      <c r="HA360">
        <v>0</v>
      </c>
      <c r="HB360">
        <v>0</v>
      </c>
      <c r="IK360">
        <v>0</v>
      </c>
    </row>
    <row r="361" spans="1:245" x14ac:dyDescent="0.2">
      <c r="A361">
        <v>18</v>
      </c>
      <c r="B361">
        <v>1</v>
      </c>
      <c r="C361">
        <v>505</v>
      </c>
      <c r="E361" t="s">
        <v>743</v>
      </c>
      <c r="F361" t="s">
        <v>630</v>
      </c>
      <c r="G361" t="s">
        <v>631</v>
      </c>
      <c r="H361" t="s">
        <v>632</v>
      </c>
      <c r="I361">
        <f>I360*J361</f>
        <v>5.7</v>
      </c>
      <c r="J361">
        <v>10.000000000000002</v>
      </c>
      <c r="O361">
        <f t="shared" si="278"/>
        <v>602.39</v>
      </c>
      <c r="P361">
        <f t="shared" si="279"/>
        <v>602.39</v>
      </c>
      <c r="Q361">
        <f t="shared" si="280"/>
        <v>0</v>
      </c>
      <c r="R361">
        <f t="shared" si="281"/>
        <v>0</v>
      </c>
      <c r="S361">
        <f t="shared" si="282"/>
        <v>0</v>
      </c>
      <c r="T361">
        <f t="shared" si="283"/>
        <v>0</v>
      </c>
      <c r="U361">
        <f t="shared" si="284"/>
        <v>0</v>
      </c>
      <c r="V361">
        <f t="shared" si="285"/>
        <v>0</v>
      </c>
      <c r="W361">
        <f t="shared" si="286"/>
        <v>0</v>
      </c>
      <c r="X361">
        <f t="shared" si="287"/>
        <v>0</v>
      </c>
      <c r="Y361">
        <f t="shared" si="288"/>
        <v>0</v>
      </c>
      <c r="AA361">
        <v>16748969</v>
      </c>
      <c r="AB361">
        <f t="shared" si="289"/>
        <v>16.11</v>
      </c>
      <c r="AC361">
        <f t="shared" si="290"/>
        <v>16.11</v>
      </c>
      <c r="AD361">
        <f t="shared" si="291"/>
        <v>0</v>
      </c>
      <c r="AE361">
        <f t="shared" si="292"/>
        <v>0</v>
      </c>
      <c r="AF361">
        <f t="shared" si="293"/>
        <v>0</v>
      </c>
      <c r="AG361">
        <f t="shared" si="294"/>
        <v>0</v>
      </c>
      <c r="AH361">
        <f t="shared" si="295"/>
        <v>0</v>
      </c>
      <c r="AI361">
        <f t="shared" si="296"/>
        <v>0</v>
      </c>
      <c r="AJ361">
        <f t="shared" si="297"/>
        <v>0</v>
      </c>
      <c r="AK361">
        <v>16.11</v>
      </c>
      <c r="AL361">
        <v>16.11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  <c r="AS361">
        <v>0</v>
      </c>
      <c r="AT361">
        <v>95</v>
      </c>
      <c r="AU361">
        <v>65</v>
      </c>
      <c r="AV361">
        <v>1</v>
      </c>
      <c r="AW361">
        <v>1</v>
      </c>
      <c r="AZ361">
        <v>6.56</v>
      </c>
      <c r="BA361">
        <v>1</v>
      </c>
      <c r="BB361">
        <v>1</v>
      </c>
      <c r="BC361">
        <v>6.56</v>
      </c>
      <c r="BD361" t="s">
        <v>6</v>
      </c>
      <c r="BE361" t="s">
        <v>6</v>
      </c>
      <c r="BF361" t="s">
        <v>6</v>
      </c>
      <c r="BG361" t="s">
        <v>6</v>
      </c>
      <c r="BH361">
        <v>3</v>
      </c>
      <c r="BI361">
        <v>2</v>
      </c>
      <c r="BJ361" t="s">
        <v>633</v>
      </c>
      <c r="BM361">
        <v>108001</v>
      </c>
      <c r="BN361">
        <v>0</v>
      </c>
      <c r="BO361" t="s">
        <v>6</v>
      </c>
      <c r="BP361">
        <v>0</v>
      </c>
      <c r="BQ361">
        <v>3</v>
      </c>
      <c r="BR361">
        <v>0</v>
      </c>
      <c r="BS361">
        <v>1</v>
      </c>
      <c r="BT361">
        <v>1</v>
      </c>
      <c r="BU361">
        <v>1</v>
      </c>
      <c r="BV361">
        <v>1</v>
      </c>
      <c r="BW361">
        <v>1</v>
      </c>
      <c r="BX361">
        <v>1</v>
      </c>
      <c r="BY361" t="s">
        <v>6</v>
      </c>
      <c r="BZ361">
        <v>95</v>
      </c>
      <c r="CA361">
        <v>65</v>
      </c>
      <c r="CF361">
        <v>0</v>
      </c>
      <c r="CG361">
        <v>0</v>
      </c>
      <c r="CM361">
        <v>0</v>
      </c>
      <c r="CN361" t="s">
        <v>6</v>
      </c>
      <c r="CO361">
        <v>0</v>
      </c>
      <c r="CP361">
        <f t="shared" si="298"/>
        <v>602.39</v>
      </c>
      <c r="CQ361">
        <f t="shared" si="299"/>
        <v>105.68159999999999</v>
      </c>
      <c r="CR361">
        <f t="shared" si="300"/>
        <v>0</v>
      </c>
      <c r="CS361">
        <f t="shared" si="301"/>
        <v>0</v>
      </c>
      <c r="CT361">
        <f t="shared" si="302"/>
        <v>0</v>
      </c>
      <c r="CU361">
        <f t="shared" si="303"/>
        <v>0</v>
      </c>
      <c r="CV361">
        <f t="shared" si="304"/>
        <v>0</v>
      </c>
      <c r="CW361">
        <f t="shared" si="305"/>
        <v>0</v>
      </c>
      <c r="CX361">
        <f t="shared" si="306"/>
        <v>0</v>
      </c>
      <c r="CY361">
        <f t="shared" si="307"/>
        <v>0</v>
      </c>
      <c r="CZ361">
        <f t="shared" si="308"/>
        <v>0</v>
      </c>
      <c r="DC361" t="s">
        <v>6</v>
      </c>
      <c r="DD361" t="s">
        <v>6</v>
      </c>
      <c r="DE361" t="s">
        <v>6</v>
      </c>
      <c r="DF361" t="s">
        <v>6</v>
      </c>
      <c r="DG361" t="s">
        <v>6</v>
      </c>
      <c r="DH361" t="s">
        <v>6</v>
      </c>
      <c r="DI361" t="s">
        <v>6</v>
      </c>
      <c r="DJ361" t="s">
        <v>6</v>
      </c>
      <c r="DK361" t="s">
        <v>6</v>
      </c>
      <c r="DL361" t="s">
        <v>6</v>
      </c>
      <c r="DM361" t="s">
        <v>6</v>
      </c>
      <c r="DN361">
        <v>0</v>
      </c>
      <c r="DO361">
        <v>0</v>
      </c>
      <c r="DP361">
        <v>1</v>
      </c>
      <c r="DQ361">
        <v>1</v>
      </c>
      <c r="DU361">
        <v>1003</v>
      </c>
      <c r="DV361" t="s">
        <v>632</v>
      </c>
      <c r="DW361" t="s">
        <v>632</v>
      </c>
      <c r="DX361">
        <v>10</v>
      </c>
      <c r="EE361">
        <v>16510370</v>
      </c>
      <c r="EF361">
        <v>3</v>
      </c>
      <c r="EG361" t="s">
        <v>591</v>
      </c>
      <c r="EH361">
        <v>0</v>
      </c>
      <c r="EI361" t="s">
        <v>6</v>
      </c>
      <c r="EJ361">
        <v>2</v>
      </c>
      <c r="EK361">
        <v>108001</v>
      </c>
      <c r="EL361" t="s">
        <v>592</v>
      </c>
      <c r="EM361" t="s">
        <v>593</v>
      </c>
      <c r="EO361" t="s">
        <v>6</v>
      </c>
      <c r="EQ361">
        <v>0</v>
      </c>
      <c r="ER361">
        <v>16.11</v>
      </c>
      <c r="ES361">
        <v>16.11</v>
      </c>
      <c r="ET361">
        <v>0</v>
      </c>
      <c r="EU361">
        <v>0</v>
      </c>
      <c r="EV361">
        <v>0</v>
      </c>
      <c r="EW361">
        <v>0</v>
      </c>
      <c r="EX361">
        <v>0</v>
      </c>
      <c r="FQ361">
        <v>0</v>
      </c>
      <c r="FR361">
        <f t="shared" si="309"/>
        <v>0</v>
      </c>
      <c r="FS361">
        <v>0</v>
      </c>
      <c r="FX361">
        <v>95</v>
      </c>
      <c r="FY361">
        <v>65</v>
      </c>
      <c r="GA361" t="s">
        <v>6</v>
      </c>
      <c r="GD361">
        <v>0</v>
      </c>
      <c r="GF361">
        <v>-819900352</v>
      </c>
      <c r="GG361">
        <v>1</v>
      </c>
      <c r="GH361">
        <v>1</v>
      </c>
      <c r="GI361">
        <v>4</v>
      </c>
      <c r="GJ361">
        <v>0</v>
      </c>
      <c r="GK361">
        <f>ROUND(R361*(R12)/100,2)</f>
        <v>0</v>
      </c>
      <c r="GL361">
        <f t="shared" si="310"/>
        <v>0</v>
      </c>
      <c r="GM361">
        <f t="shared" si="311"/>
        <v>602.39</v>
      </c>
      <c r="GN361">
        <f t="shared" si="312"/>
        <v>0</v>
      </c>
      <c r="GO361">
        <f t="shared" si="313"/>
        <v>602.39</v>
      </c>
      <c r="GP361">
        <f t="shared" si="314"/>
        <v>0</v>
      </c>
      <c r="GR361">
        <v>0</v>
      </c>
      <c r="GS361">
        <v>3</v>
      </c>
      <c r="GT361">
        <v>0</v>
      </c>
      <c r="GU361" t="s">
        <v>6</v>
      </c>
      <c r="GV361">
        <f t="shared" si="315"/>
        <v>0</v>
      </c>
      <c r="GW361">
        <v>1</v>
      </c>
      <c r="GX361">
        <f t="shared" si="316"/>
        <v>0</v>
      </c>
      <c r="HA361">
        <v>0</v>
      </c>
      <c r="HB361">
        <v>0</v>
      </c>
      <c r="IK361">
        <v>0</v>
      </c>
    </row>
    <row r="362" spans="1:245" x14ac:dyDescent="0.2">
      <c r="A362">
        <v>17</v>
      </c>
      <c r="B362">
        <v>1</v>
      </c>
      <c r="C362">
        <f>ROW(SmtRes!A517)</f>
        <v>517</v>
      </c>
      <c r="D362">
        <f>ROW(EtalonRes!A481)</f>
        <v>481</v>
      </c>
      <c r="E362" t="s">
        <v>744</v>
      </c>
      <c r="F362" t="s">
        <v>745</v>
      </c>
      <c r="G362" t="s">
        <v>746</v>
      </c>
      <c r="H362" t="s">
        <v>34</v>
      </c>
      <c r="I362">
        <f>ROUND(57/100,9)</f>
        <v>0.56999999999999995</v>
      </c>
      <c r="J362">
        <v>0</v>
      </c>
      <c r="O362">
        <f t="shared" si="278"/>
        <v>325.87</v>
      </c>
      <c r="P362">
        <f t="shared" si="279"/>
        <v>84.84</v>
      </c>
      <c r="Q362">
        <f t="shared" si="280"/>
        <v>19.93</v>
      </c>
      <c r="R362">
        <f t="shared" si="281"/>
        <v>2.84</v>
      </c>
      <c r="S362">
        <f t="shared" si="282"/>
        <v>221.1</v>
      </c>
      <c r="T362">
        <f t="shared" si="283"/>
        <v>0</v>
      </c>
      <c r="U362">
        <f t="shared" si="284"/>
        <v>3.5852999999999997</v>
      </c>
      <c r="V362">
        <f t="shared" si="285"/>
        <v>3.4199999999999994E-2</v>
      </c>
      <c r="W362">
        <f t="shared" si="286"/>
        <v>0</v>
      </c>
      <c r="X362">
        <f t="shared" si="287"/>
        <v>212.74</v>
      </c>
      <c r="Y362">
        <f t="shared" si="288"/>
        <v>145.56</v>
      </c>
      <c r="AA362">
        <v>16748969</v>
      </c>
      <c r="AB362">
        <f t="shared" si="289"/>
        <v>87.15</v>
      </c>
      <c r="AC362">
        <f t="shared" si="290"/>
        <v>22.69</v>
      </c>
      <c r="AD362">
        <f t="shared" si="291"/>
        <v>5.33</v>
      </c>
      <c r="AE362">
        <f t="shared" si="292"/>
        <v>0.76</v>
      </c>
      <c r="AF362">
        <f t="shared" si="293"/>
        <v>59.13</v>
      </c>
      <c r="AG362">
        <f t="shared" si="294"/>
        <v>0</v>
      </c>
      <c r="AH362">
        <f t="shared" si="295"/>
        <v>6.29</v>
      </c>
      <c r="AI362">
        <f t="shared" si="296"/>
        <v>0.06</v>
      </c>
      <c r="AJ362">
        <f t="shared" si="297"/>
        <v>0</v>
      </c>
      <c r="AK362">
        <v>87.15</v>
      </c>
      <c r="AL362">
        <v>22.69</v>
      </c>
      <c r="AM362">
        <v>5.33</v>
      </c>
      <c r="AN362">
        <v>0.76</v>
      </c>
      <c r="AO362">
        <v>59.13</v>
      </c>
      <c r="AP362">
        <v>0</v>
      </c>
      <c r="AQ362">
        <v>6.29</v>
      </c>
      <c r="AR362">
        <v>0.06</v>
      </c>
      <c r="AS362">
        <v>0</v>
      </c>
      <c r="AT362">
        <v>95</v>
      </c>
      <c r="AU362">
        <v>65</v>
      </c>
      <c r="AV362">
        <v>1</v>
      </c>
      <c r="AW362">
        <v>1</v>
      </c>
      <c r="AZ362">
        <v>6.56</v>
      </c>
      <c r="BA362">
        <v>6.56</v>
      </c>
      <c r="BB362">
        <v>6.56</v>
      </c>
      <c r="BC362">
        <v>6.56</v>
      </c>
      <c r="BD362" t="s">
        <v>6</v>
      </c>
      <c r="BE362" t="s">
        <v>6</v>
      </c>
      <c r="BF362" t="s">
        <v>6</v>
      </c>
      <c r="BG362" t="s">
        <v>6</v>
      </c>
      <c r="BH362">
        <v>0</v>
      </c>
      <c r="BI362">
        <v>2</v>
      </c>
      <c r="BJ362" t="s">
        <v>747</v>
      </c>
      <c r="BM362">
        <v>108001</v>
      </c>
      <c r="BN362">
        <v>0</v>
      </c>
      <c r="BO362" t="s">
        <v>6</v>
      </c>
      <c r="BP362">
        <v>0</v>
      </c>
      <c r="BQ362">
        <v>3</v>
      </c>
      <c r="BR362">
        <v>0</v>
      </c>
      <c r="BS362">
        <v>6.56</v>
      </c>
      <c r="BT362">
        <v>1</v>
      </c>
      <c r="BU362">
        <v>1</v>
      </c>
      <c r="BV362">
        <v>1</v>
      </c>
      <c r="BW362">
        <v>1</v>
      </c>
      <c r="BX362">
        <v>1</v>
      </c>
      <c r="BY362" t="s">
        <v>6</v>
      </c>
      <c r="BZ362">
        <v>95</v>
      </c>
      <c r="CA362">
        <v>65</v>
      </c>
      <c r="CF362">
        <v>0</v>
      </c>
      <c r="CG362">
        <v>0</v>
      </c>
      <c r="CM362">
        <v>0</v>
      </c>
      <c r="CN362" t="s">
        <v>6</v>
      </c>
      <c r="CO362">
        <v>0</v>
      </c>
      <c r="CP362">
        <f t="shared" si="298"/>
        <v>325.87</v>
      </c>
      <c r="CQ362">
        <f t="shared" si="299"/>
        <v>148.84639999999999</v>
      </c>
      <c r="CR362">
        <f t="shared" si="300"/>
        <v>34.964799999999997</v>
      </c>
      <c r="CS362">
        <f t="shared" si="301"/>
        <v>4.9855999999999998</v>
      </c>
      <c r="CT362">
        <f t="shared" si="302"/>
        <v>387.89279999999997</v>
      </c>
      <c r="CU362">
        <f t="shared" si="303"/>
        <v>0</v>
      </c>
      <c r="CV362">
        <f t="shared" si="304"/>
        <v>6.29</v>
      </c>
      <c r="CW362">
        <f t="shared" si="305"/>
        <v>0.06</v>
      </c>
      <c r="CX362">
        <f t="shared" si="306"/>
        <v>0</v>
      </c>
      <c r="CY362">
        <f t="shared" si="307"/>
        <v>212.74299999999999</v>
      </c>
      <c r="CZ362">
        <f t="shared" si="308"/>
        <v>145.56100000000001</v>
      </c>
      <c r="DC362" t="s">
        <v>6</v>
      </c>
      <c r="DD362" t="s">
        <v>6</v>
      </c>
      <c r="DE362" t="s">
        <v>6</v>
      </c>
      <c r="DF362" t="s">
        <v>6</v>
      </c>
      <c r="DG362" t="s">
        <v>6</v>
      </c>
      <c r="DH362" t="s">
        <v>6</v>
      </c>
      <c r="DI362" t="s">
        <v>6</v>
      </c>
      <c r="DJ362" t="s">
        <v>6</v>
      </c>
      <c r="DK362" t="s">
        <v>6</v>
      </c>
      <c r="DL362" t="s">
        <v>6</v>
      </c>
      <c r="DM362" t="s">
        <v>6</v>
      </c>
      <c r="DN362">
        <v>0</v>
      </c>
      <c r="DO362">
        <v>0</v>
      </c>
      <c r="DP362">
        <v>1</v>
      </c>
      <c r="DQ362">
        <v>1</v>
      </c>
      <c r="DU362">
        <v>1003</v>
      </c>
      <c r="DV362" t="s">
        <v>34</v>
      </c>
      <c r="DW362" t="s">
        <v>34</v>
      </c>
      <c r="DX362">
        <v>100</v>
      </c>
      <c r="EE362">
        <v>16510370</v>
      </c>
      <c r="EF362">
        <v>3</v>
      </c>
      <c r="EG362" t="s">
        <v>591</v>
      </c>
      <c r="EH362">
        <v>0</v>
      </c>
      <c r="EI362" t="s">
        <v>6</v>
      </c>
      <c r="EJ362">
        <v>2</v>
      </c>
      <c r="EK362">
        <v>108001</v>
      </c>
      <c r="EL362" t="s">
        <v>592</v>
      </c>
      <c r="EM362" t="s">
        <v>593</v>
      </c>
      <c r="EO362" t="s">
        <v>6</v>
      </c>
      <c r="EQ362">
        <v>131072</v>
      </c>
      <c r="ER362">
        <v>87.15</v>
      </c>
      <c r="ES362">
        <v>22.69</v>
      </c>
      <c r="ET362">
        <v>5.33</v>
      </c>
      <c r="EU362">
        <v>0.76</v>
      </c>
      <c r="EV362">
        <v>59.13</v>
      </c>
      <c r="EW362">
        <v>6.29</v>
      </c>
      <c r="EX362">
        <v>0.06</v>
      </c>
      <c r="EY362">
        <v>0</v>
      </c>
      <c r="FQ362">
        <v>0</v>
      </c>
      <c r="FR362">
        <f t="shared" si="309"/>
        <v>0</v>
      </c>
      <c r="FS362">
        <v>0</v>
      </c>
      <c r="FX362">
        <v>95</v>
      </c>
      <c r="FY362">
        <v>65</v>
      </c>
      <c r="GA362" t="s">
        <v>6</v>
      </c>
      <c r="GD362">
        <v>0</v>
      </c>
      <c r="GF362">
        <v>1667817228</v>
      </c>
      <c r="GG362">
        <v>1</v>
      </c>
      <c r="GH362">
        <v>1</v>
      </c>
      <c r="GI362">
        <v>4</v>
      </c>
      <c r="GJ362">
        <v>0</v>
      </c>
      <c r="GK362">
        <f>ROUND(R362*(R12)/100,2)</f>
        <v>0</v>
      </c>
      <c r="GL362">
        <f t="shared" si="310"/>
        <v>0</v>
      </c>
      <c r="GM362">
        <f t="shared" si="311"/>
        <v>684.17</v>
      </c>
      <c r="GN362">
        <f t="shared" si="312"/>
        <v>0</v>
      </c>
      <c r="GO362">
        <f t="shared" si="313"/>
        <v>684.17</v>
      </c>
      <c r="GP362">
        <f t="shared" si="314"/>
        <v>0</v>
      </c>
      <c r="GR362">
        <v>0</v>
      </c>
      <c r="GS362">
        <v>3</v>
      </c>
      <c r="GT362">
        <v>0</v>
      </c>
      <c r="GU362" t="s">
        <v>6</v>
      </c>
      <c r="GV362">
        <f t="shared" si="315"/>
        <v>0</v>
      </c>
      <c r="GW362">
        <v>1</v>
      </c>
      <c r="GX362">
        <f t="shared" si="316"/>
        <v>0</v>
      </c>
      <c r="HA362">
        <v>0</v>
      </c>
      <c r="HB362">
        <v>0</v>
      </c>
      <c r="IK362">
        <v>0</v>
      </c>
    </row>
    <row r="363" spans="1:245" x14ac:dyDescent="0.2">
      <c r="A363">
        <v>18</v>
      </c>
      <c r="B363">
        <v>1</v>
      </c>
      <c r="C363">
        <v>516</v>
      </c>
      <c r="E363" t="s">
        <v>748</v>
      </c>
      <c r="F363" t="s">
        <v>739</v>
      </c>
      <c r="G363" t="s">
        <v>740</v>
      </c>
      <c r="H363" t="s">
        <v>641</v>
      </c>
      <c r="I363">
        <f>I362*J363</f>
        <v>5.6999999999999995E-2</v>
      </c>
      <c r="J363">
        <v>0.1</v>
      </c>
      <c r="O363">
        <f t="shared" si="278"/>
        <v>2587.6799999999998</v>
      </c>
      <c r="P363">
        <f t="shared" si="279"/>
        <v>2587.6799999999998</v>
      </c>
      <c r="Q363">
        <f t="shared" si="280"/>
        <v>0</v>
      </c>
      <c r="R363">
        <f t="shared" si="281"/>
        <v>0</v>
      </c>
      <c r="S363">
        <f t="shared" si="282"/>
        <v>0</v>
      </c>
      <c r="T363">
        <f t="shared" si="283"/>
        <v>0</v>
      </c>
      <c r="U363">
        <f t="shared" si="284"/>
        <v>0</v>
      </c>
      <c r="V363">
        <f t="shared" si="285"/>
        <v>0</v>
      </c>
      <c r="W363">
        <f t="shared" si="286"/>
        <v>0</v>
      </c>
      <c r="X363">
        <f t="shared" si="287"/>
        <v>0</v>
      </c>
      <c r="Y363">
        <f t="shared" si="288"/>
        <v>0</v>
      </c>
      <c r="AA363">
        <v>16748969</v>
      </c>
      <c r="AB363">
        <f t="shared" si="289"/>
        <v>6920.41</v>
      </c>
      <c r="AC363">
        <f t="shared" si="290"/>
        <v>6920.41</v>
      </c>
      <c r="AD363">
        <f t="shared" si="291"/>
        <v>0</v>
      </c>
      <c r="AE363">
        <f t="shared" si="292"/>
        <v>0</v>
      </c>
      <c r="AF363">
        <f t="shared" si="293"/>
        <v>0</v>
      </c>
      <c r="AG363">
        <f t="shared" si="294"/>
        <v>0</v>
      </c>
      <c r="AH363">
        <f t="shared" si="295"/>
        <v>0</v>
      </c>
      <c r="AI363">
        <f t="shared" si="296"/>
        <v>0</v>
      </c>
      <c r="AJ363">
        <f t="shared" si="297"/>
        <v>0</v>
      </c>
      <c r="AK363">
        <v>6920.41</v>
      </c>
      <c r="AL363">
        <v>6920.41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  <c r="AS363">
        <v>0</v>
      </c>
      <c r="AT363">
        <v>95</v>
      </c>
      <c r="AU363">
        <v>65</v>
      </c>
      <c r="AV363">
        <v>1</v>
      </c>
      <c r="AW363">
        <v>1</v>
      </c>
      <c r="AZ363">
        <v>6.56</v>
      </c>
      <c r="BA363">
        <v>1</v>
      </c>
      <c r="BB363">
        <v>1</v>
      </c>
      <c r="BC363">
        <v>6.56</v>
      </c>
      <c r="BD363" t="s">
        <v>6</v>
      </c>
      <c r="BE363" t="s">
        <v>6</v>
      </c>
      <c r="BF363" t="s">
        <v>6</v>
      </c>
      <c r="BG363" t="s">
        <v>6</v>
      </c>
      <c r="BH363">
        <v>3</v>
      </c>
      <c r="BI363">
        <v>2</v>
      </c>
      <c r="BJ363" t="s">
        <v>741</v>
      </c>
      <c r="BM363">
        <v>108001</v>
      </c>
      <c r="BN363">
        <v>0</v>
      </c>
      <c r="BO363" t="s">
        <v>6</v>
      </c>
      <c r="BP363">
        <v>0</v>
      </c>
      <c r="BQ363">
        <v>3</v>
      </c>
      <c r="BR363">
        <v>0</v>
      </c>
      <c r="BS363">
        <v>1</v>
      </c>
      <c r="BT363">
        <v>1</v>
      </c>
      <c r="BU363">
        <v>1</v>
      </c>
      <c r="BV363">
        <v>1</v>
      </c>
      <c r="BW363">
        <v>1</v>
      </c>
      <c r="BX363">
        <v>1</v>
      </c>
      <c r="BY363" t="s">
        <v>6</v>
      </c>
      <c r="BZ363">
        <v>95</v>
      </c>
      <c r="CA363">
        <v>65</v>
      </c>
      <c r="CF363">
        <v>0</v>
      </c>
      <c r="CG363">
        <v>0</v>
      </c>
      <c r="CM363">
        <v>0</v>
      </c>
      <c r="CN363" t="s">
        <v>6</v>
      </c>
      <c r="CO363">
        <v>0</v>
      </c>
      <c r="CP363">
        <f t="shared" si="298"/>
        <v>2587.6799999999998</v>
      </c>
      <c r="CQ363">
        <f t="shared" si="299"/>
        <v>45397.889599999995</v>
      </c>
      <c r="CR363">
        <f t="shared" si="300"/>
        <v>0</v>
      </c>
      <c r="CS363">
        <f t="shared" si="301"/>
        <v>0</v>
      </c>
      <c r="CT363">
        <f t="shared" si="302"/>
        <v>0</v>
      </c>
      <c r="CU363">
        <f t="shared" si="303"/>
        <v>0</v>
      </c>
      <c r="CV363">
        <f t="shared" si="304"/>
        <v>0</v>
      </c>
      <c r="CW363">
        <f t="shared" si="305"/>
        <v>0</v>
      </c>
      <c r="CX363">
        <f t="shared" si="306"/>
        <v>0</v>
      </c>
      <c r="CY363">
        <f t="shared" si="307"/>
        <v>0</v>
      </c>
      <c r="CZ363">
        <f t="shared" si="308"/>
        <v>0</v>
      </c>
      <c r="DC363" t="s">
        <v>6</v>
      </c>
      <c r="DD363" t="s">
        <v>6</v>
      </c>
      <c r="DE363" t="s">
        <v>6</v>
      </c>
      <c r="DF363" t="s">
        <v>6</v>
      </c>
      <c r="DG363" t="s">
        <v>6</v>
      </c>
      <c r="DH363" t="s">
        <v>6</v>
      </c>
      <c r="DI363" t="s">
        <v>6</v>
      </c>
      <c r="DJ363" t="s">
        <v>6</v>
      </c>
      <c r="DK363" t="s">
        <v>6</v>
      </c>
      <c r="DL363" t="s">
        <v>6</v>
      </c>
      <c r="DM363" t="s">
        <v>6</v>
      </c>
      <c r="DN363">
        <v>0</v>
      </c>
      <c r="DO363">
        <v>0</v>
      </c>
      <c r="DP363">
        <v>1</v>
      </c>
      <c r="DQ363">
        <v>1</v>
      </c>
      <c r="DU363">
        <v>1013</v>
      </c>
      <c r="DV363" t="s">
        <v>641</v>
      </c>
      <c r="DW363" t="s">
        <v>643</v>
      </c>
      <c r="DX363">
        <v>1</v>
      </c>
      <c r="EE363">
        <v>16510370</v>
      </c>
      <c r="EF363">
        <v>3</v>
      </c>
      <c r="EG363" t="s">
        <v>591</v>
      </c>
      <c r="EH363">
        <v>0</v>
      </c>
      <c r="EI363" t="s">
        <v>6</v>
      </c>
      <c r="EJ363">
        <v>2</v>
      </c>
      <c r="EK363">
        <v>108001</v>
      </c>
      <c r="EL363" t="s">
        <v>592</v>
      </c>
      <c r="EM363" t="s">
        <v>593</v>
      </c>
      <c r="EO363" t="s">
        <v>6</v>
      </c>
      <c r="EQ363">
        <v>0</v>
      </c>
      <c r="ER363">
        <v>6920.41</v>
      </c>
      <c r="ES363">
        <v>6920.41</v>
      </c>
      <c r="ET363">
        <v>0</v>
      </c>
      <c r="EU363">
        <v>0</v>
      </c>
      <c r="EV363">
        <v>0</v>
      </c>
      <c r="EW363">
        <v>0</v>
      </c>
      <c r="EX363">
        <v>0</v>
      </c>
      <c r="FQ363">
        <v>0</v>
      </c>
      <c r="FR363">
        <f t="shared" si="309"/>
        <v>0</v>
      </c>
      <c r="FS363">
        <v>0</v>
      </c>
      <c r="FX363">
        <v>95</v>
      </c>
      <c r="FY363">
        <v>65</v>
      </c>
      <c r="GA363" t="s">
        <v>6</v>
      </c>
      <c r="GD363">
        <v>0</v>
      </c>
      <c r="GF363">
        <v>559331636</v>
      </c>
      <c r="GG363">
        <v>1</v>
      </c>
      <c r="GH363">
        <v>1</v>
      </c>
      <c r="GI363">
        <v>4</v>
      </c>
      <c r="GJ363">
        <v>0</v>
      </c>
      <c r="GK363">
        <f>ROUND(R363*(R12)/100,2)</f>
        <v>0</v>
      </c>
      <c r="GL363">
        <f t="shared" si="310"/>
        <v>0</v>
      </c>
      <c r="GM363">
        <f t="shared" si="311"/>
        <v>2587.6799999999998</v>
      </c>
      <c r="GN363">
        <f t="shared" si="312"/>
        <v>0</v>
      </c>
      <c r="GO363">
        <f t="shared" si="313"/>
        <v>2587.6799999999998</v>
      </c>
      <c r="GP363">
        <f t="shared" si="314"/>
        <v>0</v>
      </c>
      <c r="GR363">
        <v>0</v>
      </c>
      <c r="GS363">
        <v>3</v>
      </c>
      <c r="GT363">
        <v>0</v>
      </c>
      <c r="GU363" t="s">
        <v>6</v>
      </c>
      <c r="GV363">
        <f t="shared" si="315"/>
        <v>0</v>
      </c>
      <c r="GW363">
        <v>1</v>
      </c>
      <c r="GX363">
        <f t="shared" si="316"/>
        <v>0</v>
      </c>
      <c r="HA363">
        <v>0</v>
      </c>
      <c r="HB363">
        <v>0</v>
      </c>
      <c r="IK363">
        <v>0</v>
      </c>
    </row>
    <row r="364" spans="1:245" x14ac:dyDescent="0.2">
      <c r="A364">
        <v>17</v>
      </c>
      <c r="B364">
        <v>1</v>
      </c>
      <c r="C364">
        <f>ROW(SmtRes!A530)</f>
        <v>530</v>
      </c>
      <c r="D364">
        <f>ROW(EtalonRes!A493)</f>
        <v>493</v>
      </c>
      <c r="E364" t="s">
        <v>749</v>
      </c>
      <c r="F364" t="s">
        <v>693</v>
      </c>
      <c r="G364" t="s">
        <v>694</v>
      </c>
      <c r="H364" t="s">
        <v>34</v>
      </c>
      <c r="I364">
        <f>ROUND(5.6/100,9)</f>
        <v>5.6000000000000001E-2</v>
      </c>
      <c r="J364">
        <v>0</v>
      </c>
      <c r="O364">
        <f t="shared" si="278"/>
        <v>214.05</v>
      </c>
      <c r="P364">
        <f t="shared" si="279"/>
        <v>149.71</v>
      </c>
      <c r="Q364">
        <f t="shared" si="280"/>
        <v>34.78</v>
      </c>
      <c r="R364">
        <f t="shared" si="281"/>
        <v>8.57</v>
      </c>
      <c r="S364">
        <f t="shared" si="282"/>
        <v>29.56</v>
      </c>
      <c r="T364">
        <f t="shared" si="283"/>
        <v>0</v>
      </c>
      <c r="U364">
        <f t="shared" si="284"/>
        <v>0.47936000000000006</v>
      </c>
      <c r="V364">
        <f t="shared" si="285"/>
        <v>0.12712000000000001</v>
      </c>
      <c r="W364">
        <f t="shared" si="286"/>
        <v>0</v>
      </c>
      <c r="X364">
        <f t="shared" si="287"/>
        <v>36.22</v>
      </c>
      <c r="Y364">
        <f t="shared" si="288"/>
        <v>24.78</v>
      </c>
      <c r="AA364">
        <v>16748969</v>
      </c>
      <c r="AB364">
        <f t="shared" si="289"/>
        <v>582.66</v>
      </c>
      <c r="AC364">
        <f t="shared" si="290"/>
        <v>407.53</v>
      </c>
      <c r="AD364">
        <f t="shared" si="291"/>
        <v>94.67</v>
      </c>
      <c r="AE364">
        <f t="shared" si="292"/>
        <v>23.33</v>
      </c>
      <c r="AF364">
        <f t="shared" si="293"/>
        <v>80.459999999999994</v>
      </c>
      <c r="AG364">
        <f t="shared" si="294"/>
        <v>0</v>
      </c>
      <c r="AH364">
        <f t="shared" si="295"/>
        <v>8.56</v>
      </c>
      <c r="AI364">
        <f t="shared" si="296"/>
        <v>2.27</v>
      </c>
      <c r="AJ364">
        <f t="shared" si="297"/>
        <v>0</v>
      </c>
      <c r="AK364">
        <v>582.66</v>
      </c>
      <c r="AL364">
        <v>407.53</v>
      </c>
      <c r="AM364">
        <v>94.67</v>
      </c>
      <c r="AN364">
        <v>23.33</v>
      </c>
      <c r="AO364">
        <v>80.459999999999994</v>
      </c>
      <c r="AP364">
        <v>0</v>
      </c>
      <c r="AQ364">
        <v>8.56</v>
      </c>
      <c r="AR364">
        <v>2.27</v>
      </c>
      <c r="AS364">
        <v>0</v>
      </c>
      <c r="AT364">
        <v>95</v>
      </c>
      <c r="AU364">
        <v>65</v>
      </c>
      <c r="AV364">
        <v>1</v>
      </c>
      <c r="AW364">
        <v>1</v>
      </c>
      <c r="AZ364">
        <v>6.56</v>
      </c>
      <c r="BA364">
        <v>6.56</v>
      </c>
      <c r="BB364">
        <v>6.56</v>
      </c>
      <c r="BC364">
        <v>6.56</v>
      </c>
      <c r="BD364" t="s">
        <v>6</v>
      </c>
      <c r="BE364" t="s">
        <v>6</v>
      </c>
      <c r="BF364" t="s">
        <v>6</v>
      </c>
      <c r="BG364" t="s">
        <v>6</v>
      </c>
      <c r="BH364">
        <v>0</v>
      </c>
      <c r="BI364">
        <v>2</v>
      </c>
      <c r="BJ364" t="s">
        <v>695</v>
      </c>
      <c r="BM364">
        <v>108001</v>
      </c>
      <c r="BN364">
        <v>0</v>
      </c>
      <c r="BO364" t="s">
        <v>6</v>
      </c>
      <c r="BP364">
        <v>0</v>
      </c>
      <c r="BQ364">
        <v>3</v>
      </c>
      <c r="BR364">
        <v>0</v>
      </c>
      <c r="BS364">
        <v>6.56</v>
      </c>
      <c r="BT364">
        <v>1</v>
      </c>
      <c r="BU364">
        <v>1</v>
      </c>
      <c r="BV364">
        <v>1</v>
      </c>
      <c r="BW364">
        <v>1</v>
      </c>
      <c r="BX364">
        <v>1</v>
      </c>
      <c r="BY364" t="s">
        <v>6</v>
      </c>
      <c r="BZ364">
        <v>95</v>
      </c>
      <c r="CA364">
        <v>65</v>
      </c>
      <c r="CF364">
        <v>0</v>
      </c>
      <c r="CG364">
        <v>0</v>
      </c>
      <c r="CM364">
        <v>0</v>
      </c>
      <c r="CN364" t="s">
        <v>6</v>
      </c>
      <c r="CO364">
        <v>0</v>
      </c>
      <c r="CP364">
        <f t="shared" si="298"/>
        <v>214.05</v>
      </c>
      <c r="CQ364">
        <f t="shared" si="299"/>
        <v>2673.3967999999995</v>
      </c>
      <c r="CR364">
        <f t="shared" si="300"/>
        <v>621.03519999999992</v>
      </c>
      <c r="CS364">
        <f t="shared" si="301"/>
        <v>153.04479999999998</v>
      </c>
      <c r="CT364">
        <f t="shared" si="302"/>
        <v>527.81759999999997</v>
      </c>
      <c r="CU364">
        <f t="shared" si="303"/>
        <v>0</v>
      </c>
      <c r="CV364">
        <f t="shared" si="304"/>
        <v>8.56</v>
      </c>
      <c r="CW364">
        <f t="shared" si="305"/>
        <v>2.27</v>
      </c>
      <c r="CX364">
        <f t="shared" si="306"/>
        <v>0</v>
      </c>
      <c r="CY364">
        <f t="shared" si="307"/>
        <v>36.223499999999994</v>
      </c>
      <c r="CZ364">
        <f t="shared" si="308"/>
        <v>24.784499999999998</v>
      </c>
      <c r="DC364" t="s">
        <v>6</v>
      </c>
      <c r="DD364" t="s">
        <v>6</v>
      </c>
      <c r="DE364" t="s">
        <v>6</v>
      </c>
      <c r="DF364" t="s">
        <v>6</v>
      </c>
      <c r="DG364" t="s">
        <v>6</v>
      </c>
      <c r="DH364" t="s">
        <v>6</v>
      </c>
      <c r="DI364" t="s">
        <v>6</v>
      </c>
      <c r="DJ364" t="s">
        <v>6</v>
      </c>
      <c r="DK364" t="s">
        <v>6</v>
      </c>
      <c r="DL364" t="s">
        <v>6</v>
      </c>
      <c r="DM364" t="s">
        <v>6</v>
      </c>
      <c r="DN364">
        <v>0</v>
      </c>
      <c r="DO364">
        <v>0</v>
      </c>
      <c r="DP364">
        <v>1</v>
      </c>
      <c r="DQ364">
        <v>1</v>
      </c>
      <c r="DU364">
        <v>1003</v>
      </c>
      <c r="DV364" t="s">
        <v>34</v>
      </c>
      <c r="DW364" t="s">
        <v>34</v>
      </c>
      <c r="DX364">
        <v>100</v>
      </c>
      <c r="EE364">
        <v>16510370</v>
      </c>
      <c r="EF364">
        <v>3</v>
      </c>
      <c r="EG364" t="s">
        <v>591</v>
      </c>
      <c r="EH364">
        <v>0</v>
      </c>
      <c r="EI364" t="s">
        <v>6</v>
      </c>
      <c r="EJ364">
        <v>2</v>
      </c>
      <c r="EK364">
        <v>108001</v>
      </c>
      <c r="EL364" t="s">
        <v>592</v>
      </c>
      <c r="EM364" t="s">
        <v>593</v>
      </c>
      <c r="EO364" t="s">
        <v>6</v>
      </c>
      <c r="EQ364">
        <v>131072</v>
      </c>
      <c r="ER364">
        <v>582.66</v>
      </c>
      <c r="ES364">
        <v>407.53</v>
      </c>
      <c r="ET364">
        <v>94.67</v>
      </c>
      <c r="EU364">
        <v>23.33</v>
      </c>
      <c r="EV364">
        <v>80.459999999999994</v>
      </c>
      <c r="EW364">
        <v>8.56</v>
      </c>
      <c r="EX364">
        <v>2.27</v>
      </c>
      <c r="EY364">
        <v>0</v>
      </c>
      <c r="FQ364">
        <v>0</v>
      </c>
      <c r="FR364">
        <f t="shared" si="309"/>
        <v>0</v>
      </c>
      <c r="FS364">
        <v>0</v>
      </c>
      <c r="FX364">
        <v>95</v>
      </c>
      <c r="FY364">
        <v>65</v>
      </c>
      <c r="GA364" t="s">
        <v>6</v>
      </c>
      <c r="GD364">
        <v>0</v>
      </c>
      <c r="GF364">
        <v>-1279751464</v>
      </c>
      <c r="GG364">
        <v>1</v>
      </c>
      <c r="GH364">
        <v>1</v>
      </c>
      <c r="GI364">
        <v>4</v>
      </c>
      <c r="GJ364">
        <v>0</v>
      </c>
      <c r="GK364">
        <f>ROUND(R364*(R12)/100,2)</f>
        <v>0</v>
      </c>
      <c r="GL364">
        <f t="shared" si="310"/>
        <v>0</v>
      </c>
      <c r="GM364">
        <f t="shared" si="311"/>
        <v>275.05</v>
      </c>
      <c r="GN364">
        <f t="shared" si="312"/>
        <v>0</v>
      </c>
      <c r="GO364">
        <f t="shared" si="313"/>
        <v>275.05</v>
      </c>
      <c r="GP364">
        <f t="shared" si="314"/>
        <v>0</v>
      </c>
      <c r="GR364">
        <v>0</v>
      </c>
      <c r="GS364">
        <v>3</v>
      </c>
      <c r="GT364">
        <v>0</v>
      </c>
      <c r="GU364" t="s">
        <v>6</v>
      </c>
      <c r="GV364">
        <f t="shared" si="315"/>
        <v>0</v>
      </c>
      <c r="GW364">
        <v>1</v>
      </c>
      <c r="GX364">
        <f t="shared" si="316"/>
        <v>0</v>
      </c>
      <c r="HA364">
        <v>0</v>
      </c>
      <c r="HB364">
        <v>0</v>
      </c>
      <c r="IK364">
        <v>0</v>
      </c>
    </row>
    <row r="365" spans="1:245" x14ac:dyDescent="0.2">
      <c r="A365">
        <v>18</v>
      </c>
      <c r="B365">
        <v>1</v>
      </c>
      <c r="C365">
        <v>528</v>
      </c>
      <c r="E365" t="s">
        <v>750</v>
      </c>
      <c r="F365" t="s">
        <v>697</v>
      </c>
      <c r="G365" t="s">
        <v>698</v>
      </c>
      <c r="H365" t="s">
        <v>53</v>
      </c>
      <c r="I365">
        <f>I364*J365</f>
        <v>2</v>
      </c>
      <c r="J365">
        <v>35.714285714285715</v>
      </c>
      <c r="O365">
        <f t="shared" si="278"/>
        <v>818.69</v>
      </c>
      <c r="P365">
        <f t="shared" si="279"/>
        <v>818.69</v>
      </c>
      <c r="Q365">
        <f t="shared" si="280"/>
        <v>0</v>
      </c>
      <c r="R365">
        <f t="shared" si="281"/>
        <v>0</v>
      </c>
      <c r="S365">
        <f t="shared" si="282"/>
        <v>0</v>
      </c>
      <c r="T365">
        <f t="shared" si="283"/>
        <v>0</v>
      </c>
      <c r="U365">
        <f t="shared" si="284"/>
        <v>0</v>
      </c>
      <c r="V365">
        <f t="shared" si="285"/>
        <v>0</v>
      </c>
      <c r="W365">
        <f t="shared" si="286"/>
        <v>0</v>
      </c>
      <c r="X365">
        <f t="shared" si="287"/>
        <v>0</v>
      </c>
      <c r="Y365">
        <f t="shared" si="288"/>
        <v>0</v>
      </c>
      <c r="AA365">
        <v>16748969</v>
      </c>
      <c r="AB365">
        <f t="shared" si="289"/>
        <v>62.4</v>
      </c>
      <c r="AC365">
        <f t="shared" si="290"/>
        <v>62.4</v>
      </c>
      <c r="AD365">
        <f t="shared" si="291"/>
        <v>0</v>
      </c>
      <c r="AE365">
        <f t="shared" si="292"/>
        <v>0</v>
      </c>
      <c r="AF365">
        <f t="shared" si="293"/>
        <v>0</v>
      </c>
      <c r="AG365">
        <f t="shared" si="294"/>
        <v>0</v>
      </c>
      <c r="AH365">
        <f t="shared" si="295"/>
        <v>0</v>
      </c>
      <c r="AI365">
        <f t="shared" si="296"/>
        <v>0</v>
      </c>
      <c r="AJ365">
        <f t="shared" si="297"/>
        <v>0</v>
      </c>
      <c r="AK365">
        <v>62.4</v>
      </c>
      <c r="AL365">
        <v>62.4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  <c r="AS365">
        <v>0</v>
      </c>
      <c r="AT365">
        <v>95</v>
      </c>
      <c r="AU365">
        <v>65</v>
      </c>
      <c r="AV365">
        <v>1</v>
      </c>
      <c r="AW365">
        <v>1</v>
      </c>
      <c r="AZ365">
        <v>6.56</v>
      </c>
      <c r="BA365">
        <v>1</v>
      </c>
      <c r="BB365">
        <v>1</v>
      </c>
      <c r="BC365">
        <v>6.56</v>
      </c>
      <c r="BD365" t="s">
        <v>6</v>
      </c>
      <c r="BE365" t="s">
        <v>6</v>
      </c>
      <c r="BF365" t="s">
        <v>6</v>
      </c>
      <c r="BG365" t="s">
        <v>6</v>
      </c>
      <c r="BH365">
        <v>3</v>
      </c>
      <c r="BI365">
        <v>2</v>
      </c>
      <c r="BJ365" t="s">
        <v>699</v>
      </c>
      <c r="BM365">
        <v>108001</v>
      </c>
      <c r="BN365">
        <v>0</v>
      </c>
      <c r="BO365" t="s">
        <v>6</v>
      </c>
      <c r="BP365">
        <v>0</v>
      </c>
      <c r="BQ365">
        <v>3</v>
      </c>
      <c r="BR365">
        <v>0</v>
      </c>
      <c r="BS365">
        <v>1</v>
      </c>
      <c r="BT365">
        <v>1</v>
      </c>
      <c r="BU365">
        <v>1</v>
      </c>
      <c r="BV365">
        <v>1</v>
      </c>
      <c r="BW365">
        <v>1</v>
      </c>
      <c r="BX365">
        <v>1</v>
      </c>
      <c r="BY365" t="s">
        <v>6</v>
      </c>
      <c r="BZ365">
        <v>95</v>
      </c>
      <c r="CA365">
        <v>65</v>
      </c>
      <c r="CF365">
        <v>0</v>
      </c>
      <c r="CG365">
        <v>0</v>
      </c>
      <c r="CM365">
        <v>0</v>
      </c>
      <c r="CN365" t="s">
        <v>6</v>
      </c>
      <c r="CO365">
        <v>0</v>
      </c>
      <c r="CP365">
        <f t="shared" si="298"/>
        <v>818.69</v>
      </c>
      <c r="CQ365">
        <f t="shared" si="299"/>
        <v>409.34399999999999</v>
      </c>
      <c r="CR365">
        <f t="shared" si="300"/>
        <v>0</v>
      </c>
      <c r="CS365">
        <f t="shared" si="301"/>
        <v>0</v>
      </c>
      <c r="CT365">
        <f t="shared" si="302"/>
        <v>0</v>
      </c>
      <c r="CU365">
        <f t="shared" si="303"/>
        <v>0</v>
      </c>
      <c r="CV365">
        <f t="shared" si="304"/>
        <v>0</v>
      </c>
      <c r="CW365">
        <f t="shared" si="305"/>
        <v>0</v>
      </c>
      <c r="CX365">
        <f t="shared" si="306"/>
        <v>0</v>
      </c>
      <c r="CY365">
        <f t="shared" si="307"/>
        <v>0</v>
      </c>
      <c r="CZ365">
        <f t="shared" si="308"/>
        <v>0</v>
      </c>
      <c r="DC365" t="s">
        <v>6</v>
      </c>
      <c r="DD365" t="s">
        <v>6</v>
      </c>
      <c r="DE365" t="s">
        <v>6</v>
      </c>
      <c r="DF365" t="s">
        <v>6</v>
      </c>
      <c r="DG365" t="s">
        <v>6</v>
      </c>
      <c r="DH365" t="s">
        <v>6</v>
      </c>
      <c r="DI365" t="s">
        <v>6</v>
      </c>
      <c r="DJ365" t="s">
        <v>6</v>
      </c>
      <c r="DK365" t="s">
        <v>6</v>
      </c>
      <c r="DL365" t="s">
        <v>6</v>
      </c>
      <c r="DM365" t="s">
        <v>6</v>
      </c>
      <c r="DN365">
        <v>0</v>
      </c>
      <c r="DO365">
        <v>0</v>
      </c>
      <c r="DP365">
        <v>1</v>
      </c>
      <c r="DQ365">
        <v>1</v>
      </c>
      <c r="DU365">
        <v>1010</v>
      </c>
      <c r="DV365" t="s">
        <v>53</v>
      </c>
      <c r="DW365" t="s">
        <v>53</v>
      </c>
      <c r="DX365">
        <v>1</v>
      </c>
      <c r="EE365">
        <v>16510370</v>
      </c>
      <c r="EF365">
        <v>3</v>
      </c>
      <c r="EG365" t="s">
        <v>591</v>
      </c>
      <c r="EH365">
        <v>0</v>
      </c>
      <c r="EI365" t="s">
        <v>6</v>
      </c>
      <c r="EJ365">
        <v>2</v>
      </c>
      <c r="EK365">
        <v>108001</v>
      </c>
      <c r="EL365" t="s">
        <v>592</v>
      </c>
      <c r="EM365" t="s">
        <v>593</v>
      </c>
      <c r="EO365" t="s">
        <v>6</v>
      </c>
      <c r="EQ365">
        <v>0</v>
      </c>
      <c r="ER365">
        <v>62.4</v>
      </c>
      <c r="ES365">
        <v>62.4</v>
      </c>
      <c r="ET365">
        <v>0</v>
      </c>
      <c r="EU365">
        <v>0</v>
      </c>
      <c r="EV365">
        <v>0</v>
      </c>
      <c r="EW365">
        <v>0</v>
      </c>
      <c r="EX365">
        <v>0</v>
      </c>
      <c r="FQ365">
        <v>0</v>
      </c>
      <c r="FR365">
        <f t="shared" si="309"/>
        <v>0</v>
      </c>
      <c r="FS365">
        <v>0</v>
      </c>
      <c r="FX365">
        <v>95</v>
      </c>
      <c r="FY365">
        <v>65</v>
      </c>
      <c r="GA365" t="s">
        <v>6</v>
      </c>
      <c r="GD365">
        <v>0</v>
      </c>
      <c r="GF365">
        <v>1131365880</v>
      </c>
      <c r="GG365">
        <v>1</v>
      </c>
      <c r="GH365">
        <v>1</v>
      </c>
      <c r="GI365">
        <v>4</v>
      </c>
      <c r="GJ365">
        <v>0</v>
      </c>
      <c r="GK365">
        <f>ROUND(R365*(R12)/100,2)</f>
        <v>0</v>
      </c>
      <c r="GL365">
        <f t="shared" si="310"/>
        <v>0</v>
      </c>
      <c r="GM365">
        <f t="shared" si="311"/>
        <v>818.69</v>
      </c>
      <c r="GN365">
        <f t="shared" si="312"/>
        <v>0</v>
      </c>
      <c r="GO365">
        <f t="shared" si="313"/>
        <v>818.69</v>
      </c>
      <c r="GP365">
        <f t="shared" si="314"/>
        <v>0</v>
      </c>
      <c r="GR365">
        <v>0</v>
      </c>
      <c r="GS365">
        <v>3</v>
      </c>
      <c r="GT365">
        <v>0</v>
      </c>
      <c r="GU365" t="s">
        <v>6</v>
      </c>
      <c r="GV365">
        <f t="shared" si="315"/>
        <v>0</v>
      </c>
      <c r="GW365">
        <v>1</v>
      </c>
      <c r="GX365">
        <f t="shared" si="316"/>
        <v>0</v>
      </c>
      <c r="HA365">
        <v>0</v>
      </c>
      <c r="HB365">
        <v>0</v>
      </c>
      <c r="IK365">
        <v>0</v>
      </c>
    </row>
    <row r="366" spans="1:245" x14ac:dyDescent="0.2">
      <c r="A366">
        <v>17</v>
      </c>
      <c r="B366">
        <v>1</v>
      </c>
      <c r="C366">
        <f>ROW(SmtRes!A539)</f>
        <v>539</v>
      </c>
      <c r="D366">
        <f>ROW(EtalonRes!A501)</f>
        <v>501</v>
      </c>
      <c r="E366" t="s">
        <v>751</v>
      </c>
      <c r="F366" t="s">
        <v>752</v>
      </c>
      <c r="G366" t="s">
        <v>753</v>
      </c>
      <c r="H366" t="s">
        <v>34</v>
      </c>
      <c r="I366">
        <f>ROUND(10/100,9)</f>
        <v>0.1</v>
      </c>
      <c r="J366">
        <v>0</v>
      </c>
      <c r="O366">
        <f t="shared" si="278"/>
        <v>23.74</v>
      </c>
      <c r="P366">
        <f t="shared" si="279"/>
        <v>8.7100000000000009</v>
      </c>
      <c r="Q366">
        <f t="shared" si="280"/>
        <v>2.33</v>
      </c>
      <c r="R366">
        <f t="shared" si="281"/>
        <v>0.33</v>
      </c>
      <c r="S366">
        <f t="shared" si="282"/>
        <v>12.7</v>
      </c>
      <c r="T366">
        <f t="shared" si="283"/>
        <v>0</v>
      </c>
      <c r="U366">
        <f t="shared" si="284"/>
        <v>0.20600000000000002</v>
      </c>
      <c r="V366">
        <f t="shared" si="285"/>
        <v>4.0000000000000001E-3</v>
      </c>
      <c r="W366">
        <f t="shared" si="286"/>
        <v>0</v>
      </c>
      <c r="X366">
        <f t="shared" si="287"/>
        <v>12.38</v>
      </c>
      <c r="Y366">
        <f t="shared" si="288"/>
        <v>8.4700000000000006</v>
      </c>
      <c r="AA366">
        <v>16748969</v>
      </c>
      <c r="AB366">
        <f t="shared" si="289"/>
        <v>36.19</v>
      </c>
      <c r="AC366">
        <f t="shared" si="290"/>
        <v>13.28</v>
      </c>
      <c r="AD366">
        <f t="shared" si="291"/>
        <v>3.55</v>
      </c>
      <c r="AE366">
        <f t="shared" si="292"/>
        <v>0.5</v>
      </c>
      <c r="AF366">
        <f t="shared" si="293"/>
        <v>19.36</v>
      </c>
      <c r="AG366">
        <f t="shared" si="294"/>
        <v>0</v>
      </c>
      <c r="AH366">
        <f t="shared" si="295"/>
        <v>2.06</v>
      </c>
      <c r="AI366">
        <f t="shared" si="296"/>
        <v>0.04</v>
      </c>
      <c r="AJ366">
        <f t="shared" si="297"/>
        <v>0</v>
      </c>
      <c r="AK366">
        <v>36.19</v>
      </c>
      <c r="AL366">
        <v>13.28</v>
      </c>
      <c r="AM366">
        <v>3.55</v>
      </c>
      <c r="AN366">
        <v>0.5</v>
      </c>
      <c r="AO366">
        <v>19.36</v>
      </c>
      <c r="AP366">
        <v>0</v>
      </c>
      <c r="AQ366">
        <v>2.06</v>
      </c>
      <c r="AR366">
        <v>0.04</v>
      </c>
      <c r="AS366">
        <v>0</v>
      </c>
      <c r="AT366">
        <v>95</v>
      </c>
      <c r="AU366">
        <v>65</v>
      </c>
      <c r="AV366">
        <v>1</v>
      </c>
      <c r="AW366">
        <v>1</v>
      </c>
      <c r="AZ366">
        <v>6.56</v>
      </c>
      <c r="BA366">
        <v>6.56</v>
      </c>
      <c r="BB366">
        <v>6.56</v>
      </c>
      <c r="BC366">
        <v>6.56</v>
      </c>
      <c r="BD366" t="s">
        <v>6</v>
      </c>
      <c r="BE366" t="s">
        <v>6</v>
      </c>
      <c r="BF366" t="s">
        <v>6</v>
      </c>
      <c r="BG366" t="s">
        <v>6</v>
      </c>
      <c r="BH366">
        <v>0</v>
      </c>
      <c r="BI366">
        <v>2</v>
      </c>
      <c r="BJ366" t="s">
        <v>754</v>
      </c>
      <c r="BM366">
        <v>108001</v>
      </c>
      <c r="BN366">
        <v>0</v>
      </c>
      <c r="BO366" t="s">
        <v>6</v>
      </c>
      <c r="BP366">
        <v>0</v>
      </c>
      <c r="BQ366">
        <v>3</v>
      </c>
      <c r="BR366">
        <v>0</v>
      </c>
      <c r="BS366">
        <v>6.56</v>
      </c>
      <c r="BT366">
        <v>1</v>
      </c>
      <c r="BU366">
        <v>1</v>
      </c>
      <c r="BV366">
        <v>1</v>
      </c>
      <c r="BW366">
        <v>1</v>
      </c>
      <c r="BX366">
        <v>1</v>
      </c>
      <c r="BY366" t="s">
        <v>6</v>
      </c>
      <c r="BZ366">
        <v>95</v>
      </c>
      <c r="CA366">
        <v>65</v>
      </c>
      <c r="CF366">
        <v>0</v>
      </c>
      <c r="CG366">
        <v>0</v>
      </c>
      <c r="CM366">
        <v>0</v>
      </c>
      <c r="CN366" t="s">
        <v>6</v>
      </c>
      <c r="CO366">
        <v>0</v>
      </c>
      <c r="CP366">
        <f t="shared" si="298"/>
        <v>23.740000000000002</v>
      </c>
      <c r="CQ366">
        <f t="shared" si="299"/>
        <v>87.116799999999984</v>
      </c>
      <c r="CR366">
        <f t="shared" si="300"/>
        <v>23.287999999999997</v>
      </c>
      <c r="CS366">
        <f t="shared" si="301"/>
        <v>3.28</v>
      </c>
      <c r="CT366">
        <f t="shared" si="302"/>
        <v>127.00159999999998</v>
      </c>
      <c r="CU366">
        <f t="shared" si="303"/>
        <v>0</v>
      </c>
      <c r="CV366">
        <f t="shared" si="304"/>
        <v>2.06</v>
      </c>
      <c r="CW366">
        <f t="shared" si="305"/>
        <v>0.04</v>
      </c>
      <c r="CX366">
        <f t="shared" si="306"/>
        <v>0</v>
      </c>
      <c r="CY366">
        <f t="shared" si="307"/>
        <v>12.378499999999999</v>
      </c>
      <c r="CZ366">
        <f t="shared" si="308"/>
        <v>8.4695</v>
      </c>
      <c r="DC366" t="s">
        <v>6</v>
      </c>
      <c r="DD366" t="s">
        <v>6</v>
      </c>
      <c r="DE366" t="s">
        <v>6</v>
      </c>
      <c r="DF366" t="s">
        <v>6</v>
      </c>
      <c r="DG366" t="s">
        <v>6</v>
      </c>
      <c r="DH366" t="s">
        <v>6</v>
      </c>
      <c r="DI366" t="s">
        <v>6</v>
      </c>
      <c r="DJ366" t="s">
        <v>6</v>
      </c>
      <c r="DK366" t="s">
        <v>6</v>
      </c>
      <c r="DL366" t="s">
        <v>6</v>
      </c>
      <c r="DM366" t="s">
        <v>6</v>
      </c>
      <c r="DN366">
        <v>0</v>
      </c>
      <c r="DO366">
        <v>0</v>
      </c>
      <c r="DP366">
        <v>1</v>
      </c>
      <c r="DQ366">
        <v>1</v>
      </c>
      <c r="DU366">
        <v>1003</v>
      </c>
      <c r="DV366" t="s">
        <v>34</v>
      </c>
      <c r="DW366" t="s">
        <v>34</v>
      </c>
      <c r="DX366">
        <v>100</v>
      </c>
      <c r="EE366">
        <v>16510370</v>
      </c>
      <c r="EF366">
        <v>3</v>
      </c>
      <c r="EG366" t="s">
        <v>591</v>
      </c>
      <c r="EH366">
        <v>0</v>
      </c>
      <c r="EI366" t="s">
        <v>6</v>
      </c>
      <c r="EJ366">
        <v>2</v>
      </c>
      <c r="EK366">
        <v>108001</v>
      </c>
      <c r="EL366" t="s">
        <v>592</v>
      </c>
      <c r="EM366" t="s">
        <v>593</v>
      </c>
      <c r="EO366" t="s">
        <v>6</v>
      </c>
      <c r="EQ366">
        <v>131072</v>
      </c>
      <c r="ER366">
        <v>36.19</v>
      </c>
      <c r="ES366">
        <v>13.28</v>
      </c>
      <c r="ET366">
        <v>3.55</v>
      </c>
      <c r="EU366">
        <v>0.5</v>
      </c>
      <c r="EV366">
        <v>19.36</v>
      </c>
      <c r="EW366">
        <v>2.06</v>
      </c>
      <c r="EX366">
        <v>0.04</v>
      </c>
      <c r="EY366">
        <v>0</v>
      </c>
      <c r="FQ366">
        <v>0</v>
      </c>
      <c r="FR366">
        <f t="shared" si="309"/>
        <v>0</v>
      </c>
      <c r="FS366">
        <v>0</v>
      </c>
      <c r="FX366">
        <v>95</v>
      </c>
      <c r="FY366">
        <v>65</v>
      </c>
      <c r="GA366" t="s">
        <v>6</v>
      </c>
      <c r="GD366">
        <v>0</v>
      </c>
      <c r="GF366">
        <v>2140511492</v>
      </c>
      <c r="GG366">
        <v>1</v>
      </c>
      <c r="GH366">
        <v>1</v>
      </c>
      <c r="GI366">
        <v>4</v>
      </c>
      <c r="GJ366">
        <v>0</v>
      </c>
      <c r="GK366">
        <f>ROUND(R366*(R12)/100,2)</f>
        <v>0</v>
      </c>
      <c r="GL366">
        <f t="shared" si="310"/>
        <v>0</v>
      </c>
      <c r="GM366">
        <f t="shared" si="311"/>
        <v>44.59</v>
      </c>
      <c r="GN366">
        <f t="shared" si="312"/>
        <v>0</v>
      </c>
      <c r="GO366">
        <f t="shared" si="313"/>
        <v>44.59</v>
      </c>
      <c r="GP366">
        <f t="shared" si="314"/>
        <v>0</v>
      </c>
      <c r="GR366">
        <v>0</v>
      </c>
      <c r="GS366">
        <v>3</v>
      </c>
      <c r="GT366">
        <v>0</v>
      </c>
      <c r="GU366" t="s">
        <v>6</v>
      </c>
      <c r="GV366">
        <f t="shared" si="315"/>
        <v>0</v>
      </c>
      <c r="GW366">
        <v>1</v>
      </c>
      <c r="GX366">
        <f t="shared" si="316"/>
        <v>0</v>
      </c>
      <c r="HA366">
        <v>0</v>
      </c>
      <c r="HB366">
        <v>0</v>
      </c>
      <c r="IK366">
        <v>0</v>
      </c>
    </row>
    <row r="367" spans="1:245" x14ac:dyDescent="0.2">
      <c r="A367">
        <v>18</v>
      </c>
      <c r="B367">
        <v>1</v>
      </c>
      <c r="C367">
        <v>538</v>
      </c>
      <c r="E367" t="s">
        <v>755</v>
      </c>
      <c r="F367" t="s">
        <v>756</v>
      </c>
      <c r="G367" t="s">
        <v>757</v>
      </c>
      <c r="H367" t="s">
        <v>641</v>
      </c>
      <c r="I367">
        <f>I366*J367</f>
        <v>0.01</v>
      </c>
      <c r="J367">
        <v>9.9999999999999992E-2</v>
      </c>
      <c r="O367">
        <f t="shared" si="278"/>
        <v>1183.94</v>
      </c>
      <c r="P367">
        <f t="shared" si="279"/>
        <v>1183.94</v>
      </c>
      <c r="Q367">
        <f t="shared" si="280"/>
        <v>0</v>
      </c>
      <c r="R367">
        <f t="shared" si="281"/>
        <v>0</v>
      </c>
      <c r="S367">
        <f t="shared" si="282"/>
        <v>0</v>
      </c>
      <c r="T367">
        <f t="shared" si="283"/>
        <v>0</v>
      </c>
      <c r="U367">
        <f t="shared" si="284"/>
        <v>0</v>
      </c>
      <c r="V367">
        <f t="shared" si="285"/>
        <v>0</v>
      </c>
      <c r="W367">
        <f t="shared" si="286"/>
        <v>0</v>
      </c>
      <c r="X367">
        <f t="shared" si="287"/>
        <v>0</v>
      </c>
      <c r="Y367">
        <f t="shared" si="288"/>
        <v>0</v>
      </c>
      <c r="AA367">
        <v>16748969</v>
      </c>
      <c r="AB367">
        <f t="shared" si="289"/>
        <v>18047.849999999999</v>
      </c>
      <c r="AC367">
        <f t="shared" si="290"/>
        <v>18047.849999999999</v>
      </c>
      <c r="AD367">
        <f t="shared" si="291"/>
        <v>0</v>
      </c>
      <c r="AE367">
        <f t="shared" si="292"/>
        <v>0</v>
      </c>
      <c r="AF367">
        <f t="shared" si="293"/>
        <v>0</v>
      </c>
      <c r="AG367">
        <f t="shared" si="294"/>
        <v>0</v>
      </c>
      <c r="AH367">
        <f t="shared" si="295"/>
        <v>0</v>
      </c>
      <c r="AI367">
        <f t="shared" si="296"/>
        <v>0</v>
      </c>
      <c r="AJ367">
        <f t="shared" si="297"/>
        <v>0</v>
      </c>
      <c r="AK367">
        <v>18047.849999999999</v>
      </c>
      <c r="AL367">
        <v>18047.849999999999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  <c r="AS367">
        <v>0</v>
      </c>
      <c r="AT367">
        <v>95</v>
      </c>
      <c r="AU367">
        <v>65</v>
      </c>
      <c r="AV367">
        <v>1</v>
      </c>
      <c r="AW367">
        <v>1</v>
      </c>
      <c r="AZ367">
        <v>6.56</v>
      </c>
      <c r="BA367">
        <v>1</v>
      </c>
      <c r="BB367">
        <v>1</v>
      </c>
      <c r="BC367">
        <v>6.56</v>
      </c>
      <c r="BD367" t="s">
        <v>6</v>
      </c>
      <c r="BE367" t="s">
        <v>6</v>
      </c>
      <c r="BF367" t="s">
        <v>6</v>
      </c>
      <c r="BG367" t="s">
        <v>6</v>
      </c>
      <c r="BH367">
        <v>3</v>
      </c>
      <c r="BI367">
        <v>2</v>
      </c>
      <c r="BJ367" t="s">
        <v>758</v>
      </c>
      <c r="BM367">
        <v>108001</v>
      </c>
      <c r="BN367">
        <v>0</v>
      </c>
      <c r="BO367" t="s">
        <v>6</v>
      </c>
      <c r="BP367">
        <v>0</v>
      </c>
      <c r="BQ367">
        <v>3</v>
      </c>
      <c r="BR367">
        <v>0</v>
      </c>
      <c r="BS367">
        <v>1</v>
      </c>
      <c r="BT367">
        <v>1</v>
      </c>
      <c r="BU367">
        <v>1</v>
      </c>
      <c r="BV367">
        <v>1</v>
      </c>
      <c r="BW367">
        <v>1</v>
      </c>
      <c r="BX367">
        <v>1</v>
      </c>
      <c r="BY367" t="s">
        <v>6</v>
      </c>
      <c r="BZ367">
        <v>95</v>
      </c>
      <c r="CA367">
        <v>65</v>
      </c>
      <c r="CF367">
        <v>0</v>
      </c>
      <c r="CG367">
        <v>0</v>
      </c>
      <c r="CM367">
        <v>0</v>
      </c>
      <c r="CN367" t="s">
        <v>6</v>
      </c>
      <c r="CO367">
        <v>0</v>
      </c>
      <c r="CP367">
        <f t="shared" si="298"/>
        <v>1183.94</v>
      </c>
      <c r="CQ367">
        <f t="shared" si="299"/>
        <v>118393.89599999998</v>
      </c>
      <c r="CR367">
        <f t="shared" si="300"/>
        <v>0</v>
      </c>
      <c r="CS367">
        <f t="shared" si="301"/>
        <v>0</v>
      </c>
      <c r="CT367">
        <f t="shared" si="302"/>
        <v>0</v>
      </c>
      <c r="CU367">
        <f t="shared" si="303"/>
        <v>0</v>
      </c>
      <c r="CV367">
        <f t="shared" si="304"/>
        <v>0</v>
      </c>
      <c r="CW367">
        <f t="shared" si="305"/>
        <v>0</v>
      </c>
      <c r="CX367">
        <f t="shared" si="306"/>
        <v>0</v>
      </c>
      <c r="CY367">
        <f t="shared" si="307"/>
        <v>0</v>
      </c>
      <c r="CZ367">
        <f t="shared" si="308"/>
        <v>0</v>
      </c>
      <c r="DC367" t="s">
        <v>6</v>
      </c>
      <c r="DD367" t="s">
        <v>6</v>
      </c>
      <c r="DE367" t="s">
        <v>6</v>
      </c>
      <c r="DF367" t="s">
        <v>6</v>
      </c>
      <c r="DG367" t="s">
        <v>6</v>
      </c>
      <c r="DH367" t="s">
        <v>6</v>
      </c>
      <c r="DI367" t="s">
        <v>6</v>
      </c>
      <c r="DJ367" t="s">
        <v>6</v>
      </c>
      <c r="DK367" t="s">
        <v>6</v>
      </c>
      <c r="DL367" t="s">
        <v>6</v>
      </c>
      <c r="DM367" t="s">
        <v>6</v>
      </c>
      <c r="DN367">
        <v>0</v>
      </c>
      <c r="DO367">
        <v>0</v>
      </c>
      <c r="DP367">
        <v>1</v>
      </c>
      <c r="DQ367">
        <v>1</v>
      </c>
      <c r="DU367">
        <v>1013</v>
      </c>
      <c r="DV367" t="s">
        <v>641</v>
      </c>
      <c r="DW367" t="s">
        <v>643</v>
      </c>
      <c r="DX367">
        <v>1</v>
      </c>
      <c r="EE367">
        <v>16510370</v>
      </c>
      <c r="EF367">
        <v>3</v>
      </c>
      <c r="EG367" t="s">
        <v>591</v>
      </c>
      <c r="EH367">
        <v>0</v>
      </c>
      <c r="EI367" t="s">
        <v>6</v>
      </c>
      <c r="EJ367">
        <v>2</v>
      </c>
      <c r="EK367">
        <v>108001</v>
      </c>
      <c r="EL367" t="s">
        <v>592</v>
      </c>
      <c r="EM367" t="s">
        <v>593</v>
      </c>
      <c r="EO367" t="s">
        <v>6</v>
      </c>
      <c r="EQ367">
        <v>0</v>
      </c>
      <c r="ER367">
        <v>18047.849999999999</v>
      </c>
      <c r="ES367">
        <v>18047.849999999999</v>
      </c>
      <c r="ET367">
        <v>0</v>
      </c>
      <c r="EU367">
        <v>0</v>
      </c>
      <c r="EV367">
        <v>0</v>
      </c>
      <c r="EW367">
        <v>0</v>
      </c>
      <c r="EX367">
        <v>0</v>
      </c>
      <c r="FQ367">
        <v>0</v>
      </c>
      <c r="FR367">
        <f t="shared" si="309"/>
        <v>0</v>
      </c>
      <c r="FS367">
        <v>0</v>
      </c>
      <c r="FX367">
        <v>95</v>
      </c>
      <c r="FY367">
        <v>65</v>
      </c>
      <c r="GA367" t="s">
        <v>6</v>
      </c>
      <c r="GD367">
        <v>0</v>
      </c>
      <c r="GF367">
        <v>-1909897882</v>
      </c>
      <c r="GG367">
        <v>1</v>
      </c>
      <c r="GH367">
        <v>1</v>
      </c>
      <c r="GI367">
        <v>4</v>
      </c>
      <c r="GJ367">
        <v>0</v>
      </c>
      <c r="GK367">
        <f>ROUND(R367*(R12)/100,2)</f>
        <v>0</v>
      </c>
      <c r="GL367">
        <f t="shared" si="310"/>
        <v>0</v>
      </c>
      <c r="GM367">
        <f t="shared" si="311"/>
        <v>1183.94</v>
      </c>
      <c r="GN367">
        <f t="shared" si="312"/>
        <v>0</v>
      </c>
      <c r="GO367">
        <f t="shared" si="313"/>
        <v>1183.94</v>
      </c>
      <c r="GP367">
        <f t="shared" si="314"/>
        <v>0</v>
      </c>
      <c r="GR367">
        <v>0</v>
      </c>
      <c r="GS367">
        <v>3</v>
      </c>
      <c r="GT367">
        <v>0</v>
      </c>
      <c r="GU367" t="s">
        <v>6</v>
      </c>
      <c r="GV367">
        <f t="shared" si="315"/>
        <v>0</v>
      </c>
      <c r="GW367">
        <v>1</v>
      </c>
      <c r="GX367">
        <f t="shared" si="316"/>
        <v>0</v>
      </c>
      <c r="HA367">
        <v>0</v>
      </c>
      <c r="HB367">
        <v>0</v>
      </c>
      <c r="IK367">
        <v>0</v>
      </c>
    </row>
    <row r="368" spans="1:245" x14ac:dyDescent="0.2">
      <c r="A368">
        <v>17</v>
      </c>
      <c r="B368">
        <v>1</v>
      </c>
      <c r="C368">
        <f>ROW(SmtRes!A549)</f>
        <v>549</v>
      </c>
      <c r="D368">
        <f>ROW(EtalonRes!A509)</f>
        <v>509</v>
      </c>
      <c r="E368" t="s">
        <v>759</v>
      </c>
      <c r="F368" t="s">
        <v>760</v>
      </c>
      <c r="G368" t="s">
        <v>761</v>
      </c>
      <c r="H368" t="s">
        <v>34</v>
      </c>
      <c r="I368">
        <f>ROUND(118/100,9)</f>
        <v>1.18</v>
      </c>
      <c r="J368">
        <v>0</v>
      </c>
      <c r="O368">
        <f t="shared" si="278"/>
        <v>945.69</v>
      </c>
      <c r="P368">
        <f t="shared" si="279"/>
        <v>177.65</v>
      </c>
      <c r="Q368">
        <f t="shared" si="280"/>
        <v>357.62</v>
      </c>
      <c r="R368">
        <f t="shared" si="281"/>
        <v>50.55</v>
      </c>
      <c r="S368">
        <f t="shared" si="282"/>
        <v>410.42</v>
      </c>
      <c r="T368">
        <f t="shared" si="283"/>
        <v>0</v>
      </c>
      <c r="U368">
        <f t="shared" si="284"/>
        <v>6.6551999999999989</v>
      </c>
      <c r="V368">
        <f t="shared" si="285"/>
        <v>0.61360000000000003</v>
      </c>
      <c r="W368">
        <f t="shared" si="286"/>
        <v>0</v>
      </c>
      <c r="X368">
        <f t="shared" si="287"/>
        <v>437.92</v>
      </c>
      <c r="Y368">
        <f t="shared" si="288"/>
        <v>299.63</v>
      </c>
      <c r="AA368">
        <v>16748969</v>
      </c>
      <c r="AB368">
        <f t="shared" si="289"/>
        <v>122.17</v>
      </c>
      <c r="AC368">
        <f t="shared" si="290"/>
        <v>22.95</v>
      </c>
      <c r="AD368">
        <f t="shared" si="291"/>
        <v>46.2</v>
      </c>
      <c r="AE368">
        <f t="shared" si="292"/>
        <v>6.53</v>
      </c>
      <c r="AF368">
        <f t="shared" si="293"/>
        <v>53.02</v>
      </c>
      <c r="AG368">
        <f t="shared" si="294"/>
        <v>0</v>
      </c>
      <c r="AH368">
        <f t="shared" si="295"/>
        <v>5.64</v>
      </c>
      <c r="AI368">
        <f t="shared" si="296"/>
        <v>0.52</v>
      </c>
      <c r="AJ368">
        <f t="shared" si="297"/>
        <v>0</v>
      </c>
      <c r="AK368">
        <v>122.17</v>
      </c>
      <c r="AL368">
        <v>22.95</v>
      </c>
      <c r="AM368">
        <v>46.2</v>
      </c>
      <c r="AN368">
        <v>6.53</v>
      </c>
      <c r="AO368">
        <v>53.02</v>
      </c>
      <c r="AP368">
        <v>0</v>
      </c>
      <c r="AQ368">
        <v>5.64</v>
      </c>
      <c r="AR368">
        <v>0.52</v>
      </c>
      <c r="AS368">
        <v>0</v>
      </c>
      <c r="AT368">
        <v>95</v>
      </c>
      <c r="AU368">
        <v>65</v>
      </c>
      <c r="AV368">
        <v>1</v>
      </c>
      <c r="AW368">
        <v>1</v>
      </c>
      <c r="AZ368">
        <v>6.56</v>
      </c>
      <c r="BA368">
        <v>6.56</v>
      </c>
      <c r="BB368">
        <v>6.56</v>
      </c>
      <c r="BC368">
        <v>6.56</v>
      </c>
      <c r="BD368" t="s">
        <v>6</v>
      </c>
      <c r="BE368" t="s">
        <v>6</v>
      </c>
      <c r="BF368" t="s">
        <v>6</v>
      </c>
      <c r="BG368" t="s">
        <v>6</v>
      </c>
      <c r="BH368">
        <v>0</v>
      </c>
      <c r="BI368">
        <v>2</v>
      </c>
      <c r="BJ368" t="s">
        <v>762</v>
      </c>
      <c r="BM368">
        <v>108001</v>
      </c>
      <c r="BN368">
        <v>0</v>
      </c>
      <c r="BO368" t="s">
        <v>6</v>
      </c>
      <c r="BP368">
        <v>0</v>
      </c>
      <c r="BQ368">
        <v>3</v>
      </c>
      <c r="BR368">
        <v>0</v>
      </c>
      <c r="BS368">
        <v>6.56</v>
      </c>
      <c r="BT368">
        <v>1</v>
      </c>
      <c r="BU368">
        <v>1</v>
      </c>
      <c r="BV368">
        <v>1</v>
      </c>
      <c r="BW368">
        <v>1</v>
      </c>
      <c r="BX368">
        <v>1</v>
      </c>
      <c r="BY368" t="s">
        <v>6</v>
      </c>
      <c r="BZ368">
        <v>95</v>
      </c>
      <c r="CA368">
        <v>65</v>
      </c>
      <c r="CF368">
        <v>0</v>
      </c>
      <c r="CG368">
        <v>0</v>
      </c>
      <c r="CM368">
        <v>0</v>
      </c>
      <c r="CN368" t="s">
        <v>6</v>
      </c>
      <c r="CO368">
        <v>0</v>
      </c>
      <c r="CP368">
        <f t="shared" si="298"/>
        <v>945.69</v>
      </c>
      <c r="CQ368">
        <f t="shared" si="299"/>
        <v>150.55199999999999</v>
      </c>
      <c r="CR368">
        <f t="shared" si="300"/>
        <v>303.072</v>
      </c>
      <c r="CS368">
        <f t="shared" si="301"/>
        <v>42.836799999999997</v>
      </c>
      <c r="CT368">
        <f t="shared" si="302"/>
        <v>347.81119999999999</v>
      </c>
      <c r="CU368">
        <f t="shared" si="303"/>
        <v>0</v>
      </c>
      <c r="CV368">
        <f t="shared" si="304"/>
        <v>5.64</v>
      </c>
      <c r="CW368">
        <f t="shared" si="305"/>
        <v>0.52</v>
      </c>
      <c r="CX368">
        <f t="shared" si="306"/>
        <v>0</v>
      </c>
      <c r="CY368">
        <f t="shared" si="307"/>
        <v>437.92150000000004</v>
      </c>
      <c r="CZ368">
        <f t="shared" si="308"/>
        <v>299.63050000000004</v>
      </c>
      <c r="DC368" t="s">
        <v>6</v>
      </c>
      <c r="DD368" t="s">
        <v>6</v>
      </c>
      <c r="DE368" t="s">
        <v>6</v>
      </c>
      <c r="DF368" t="s">
        <v>6</v>
      </c>
      <c r="DG368" t="s">
        <v>6</v>
      </c>
      <c r="DH368" t="s">
        <v>6</v>
      </c>
      <c r="DI368" t="s">
        <v>6</v>
      </c>
      <c r="DJ368" t="s">
        <v>6</v>
      </c>
      <c r="DK368" t="s">
        <v>6</v>
      </c>
      <c r="DL368" t="s">
        <v>6</v>
      </c>
      <c r="DM368" t="s">
        <v>6</v>
      </c>
      <c r="DN368">
        <v>0</v>
      </c>
      <c r="DO368">
        <v>0</v>
      </c>
      <c r="DP368">
        <v>1</v>
      </c>
      <c r="DQ368">
        <v>1</v>
      </c>
      <c r="DU368">
        <v>1003</v>
      </c>
      <c r="DV368" t="s">
        <v>34</v>
      </c>
      <c r="DW368" t="s">
        <v>34</v>
      </c>
      <c r="DX368">
        <v>100</v>
      </c>
      <c r="EE368">
        <v>16510370</v>
      </c>
      <c r="EF368">
        <v>3</v>
      </c>
      <c r="EG368" t="s">
        <v>591</v>
      </c>
      <c r="EH368">
        <v>0</v>
      </c>
      <c r="EI368" t="s">
        <v>6</v>
      </c>
      <c r="EJ368">
        <v>2</v>
      </c>
      <c r="EK368">
        <v>108001</v>
      </c>
      <c r="EL368" t="s">
        <v>592</v>
      </c>
      <c r="EM368" t="s">
        <v>593</v>
      </c>
      <c r="EO368" t="s">
        <v>6</v>
      </c>
      <c r="EQ368">
        <v>131072</v>
      </c>
      <c r="ER368">
        <v>122.17</v>
      </c>
      <c r="ES368">
        <v>22.95</v>
      </c>
      <c r="ET368">
        <v>46.2</v>
      </c>
      <c r="EU368">
        <v>6.53</v>
      </c>
      <c r="EV368">
        <v>53.02</v>
      </c>
      <c r="EW368">
        <v>5.64</v>
      </c>
      <c r="EX368">
        <v>0.52</v>
      </c>
      <c r="EY368">
        <v>0</v>
      </c>
      <c r="FQ368">
        <v>0</v>
      </c>
      <c r="FR368">
        <f t="shared" si="309"/>
        <v>0</v>
      </c>
      <c r="FS368">
        <v>0</v>
      </c>
      <c r="FX368">
        <v>95</v>
      </c>
      <c r="FY368">
        <v>65</v>
      </c>
      <c r="GA368" t="s">
        <v>6</v>
      </c>
      <c r="GD368">
        <v>0</v>
      </c>
      <c r="GF368">
        <v>-134276738</v>
      </c>
      <c r="GG368">
        <v>1</v>
      </c>
      <c r="GH368">
        <v>1</v>
      </c>
      <c r="GI368">
        <v>4</v>
      </c>
      <c r="GJ368">
        <v>0</v>
      </c>
      <c r="GK368">
        <f>ROUND(R368*(R12)/100,2)</f>
        <v>0</v>
      </c>
      <c r="GL368">
        <f t="shared" si="310"/>
        <v>0</v>
      </c>
      <c r="GM368">
        <f t="shared" si="311"/>
        <v>1683.24</v>
      </c>
      <c r="GN368">
        <f t="shared" si="312"/>
        <v>0</v>
      </c>
      <c r="GO368">
        <f t="shared" si="313"/>
        <v>1683.24</v>
      </c>
      <c r="GP368">
        <f t="shared" si="314"/>
        <v>0</v>
      </c>
      <c r="GR368">
        <v>0</v>
      </c>
      <c r="GS368">
        <v>3</v>
      </c>
      <c r="GT368">
        <v>0</v>
      </c>
      <c r="GU368" t="s">
        <v>6</v>
      </c>
      <c r="GV368">
        <f t="shared" si="315"/>
        <v>0</v>
      </c>
      <c r="GW368">
        <v>1</v>
      </c>
      <c r="GX368">
        <f t="shared" si="316"/>
        <v>0</v>
      </c>
      <c r="HA368">
        <v>0</v>
      </c>
      <c r="HB368">
        <v>0</v>
      </c>
      <c r="IK368">
        <v>0</v>
      </c>
    </row>
    <row r="369" spans="1:245" x14ac:dyDescent="0.2">
      <c r="A369">
        <v>18</v>
      </c>
      <c r="B369">
        <v>1</v>
      </c>
      <c r="C369">
        <v>548</v>
      </c>
      <c r="E369" t="s">
        <v>763</v>
      </c>
      <c r="F369" t="s">
        <v>764</v>
      </c>
      <c r="G369" t="s">
        <v>765</v>
      </c>
      <c r="H369" t="s">
        <v>641</v>
      </c>
      <c r="I369">
        <f>I368*J369</f>
        <v>0.09</v>
      </c>
      <c r="J369">
        <v>7.6271186440677971E-2</v>
      </c>
      <c r="O369">
        <f t="shared" si="278"/>
        <v>160110.98000000001</v>
      </c>
      <c r="P369">
        <f t="shared" si="279"/>
        <v>160110.98000000001</v>
      </c>
      <c r="Q369">
        <f t="shared" si="280"/>
        <v>0</v>
      </c>
      <c r="R369">
        <f t="shared" si="281"/>
        <v>0</v>
      </c>
      <c r="S369">
        <f t="shared" si="282"/>
        <v>0</v>
      </c>
      <c r="T369">
        <f t="shared" si="283"/>
        <v>0</v>
      </c>
      <c r="U369">
        <f t="shared" si="284"/>
        <v>0</v>
      </c>
      <c r="V369">
        <f t="shared" si="285"/>
        <v>0</v>
      </c>
      <c r="W369">
        <f t="shared" si="286"/>
        <v>0</v>
      </c>
      <c r="X369">
        <f t="shared" si="287"/>
        <v>0</v>
      </c>
      <c r="Y369">
        <f t="shared" si="288"/>
        <v>0</v>
      </c>
      <c r="AA369">
        <v>16748969</v>
      </c>
      <c r="AB369">
        <f t="shared" si="289"/>
        <v>271190.69</v>
      </c>
      <c r="AC369">
        <f t="shared" si="290"/>
        <v>271190.69</v>
      </c>
      <c r="AD369">
        <f t="shared" si="291"/>
        <v>0</v>
      </c>
      <c r="AE369">
        <f t="shared" si="292"/>
        <v>0</v>
      </c>
      <c r="AF369">
        <f t="shared" si="293"/>
        <v>0</v>
      </c>
      <c r="AG369">
        <f t="shared" si="294"/>
        <v>0</v>
      </c>
      <c r="AH369">
        <f t="shared" si="295"/>
        <v>0</v>
      </c>
      <c r="AI369">
        <f t="shared" si="296"/>
        <v>0</v>
      </c>
      <c r="AJ369">
        <f t="shared" si="297"/>
        <v>0</v>
      </c>
      <c r="AK369">
        <v>271190.69</v>
      </c>
      <c r="AL369">
        <v>271190.69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  <c r="AS369">
        <v>0</v>
      </c>
      <c r="AT369">
        <v>95</v>
      </c>
      <c r="AU369">
        <v>65</v>
      </c>
      <c r="AV369">
        <v>1</v>
      </c>
      <c r="AW369">
        <v>1</v>
      </c>
      <c r="AZ369">
        <v>6.56</v>
      </c>
      <c r="BA369">
        <v>1</v>
      </c>
      <c r="BB369">
        <v>1</v>
      </c>
      <c r="BC369">
        <v>6.56</v>
      </c>
      <c r="BD369" t="s">
        <v>6</v>
      </c>
      <c r="BE369" t="s">
        <v>6</v>
      </c>
      <c r="BF369" t="s">
        <v>6</v>
      </c>
      <c r="BG369" t="s">
        <v>6</v>
      </c>
      <c r="BH369">
        <v>3</v>
      </c>
      <c r="BI369">
        <v>2</v>
      </c>
      <c r="BJ369" t="s">
        <v>766</v>
      </c>
      <c r="BM369">
        <v>108001</v>
      </c>
      <c r="BN369">
        <v>0</v>
      </c>
      <c r="BO369" t="s">
        <v>6</v>
      </c>
      <c r="BP369">
        <v>0</v>
      </c>
      <c r="BQ369">
        <v>3</v>
      </c>
      <c r="BR369">
        <v>0</v>
      </c>
      <c r="BS369">
        <v>1</v>
      </c>
      <c r="BT369">
        <v>1</v>
      </c>
      <c r="BU369">
        <v>1</v>
      </c>
      <c r="BV369">
        <v>1</v>
      </c>
      <c r="BW369">
        <v>1</v>
      </c>
      <c r="BX369">
        <v>1</v>
      </c>
      <c r="BY369" t="s">
        <v>6</v>
      </c>
      <c r="BZ369">
        <v>95</v>
      </c>
      <c r="CA369">
        <v>65</v>
      </c>
      <c r="CF369">
        <v>0</v>
      </c>
      <c r="CG369">
        <v>0</v>
      </c>
      <c r="CM369">
        <v>0</v>
      </c>
      <c r="CN369" t="s">
        <v>6</v>
      </c>
      <c r="CO369">
        <v>0</v>
      </c>
      <c r="CP369">
        <f t="shared" si="298"/>
        <v>160110.98000000001</v>
      </c>
      <c r="CQ369">
        <f t="shared" si="299"/>
        <v>1779010.9264</v>
      </c>
      <c r="CR369">
        <f t="shared" si="300"/>
        <v>0</v>
      </c>
      <c r="CS369">
        <f t="shared" si="301"/>
        <v>0</v>
      </c>
      <c r="CT369">
        <f t="shared" si="302"/>
        <v>0</v>
      </c>
      <c r="CU369">
        <f t="shared" si="303"/>
        <v>0</v>
      </c>
      <c r="CV369">
        <f t="shared" si="304"/>
        <v>0</v>
      </c>
      <c r="CW369">
        <f t="shared" si="305"/>
        <v>0</v>
      </c>
      <c r="CX369">
        <f t="shared" si="306"/>
        <v>0</v>
      </c>
      <c r="CY369">
        <f t="shared" si="307"/>
        <v>0</v>
      </c>
      <c r="CZ369">
        <f t="shared" si="308"/>
        <v>0</v>
      </c>
      <c r="DC369" t="s">
        <v>6</v>
      </c>
      <c r="DD369" t="s">
        <v>6</v>
      </c>
      <c r="DE369" t="s">
        <v>6</v>
      </c>
      <c r="DF369" t="s">
        <v>6</v>
      </c>
      <c r="DG369" t="s">
        <v>6</v>
      </c>
      <c r="DH369" t="s">
        <v>6</v>
      </c>
      <c r="DI369" t="s">
        <v>6</v>
      </c>
      <c r="DJ369" t="s">
        <v>6</v>
      </c>
      <c r="DK369" t="s">
        <v>6</v>
      </c>
      <c r="DL369" t="s">
        <v>6</v>
      </c>
      <c r="DM369" t="s">
        <v>6</v>
      </c>
      <c r="DN369">
        <v>0</v>
      </c>
      <c r="DO369">
        <v>0</v>
      </c>
      <c r="DP369">
        <v>1</v>
      </c>
      <c r="DQ369">
        <v>1</v>
      </c>
      <c r="DU369">
        <v>1013</v>
      </c>
      <c r="DV369" t="s">
        <v>641</v>
      </c>
      <c r="DW369" t="s">
        <v>643</v>
      </c>
      <c r="DX369">
        <v>1</v>
      </c>
      <c r="EE369">
        <v>16510370</v>
      </c>
      <c r="EF369">
        <v>3</v>
      </c>
      <c r="EG369" t="s">
        <v>591</v>
      </c>
      <c r="EH369">
        <v>0</v>
      </c>
      <c r="EI369" t="s">
        <v>6</v>
      </c>
      <c r="EJ369">
        <v>2</v>
      </c>
      <c r="EK369">
        <v>108001</v>
      </c>
      <c r="EL369" t="s">
        <v>592</v>
      </c>
      <c r="EM369" t="s">
        <v>593</v>
      </c>
      <c r="EO369" t="s">
        <v>6</v>
      </c>
      <c r="EQ369">
        <v>0</v>
      </c>
      <c r="ER369">
        <v>271190.69</v>
      </c>
      <c r="ES369">
        <v>271190.69</v>
      </c>
      <c r="ET369">
        <v>0</v>
      </c>
      <c r="EU369">
        <v>0</v>
      </c>
      <c r="EV369">
        <v>0</v>
      </c>
      <c r="EW369">
        <v>0</v>
      </c>
      <c r="EX369">
        <v>0</v>
      </c>
      <c r="FQ369">
        <v>0</v>
      </c>
      <c r="FR369">
        <f t="shared" si="309"/>
        <v>0</v>
      </c>
      <c r="FS369">
        <v>0</v>
      </c>
      <c r="FX369">
        <v>95</v>
      </c>
      <c r="FY369">
        <v>65</v>
      </c>
      <c r="GA369" t="s">
        <v>6</v>
      </c>
      <c r="GD369">
        <v>0</v>
      </c>
      <c r="GF369">
        <v>-2046187651</v>
      </c>
      <c r="GG369">
        <v>1</v>
      </c>
      <c r="GH369">
        <v>1</v>
      </c>
      <c r="GI369">
        <v>4</v>
      </c>
      <c r="GJ369">
        <v>0</v>
      </c>
      <c r="GK369">
        <f>ROUND(R369*(R12)/100,2)</f>
        <v>0</v>
      </c>
      <c r="GL369">
        <f t="shared" si="310"/>
        <v>0</v>
      </c>
      <c r="GM369">
        <f t="shared" si="311"/>
        <v>160110.98000000001</v>
      </c>
      <c r="GN369">
        <f t="shared" si="312"/>
        <v>0</v>
      </c>
      <c r="GO369">
        <f t="shared" si="313"/>
        <v>160110.98000000001</v>
      </c>
      <c r="GP369">
        <f t="shared" si="314"/>
        <v>0</v>
      </c>
      <c r="GR369">
        <v>0</v>
      </c>
      <c r="GS369">
        <v>3</v>
      </c>
      <c r="GT369">
        <v>0</v>
      </c>
      <c r="GU369" t="s">
        <v>6</v>
      </c>
      <c r="GV369">
        <f t="shared" si="315"/>
        <v>0</v>
      </c>
      <c r="GW369">
        <v>1</v>
      </c>
      <c r="GX369">
        <f t="shared" si="316"/>
        <v>0</v>
      </c>
      <c r="HA369">
        <v>0</v>
      </c>
      <c r="HB369">
        <v>0</v>
      </c>
      <c r="IK369">
        <v>0</v>
      </c>
    </row>
    <row r="370" spans="1:245" x14ac:dyDescent="0.2">
      <c r="A370">
        <v>18</v>
      </c>
      <c r="B370">
        <v>1</v>
      </c>
      <c r="C370">
        <v>547</v>
      </c>
      <c r="E370" t="s">
        <v>767</v>
      </c>
      <c r="F370" t="s">
        <v>768</v>
      </c>
      <c r="G370" t="s">
        <v>769</v>
      </c>
      <c r="H370" t="s">
        <v>641</v>
      </c>
      <c r="I370">
        <f>I368*J370</f>
        <v>2.8000000000000001E-2</v>
      </c>
      <c r="J370">
        <v>2.3728813559322035E-2</v>
      </c>
      <c r="O370">
        <f t="shared" si="278"/>
        <v>20145.18</v>
      </c>
      <c r="P370">
        <f t="shared" si="279"/>
        <v>20145.18</v>
      </c>
      <c r="Q370">
        <f t="shared" si="280"/>
        <v>0</v>
      </c>
      <c r="R370">
        <f t="shared" si="281"/>
        <v>0</v>
      </c>
      <c r="S370">
        <f t="shared" si="282"/>
        <v>0</v>
      </c>
      <c r="T370">
        <f t="shared" si="283"/>
        <v>0</v>
      </c>
      <c r="U370">
        <f t="shared" si="284"/>
        <v>0</v>
      </c>
      <c r="V370">
        <f t="shared" si="285"/>
        <v>0</v>
      </c>
      <c r="W370">
        <f t="shared" si="286"/>
        <v>0</v>
      </c>
      <c r="X370">
        <f t="shared" si="287"/>
        <v>0</v>
      </c>
      <c r="Y370">
        <f t="shared" si="288"/>
        <v>0</v>
      </c>
      <c r="AA370">
        <v>16748969</v>
      </c>
      <c r="AB370">
        <f t="shared" si="289"/>
        <v>109675.42</v>
      </c>
      <c r="AC370">
        <f t="shared" si="290"/>
        <v>109675.42</v>
      </c>
      <c r="AD370">
        <f t="shared" si="291"/>
        <v>0</v>
      </c>
      <c r="AE370">
        <f t="shared" si="292"/>
        <v>0</v>
      </c>
      <c r="AF370">
        <f t="shared" si="293"/>
        <v>0</v>
      </c>
      <c r="AG370">
        <f t="shared" si="294"/>
        <v>0</v>
      </c>
      <c r="AH370">
        <f t="shared" si="295"/>
        <v>0</v>
      </c>
      <c r="AI370">
        <f t="shared" si="296"/>
        <v>0</v>
      </c>
      <c r="AJ370">
        <f t="shared" si="297"/>
        <v>0</v>
      </c>
      <c r="AK370">
        <v>109675.42</v>
      </c>
      <c r="AL370">
        <v>109675.42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  <c r="AS370">
        <v>0</v>
      </c>
      <c r="AT370">
        <v>95</v>
      </c>
      <c r="AU370">
        <v>65</v>
      </c>
      <c r="AV370">
        <v>1</v>
      </c>
      <c r="AW370">
        <v>1</v>
      </c>
      <c r="AZ370">
        <v>6.56</v>
      </c>
      <c r="BA370">
        <v>1</v>
      </c>
      <c r="BB370">
        <v>1</v>
      </c>
      <c r="BC370">
        <v>6.56</v>
      </c>
      <c r="BD370" t="s">
        <v>6</v>
      </c>
      <c r="BE370" t="s">
        <v>6</v>
      </c>
      <c r="BF370" t="s">
        <v>6</v>
      </c>
      <c r="BG370" t="s">
        <v>6</v>
      </c>
      <c r="BH370">
        <v>3</v>
      </c>
      <c r="BI370">
        <v>2</v>
      </c>
      <c r="BJ370" t="s">
        <v>770</v>
      </c>
      <c r="BM370">
        <v>108001</v>
      </c>
      <c r="BN370">
        <v>0</v>
      </c>
      <c r="BO370" t="s">
        <v>6</v>
      </c>
      <c r="BP370">
        <v>0</v>
      </c>
      <c r="BQ370">
        <v>3</v>
      </c>
      <c r="BR370">
        <v>0</v>
      </c>
      <c r="BS370">
        <v>1</v>
      </c>
      <c r="BT370">
        <v>1</v>
      </c>
      <c r="BU370">
        <v>1</v>
      </c>
      <c r="BV370">
        <v>1</v>
      </c>
      <c r="BW370">
        <v>1</v>
      </c>
      <c r="BX370">
        <v>1</v>
      </c>
      <c r="BY370" t="s">
        <v>6</v>
      </c>
      <c r="BZ370">
        <v>95</v>
      </c>
      <c r="CA370">
        <v>65</v>
      </c>
      <c r="CF370">
        <v>0</v>
      </c>
      <c r="CG370">
        <v>0</v>
      </c>
      <c r="CM370">
        <v>0</v>
      </c>
      <c r="CN370" t="s">
        <v>6</v>
      </c>
      <c r="CO370">
        <v>0</v>
      </c>
      <c r="CP370">
        <f t="shared" si="298"/>
        <v>20145.18</v>
      </c>
      <c r="CQ370">
        <f t="shared" si="299"/>
        <v>719470.7551999999</v>
      </c>
      <c r="CR370">
        <f t="shared" si="300"/>
        <v>0</v>
      </c>
      <c r="CS370">
        <f t="shared" si="301"/>
        <v>0</v>
      </c>
      <c r="CT370">
        <f t="shared" si="302"/>
        <v>0</v>
      </c>
      <c r="CU370">
        <f t="shared" si="303"/>
        <v>0</v>
      </c>
      <c r="CV370">
        <f t="shared" si="304"/>
        <v>0</v>
      </c>
      <c r="CW370">
        <f t="shared" si="305"/>
        <v>0</v>
      </c>
      <c r="CX370">
        <f t="shared" si="306"/>
        <v>0</v>
      </c>
      <c r="CY370">
        <f t="shared" si="307"/>
        <v>0</v>
      </c>
      <c r="CZ370">
        <f t="shared" si="308"/>
        <v>0</v>
      </c>
      <c r="DC370" t="s">
        <v>6</v>
      </c>
      <c r="DD370" t="s">
        <v>6</v>
      </c>
      <c r="DE370" t="s">
        <v>6</v>
      </c>
      <c r="DF370" t="s">
        <v>6</v>
      </c>
      <c r="DG370" t="s">
        <v>6</v>
      </c>
      <c r="DH370" t="s">
        <v>6</v>
      </c>
      <c r="DI370" t="s">
        <v>6</v>
      </c>
      <c r="DJ370" t="s">
        <v>6</v>
      </c>
      <c r="DK370" t="s">
        <v>6</v>
      </c>
      <c r="DL370" t="s">
        <v>6</v>
      </c>
      <c r="DM370" t="s">
        <v>6</v>
      </c>
      <c r="DN370">
        <v>0</v>
      </c>
      <c r="DO370">
        <v>0</v>
      </c>
      <c r="DP370">
        <v>1</v>
      </c>
      <c r="DQ370">
        <v>1</v>
      </c>
      <c r="DU370">
        <v>1013</v>
      </c>
      <c r="DV370" t="s">
        <v>641</v>
      </c>
      <c r="DW370" t="s">
        <v>643</v>
      </c>
      <c r="DX370">
        <v>1</v>
      </c>
      <c r="EE370">
        <v>16510370</v>
      </c>
      <c r="EF370">
        <v>3</v>
      </c>
      <c r="EG370" t="s">
        <v>591</v>
      </c>
      <c r="EH370">
        <v>0</v>
      </c>
      <c r="EI370" t="s">
        <v>6</v>
      </c>
      <c r="EJ370">
        <v>2</v>
      </c>
      <c r="EK370">
        <v>108001</v>
      </c>
      <c r="EL370" t="s">
        <v>592</v>
      </c>
      <c r="EM370" t="s">
        <v>593</v>
      </c>
      <c r="EO370" t="s">
        <v>6</v>
      </c>
      <c r="EQ370">
        <v>0</v>
      </c>
      <c r="ER370">
        <v>109675.42</v>
      </c>
      <c r="ES370">
        <v>109675.42</v>
      </c>
      <c r="ET370">
        <v>0</v>
      </c>
      <c r="EU370">
        <v>0</v>
      </c>
      <c r="EV370">
        <v>0</v>
      </c>
      <c r="EW370">
        <v>0</v>
      </c>
      <c r="EX370">
        <v>0</v>
      </c>
      <c r="FQ370">
        <v>0</v>
      </c>
      <c r="FR370">
        <f t="shared" si="309"/>
        <v>0</v>
      </c>
      <c r="FS370">
        <v>0</v>
      </c>
      <c r="FX370">
        <v>95</v>
      </c>
      <c r="FY370">
        <v>65</v>
      </c>
      <c r="GA370" t="s">
        <v>6</v>
      </c>
      <c r="GD370">
        <v>0</v>
      </c>
      <c r="GF370">
        <v>-1699016403</v>
      </c>
      <c r="GG370">
        <v>1</v>
      </c>
      <c r="GH370">
        <v>1</v>
      </c>
      <c r="GI370">
        <v>4</v>
      </c>
      <c r="GJ370">
        <v>0</v>
      </c>
      <c r="GK370">
        <f>ROUND(R370*(R12)/100,2)</f>
        <v>0</v>
      </c>
      <c r="GL370">
        <f t="shared" si="310"/>
        <v>0</v>
      </c>
      <c r="GM370">
        <f t="shared" si="311"/>
        <v>20145.18</v>
      </c>
      <c r="GN370">
        <f t="shared" si="312"/>
        <v>0</v>
      </c>
      <c r="GO370">
        <f t="shared" si="313"/>
        <v>20145.18</v>
      </c>
      <c r="GP370">
        <f t="shared" si="314"/>
        <v>0</v>
      </c>
      <c r="GR370">
        <v>0</v>
      </c>
      <c r="GS370">
        <v>3</v>
      </c>
      <c r="GT370">
        <v>0</v>
      </c>
      <c r="GU370" t="s">
        <v>6</v>
      </c>
      <c r="GV370">
        <f t="shared" si="315"/>
        <v>0</v>
      </c>
      <c r="GW370">
        <v>1</v>
      </c>
      <c r="GX370">
        <f t="shared" si="316"/>
        <v>0</v>
      </c>
      <c r="HA370">
        <v>0</v>
      </c>
      <c r="HB370">
        <v>0</v>
      </c>
      <c r="IK370">
        <v>0</v>
      </c>
    </row>
    <row r="371" spans="1:245" x14ac:dyDescent="0.2">
      <c r="A371">
        <v>17</v>
      </c>
      <c r="B371">
        <v>1</v>
      </c>
      <c r="C371">
        <f>ROW(SmtRes!A562)</f>
        <v>562</v>
      </c>
      <c r="D371">
        <f>ROW(EtalonRes!A521)</f>
        <v>521</v>
      </c>
      <c r="E371" t="s">
        <v>771</v>
      </c>
      <c r="F371" t="s">
        <v>772</v>
      </c>
      <c r="G371" t="s">
        <v>773</v>
      </c>
      <c r="H371" t="s">
        <v>242</v>
      </c>
      <c r="I371">
        <v>3</v>
      </c>
      <c r="J371">
        <v>0</v>
      </c>
      <c r="O371">
        <f t="shared" si="278"/>
        <v>1381.93</v>
      </c>
      <c r="P371">
        <f t="shared" si="279"/>
        <v>847.03</v>
      </c>
      <c r="Q371">
        <f t="shared" si="280"/>
        <v>35.03</v>
      </c>
      <c r="R371">
        <f t="shared" si="281"/>
        <v>5.12</v>
      </c>
      <c r="S371">
        <f t="shared" si="282"/>
        <v>499.87</v>
      </c>
      <c r="T371">
        <f t="shared" si="283"/>
        <v>0</v>
      </c>
      <c r="U371">
        <f t="shared" si="284"/>
        <v>7.68</v>
      </c>
      <c r="V371">
        <f t="shared" si="285"/>
        <v>0.06</v>
      </c>
      <c r="W371">
        <f t="shared" si="286"/>
        <v>0</v>
      </c>
      <c r="X371">
        <f t="shared" si="287"/>
        <v>479.74</v>
      </c>
      <c r="Y371">
        <f t="shared" si="288"/>
        <v>328.24</v>
      </c>
      <c r="AA371">
        <v>16748969</v>
      </c>
      <c r="AB371">
        <f t="shared" si="289"/>
        <v>70.22</v>
      </c>
      <c r="AC371">
        <f t="shared" si="290"/>
        <v>43.04</v>
      </c>
      <c r="AD371">
        <f t="shared" si="291"/>
        <v>1.78</v>
      </c>
      <c r="AE371">
        <f t="shared" si="292"/>
        <v>0.26</v>
      </c>
      <c r="AF371">
        <f t="shared" si="293"/>
        <v>25.4</v>
      </c>
      <c r="AG371">
        <f t="shared" si="294"/>
        <v>0</v>
      </c>
      <c r="AH371">
        <f t="shared" si="295"/>
        <v>2.56</v>
      </c>
      <c r="AI371">
        <f t="shared" si="296"/>
        <v>0.02</v>
      </c>
      <c r="AJ371">
        <f t="shared" si="297"/>
        <v>0</v>
      </c>
      <c r="AK371">
        <v>70.22</v>
      </c>
      <c r="AL371">
        <v>43.04</v>
      </c>
      <c r="AM371">
        <v>1.78</v>
      </c>
      <c r="AN371">
        <v>0.26</v>
      </c>
      <c r="AO371">
        <v>25.4</v>
      </c>
      <c r="AP371">
        <v>0</v>
      </c>
      <c r="AQ371">
        <v>2.56</v>
      </c>
      <c r="AR371">
        <v>0.02</v>
      </c>
      <c r="AS371">
        <v>0</v>
      </c>
      <c r="AT371">
        <v>95</v>
      </c>
      <c r="AU371">
        <v>65</v>
      </c>
      <c r="AV371">
        <v>1</v>
      </c>
      <c r="AW371">
        <v>1</v>
      </c>
      <c r="AZ371">
        <v>6.56</v>
      </c>
      <c r="BA371">
        <v>6.56</v>
      </c>
      <c r="BB371">
        <v>6.56</v>
      </c>
      <c r="BC371">
        <v>6.56</v>
      </c>
      <c r="BD371" t="s">
        <v>6</v>
      </c>
      <c r="BE371" t="s">
        <v>6</v>
      </c>
      <c r="BF371" t="s">
        <v>6</v>
      </c>
      <c r="BG371" t="s">
        <v>6</v>
      </c>
      <c r="BH371">
        <v>0</v>
      </c>
      <c r="BI371">
        <v>2</v>
      </c>
      <c r="BJ371" t="s">
        <v>774</v>
      </c>
      <c r="BM371">
        <v>108001</v>
      </c>
      <c r="BN371">
        <v>0</v>
      </c>
      <c r="BO371" t="s">
        <v>6</v>
      </c>
      <c r="BP371">
        <v>0</v>
      </c>
      <c r="BQ371">
        <v>3</v>
      </c>
      <c r="BR371">
        <v>0</v>
      </c>
      <c r="BS371">
        <v>6.56</v>
      </c>
      <c r="BT371">
        <v>1</v>
      </c>
      <c r="BU371">
        <v>1</v>
      </c>
      <c r="BV371">
        <v>1</v>
      </c>
      <c r="BW371">
        <v>1</v>
      </c>
      <c r="BX371">
        <v>1</v>
      </c>
      <c r="BY371" t="s">
        <v>6</v>
      </c>
      <c r="BZ371">
        <v>95</v>
      </c>
      <c r="CA371">
        <v>65</v>
      </c>
      <c r="CF371">
        <v>0</v>
      </c>
      <c r="CG371">
        <v>0</v>
      </c>
      <c r="CM371">
        <v>0</v>
      </c>
      <c r="CN371" t="s">
        <v>6</v>
      </c>
      <c r="CO371">
        <v>0</v>
      </c>
      <c r="CP371">
        <f t="shared" si="298"/>
        <v>1381.9299999999998</v>
      </c>
      <c r="CQ371">
        <f t="shared" si="299"/>
        <v>282.3424</v>
      </c>
      <c r="CR371">
        <f t="shared" si="300"/>
        <v>11.6768</v>
      </c>
      <c r="CS371">
        <f t="shared" si="301"/>
        <v>1.7056</v>
      </c>
      <c r="CT371">
        <f t="shared" si="302"/>
        <v>166.62399999999997</v>
      </c>
      <c r="CU371">
        <f t="shared" si="303"/>
        <v>0</v>
      </c>
      <c r="CV371">
        <f t="shared" si="304"/>
        <v>2.56</v>
      </c>
      <c r="CW371">
        <f t="shared" si="305"/>
        <v>0.02</v>
      </c>
      <c r="CX371">
        <f t="shared" si="306"/>
        <v>0</v>
      </c>
      <c r="CY371">
        <f t="shared" si="307"/>
        <v>479.74050000000005</v>
      </c>
      <c r="CZ371">
        <f t="shared" si="308"/>
        <v>328.24349999999998</v>
      </c>
      <c r="DC371" t="s">
        <v>6</v>
      </c>
      <c r="DD371" t="s">
        <v>6</v>
      </c>
      <c r="DE371" t="s">
        <v>6</v>
      </c>
      <c r="DF371" t="s">
        <v>6</v>
      </c>
      <c r="DG371" t="s">
        <v>6</v>
      </c>
      <c r="DH371" t="s">
        <v>6</v>
      </c>
      <c r="DI371" t="s">
        <v>6</v>
      </c>
      <c r="DJ371" t="s">
        <v>6</v>
      </c>
      <c r="DK371" t="s">
        <v>6</v>
      </c>
      <c r="DL371" t="s">
        <v>6</v>
      </c>
      <c r="DM371" t="s">
        <v>6</v>
      </c>
      <c r="DN371">
        <v>0</v>
      </c>
      <c r="DO371">
        <v>0</v>
      </c>
      <c r="DP371">
        <v>1</v>
      </c>
      <c r="DQ371">
        <v>1</v>
      </c>
      <c r="DU371">
        <v>1013</v>
      </c>
      <c r="DV371" t="s">
        <v>242</v>
      </c>
      <c r="DW371" t="s">
        <v>242</v>
      </c>
      <c r="DX371">
        <v>1</v>
      </c>
      <c r="EE371">
        <v>16510370</v>
      </c>
      <c r="EF371">
        <v>3</v>
      </c>
      <c r="EG371" t="s">
        <v>591</v>
      </c>
      <c r="EH371">
        <v>0</v>
      </c>
      <c r="EI371" t="s">
        <v>6</v>
      </c>
      <c r="EJ371">
        <v>2</v>
      </c>
      <c r="EK371">
        <v>108001</v>
      </c>
      <c r="EL371" t="s">
        <v>592</v>
      </c>
      <c r="EM371" t="s">
        <v>593</v>
      </c>
      <c r="EO371" t="s">
        <v>6</v>
      </c>
      <c r="EQ371">
        <v>131072</v>
      </c>
      <c r="ER371">
        <v>70.22</v>
      </c>
      <c r="ES371">
        <v>43.04</v>
      </c>
      <c r="ET371">
        <v>1.78</v>
      </c>
      <c r="EU371">
        <v>0.26</v>
      </c>
      <c r="EV371">
        <v>25.4</v>
      </c>
      <c r="EW371">
        <v>2.56</v>
      </c>
      <c r="EX371">
        <v>0.02</v>
      </c>
      <c r="EY371">
        <v>0</v>
      </c>
      <c r="FQ371">
        <v>0</v>
      </c>
      <c r="FR371">
        <f t="shared" si="309"/>
        <v>0</v>
      </c>
      <c r="FS371">
        <v>0</v>
      </c>
      <c r="FX371">
        <v>95</v>
      </c>
      <c r="FY371">
        <v>65</v>
      </c>
      <c r="GA371" t="s">
        <v>6</v>
      </c>
      <c r="GD371">
        <v>0</v>
      </c>
      <c r="GF371">
        <v>2132149761</v>
      </c>
      <c r="GG371">
        <v>1</v>
      </c>
      <c r="GH371">
        <v>1</v>
      </c>
      <c r="GI371">
        <v>4</v>
      </c>
      <c r="GJ371">
        <v>0</v>
      </c>
      <c r="GK371">
        <f>ROUND(R371*(R12)/100,2)</f>
        <v>0</v>
      </c>
      <c r="GL371">
        <f t="shared" si="310"/>
        <v>0</v>
      </c>
      <c r="GM371">
        <f t="shared" si="311"/>
        <v>2189.91</v>
      </c>
      <c r="GN371">
        <f t="shared" si="312"/>
        <v>0</v>
      </c>
      <c r="GO371">
        <f t="shared" si="313"/>
        <v>2189.91</v>
      </c>
      <c r="GP371">
        <f t="shared" si="314"/>
        <v>0</v>
      </c>
      <c r="GR371">
        <v>0</v>
      </c>
      <c r="GS371">
        <v>3</v>
      </c>
      <c r="GT371">
        <v>0</v>
      </c>
      <c r="GU371" t="s">
        <v>6</v>
      </c>
      <c r="GV371">
        <f t="shared" si="315"/>
        <v>0</v>
      </c>
      <c r="GW371">
        <v>1</v>
      </c>
      <c r="GX371">
        <f t="shared" si="316"/>
        <v>0</v>
      </c>
      <c r="HA371">
        <v>0</v>
      </c>
      <c r="HB371">
        <v>0</v>
      </c>
      <c r="IK371">
        <v>0</v>
      </c>
    </row>
    <row r="372" spans="1:245" x14ac:dyDescent="0.2">
      <c r="A372">
        <v>18</v>
      </c>
      <c r="B372">
        <v>1</v>
      </c>
      <c r="C372">
        <v>560</v>
      </c>
      <c r="E372" t="s">
        <v>775</v>
      </c>
      <c r="F372" t="s">
        <v>776</v>
      </c>
      <c r="G372" t="s">
        <v>777</v>
      </c>
      <c r="H372" t="s">
        <v>53</v>
      </c>
      <c r="I372">
        <f>I371*J372</f>
        <v>3</v>
      </c>
      <c r="J372">
        <v>1</v>
      </c>
      <c r="O372">
        <f t="shared" si="278"/>
        <v>4192.82</v>
      </c>
      <c r="P372">
        <f t="shared" si="279"/>
        <v>4192.82</v>
      </c>
      <c r="Q372">
        <f t="shared" si="280"/>
        <v>0</v>
      </c>
      <c r="R372">
        <f t="shared" si="281"/>
        <v>0</v>
      </c>
      <c r="S372">
        <f t="shared" si="282"/>
        <v>0</v>
      </c>
      <c r="T372">
        <f t="shared" si="283"/>
        <v>0</v>
      </c>
      <c r="U372">
        <f t="shared" si="284"/>
        <v>0</v>
      </c>
      <c r="V372">
        <f t="shared" si="285"/>
        <v>0</v>
      </c>
      <c r="W372">
        <f t="shared" si="286"/>
        <v>0</v>
      </c>
      <c r="X372">
        <f t="shared" si="287"/>
        <v>0</v>
      </c>
      <c r="Y372">
        <f t="shared" si="288"/>
        <v>0</v>
      </c>
      <c r="AA372">
        <v>16748969</v>
      </c>
      <c r="AB372">
        <f t="shared" si="289"/>
        <v>213.05</v>
      </c>
      <c r="AC372">
        <f t="shared" si="290"/>
        <v>213.05</v>
      </c>
      <c r="AD372">
        <f t="shared" si="291"/>
        <v>0</v>
      </c>
      <c r="AE372">
        <f t="shared" si="292"/>
        <v>0</v>
      </c>
      <c r="AF372">
        <f t="shared" si="293"/>
        <v>0</v>
      </c>
      <c r="AG372">
        <f t="shared" si="294"/>
        <v>0</v>
      </c>
      <c r="AH372">
        <f t="shared" si="295"/>
        <v>0</v>
      </c>
      <c r="AI372">
        <f t="shared" si="296"/>
        <v>0</v>
      </c>
      <c r="AJ372">
        <f t="shared" si="297"/>
        <v>0</v>
      </c>
      <c r="AK372">
        <v>213.05</v>
      </c>
      <c r="AL372">
        <v>213.05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  <c r="AS372">
        <v>0</v>
      </c>
      <c r="AT372">
        <v>95</v>
      </c>
      <c r="AU372">
        <v>65</v>
      </c>
      <c r="AV372">
        <v>1</v>
      </c>
      <c r="AW372">
        <v>1</v>
      </c>
      <c r="AZ372">
        <v>6.56</v>
      </c>
      <c r="BA372">
        <v>1</v>
      </c>
      <c r="BB372">
        <v>1</v>
      </c>
      <c r="BC372">
        <v>6.56</v>
      </c>
      <c r="BD372" t="s">
        <v>6</v>
      </c>
      <c r="BE372" t="s">
        <v>6</v>
      </c>
      <c r="BF372" t="s">
        <v>6</v>
      </c>
      <c r="BG372" t="s">
        <v>6</v>
      </c>
      <c r="BH372">
        <v>3</v>
      </c>
      <c r="BI372">
        <v>2</v>
      </c>
      <c r="BJ372" t="s">
        <v>778</v>
      </c>
      <c r="BM372">
        <v>108001</v>
      </c>
      <c r="BN372">
        <v>0</v>
      </c>
      <c r="BO372" t="s">
        <v>6</v>
      </c>
      <c r="BP372">
        <v>0</v>
      </c>
      <c r="BQ372">
        <v>3</v>
      </c>
      <c r="BR372">
        <v>0</v>
      </c>
      <c r="BS372">
        <v>1</v>
      </c>
      <c r="BT372">
        <v>1</v>
      </c>
      <c r="BU372">
        <v>1</v>
      </c>
      <c r="BV372">
        <v>1</v>
      </c>
      <c r="BW372">
        <v>1</v>
      </c>
      <c r="BX372">
        <v>1</v>
      </c>
      <c r="BY372" t="s">
        <v>6</v>
      </c>
      <c r="BZ372">
        <v>95</v>
      </c>
      <c r="CA372">
        <v>65</v>
      </c>
      <c r="CF372">
        <v>0</v>
      </c>
      <c r="CG372">
        <v>0</v>
      </c>
      <c r="CM372">
        <v>0</v>
      </c>
      <c r="CN372" t="s">
        <v>6</v>
      </c>
      <c r="CO372">
        <v>0</v>
      </c>
      <c r="CP372">
        <f t="shared" si="298"/>
        <v>4192.82</v>
      </c>
      <c r="CQ372">
        <f t="shared" si="299"/>
        <v>1397.6079999999999</v>
      </c>
      <c r="CR372">
        <f t="shared" si="300"/>
        <v>0</v>
      </c>
      <c r="CS372">
        <f t="shared" si="301"/>
        <v>0</v>
      </c>
      <c r="CT372">
        <f t="shared" si="302"/>
        <v>0</v>
      </c>
      <c r="CU372">
        <f t="shared" si="303"/>
        <v>0</v>
      </c>
      <c r="CV372">
        <f t="shared" si="304"/>
        <v>0</v>
      </c>
      <c r="CW372">
        <f t="shared" si="305"/>
        <v>0</v>
      </c>
      <c r="CX372">
        <f t="shared" si="306"/>
        <v>0</v>
      </c>
      <c r="CY372">
        <f t="shared" si="307"/>
        <v>0</v>
      </c>
      <c r="CZ372">
        <f t="shared" si="308"/>
        <v>0</v>
      </c>
      <c r="DC372" t="s">
        <v>6</v>
      </c>
      <c r="DD372" t="s">
        <v>6</v>
      </c>
      <c r="DE372" t="s">
        <v>6</v>
      </c>
      <c r="DF372" t="s">
        <v>6</v>
      </c>
      <c r="DG372" t="s">
        <v>6</v>
      </c>
      <c r="DH372" t="s">
        <v>6</v>
      </c>
      <c r="DI372" t="s">
        <v>6</v>
      </c>
      <c r="DJ372" t="s">
        <v>6</v>
      </c>
      <c r="DK372" t="s">
        <v>6</v>
      </c>
      <c r="DL372" t="s">
        <v>6</v>
      </c>
      <c r="DM372" t="s">
        <v>6</v>
      </c>
      <c r="DN372">
        <v>0</v>
      </c>
      <c r="DO372">
        <v>0</v>
      </c>
      <c r="DP372">
        <v>1</v>
      </c>
      <c r="DQ372">
        <v>1</v>
      </c>
      <c r="DU372">
        <v>1010</v>
      </c>
      <c r="DV372" t="s">
        <v>53</v>
      </c>
      <c r="DW372" t="s">
        <v>53</v>
      </c>
      <c r="DX372">
        <v>1</v>
      </c>
      <c r="EE372">
        <v>16510370</v>
      </c>
      <c r="EF372">
        <v>3</v>
      </c>
      <c r="EG372" t="s">
        <v>591</v>
      </c>
      <c r="EH372">
        <v>0</v>
      </c>
      <c r="EI372" t="s">
        <v>6</v>
      </c>
      <c r="EJ372">
        <v>2</v>
      </c>
      <c r="EK372">
        <v>108001</v>
      </c>
      <c r="EL372" t="s">
        <v>592</v>
      </c>
      <c r="EM372" t="s">
        <v>593</v>
      </c>
      <c r="EO372" t="s">
        <v>6</v>
      </c>
      <c r="EQ372">
        <v>0</v>
      </c>
      <c r="ER372">
        <v>213.05</v>
      </c>
      <c r="ES372">
        <v>213.05</v>
      </c>
      <c r="ET372">
        <v>0</v>
      </c>
      <c r="EU372">
        <v>0</v>
      </c>
      <c r="EV372">
        <v>0</v>
      </c>
      <c r="EW372">
        <v>0</v>
      </c>
      <c r="EX372">
        <v>0</v>
      </c>
      <c r="FQ372">
        <v>0</v>
      </c>
      <c r="FR372">
        <f t="shared" si="309"/>
        <v>0</v>
      </c>
      <c r="FS372">
        <v>0</v>
      </c>
      <c r="FX372">
        <v>95</v>
      </c>
      <c r="FY372">
        <v>65</v>
      </c>
      <c r="GA372" t="s">
        <v>6</v>
      </c>
      <c r="GD372">
        <v>0</v>
      </c>
      <c r="GF372">
        <v>-1797323191</v>
      </c>
      <c r="GG372">
        <v>1</v>
      </c>
      <c r="GH372">
        <v>1</v>
      </c>
      <c r="GI372">
        <v>4</v>
      </c>
      <c r="GJ372">
        <v>0</v>
      </c>
      <c r="GK372">
        <f>ROUND(R372*(R12)/100,2)</f>
        <v>0</v>
      </c>
      <c r="GL372">
        <f t="shared" si="310"/>
        <v>0</v>
      </c>
      <c r="GM372">
        <f t="shared" si="311"/>
        <v>4192.82</v>
      </c>
      <c r="GN372">
        <f t="shared" si="312"/>
        <v>0</v>
      </c>
      <c r="GO372">
        <f t="shared" si="313"/>
        <v>4192.82</v>
      </c>
      <c r="GP372">
        <f t="shared" si="314"/>
        <v>0</v>
      </c>
      <c r="GR372">
        <v>0</v>
      </c>
      <c r="GS372">
        <v>3</v>
      </c>
      <c r="GT372">
        <v>0</v>
      </c>
      <c r="GU372" t="s">
        <v>6</v>
      </c>
      <c r="GV372">
        <f t="shared" si="315"/>
        <v>0</v>
      </c>
      <c r="GW372">
        <v>1</v>
      </c>
      <c r="GX372">
        <f t="shared" si="316"/>
        <v>0</v>
      </c>
      <c r="HA372">
        <v>0</v>
      </c>
      <c r="HB372">
        <v>0</v>
      </c>
      <c r="IK372">
        <v>0</v>
      </c>
    </row>
    <row r="373" spans="1:245" x14ac:dyDescent="0.2">
      <c r="A373">
        <v>17</v>
      </c>
      <c r="B373">
        <v>1</v>
      </c>
      <c r="C373">
        <f>ROW(SmtRes!A571)</f>
        <v>571</v>
      </c>
      <c r="D373">
        <f>ROW(EtalonRes!A529)</f>
        <v>529</v>
      </c>
      <c r="E373" t="s">
        <v>779</v>
      </c>
      <c r="F373" t="s">
        <v>596</v>
      </c>
      <c r="G373" t="s">
        <v>667</v>
      </c>
      <c r="H373" t="s">
        <v>242</v>
      </c>
      <c r="I373">
        <v>1</v>
      </c>
      <c r="J373">
        <v>0</v>
      </c>
      <c r="O373">
        <f t="shared" si="278"/>
        <v>219.23</v>
      </c>
      <c r="P373">
        <f t="shared" si="279"/>
        <v>40.67</v>
      </c>
      <c r="Q373">
        <f t="shared" si="280"/>
        <v>116.57</v>
      </c>
      <c r="R373">
        <f t="shared" si="281"/>
        <v>16.47</v>
      </c>
      <c r="S373">
        <f t="shared" si="282"/>
        <v>61.99</v>
      </c>
      <c r="T373">
        <f t="shared" si="283"/>
        <v>0</v>
      </c>
      <c r="U373">
        <f t="shared" si="284"/>
        <v>0.9</v>
      </c>
      <c r="V373">
        <f t="shared" si="285"/>
        <v>0.2</v>
      </c>
      <c r="W373">
        <f t="shared" si="286"/>
        <v>0</v>
      </c>
      <c r="X373">
        <f t="shared" si="287"/>
        <v>74.540000000000006</v>
      </c>
      <c r="Y373">
        <f t="shared" si="288"/>
        <v>51</v>
      </c>
      <c r="AA373">
        <v>16748969</v>
      </c>
      <c r="AB373">
        <f t="shared" si="289"/>
        <v>33.42</v>
      </c>
      <c r="AC373">
        <f t="shared" si="290"/>
        <v>6.2</v>
      </c>
      <c r="AD373">
        <f t="shared" si="291"/>
        <v>17.77</v>
      </c>
      <c r="AE373">
        <f t="shared" si="292"/>
        <v>2.5099999999999998</v>
      </c>
      <c r="AF373">
        <f t="shared" si="293"/>
        <v>9.4499999999999993</v>
      </c>
      <c r="AG373">
        <f t="shared" si="294"/>
        <v>0</v>
      </c>
      <c r="AH373">
        <f t="shared" si="295"/>
        <v>0.9</v>
      </c>
      <c r="AI373">
        <f t="shared" si="296"/>
        <v>0.2</v>
      </c>
      <c r="AJ373">
        <f t="shared" si="297"/>
        <v>0</v>
      </c>
      <c r="AK373">
        <v>33.42</v>
      </c>
      <c r="AL373">
        <v>6.2</v>
      </c>
      <c r="AM373">
        <v>17.77</v>
      </c>
      <c r="AN373">
        <v>2.5099999999999998</v>
      </c>
      <c r="AO373">
        <v>9.4499999999999993</v>
      </c>
      <c r="AP373">
        <v>0</v>
      </c>
      <c r="AQ373">
        <v>0.9</v>
      </c>
      <c r="AR373">
        <v>0.2</v>
      </c>
      <c r="AS373">
        <v>0</v>
      </c>
      <c r="AT373">
        <v>95</v>
      </c>
      <c r="AU373">
        <v>65</v>
      </c>
      <c r="AV373">
        <v>1</v>
      </c>
      <c r="AW373">
        <v>1</v>
      </c>
      <c r="AZ373">
        <v>6.56</v>
      </c>
      <c r="BA373">
        <v>6.56</v>
      </c>
      <c r="BB373">
        <v>6.56</v>
      </c>
      <c r="BC373">
        <v>6.56</v>
      </c>
      <c r="BD373" t="s">
        <v>6</v>
      </c>
      <c r="BE373" t="s">
        <v>6</v>
      </c>
      <c r="BF373" t="s">
        <v>6</v>
      </c>
      <c r="BG373" t="s">
        <v>6</v>
      </c>
      <c r="BH373">
        <v>0</v>
      </c>
      <c r="BI373">
        <v>2</v>
      </c>
      <c r="BJ373" t="s">
        <v>598</v>
      </c>
      <c r="BM373">
        <v>108001</v>
      </c>
      <c r="BN373">
        <v>0</v>
      </c>
      <c r="BO373" t="s">
        <v>6</v>
      </c>
      <c r="BP373">
        <v>0</v>
      </c>
      <c r="BQ373">
        <v>3</v>
      </c>
      <c r="BR373">
        <v>0</v>
      </c>
      <c r="BS373">
        <v>6.56</v>
      </c>
      <c r="BT373">
        <v>1</v>
      </c>
      <c r="BU373">
        <v>1</v>
      </c>
      <c r="BV373">
        <v>1</v>
      </c>
      <c r="BW373">
        <v>1</v>
      </c>
      <c r="BX373">
        <v>1</v>
      </c>
      <c r="BY373" t="s">
        <v>6</v>
      </c>
      <c r="BZ373">
        <v>95</v>
      </c>
      <c r="CA373">
        <v>65</v>
      </c>
      <c r="CF373">
        <v>0</v>
      </c>
      <c r="CG373">
        <v>0</v>
      </c>
      <c r="CM373">
        <v>0</v>
      </c>
      <c r="CN373" t="s">
        <v>6</v>
      </c>
      <c r="CO373">
        <v>0</v>
      </c>
      <c r="CP373">
        <f t="shared" si="298"/>
        <v>219.23000000000002</v>
      </c>
      <c r="CQ373">
        <f t="shared" si="299"/>
        <v>40.671999999999997</v>
      </c>
      <c r="CR373">
        <f t="shared" si="300"/>
        <v>116.57119999999999</v>
      </c>
      <c r="CS373">
        <f t="shared" si="301"/>
        <v>16.465599999999998</v>
      </c>
      <c r="CT373">
        <f t="shared" si="302"/>
        <v>61.99199999999999</v>
      </c>
      <c r="CU373">
        <f t="shared" si="303"/>
        <v>0</v>
      </c>
      <c r="CV373">
        <f t="shared" si="304"/>
        <v>0.9</v>
      </c>
      <c r="CW373">
        <f t="shared" si="305"/>
        <v>0.2</v>
      </c>
      <c r="CX373">
        <f t="shared" si="306"/>
        <v>0</v>
      </c>
      <c r="CY373">
        <f t="shared" si="307"/>
        <v>74.537000000000006</v>
      </c>
      <c r="CZ373">
        <f t="shared" si="308"/>
        <v>50.999000000000002</v>
      </c>
      <c r="DC373" t="s">
        <v>6</v>
      </c>
      <c r="DD373" t="s">
        <v>6</v>
      </c>
      <c r="DE373" t="s">
        <v>6</v>
      </c>
      <c r="DF373" t="s">
        <v>6</v>
      </c>
      <c r="DG373" t="s">
        <v>6</v>
      </c>
      <c r="DH373" t="s">
        <v>6</v>
      </c>
      <c r="DI373" t="s">
        <v>6</v>
      </c>
      <c r="DJ373" t="s">
        <v>6</v>
      </c>
      <c r="DK373" t="s">
        <v>6</v>
      </c>
      <c r="DL373" t="s">
        <v>6</v>
      </c>
      <c r="DM373" t="s">
        <v>6</v>
      </c>
      <c r="DN373">
        <v>0</v>
      </c>
      <c r="DO373">
        <v>0</v>
      </c>
      <c r="DP373">
        <v>1</v>
      </c>
      <c r="DQ373">
        <v>1</v>
      </c>
      <c r="DU373">
        <v>1013</v>
      </c>
      <c r="DV373" t="s">
        <v>242</v>
      </c>
      <c r="DW373" t="s">
        <v>242</v>
      </c>
      <c r="DX373">
        <v>1</v>
      </c>
      <c r="EE373">
        <v>16510370</v>
      </c>
      <c r="EF373">
        <v>3</v>
      </c>
      <c r="EG373" t="s">
        <v>591</v>
      </c>
      <c r="EH373">
        <v>0</v>
      </c>
      <c r="EI373" t="s">
        <v>6</v>
      </c>
      <c r="EJ373">
        <v>2</v>
      </c>
      <c r="EK373">
        <v>108001</v>
      </c>
      <c r="EL373" t="s">
        <v>592</v>
      </c>
      <c r="EM373" t="s">
        <v>593</v>
      </c>
      <c r="EO373" t="s">
        <v>6</v>
      </c>
      <c r="EQ373">
        <v>131072</v>
      </c>
      <c r="ER373">
        <v>33.42</v>
      </c>
      <c r="ES373">
        <v>6.2</v>
      </c>
      <c r="ET373">
        <v>17.77</v>
      </c>
      <c r="EU373">
        <v>2.5099999999999998</v>
      </c>
      <c r="EV373">
        <v>9.4499999999999993</v>
      </c>
      <c r="EW373">
        <v>0.9</v>
      </c>
      <c r="EX373">
        <v>0.2</v>
      </c>
      <c r="EY373">
        <v>0</v>
      </c>
      <c r="FQ373">
        <v>0</v>
      </c>
      <c r="FR373">
        <f t="shared" si="309"/>
        <v>0</v>
      </c>
      <c r="FS373">
        <v>0</v>
      </c>
      <c r="FX373">
        <v>95</v>
      </c>
      <c r="FY373">
        <v>65</v>
      </c>
      <c r="GA373" t="s">
        <v>6</v>
      </c>
      <c r="GD373">
        <v>0</v>
      </c>
      <c r="GF373">
        <v>-64978218</v>
      </c>
      <c r="GG373">
        <v>1</v>
      </c>
      <c r="GH373">
        <v>1</v>
      </c>
      <c r="GI373">
        <v>4</v>
      </c>
      <c r="GJ373">
        <v>0</v>
      </c>
      <c r="GK373">
        <f>ROUND(R373*(R12)/100,2)</f>
        <v>0</v>
      </c>
      <c r="GL373">
        <f t="shared" si="310"/>
        <v>0</v>
      </c>
      <c r="GM373">
        <f t="shared" si="311"/>
        <v>344.77</v>
      </c>
      <c r="GN373">
        <f t="shared" si="312"/>
        <v>0</v>
      </c>
      <c r="GO373">
        <f t="shared" si="313"/>
        <v>344.77</v>
      </c>
      <c r="GP373">
        <f t="shared" si="314"/>
        <v>0</v>
      </c>
      <c r="GR373">
        <v>0</v>
      </c>
      <c r="GS373">
        <v>3</v>
      </c>
      <c r="GT373">
        <v>0</v>
      </c>
      <c r="GU373" t="s">
        <v>6</v>
      </c>
      <c r="GV373">
        <f t="shared" si="315"/>
        <v>0</v>
      </c>
      <c r="GW373">
        <v>1</v>
      </c>
      <c r="GX373">
        <f t="shared" si="316"/>
        <v>0</v>
      </c>
      <c r="HA373">
        <v>0</v>
      </c>
      <c r="HB373">
        <v>0</v>
      </c>
      <c r="IK373">
        <v>0</v>
      </c>
    </row>
    <row r="374" spans="1:245" x14ac:dyDescent="0.2">
      <c r="A374">
        <v>18</v>
      </c>
      <c r="B374">
        <v>1</v>
      </c>
      <c r="C374">
        <v>570</v>
      </c>
      <c r="E374" t="s">
        <v>780</v>
      </c>
      <c r="F374" t="s">
        <v>669</v>
      </c>
      <c r="G374" t="s">
        <v>670</v>
      </c>
      <c r="H374" t="s">
        <v>53</v>
      </c>
      <c r="I374">
        <f>I373*J374</f>
        <v>1</v>
      </c>
      <c r="J374">
        <v>1</v>
      </c>
      <c r="O374">
        <f t="shared" si="278"/>
        <v>9805.69</v>
      </c>
      <c r="P374">
        <f t="shared" si="279"/>
        <v>9805.69</v>
      </c>
      <c r="Q374">
        <f t="shared" si="280"/>
        <v>0</v>
      </c>
      <c r="R374">
        <f t="shared" si="281"/>
        <v>0</v>
      </c>
      <c r="S374">
        <f t="shared" si="282"/>
        <v>0</v>
      </c>
      <c r="T374">
        <f t="shared" si="283"/>
        <v>0</v>
      </c>
      <c r="U374">
        <f t="shared" si="284"/>
        <v>0</v>
      </c>
      <c r="V374">
        <f t="shared" si="285"/>
        <v>0</v>
      </c>
      <c r="W374">
        <f t="shared" si="286"/>
        <v>0</v>
      </c>
      <c r="X374">
        <f t="shared" si="287"/>
        <v>0</v>
      </c>
      <c r="Y374">
        <f t="shared" si="288"/>
        <v>0</v>
      </c>
      <c r="AA374">
        <v>16748969</v>
      </c>
      <c r="AB374">
        <f t="shared" si="289"/>
        <v>1494.77</v>
      </c>
      <c r="AC374">
        <f t="shared" si="290"/>
        <v>1494.77</v>
      </c>
      <c r="AD374">
        <f t="shared" si="291"/>
        <v>0</v>
      </c>
      <c r="AE374">
        <f t="shared" si="292"/>
        <v>0</v>
      </c>
      <c r="AF374">
        <f t="shared" si="293"/>
        <v>0</v>
      </c>
      <c r="AG374">
        <f t="shared" si="294"/>
        <v>0</v>
      </c>
      <c r="AH374">
        <f t="shared" si="295"/>
        <v>0</v>
      </c>
      <c r="AI374">
        <f t="shared" si="296"/>
        <v>0</v>
      </c>
      <c r="AJ374">
        <f t="shared" si="297"/>
        <v>0</v>
      </c>
      <c r="AK374">
        <v>1494.77</v>
      </c>
      <c r="AL374">
        <v>1494.77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  <c r="AS374">
        <v>0</v>
      </c>
      <c r="AT374">
        <v>95</v>
      </c>
      <c r="AU374">
        <v>65</v>
      </c>
      <c r="AV374">
        <v>1</v>
      </c>
      <c r="AW374">
        <v>1</v>
      </c>
      <c r="AZ374">
        <v>6.56</v>
      </c>
      <c r="BA374">
        <v>1</v>
      </c>
      <c r="BB374">
        <v>1</v>
      </c>
      <c r="BC374">
        <v>6.56</v>
      </c>
      <c r="BD374" t="s">
        <v>6</v>
      </c>
      <c r="BE374" t="s">
        <v>6</v>
      </c>
      <c r="BF374" t="s">
        <v>6</v>
      </c>
      <c r="BG374" t="s">
        <v>6</v>
      </c>
      <c r="BH374">
        <v>3</v>
      </c>
      <c r="BI374">
        <v>2</v>
      </c>
      <c r="BJ374" t="s">
        <v>671</v>
      </c>
      <c r="BM374">
        <v>108001</v>
      </c>
      <c r="BN374">
        <v>0</v>
      </c>
      <c r="BO374" t="s">
        <v>6</v>
      </c>
      <c r="BP374">
        <v>0</v>
      </c>
      <c r="BQ374">
        <v>3</v>
      </c>
      <c r="BR374">
        <v>0</v>
      </c>
      <c r="BS374">
        <v>1</v>
      </c>
      <c r="BT374">
        <v>1</v>
      </c>
      <c r="BU374">
        <v>1</v>
      </c>
      <c r="BV374">
        <v>1</v>
      </c>
      <c r="BW374">
        <v>1</v>
      </c>
      <c r="BX374">
        <v>1</v>
      </c>
      <c r="BY374" t="s">
        <v>6</v>
      </c>
      <c r="BZ374">
        <v>95</v>
      </c>
      <c r="CA374">
        <v>65</v>
      </c>
      <c r="CF374">
        <v>0</v>
      </c>
      <c r="CG374">
        <v>0</v>
      </c>
      <c r="CM374">
        <v>0</v>
      </c>
      <c r="CN374" t="s">
        <v>6</v>
      </c>
      <c r="CO374">
        <v>0</v>
      </c>
      <c r="CP374">
        <f t="shared" si="298"/>
        <v>9805.69</v>
      </c>
      <c r="CQ374">
        <f t="shared" si="299"/>
        <v>9805.6911999999993</v>
      </c>
      <c r="CR374">
        <f t="shared" si="300"/>
        <v>0</v>
      </c>
      <c r="CS374">
        <f t="shared" si="301"/>
        <v>0</v>
      </c>
      <c r="CT374">
        <f t="shared" si="302"/>
        <v>0</v>
      </c>
      <c r="CU374">
        <f t="shared" si="303"/>
        <v>0</v>
      </c>
      <c r="CV374">
        <f t="shared" si="304"/>
        <v>0</v>
      </c>
      <c r="CW374">
        <f t="shared" si="305"/>
        <v>0</v>
      </c>
      <c r="CX374">
        <f t="shared" si="306"/>
        <v>0</v>
      </c>
      <c r="CY374">
        <f t="shared" si="307"/>
        <v>0</v>
      </c>
      <c r="CZ374">
        <f t="shared" si="308"/>
        <v>0</v>
      </c>
      <c r="DC374" t="s">
        <v>6</v>
      </c>
      <c r="DD374" t="s">
        <v>6</v>
      </c>
      <c r="DE374" t="s">
        <v>6</v>
      </c>
      <c r="DF374" t="s">
        <v>6</v>
      </c>
      <c r="DG374" t="s">
        <v>6</v>
      </c>
      <c r="DH374" t="s">
        <v>6</v>
      </c>
      <c r="DI374" t="s">
        <v>6</v>
      </c>
      <c r="DJ374" t="s">
        <v>6</v>
      </c>
      <c r="DK374" t="s">
        <v>6</v>
      </c>
      <c r="DL374" t="s">
        <v>6</v>
      </c>
      <c r="DM374" t="s">
        <v>6</v>
      </c>
      <c r="DN374">
        <v>0</v>
      </c>
      <c r="DO374">
        <v>0</v>
      </c>
      <c r="DP374">
        <v>1</v>
      </c>
      <c r="DQ374">
        <v>1</v>
      </c>
      <c r="DU374">
        <v>1010</v>
      </c>
      <c r="DV374" t="s">
        <v>53</v>
      </c>
      <c r="DW374" t="s">
        <v>53</v>
      </c>
      <c r="DX374">
        <v>1</v>
      </c>
      <c r="EE374">
        <v>16510370</v>
      </c>
      <c r="EF374">
        <v>3</v>
      </c>
      <c r="EG374" t="s">
        <v>591</v>
      </c>
      <c r="EH374">
        <v>0</v>
      </c>
      <c r="EI374" t="s">
        <v>6</v>
      </c>
      <c r="EJ374">
        <v>2</v>
      </c>
      <c r="EK374">
        <v>108001</v>
      </c>
      <c r="EL374" t="s">
        <v>592</v>
      </c>
      <c r="EM374" t="s">
        <v>593</v>
      </c>
      <c r="EO374" t="s">
        <v>6</v>
      </c>
      <c r="EQ374">
        <v>0</v>
      </c>
      <c r="ER374">
        <v>1494.77</v>
      </c>
      <c r="ES374">
        <v>1494.77</v>
      </c>
      <c r="ET374">
        <v>0</v>
      </c>
      <c r="EU374">
        <v>0</v>
      </c>
      <c r="EV374">
        <v>0</v>
      </c>
      <c r="EW374">
        <v>0</v>
      </c>
      <c r="EX374">
        <v>0</v>
      </c>
      <c r="FQ374">
        <v>0</v>
      </c>
      <c r="FR374">
        <f t="shared" si="309"/>
        <v>0</v>
      </c>
      <c r="FS374">
        <v>0</v>
      </c>
      <c r="FX374">
        <v>95</v>
      </c>
      <c r="FY374">
        <v>65</v>
      </c>
      <c r="GA374" t="s">
        <v>6</v>
      </c>
      <c r="GD374">
        <v>0</v>
      </c>
      <c r="GF374">
        <v>487973268</v>
      </c>
      <c r="GG374">
        <v>1</v>
      </c>
      <c r="GH374">
        <v>1</v>
      </c>
      <c r="GI374">
        <v>4</v>
      </c>
      <c r="GJ374">
        <v>0</v>
      </c>
      <c r="GK374">
        <f>ROUND(R374*(R12)/100,2)</f>
        <v>0</v>
      </c>
      <c r="GL374">
        <f t="shared" si="310"/>
        <v>0</v>
      </c>
      <c r="GM374">
        <f t="shared" si="311"/>
        <v>9805.69</v>
      </c>
      <c r="GN374">
        <f t="shared" si="312"/>
        <v>0</v>
      </c>
      <c r="GO374">
        <f t="shared" si="313"/>
        <v>9805.69</v>
      </c>
      <c r="GP374">
        <f t="shared" si="314"/>
        <v>0</v>
      </c>
      <c r="GR374">
        <v>0</v>
      </c>
      <c r="GS374">
        <v>3</v>
      </c>
      <c r="GT374">
        <v>0</v>
      </c>
      <c r="GU374" t="s">
        <v>6</v>
      </c>
      <c r="GV374">
        <f t="shared" si="315"/>
        <v>0</v>
      </c>
      <c r="GW374">
        <v>1</v>
      </c>
      <c r="GX374">
        <f t="shared" si="316"/>
        <v>0</v>
      </c>
      <c r="HA374">
        <v>0</v>
      </c>
      <c r="HB374">
        <v>0</v>
      </c>
      <c r="IK374">
        <v>0</v>
      </c>
    </row>
    <row r="375" spans="1:245" x14ac:dyDescent="0.2">
      <c r="A375">
        <v>17</v>
      </c>
      <c r="B375">
        <v>1</v>
      </c>
      <c r="C375">
        <f>ROW(SmtRes!A589)</f>
        <v>589</v>
      </c>
      <c r="D375">
        <f>ROW(EtalonRes!A543)</f>
        <v>543</v>
      </c>
      <c r="E375" t="s">
        <v>781</v>
      </c>
      <c r="F375" t="s">
        <v>782</v>
      </c>
      <c r="G375" t="s">
        <v>783</v>
      </c>
      <c r="H375" t="s">
        <v>242</v>
      </c>
      <c r="I375">
        <v>32</v>
      </c>
      <c r="J375">
        <v>0</v>
      </c>
      <c r="O375">
        <f t="shared" si="278"/>
        <v>7552.92</v>
      </c>
      <c r="P375">
        <f t="shared" si="279"/>
        <v>4217.29</v>
      </c>
      <c r="Q375">
        <f t="shared" si="280"/>
        <v>220.42</v>
      </c>
      <c r="R375">
        <f t="shared" si="281"/>
        <v>0</v>
      </c>
      <c r="S375">
        <f t="shared" si="282"/>
        <v>3115.21</v>
      </c>
      <c r="T375">
        <f t="shared" si="283"/>
        <v>0</v>
      </c>
      <c r="U375">
        <f t="shared" si="284"/>
        <v>49.92</v>
      </c>
      <c r="V375">
        <f t="shared" si="285"/>
        <v>0</v>
      </c>
      <c r="W375">
        <f t="shared" si="286"/>
        <v>0</v>
      </c>
      <c r="X375">
        <f t="shared" si="287"/>
        <v>2959.45</v>
      </c>
      <c r="Y375">
        <f t="shared" si="288"/>
        <v>2024.89</v>
      </c>
      <c r="AA375">
        <v>16748969</v>
      </c>
      <c r="AB375">
        <f t="shared" si="289"/>
        <v>35.979999999999997</v>
      </c>
      <c r="AC375">
        <f t="shared" si="290"/>
        <v>20.09</v>
      </c>
      <c r="AD375">
        <f t="shared" si="291"/>
        <v>1.05</v>
      </c>
      <c r="AE375">
        <f t="shared" si="292"/>
        <v>0</v>
      </c>
      <c r="AF375">
        <f t="shared" si="293"/>
        <v>14.84</v>
      </c>
      <c r="AG375">
        <f t="shared" si="294"/>
        <v>0</v>
      </c>
      <c r="AH375">
        <f t="shared" si="295"/>
        <v>1.56</v>
      </c>
      <c r="AI375">
        <f t="shared" si="296"/>
        <v>0</v>
      </c>
      <c r="AJ375">
        <f t="shared" si="297"/>
        <v>0</v>
      </c>
      <c r="AK375">
        <v>35.979999999999997</v>
      </c>
      <c r="AL375">
        <v>20.09</v>
      </c>
      <c r="AM375">
        <v>1.05</v>
      </c>
      <c r="AN375">
        <v>0</v>
      </c>
      <c r="AO375">
        <v>14.84</v>
      </c>
      <c r="AP375">
        <v>0</v>
      </c>
      <c r="AQ375">
        <v>1.56</v>
      </c>
      <c r="AR375">
        <v>0</v>
      </c>
      <c r="AS375">
        <v>0</v>
      </c>
      <c r="AT375">
        <v>95</v>
      </c>
      <c r="AU375">
        <v>65</v>
      </c>
      <c r="AV375">
        <v>1</v>
      </c>
      <c r="AW375">
        <v>1</v>
      </c>
      <c r="AZ375">
        <v>6.56</v>
      </c>
      <c r="BA375">
        <v>6.56</v>
      </c>
      <c r="BB375">
        <v>6.56</v>
      </c>
      <c r="BC375">
        <v>6.56</v>
      </c>
      <c r="BD375" t="s">
        <v>6</v>
      </c>
      <c r="BE375" t="s">
        <v>6</v>
      </c>
      <c r="BF375" t="s">
        <v>6</v>
      </c>
      <c r="BG375" t="s">
        <v>6</v>
      </c>
      <c r="BH375">
        <v>0</v>
      </c>
      <c r="BI375">
        <v>2</v>
      </c>
      <c r="BJ375" t="s">
        <v>784</v>
      </c>
      <c r="BM375">
        <v>108001</v>
      </c>
      <c r="BN375">
        <v>0</v>
      </c>
      <c r="BO375" t="s">
        <v>6</v>
      </c>
      <c r="BP375">
        <v>0</v>
      </c>
      <c r="BQ375">
        <v>3</v>
      </c>
      <c r="BR375">
        <v>0</v>
      </c>
      <c r="BS375">
        <v>6.56</v>
      </c>
      <c r="BT375">
        <v>1</v>
      </c>
      <c r="BU375">
        <v>1</v>
      </c>
      <c r="BV375">
        <v>1</v>
      </c>
      <c r="BW375">
        <v>1</v>
      </c>
      <c r="BX375">
        <v>1</v>
      </c>
      <c r="BY375" t="s">
        <v>6</v>
      </c>
      <c r="BZ375">
        <v>95</v>
      </c>
      <c r="CA375">
        <v>65</v>
      </c>
      <c r="CF375">
        <v>0</v>
      </c>
      <c r="CG375">
        <v>0</v>
      </c>
      <c r="CM375">
        <v>0</v>
      </c>
      <c r="CN375" t="s">
        <v>6</v>
      </c>
      <c r="CO375">
        <v>0</v>
      </c>
      <c r="CP375">
        <f t="shared" si="298"/>
        <v>7552.92</v>
      </c>
      <c r="CQ375">
        <f t="shared" si="299"/>
        <v>131.79040000000001</v>
      </c>
      <c r="CR375">
        <f t="shared" si="300"/>
        <v>6.8879999999999999</v>
      </c>
      <c r="CS375">
        <f t="shared" si="301"/>
        <v>0</v>
      </c>
      <c r="CT375">
        <f t="shared" si="302"/>
        <v>97.350399999999993</v>
      </c>
      <c r="CU375">
        <f t="shared" si="303"/>
        <v>0</v>
      </c>
      <c r="CV375">
        <f t="shared" si="304"/>
        <v>1.56</v>
      </c>
      <c r="CW375">
        <f t="shared" si="305"/>
        <v>0</v>
      </c>
      <c r="CX375">
        <f t="shared" si="306"/>
        <v>0</v>
      </c>
      <c r="CY375">
        <f t="shared" si="307"/>
        <v>2959.4495000000002</v>
      </c>
      <c r="CZ375">
        <f t="shared" si="308"/>
        <v>2024.8864999999998</v>
      </c>
      <c r="DC375" t="s">
        <v>6</v>
      </c>
      <c r="DD375" t="s">
        <v>6</v>
      </c>
      <c r="DE375" t="s">
        <v>6</v>
      </c>
      <c r="DF375" t="s">
        <v>6</v>
      </c>
      <c r="DG375" t="s">
        <v>6</v>
      </c>
      <c r="DH375" t="s">
        <v>6</v>
      </c>
      <c r="DI375" t="s">
        <v>6</v>
      </c>
      <c r="DJ375" t="s">
        <v>6</v>
      </c>
      <c r="DK375" t="s">
        <v>6</v>
      </c>
      <c r="DL375" t="s">
        <v>6</v>
      </c>
      <c r="DM375" t="s">
        <v>6</v>
      </c>
      <c r="DN375">
        <v>0</v>
      </c>
      <c r="DO375">
        <v>0</v>
      </c>
      <c r="DP375">
        <v>1</v>
      </c>
      <c r="DQ375">
        <v>1</v>
      </c>
      <c r="DU375">
        <v>1013</v>
      </c>
      <c r="DV375" t="s">
        <v>242</v>
      </c>
      <c r="DW375" t="s">
        <v>242</v>
      </c>
      <c r="DX375">
        <v>1</v>
      </c>
      <c r="EE375">
        <v>16510370</v>
      </c>
      <c r="EF375">
        <v>3</v>
      </c>
      <c r="EG375" t="s">
        <v>591</v>
      </c>
      <c r="EH375">
        <v>0</v>
      </c>
      <c r="EI375" t="s">
        <v>6</v>
      </c>
      <c r="EJ375">
        <v>2</v>
      </c>
      <c r="EK375">
        <v>108001</v>
      </c>
      <c r="EL375" t="s">
        <v>592</v>
      </c>
      <c r="EM375" t="s">
        <v>593</v>
      </c>
      <c r="EO375" t="s">
        <v>6</v>
      </c>
      <c r="EQ375">
        <v>131072</v>
      </c>
      <c r="ER375">
        <v>35.979999999999997</v>
      </c>
      <c r="ES375">
        <v>20.09</v>
      </c>
      <c r="ET375">
        <v>1.05</v>
      </c>
      <c r="EU375">
        <v>0</v>
      </c>
      <c r="EV375">
        <v>14.84</v>
      </c>
      <c r="EW375">
        <v>1.56</v>
      </c>
      <c r="EX375">
        <v>0</v>
      </c>
      <c r="EY375">
        <v>0</v>
      </c>
      <c r="FQ375">
        <v>0</v>
      </c>
      <c r="FR375">
        <f t="shared" si="309"/>
        <v>0</v>
      </c>
      <c r="FS375">
        <v>0</v>
      </c>
      <c r="FX375">
        <v>95</v>
      </c>
      <c r="FY375">
        <v>65</v>
      </c>
      <c r="GA375" t="s">
        <v>6</v>
      </c>
      <c r="GD375">
        <v>0</v>
      </c>
      <c r="GF375">
        <v>942868882</v>
      </c>
      <c r="GG375">
        <v>1</v>
      </c>
      <c r="GH375">
        <v>1</v>
      </c>
      <c r="GI375">
        <v>4</v>
      </c>
      <c r="GJ375">
        <v>0</v>
      </c>
      <c r="GK375">
        <f>ROUND(R375*(R12)/100,2)</f>
        <v>0</v>
      </c>
      <c r="GL375">
        <f t="shared" si="310"/>
        <v>0</v>
      </c>
      <c r="GM375">
        <f t="shared" si="311"/>
        <v>12537.26</v>
      </c>
      <c r="GN375">
        <f t="shared" si="312"/>
        <v>0</v>
      </c>
      <c r="GO375">
        <f t="shared" si="313"/>
        <v>12537.26</v>
      </c>
      <c r="GP375">
        <f t="shared" si="314"/>
        <v>0</v>
      </c>
      <c r="GR375">
        <v>0</v>
      </c>
      <c r="GS375">
        <v>3</v>
      </c>
      <c r="GT375">
        <v>0</v>
      </c>
      <c r="GU375" t="s">
        <v>6</v>
      </c>
      <c r="GV375">
        <f t="shared" si="315"/>
        <v>0</v>
      </c>
      <c r="GW375">
        <v>1</v>
      </c>
      <c r="GX375">
        <f t="shared" si="316"/>
        <v>0</v>
      </c>
      <c r="HA375">
        <v>0</v>
      </c>
      <c r="HB375">
        <v>0</v>
      </c>
      <c r="IK375">
        <v>0</v>
      </c>
    </row>
    <row r="376" spans="1:245" x14ac:dyDescent="0.2">
      <c r="A376">
        <v>18</v>
      </c>
      <c r="B376">
        <v>1</v>
      </c>
      <c r="C376">
        <v>585</v>
      </c>
      <c r="E376" t="s">
        <v>785</v>
      </c>
      <c r="F376" t="s">
        <v>786</v>
      </c>
      <c r="G376" t="s">
        <v>787</v>
      </c>
      <c r="H376" t="s">
        <v>53</v>
      </c>
      <c r="I376">
        <f>I375*J376</f>
        <v>1</v>
      </c>
      <c r="J376">
        <v>3.125E-2</v>
      </c>
      <c r="O376">
        <f t="shared" si="278"/>
        <v>1618.29</v>
      </c>
      <c r="P376">
        <f t="shared" si="279"/>
        <v>1618.29</v>
      </c>
      <c r="Q376">
        <f t="shared" si="280"/>
        <v>0</v>
      </c>
      <c r="R376">
        <f t="shared" si="281"/>
        <v>0</v>
      </c>
      <c r="S376">
        <f t="shared" si="282"/>
        <v>0</v>
      </c>
      <c r="T376">
        <f t="shared" si="283"/>
        <v>0</v>
      </c>
      <c r="U376">
        <f t="shared" si="284"/>
        <v>0</v>
      </c>
      <c r="V376">
        <f t="shared" si="285"/>
        <v>0</v>
      </c>
      <c r="W376">
        <f t="shared" si="286"/>
        <v>0</v>
      </c>
      <c r="X376">
        <f t="shared" si="287"/>
        <v>0</v>
      </c>
      <c r="Y376">
        <f t="shared" si="288"/>
        <v>0</v>
      </c>
      <c r="AA376">
        <v>16748969</v>
      </c>
      <c r="AB376">
        <f t="shared" si="289"/>
        <v>246.69</v>
      </c>
      <c r="AC376">
        <f t="shared" si="290"/>
        <v>246.69</v>
      </c>
      <c r="AD376">
        <f t="shared" si="291"/>
        <v>0</v>
      </c>
      <c r="AE376">
        <f t="shared" si="292"/>
        <v>0</v>
      </c>
      <c r="AF376">
        <f t="shared" si="293"/>
        <v>0</v>
      </c>
      <c r="AG376">
        <f t="shared" si="294"/>
        <v>0</v>
      </c>
      <c r="AH376">
        <f t="shared" si="295"/>
        <v>0</v>
      </c>
      <c r="AI376">
        <f t="shared" si="296"/>
        <v>0</v>
      </c>
      <c r="AJ376">
        <f t="shared" si="297"/>
        <v>0</v>
      </c>
      <c r="AK376">
        <v>246.69</v>
      </c>
      <c r="AL376">
        <v>246.69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  <c r="AS376">
        <v>0</v>
      </c>
      <c r="AT376">
        <v>95</v>
      </c>
      <c r="AU376">
        <v>65</v>
      </c>
      <c r="AV376">
        <v>1</v>
      </c>
      <c r="AW376">
        <v>1</v>
      </c>
      <c r="AZ376">
        <v>6.56</v>
      </c>
      <c r="BA376">
        <v>1</v>
      </c>
      <c r="BB376">
        <v>1</v>
      </c>
      <c r="BC376">
        <v>6.56</v>
      </c>
      <c r="BD376" t="s">
        <v>6</v>
      </c>
      <c r="BE376" t="s">
        <v>6</v>
      </c>
      <c r="BF376" t="s">
        <v>6</v>
      </c>
      <c r="BG376" t="s">
        <v>6</v>
      </c>
      <c r="BH376">
        <v>3</v>
      </c>
      <c r="BI376">
        <v>2</v>
      </c>
      <c r="BJ376" t="s">
        <v>788</v>
      </c>
      <c r="BM376">
        <v>108001</v>
      </c>
      <c r="BN376">
        <v>0</v>
      </c>
      <c r="BO376" t="s">
        <v>6</v>
      </c>
      <c r="BP376">
        <v>0</v>
      </c>
      <c r="BQ376">
        <v>3</v>
      </c>
      <c r="BR376">
        <v>0</v>
      </c>
      <c r="BS376">
        <v>1</v>
      </c>
      <c r="BT376">
        <v>1</v>
      </c>
      <c r="BU376">
        <v>1</v>
      </c>
      <c r="BV376">
        <v>1</v>
      </c>
      <c r="BW376">
        <v>1</v>
      </c>
      <c r="BX376">
        <v>1</v>
      </c>
      <c r="BY376" t="s">
        <v>6</v>
      </c>
      <c r="BZ376">
        <v>95</v>
      </c>
      <c r="CA376">
        <v>65</v>
      </c>
      <c r="CF376">
        <v>0</v>
      </c>
      <c r="CG376">
        <v>0</v>
      </c>
      <c r="CM376">
        <v>0</v>
      </c>
      <c r="CN376" t="s">
        <v>6</v>
      </c>
      <c r="CO376">
        <v>0</v>
      </c>
      <c r="CP376">
        <f t="shared" si="298"/>
        <v>1618.29</v>
      </c>
      <c r="CQ376">
        <f t="shared" si="299"/>
        <v>1618.2864</v>
      </c>
      <c r="CR376">
        <f t="shared" si="300"/>
        <v>0</v>
      </c>
      <c r="CS376">
        <f t="shared" si="301"/>
        <v>0</v>
      </c>
      <c r="CT376">
        <f t="shared" si="302"/>
        <v>0</v>
      </c>
      <c r="CU376">
        <f t="shared" si="303"/>
        <v>0</v>
      </c>
      <c r="CV376">
        <f t="shared" si="304"/>
        <v>0</v>
      </c>
      <c r="CW376">
        <f t="shared" si="305"/>
        <v>0</v>
      </c>
      <c r="CX376">
        <f t="shared" si="306"/>
        <v>0</v>
      </c>
      <c r="CY376">
        <f t="shared" si="307"/>
        <v>0</v>
      </c>
      <c r="CZ376">
        <f t="shared" si="308"/>
        <v>0</v>
      </c>
      <c r="DC376" t="s">
        <v>6</v>
      </c>
      <c r="DD376" t="s">
        <v>6</v>
      </c>
      <c r="DE376" t="s">
        <v>6</v>
      </c>
      <c r="DF376" t="s">
        <v>6</v>
      </c>
      <c r="DG376" t="s">
        <v>6</v>
      </c>
      <c r="DH376" t="s">
        <v>6</v>
      </c>
      <c r="DI376" t="s">
        <v>6</v>
      </c>
      <c r="DJ376" t="s">
        <v>6</v>
      </c>
      <c r="DK376" t="s">
        <v>6</v>
      </c>
      <c r="DL376" t="s">
        <v>6</v>
      </c>
      <c r="DM376" t="s">
        <v>6</v>
      </c>
      <c r="DN376">
        <v>0</v>
      </c>
      <c r="DO376">
        <v>0</v>
      </c>
      <c r="DP376">
        <v>1</v>
      </c>
      <c r="DQ376">
        <v>1</v>
      </c>
      <c r="DU376">
        <v>1010</v>
      </c>
      <c r="DV376" t="s">
        <v>53</v>
      </c>
      <c r="DW376" t="s">
        <v>53</v>
      </c>
      <c r="DX376">
        <v>1</v>
      </c>
      <c r="EE376">
        <v>16510370</v>
      </c>
      <c r="EF376">
        <v>3</v>
      </c>
      <c r="EG376" t="s">
        <v>591</v>
      </c>
      <c r="EH376">
        <v>0</v>
      </c>
      <c r="EI376" t="s">
        <v>6</v>
      </c>
      <c r="EJ376">
        <v>2</v>
      </c>
      <c r="EK376">
        <v>108001</v>
      </c>
      <c r="EL376" t="s">
        <v>592</v>
      </c>
      <c r="EM376" t="s">
        <v>593</v>
      </c>
      <c r="EO376" t="s">
        <v>6</v>
      </c>
      <c r="EQ376">
        <v>0</v>
      </c>
      <c r="ER376">
        <v>246.69</v>
      </c>
      <c r="ES376">
        <v>246.69</v>
      </c>
      <c r="ET376">
        <v>0</v>
      </c>
      <c r="EU376">
        <v>0</v>
      </c>
      <c r="EV376">
        <v>0</v>
      </c>
      <c r="EW376">
        <v>0</v>
      </c>
      <c r="EX376">
        <v>0</v>
      </c>
      <c r="FQ376">
        <v>0</v>
      </c>
      <c r="FR376">
        <f t="shared" si="309"/>
        <v>0</v>
      </c>
      <c r="FS376">
        <v>0</v>
      </c>
      <c r="FX376">
        <v>95</v>
      </c>
      <c r="FY376">
        <v>65</v>
      </c>
      <c r="GA376" t="s">
        <v>6</v>
      </c>
      <c r="GD376">
        <v>0</v>
      </c>
      <c r="GF376">
        <v>1936732059</v>
      </c>
      <c r="GG376">
        <v>1</v>
      </c>
      <c r="GH376">
        <v>1</v>
      </c>
      <c r="GI376">
        <v>4</v>
      </c>
      <c r="GJ376">
        <v>0</v>
      </c>
      <c r="GK376">
        <f>ROUND(R376*(R12)/100,2)</f>
        <v>0</v>
      </c>
      <c r="GL376">
        <f t="shared" si="310"/>
        <v>0</v>
      </c>
      <c r="GM376">
        <f t="shared" si="311"/>
        <v>1618.29</v>
      </c>
      <c r="GN376">
        <f t="shared" si="312"/>
        <v>0</v>
      </c>
      <c r="GO376">
        <f t="shared" si="313"/>
        <v>1618.29</v>
      </c>
      <c r="GP376">
        <f t="shared" si="314"/>
        <v>0</v>
      </c>
      <c r="GR376">
        <v>0</v>
      </c>
      <c r="GS376">
        <v>3</v>
      </c>
      <c r="GT376">
        <v>0</v>
      </c>
      <c r="GU376" t="s">
        <v>6</v>
      </c>
      <c r="GV376">
        <f t="shared" si="315"/>
        <v>0</v>
      </c>
      <c r="GW376">
        <v>1</v>
      </c>
      <c r="GX376">
        <f t="shared" si="316"/>
        <v>0</v>
      </c>
      <c r="HA376">
        <v>0</v>
      </c>
      <c r="HB376">
        <v>0</v>
      </c>
      <c r="IK376">
        <v>0</v>
      </c>
    </row>
    <row r="377" spans="1:245" x14ac:dyDescent="0.2">
      <c r="A377">
        <v>18</v>
      </c>
      <c r="B377">
        <v>1</v>
      </c>
      <c r="C377">
        <v>586</v>
      </c>
      <c r="E377" t="s">
        <v>789</v>
      </c>
      <c r="F377" t="s">
        <v>790</v>
      </c>
      <c r="G377" t="s">
        <v>791</v>
      </c>
      <c r="H377" t="s">
        <v>53</v>
      </c>
      <c r="I377">
        <f>I375*J377</f>
        <v>28</v>
      </c>
      <c r="J377">
        <v>0.875</v>
      </c>
      <c r="O377">
        <f t="shared" si="278"/>
        <v>12211.05</v>
      </c>
      <c r="P377">
        <f t="shared" si="279"/>
        <v>12211.05</v>
      </c>
      <c r="Q377">
        <f t="shared" si="280"/>
        <v>0</v>
      </c>
      <c r="R377">
        <f t="shared" si="281"/>
        <v>0</v>
      </c>
      <c r="S377">
        <f t="shared" si="282"/>
        <v>0</v>
      </c>
      <c r="T377">
        <f t="shared" si="283"/>
        <v>0</v>
      </c>
      <c r="U377">
        <f t="shared" si="284"/>
        <v>0</v>
      </c>
      <c r="V377">
        <f t="shared" si="285"/>
        <v>0</v>
      </c>
      <c r="W377">
        <f t="shared" si="286"/>
        <v>0</v>
      </c>
      <c r="X377">
        <f t="shared" si="287"/>
        <v>0</v>
      </c>
      <c r="Y377">
        <f t="shared" si="288"/>
        <v>0</v>
      </c>
      <c r="AA377">
        <v>16748969</v>
      </c>
      <c r="AB377">
        <f t="shared" si="289"/>
        <v>66.48</v>
      </c>
      <c r="AC377">
        <f t="shared" si="290"/>
        <v>66.48</v>
      </c>
      <c r="AD377">
        <f t="shared" si="291"/>
        <v>0</v>
      </c>
      <c r="AE377">
        <f t="shared" si="292"/>
        <v>0</v>
      </c>
      <c r="AF377">
        <f t="shared" si="293"/>
        <v>0</v>
      </c>
      <c r="AG377">
        <f t="shared" si="294"/>
        <v>0</v>
      </c>
      <c r="AH377">
        <f t="shared" si="295"/>
        <v>0</v>
      </c>
      <c r="AI377">
        <f t="shared" si="296"/>
        <v>0</v>
      </c>
      <c r="AJ377">
        <f t="shared" si="297"/>
        <v>0</v>
      </c>
      <c r="AK377">
        <v>66.48</v>
      </c>
      <c r="AL377">
        <v>66.48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  <c r="AS377">
        <v>0</v>
      </c>
      <c r="AT377">
        <v>95</v>
      </c>
      <c r="AU377">
        <v>65</v>
      </c>
      <c r="AV377">
        <v>1</v>
      </c>
      <c r="AW377">
        <v>1</v>
      </c>
      <c r="AZ377">
        <v>6.56</v>
      </c>
      <c r="BA377">
        <v>1</v>
      </c>
      <c r="BB377">
        <v>1</v>
      </c>
      <c r="BC377">
        <v>6.56</v>
      </c>
      <c r="BD377" t="s">
        <v>6</v>
      </c>
      <c r="BE377" t="s">
        <v>6</v>
      </c>
      <c r="BF377" t="s">
        <v>6</v>
      </c>
      <c r="BG377" t="s">
        <v>6</v>
      </c>
      <c r="BH377">
        <v>3</v>
      </c>
      <c r="BI377">
        <v>2</v>
      </c>
      <c r="BJ377" t="s">
        <v>792</v>
      </c>
      <c r="BM377">
        <v>108001</v>
      </c>
      <c r="BN377">
        <v>0</v>
      </c>
      <c r="BO377" t="s">
        <v>6</v>
      </c>
      <c r="BP377">
        <v>0</v>
      </c>
      <c r="BQ377">
        <v>3</v>
      </c>
      <c r="BR377">
        <v>0</v>
      </c>
      <c r="BS377">
        <v>1</v>
      </c>
      <c r="BT377">
        <v>1</v>
      </c>
      <c r="BU377">
        <v>1</v>
      </c>
      <c r="BV377">
        <v>1</v>
      </c>
      <c r="BW377">
        <v>1</v>
      </c>
      <c r="BX377">
        <v>1</v>
      </c>
      <c r="BY377" t="s">
        <v>6</v>
      </c>
      <c r="BZ377">
        <v>95</v>
      </c>
      <c r="CA377">
        <v>65</v>
      </c>
      <c r="CF377">
        <v>0</v>
      </c>
      <c r="CG377">
        <v>0</v>
      </c>
      <c r="CM377">
        <v>0</v>
      </c>
      <c r="CN377" t="s">
        <v>6</v>
      </c>
      <c r="CO377">
        <v>0</v>
      </c>
      <c r="CP377">
        <f t="shared" si="298"/>
        <v>12211.05</v>
      </c>
      <c r="CQ377">
        <f t="shared" si="299"/>
        <v>436.10879999999997</v>
      </c>
      <c r="CR377">
        <f t="shared" si="300"/>
        <v>0</v>
      </c>
      <c r="CS377">
        <f t="shared" si="301"/>
        <v>0</v>
      </c>
      <c r="CT377">
        <f t="shared" si="302"/>
        <v>0</v>
      </c>
      <c r="CU377">
        <f t="shared" si="303"/>
        <v>0</v>
      </c>
      <c r="CV377">
        <f t="shared" si="304"/>
        <v>0</v>
      </c>
      <c r="CW377">
        <f t="shared" si="305"/>
        <v>0</v>
      </c>
      <c r="CX377">
        <f t="shared" si="306"/>
        <v>0</v>
      </c>
      <c r="CY377">
        <f t="shared" si="307"/>
        <v>0</v>
      </c>
      <c r="CZ377">
        <f t="shared" si="308"/>
        <v>0</v>
      </c>
      <c r="DC377" t="s">
        <v>6</v>
      </c>
      <c r="DD377" t="s">
        <v>6</v>
      </c>
      <c r="DE377" t="s">
        <v>6</v>
      </c>
      <c r="DF377" t="s">
        <v>6</v>
      </c>
      <c r="DG377" t="s">
        <v>6</v>
      </c>
      <c r="DH377" t="s">
        <v>6</v>
      </c>
      <c r="DI377" t="s">
        <v>6</v>
      </c>
      <c r="DJ377" t="s">
        <v>6</v>
      </c>
      <c r="DK377" t="s">
        <v>6</v>
      </c>
      <c r="DL377" t="s">
        <v>6</v>
      </c>
      <c r="DM377" t="s">
        <v>6</v>
      </c>
      <c r="DN377">
        <v>0</v>
      </c>
      <c r="DO377">
        <v>0</v>
      </c>
      <c r="DP377">
        <v>1</v>
      </c>
      <c r="DQ377">
        <v>1</v>
      </c>
      <c r="DU377">
        <v>1010</v>
      </c>
      <c r="DV377" t="s">
        <v>53</v>
      </c>
      <c r="DW377" t="s">
        <v>53</v>
      </c>
      <c r="DX377">
        <v>1</v>
      </c>
      <c r="EE377">
        <v>16510370</v>
      </c>
      <c r="EF377">
        <v>3</v>
      </c>
      <c r="EG377" t="s">
        <v>591</v>
      </c>
      <c r="EH377">
        <v>0</v>
      </c>
      <c r="EI377" t="s">
        <v>6</v>
      </c>
      <c r="EJ377">
        <v>2</v>
      </c>
      <c r="EK377">
        <v>108001</v>
      </c>
      <c r="EL377" t="s">
        <v>592</v>
      </c>
      <c r="EM377" t="s">
        <v>593</v>
      </c>
      <c r="EO377" t="s">
        <v>6</v>
      </c>
      <c r="EQ377">
        <v>0</v>
      </c>
      <c r="ER377">
        <v>66.48</v>
      </c>
      <c r="ES377">
        <v>66.48</v>
      </c>
      <c r="ET377">
        <v>0</v>
      </c>
      <c r="EU377">
        <v>0</v>
      </c>
      <c r="EV377">
        <v>0</v>
      </c>
      <c r="EW377">
        <v>0</v>
      </c>
      <c r="EX377">
        <v>0</v>
      </c>
      <c r="FQ377">
        <v>0</v>
      </c>
      <c r="FR377">
        <f t="shared" si="309"/>
        <v>0</v>
      </c>
      <c r="FS377">
        <v>0</v>
      </c>
      <c r="FX377">
        <v>95</v>
      </c>
      <c r="FY377">
        <v>65</v>
      </c>
      <c r="GA377" t="s">
        <v>6</v>
      </c>
      <c r="GD377">
        <v>0</v>
      </c>
      <c r="GF377">
        <v>1644612973</v>
      </c>
      <c r="GG377">
        <v>1</v>
      </c>
      <c r="GH377">
        <v>1</v>
      </c>
      <c r="GI377">
        <v>4</v>
      </c>
      <c r="GJ377">
        <v>0</v>
      </c>
      <c r="GK377">
        <f>ROUND(R377*(R12)/100,2)</f>
        <v>0</v>
      </c>
      <c r="GL377">
        <f t="shared" si="310"/>
        <v>0</v>
      </c>
      <c r="GM377">
        <f t="shared" si="311"/>
        <v>12211.05</v>
      </c>
      <c r="GN377">
        <f t="shared" si="312"/>
        <v>0</v>
      </c>
      <c r="GO377">
        <f t="shared" si="313"/>
        <v>12211.05</v>
      </c>
      <c r="GP377">
        <f t="shared" si="314"/>
        <v>0</v>
      </c>
      <c r="GR377">
        <v>0</v>
      </c>
      <c r="GS377">
        <v>3</v>
      </c>
      <c r="GT377">
        <v>0</v>
      </c>
      <c r="GU377" t="s">
        <v>6</v>
      </c>
      <c r="GV377">
        <f t="shared" si="315"/>
        <v>0</v>
      </c>
      <c r="GW377">
        <v>1</v>
      </c>
      <c r="GX377">
        <f t="shared" si="316"/>
        <v>0</v>
      </c>
      <c r="HA377">
        <v>0</v>
      </c>
      <c r="HB377">
        <v>0</v>
      </c>
      <c r="IK377">
        <v>0</v>
      </c>
    </row>
    <row r="378" spans="1:245" x14ac:dyDescent="0.2">
      <c r="A378">
        <v>18</v>
      </c>
      <c r="B378">
        <v>1</v>
      </c>
      <c r="C378">
        <v>588</v>
      </c>
      <c r="E378" t="s">
        <v>793</v>
      </c>
      <c r="F378" t="s">
        <v>794</v>
      </c>
      <c r="G378" t="s">
        <v>795</v>
      </c>
      <c r="H378" t="s">
        <v>53</v>
      </c>
      <c r="I378">
        <f>I375*J378</f>
        <v>2</v>
      </c>
      <c r="J378">
        <v>6.25E-2</v>
      </c>
      <c r="O378">
        <f t="shared" si="278"/>
        <v>3034.66</v>
      </c>
      <c r="P378">
        <f t="shared" si="279"/>
        <v>3034.66</v>
      </c>
      <c r="Q378">
        <f t="shared" si="280"/>
        <v>0</v>
      </c>
      <c r="R378">
        <f t="shared" si="281"/>
        <v>0</v>
      </c>
      <c r="S378">
        <f t="shared" si="282"/>
        <v>0</v>
      </c>
      <c r="T378">
        <f t="shared" si="283"/>
        <v>0</v>
      </c>
      <c r="U378">
        <f t="shared" si="284"/>
        <v>0</v>
      </c>
      <c r="V378">
        <f t="shared" si="285"/>
        <v>0</v>
      </c>
      <c r="W378">
        <f t="shared" si="286"/>
        <v>0</v>
      </c>
      <c r="X378">
        <f t="shared" si="287"/>
        <v>0</v>
      </c>
      <c r="Y378">
        <f t="shared" si="288"/>
        <v>0</v>
      </c>
      <c r="AA378">
        <v>16748969</v>
      </c>
      <c r="AB378">
        <f t="shared" si="289"/>
        <v>231.3</v>
      </c>
      <c r="AC378">
        <f t="shared" si="290"/>
        <v>231.3</v>
      </c>
      <c r="AD378">
        <f t="shared" si="291"/>
        <v>0</v>
      </c>
      <c r="AE378">
        <f t="shared" si="292"/>
        <v>0</v>
      </c>
      <c r="AF378">
        <f t="shared" si="293"/>
        <v>0</v>
      </c>
      <c r="AG378">
        <f t="shared" si="294"/>
        <v>0</v>
      </c>
      <c r="AH378">
        <f t="shared" si="295"/>
        <v>0</v>
      </c>
      <c r="AI378">
        <f t="shared" si="296"/>
        <v>0</v>
      </c>
      <c r="AJ378">
        <f t="shared" si="297"/>
        <v>0</v>
      </c>
      <c r="AK378">
        <v>231.3</v>
      </c>
      <c r="AL378">
        <v>231.3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  <c r="AS378">
        <v>0</v>
      </c>
      <c r="AT378">
        <v>95</v>
      </c>
      <c r="AU378">
        <v>65</v>
      </c>
      <c r="AV378">
        <v>1</v>
      </c>
      <c r="AW378">
        <v>1</v>
      </c>
      <c r="AZ378">
        <v>6.56</v>
      </c>
      <c r="BA378">
        <v>1</v>
      </c>
      <c r="BB378">
        <v>1</v>
      </c>
      <c r="BC378">
        <v>6.56</v>
      </c>
      <c r="BD378" t="s">
        <v>6</v>
      </c>
      <c r="BE378" t="s">
        <v>6</v>
      </c>
      <c r="BF378" t="s">
        <v>6</v>
      </c>
      <c r="BG378" t="s">
        <v>6</v>
      </c>
      <c r="BH378">
        <v>3</v>
      </c>
      <c r="BI378">
        <v>2</v>
      </c>
      <c r="BJ378" t="s">
        <v>796</v>
      </c>
      <c r="BM378">
        <v>108001</v>
      </c>
      <c r="BN378">
        <v>0</v>
      </c>
      <c r="BO378" t="s">
        <v>6</v>
      </c>
      <c r="BP378">
        <v>0</v>
      </c>
      <c r="BQ378">
        <v>3</v>
      </c>
      <c r="BR378">
        <v>0</v>
      </c>
      <c r="BS378">
        <v>1</v>
      </c>
      <c r="BT378">
        <v>1</v>
      </c>
      <c r="BU378">
        <v>1</v>
      </c>
      <c r="BV378">
        <v>1</v>
      </c>
      <c r="BW378">
        <v>1</v>
      </c>
      <c r="BX378">
        <v>1</v>
      </c>
      <c r="BY378" t="s">
        <v>6</v>
      </c>
      <c r="BZ378">
        <v>95</v>
      </c>
      <c r="CA378">
        <v>65</v>
      </c>
      <c r="CF378">
        <v>0</v>
      </c>
      <c r="CG378">
        <v>0</v>
      </c>
      <c r="CM378">
        <v>0</v>
      </c>
      <c r="CN378" t="s">
        <v>6</v>
      </c>
      <c r="CO378">
        <v>0</v>
      </c>
      <c r="CP378">
        <f t="shared" si="298"/>
        <v>3034.66</v>
      </c>
      <c r="CQ378">
        <f t="shared" si="299"/>
        <v>1517.328</v>
      </c>
      <c r="CR378">
        <f t="shared" si="300"/>
        <v>0</v>
      </c>
      <c r="CS378">
        <f t="shared" si="301"/>
        <v>0</v>
      </c>
      <c r="CT378">
        <f t="shared" si="302"/>
        <v>0</v>
      </c>
      <c r="CU378">
        <f t="shared" si="303"/>
        <v>0</v>
      </c>
      <c r="CV378">
        <f t="shared" si="304"/>
        <v>0</v>
      </c>
      <c r="CW378">
        <f t="shared" si="305"/>
        <v>0</v>
      </c>
      <c r="CX378">
        <f t="shared" si="306"/>
        <v>0</v>
      </c>
      <c r="CY378">
        <f t="shared" si="307"/>
        <v>0</v>
      </c>
      <c r="CZ378">
        <f t="shared" si="308"/>
        <v>0</v>
      </c>
      <c r="DC378" t="s">
        <v>6</v>
      </c>
      <c r="DD378" t="s">
        <v>6</v>
      </c>
      <c r="DE378" t="s">
        <v>6</v>
      </c>
      <c r="DF378" t="s">
        <v>6</v>
      </c>
      <c r="DG378" t="s">
        <v>6</v>
      </c>
      <c r="DH378" t="s">
        <v>6</v>
      </c>
      <c r="DI378" t="s">
        <v>6</v>
      </c>
      <c r="DJ378" t="s">
        <v>6</v>
      </c>
      <c r="DK378" t="s">
        <v>6</v>
      </c>
      <c r="DL378" t="s">
        <v>6</v>
      </c>
      <c r="DM378" t="s">
        <v>6</v>
      </c>
      <c r="DN378">
        <v>0</v>
      </c>
      <c r="DO378">
        <v>0</v>
      </c>
      <c r="DP378">
        <v>1</v>
      </c>
      <c r="DQ378">
        <v>1</v>
      </c>
      <c r="DU378">
        <v>1010</v>
      </c>
      <c r="DV378" t="s">
        <v>53</v>
      </c>
      <c r="DW378" t="s">
        <v>53</v>
      </c>
      <c r="DX378">
        <v>1</v>
      </c>
      <c r="EE378">
        <v>16510370</v>
      </c>
      <c r="EF378">
        <v>3</v>
      </c>
      <c r="EG378" t="s">
        <v>591</v>
      </c>
      <c r="EH378">
        <v>0</v>
      </c>
      <c r="EI378" t="s">
        <v>6</v>
      </c>
      <c r="EJ378">
        <v>2</v>
      </c>
      <c r="EK378">
        <v>108001</v>
      </c>
      <c r="EL378" t="s">
        <v>592</v>
      </c>
      <c r="EM378" t="s">
        <v>593</v>
      </c>
      <c r="EO378" t="s">
        <v>6</v>
      </c>
      <c r="EQ378">
        <v>0</v>
      </c>
      <c r="ER378">
        <v>231.3</v>
      </c>
      <c r="ES378">
        <v>231.3</v>
      </c>
      <c r="ET378">
        <v>0</v>
      </c>
      <c r="EU378">
        <v>0</v>
      </c>
      <c r="EV378">
        <v>0</v>
      </c>
      <c r="EW378">
        <v>0</v>
      </c>
      <c r="EX378">
        <v>0</v>
      </c>
      <c r="FQ378">
        <v>0</v>
      </c>
      <c r="FR378">
        <f t="shared" si="309"/>
        <v>0</v>
      </c>
      <c r="FS378">
        <v>0</v>
      </c>
      <c r="FX378">
        <v>95</v>
      </c>
      <c r="FY378">
        <v>65</v>
      </c>
      <c r="GA378" t="s">
        <v>6</v>
      </c>
      <c r="GD378">
        <v>0</v>
      </c>
      <c r="GF378">
        <v>1666631692</v>
      </c>
      <c r="GG378">
        <v>1</v>
      </c>
      <c r="GH378">
        <v>1</v>
      </c>
      <c r="GI378">
        <v>4</v>
      </c>
      <c r="GJ378">
        <v>0</v>
      </c>
      <c r="GK378">
        <f>ROUND(R378*(R12)/100,2)</f>
        <v>0</v>
      </c>
      <c r="GL378">
        <f t="shared" si="310"/>
        <v>0</v>
      </c>
      <c r="GM378">
        <f t="shared" si="311"/>
        <v>3034.66</v>
      </c>
      <c r="GN378">
        <f t="shared" si="312"/>
        <v>0</v>
      </c>
      <c r="GO378">
        <f t="shared" si="313"/>
        <v>3034.66</v>
      </c>
      <c r="GP378">
        <f t="shared" si="314"/>
        <v>0</v>
      </c>
      <c r="GR378">
        <v>0</v>
      </c>
      <c r="GS378">
        <v>3</v>
      </c>
      <c r="GT378">
        <v>0</v>
      </c>
      <c r="GU378" t="s">
        <v>6</v>
      </c>
      <c r="GV378">
        <f t="shared" si="315"/>
        <v>0</v>
      </c>
      <c r="GW378">
        <v>1</v>
      </c>
      <c r="GX378">
        <f t="shared" si="316"/>
        <v>0</v>
      </c>
      <c r="HA378">
        <v>0</v>
      </c>
      <c r="HB378">
        <v>0</v>
      </c>
      <c r="IK378">
        <v>0</v>
      </c>
    </row>
    <row r="379" spans="1:245" x14ac:dyDescent="0.2">
      <c r="A379">
        <v>18</v>
      </c>
      <c r="B379">
        <v>1</v>
      </c>
      <c r="C379">
        <v>587</v>
      </c>
      <c r="E379" t="s">
        <v>797</v>
      </c>
      <c r="F379" t="s">
        <v>798</v>
      </c>
      <c r="G379" t="s">
        <v>799</v>
      </c>
      <c r="H379" t="s">
        <v>53</v>
      </c>
      <c r="I379">
        <f>I375*J379</f>
        <v>1</v>
      </c>
      <c r="J379">
        <v>3.125E-2</v>
      </c>
      <c r="O379">
        <f t="shared" si="278"/>
        <v>1517.33</v>
      </c>
      <c r="P379">
        <f t="shared" si="279"/>
        <v>1517.33</v>
      </c>
      <c r="Q379">
        <f t="shared" si="280"/>
        <v>0</v>
      </c>
      <c r="R379">
        <f t="shared" si="281"/>
        <v>0</v>
      </c>
      <c r="S379">
        <f t="shared" si="282"/>
        <v>0</v>
      </c>
      <c r="T379">
        <f t="shared" si="283"/>
        <v>0</v>
      </c>
      <c r="U379">
        <f t="shared" si="284"/>
        <v>0</v>
      </c>
      <c r="V379">
        <f t="shared" si="285"/>
        <v>0</v>
      </c>
      <c r="W379">
        <f t="shared" si="286"/>
        <v>0</v>
      </c>
      <c r="X379">
        <f t="shared" si="287"/>
        <v>0</v>
      </c>
      <c r="Y379">
        <f t="shared" si="288"/>
        <v>0</v>
      </c>
      <c r="AA379">
        <v>16748969</v>
      </c>
      <c r="AB379">
        <f t="shared" si="289"/>
        <v>231.3</v>
      </c>
      <c r="AC379">
        <f t="shared" si="290"/>
        <v>231.3</v>
      </c>
      <c r="AD379">
        <f t="shared" si="291"/>
        <v>0</v>
      </c>
      <c r="AE379">
        <f t="shared" si="292"/>
        <v>0</v>
      </c>
      <c r="AF379">
        <f t="shared" si="293"/>
        <v>0</v>
      </c>
      <c r="AG379">
        <f t="shared" si="294"/>
        <v>0</v>
      </c>
      <c r="AH379">
        <f t="shared" si="295"/>
        <v>0</v>
      </c>
      <c r="AI379">
        <f t="shared" si="296"/>
        <v>0</v>
      </c>
      <c r="AJ379">
        <f t="shared" si="297"/>
        <v>0</v>
      </c>
      <c r="AK379">
        <v>231.3</v>
      </c>
      <c r="AL379">
        <v>231.3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  <c r="AS379">
        <v>0</v>
      </c>
      <c r="AT379">
        <v>95</v>
      </c>
      <c r="AU379">
        <v>65</v>
      </c>
      <c r="AV379">
        <v>1</v>
      </c>
      <c r="AW379">
        <v>1</v>
      </c>
      <c r="AZ379">
        <v>6.56</v>
      </c>
      <c r="BA379">
        <v>1</v>
      </c>
      <c r="BB379">
        <v>1</v>
      </c>
      <c r="BC379">
        <v>6.56</v>
      </c>
      <c r="BD379" t="s">
        <v>6</v>
      </c>
      <c r="BE379" t="s">
        <v>6</v>
      </c>
      <c r="BF379" t="s">
        <v>6</v>
      </c>
      <c r="BG379" t="s">
        <v>6</v>
      </c>
      <c r="BH379">
        <v>3</v>
      </c>
      <c r="BI379">
        <v>2</v>
      </c>
      <c r="BJ379" t="s">
        <v>800</v>
      </c>
      <c r="BM379">
        <v>108001</v>
      </c>
      <c r="BN379">
        <v>0</v>
      </c>
      <c r="BO379" t="s">
        <v>6</v>
      </c>
      <c r="BP379">
        <v>0</v>
      </c>
      <c r="BQ379">
        <v>3</v>
      </c>
      <c r="BR379">
        <v>0</v>
      </c>
      <c r="BS379">
        <v>1</v>
      </c>
      <c r="BT379">
        <v>1</v>
      </c>
      <c r="BU379">
        <v>1</v>
      </c>
      <c r="BV379">
        <v>1</v>
      </c>
      <c r="BW379">
        <v>1</v>
      </c>
      <c r="BX379">
        <v>1</v>
      </c>
      <c r="BY379" t="s">
        <v>6</v>
      </c>
      <c r="BZ379">
        <v>95</v>
      </c>
      <c r="CA379">
        <v>65</v>
      </c>
      <c r="CF379">
        <v>0</v>
      </c>
      <c r="CG379">
        <v>0</v>
      </c>
      <c r="CM379">
        <v>0</v>
      </c>
      <c r="CN379" t="s">
        <v>6</v>
      </c>
      <c r="CO379">
        <v>0</v>
      </c>
      <c r="CP379">
        <f t="shared" si="298"/>
        <v>1517.33</v>
      </c>
      <c r="CQ379">
        <f t="shared" si="299"/>
        <v>1517.328</v>
      </c>
      <c r="CR379">
        <f t="shared" si="300"/>
        <v>0</v>
      </c>
      <c r="CS379">
        <f t="shared" si="301"/>
        <v>0</v>
      </c>
      <c r="CT379">
        <f t="shared" si="302"/>
        <v>0</v>
      </c>
      <c r="CU379">
        <f t="shared" si="303"/>
        <v>0</v>
      </c>
      <c r="CV379">
        <f t="shared" si="304"/>
        <v>0</v>
      </c>
      <c r="CW379">
        <f t="shared" si="305"/>
        <v>0</v>
      </c>
      <c r="CX379">
        <f t="shared" si="306"/>
        <v>0</v>
      </c>
      <c r="CY379">
        <f t="shared" si="307"/>
        <v>0</v>
      </c>
      <c r="CZ379">
        <f t="shared" si="308"/>
        <v>0</v>
      </c>
      <c r="DC379" t="s">
        <v>6</v>
      </c>
      <c r="DD379" t="s">
        <v>6</v>
      </c>
      <c r="DE379" t="s">
        <v>6</v>
      </c>
      <c r="DF379" t="s">
        <v>6</v>
      </c>
      <c r="DG379" t="s">
        <v>6</v>
      </c>
      <c r="DH379" t="s">
        <v>6</v>
      </c>
      <c r="DI379" t="s">
        <v>6</v>
      </c>
      <c r="DJ379" t="s">
        <v>6</v>
      </c>
      <c r="DK379" t="s">
        <v>6</v>
      </c>
      <c r="DL379" t="s">
        <v>6</v>
      </c>
      <c r="DM379" t="s">
        <v>6</v>
      </c>
      <c r="DN379">
        <v>0</v>
      </c>
      <c r="DO379">
        <v>0</v>
      </c>
      <c r="DP379">
        <v>1</v>
      </c>
      <c r="DQ379">
        <v>1</v>
      </c>
      <c r="DU379">
        <v>1010</v>
      </c>
      <c r="DV379" t="s">
        <v>53</v>
      </c>
      <c r="DW379" t="s">
        <v>53</v>
      </c>
      <c r="DX379">
        <v>1</v>
      </c>
      <c r="EE379">
        <v>16510370</v>
      </c>
      <c r="EF379">
        <v>3</v>
      </c>
      <c r="EG379" t="s">
        <v>591</v>
      </c>
      <c r="EH379">
        <v>0</v>
      </c>
      <c r="EI379" t="s">
        <v>6</v>
      </c>
      <c r="EJ379">
        <v>2</v>
      </c>
      <c r="EK379">
        <v>108001</v>
      </c>
      <c r="EL379" t="s">
        <v>592</v>
      </c>
      <c r="EM379" t="s">
        <v>593</v>
      </c>
      <c r="EO379" t="s">
        <v>6</v>
      </c>
      <c r="EQ379">
        <v>0</v>
      </c>
      <c r="ER379">
        <v>231.3</v>
      </c>
      <c r="ES379">
        <v>231.3</v>
      </c>
      <c r="ET379">
        <v>0</v>
      </c>
      <c r="EU379">
        <v>0</v>
      </c>
      <c r="EV379">
        <v>0</v>
      </c>
      <c r="EW379">
        <v>0</v>
      </c>
      <c r="EX379">
        <v>0</v>
      </c>
      <c r="FQ379">
        <v>0</v>
      </c>
      <c r="FR379">
        <f t="shared" si="309"/>
        <v>0</v>
      </c>
      <c r="FS379">
        <v>0</v>
      </c>
      <c r="FX379">
        <v>95</v>
      </c>
      <c r="FY379">
        <v>65</v>
      </c>
      <c r="GA379" t="s">
        <v>6</v>
      </c>
      <c r="GD379">
        <v>0</v>
      </c>
      <c r="GF379">
        <v>92773317</v>
      </c>
      <c r="GG379">
        <v>1</v>
      </c>
      <c r="GH379">
        <v>1</v>
      </c>
      <c r="GI379">
        <v>4</v>
      </c>
      <c r="GJ379">
        <v>0</v>
      </c>
      <c r="GK379">
        <f>ROUND(R379*(R12)/100,2)</f>
        <v>0</v>
      </c>
      <c r="GL379">
        <f t="shared" si="310"/>
        <v>0</v>
      </c>
      <c r="GM379">
        <f t="shared" si="311"/>
        <v>1517.33</v>
      </c>
      <c r="GN379">
        <f t="shared" si="312"/>
        <v>0</v>
      </c>
      <c r="GO379">
        <f t="shared" si="313"/>
        <v>1517.33</v>
      </c>
      <c r="GP379">
        <f t="shared" si="314"/>
        <v>0</v>
      </c>
      <c r="GR379">
        <v>0</v>
      </c>
      <c r="GS379">
        <v>3</v>
      </c>
      <c r="GT379">
        <v>0</v>
      </c>
      <c r="GU379" t="s">
        <v>6</v>
      </c>
      <c r="GV379">
        <f t="shared" si="315"/>
        <v>0</v>
      </c>
      <c r="GW379">
        <v>1</v>
      </c>
      <c r="GX379">
        <f t="shared" si="316"/>
        <v>0</v>
      </c>
      <c r="HA379">
        <v>0</v>
      </c>
      <c r="HB379">
        <v>0</v>
      </c>
      <c r="IK379">
        <v>0</v>
      </c>
    </row>
    <row r="380" spans="1:245" x14ac:dyDescent="0.2">
      <c r="A380">
        <v>17</v>
      </c>
      <c r="B380">
        <v>1</v>
      </c>
      <c r="C380">
        <f>ROW(SmtRes!A595)</f>
        <v>595</v>
      </c>
      <c r="D380">
        <f>ROW(EtalonRes!A546)</f>
        <v>546</v>
      </c>
      <c r="E380" t="s">
        <v>801</v>
      </c>
      <c r="F380" t="s">
        <v>681</v>
      </c>
      <c r="G380" t="s">
        <v>682</v>
      </c>
      <c r="H380" t="s">
        <v>242</v>
      </c>
      <c r="I380">
        <v>5</v>
      </c>
      <c r="J380">
        <v>0</v>
      </c>
      <c r="O380">
        <f t="shared" si="278"/>
        <v>377.53</v>
      </c>
      <c r="P380">
        <f t="shared" si="279"/>
        <v>13.12</v>
      </c>
      <c r="Q380">
        <f t="shared" si="280"/>
        <v>0</v>
      </c>
      <c r="R380">
        <f t="shared" si="281"/>
        <v>0</v>
      </c>
      <c r="S380">
        <f t="shared" si="282"/>
        <v>364.41</v>
      </c>
      <c r="T380">
        <f t="shared" si="283"/>
        <v>0</v>
      </c>
      <c r="U380">
        <f t="shared" si="284"/>
        <v>5.6000000000000005</v>
      </c>
      <c r="V380">
        <f t="shared" si="285"/>
        <v>0</v>
      </c>
      <c r="W380">
        <f t="shared" si="286"/>
        <v>0</v>
      </c>
      <c r="X380">
        <f t="shared" si="287"/>
        <v>346.19</v>
      </c>
      <c r="Y380">
        <f t="shared" si="288"/>
        <v>236.87</v>
      </c>
      <c r="AA380">
        <v>16748969</v>
      </c>
      <c r="AB380">
        <f t="shared" si="289"/>
        <v>11.51</v>
      </c>
      <c r="AC380">
        <f t="shared" si="290"/>
        <v>0.4</v>
      </c>
      <c r="AD380">
        <f t="shared" si="291"/>
        <v>0</v>
      </c>
      <c r="AE380">
        <f t="shared" si="292"/>
        <v>0</v>
      </c>
      <c r="AF380">
        <f t="shared" si="293"/>
        <v>11.11</v>
      </c>
      <c r="AG380">
        <f t="shared" si="294"/>
        <v>0</v>
      </c>
      <c r="AH380">
        <f t="shared" si="295"/>
        <v>1.1200000000000001</v>
      </c>
      <c r="AI380">
        <f t="shared" si="296"/>
        <v>0</v>
      </c>
      <c r="AJ380">
        <f t="shared" si="297"/>
        <v>0</v>
      </c>
      <c r="AK380">
        <v>11.51</v>
      </c>
      <c r="AL380">
        <v>0.4</v>
      </c>
      <c r="AM380">
        <v>0</v>
      </c>
      <c r="AN380">
        <v>0</v>
      </c>
      <c r="AO380">
        <v>11.11</v>
      </c>
      <c r="AP380">
        <v>0</v>
      </c>
      <c r="AQ380">
        <v>1.1200000000000001</v>
      </c>
      <c r="AR380">
        <v>0</v>
      </c>
      <c r="AS380">
        <v>0</v>
      </c>
      <c r="AT380">
        <v>95</v>
      </c>
      <c r="AU380">
        <v>65</v>
      </c>
      <c r="AV380">
        <v>1</v>
      </c>
      <c r="AW380">
        <v>1</v>
      </c>
      <c r="AZ380">
        <v>6.56</v>
      </c>
      <c r="BA380">
        <v>6.56</v>
      </c>
      <c r="BB380">
        <v>6.56</v>
      </c>
      <c r="BC380">
        <v>6.56</v>
      </c>
      <c r="BD380" t="s">
        <v>6</v>
      </c>
      <c r="BE380" t="s">
        <v>6</v>
      </c>
      <c r="BF380" t="s">
        <v>6</v>
      </c>
      <c r="BG380" t="s">
        <v>6</v>
      </c>
      <c r="BH380">
        <v>0</v>
      </c>
      <c r="BI380">
        <v>2</v>
      </c>
      <c r="BJ380" t="s">
        <v>683</v>
      </c>
      <c r="BM380">
        <v>108001</v>
      </c>
      <c r="BN380">
        <v>0</v>
      </c>
      <c r="BO380" t="s">
        <v>6</v>
      </c>
      <c r="BP380">
        <v>0</v>
      </c>
      <c r="BQ380">
        <v>3</v>
      </c>
      <c r="BR380">
        <v>0</v>
      </c>
      <c r="BS380">
        <v>6.56</v>
      </c>
      <c r="BT380">
        <v>1</v>
      </c>
      <c r="BU380">
        <v>1</v>
      </c>
      <c r="BV380">
        <v>1</v>
      </c>
      <c r="BW380">
        <v>1</v>
      </c>
      <c r="BX380">
        <v>1</v>
      </c>
      <c r="BY380" t="s">
        <v>6</v>
      </c>
      <c r="BZ380">
        <v>95</v>
      </c>
      <c r="CA380">
        <v>65</v>
      </c>
      <c r="CF380">
        <v>0</v>
      </c>
      <c r="CG380">
        <v>0</v>
      </c>
      <c r="CM380">
        <v>0</v>
      </c>
      <c r="CN380" t="s">
        <v>6</v>
      </c>
      <c r="CO380">
        <v>0</v>
      </c>
      <c r="CP380">
        <f t="shared" si="298"/>
        <v>377.53000000000003</v>
      </c>
      <c r="CQ380">
        <f t="shared" si="299"/>
        <v>2.6240000000000001</v>
      </c>
      <c r="CR380">
        <f t="shared" si="300"/>
        <v>0</v>
      </c>
      <c r="CS380">
        <f t="shared" si="301"/>
        <v>0</v>
      </c>
      <c r="CT380">
        <f t="shared" si="302"/>
        <v>72.881599999999992</v>
      </c>
      <c r="CU380">
        <f t="shared" si="303"/>
        <v>0</v>
      </c>
      <c r="CV380">
        <f t="shared" si="304"/>
        <v>1.1200000000000001</v>
      </c>
      <c r="CW380">
        <f t="shared" si="305"/>
        <v>0</v>
      </c>
      <c r="CX380">
        <f t="shared" si="306"/>
        <v>0</v>
      </c>
      <c r="CY380">
        <f t="shared" si="307"/>
        <v>346.18950000000007</v>
      </c>
      <c r="CZ380">
        <f t="shared" si="308"/>
        <v>236.8665</v>
      </c>
      <c r="DC380" t="s">
        <v>6</v>
      </c>
      <c r="DD380" t="s">
        <v>6</v>
      </c>
      <c r="DE380" t="s">
        <v>6</v>
      </c>
      <c r="DF380" t="s">
        <v>6</v>
      </c>
      <c r="DG380" t="s">
        <v>6</v>
      </c>
      <c r="DH380" t="s">
        <v>6</v>
      </c>
      <c r="DI380" t="s">
        <v>6</v>
      </c>
      <c r="DJ380" t="s">
        <v>6</v>
      </c>
      <c r="DK380" t="s">
        <v>6</v>
      </c>
      <c r="DL380" t="s">
        <v>6</v>
      </c>
      <c r="DM380" t="s">
        <v>6</v>
      </c>
      <c r="DN380">
        <v>0</v>
      </c>
      <c r="DO380">
        <v>0</v>
      </c>
      <c r="DP380">
        <v>1</v>
      </c>
      <c r="DQ380">
        <v>1</v>
      </c>
      <c r="DU380">
        <v>1013</v>
      </c>
      <c r="DV380" t="s">
        <v>242</v>
      </c>
      <c r="DW380" t="s">
        <v>242</v>
      </c>
      <c r="DX380">
        <v>1</v>
      </c>
      <c r="EE380">
        <v>16510370</v>
      </c>
      <c r="EF380">
        <v>3</v>
      </c>
      <c r="EG380" t="s">
        <v>591</v>
      </c>
      <c r="EH380">
        <v>0</v>
      </c>
      <c r="EI380" t="s">
        <v>6</v>
      </c>
      <c r="EJ380">
        <v>2</v>
      </c>
      <c r="EK380">
        <v>108001</v>
      </c>
      <c r="EL380" t="s">
        <v>592</v>
      </c>
      <c r="EM380" t="s">
        <v>593</v>
      </c>
      <c r="EO380" t="s">
        <v>6</v>
      </c>
      <c r="EQ380">
        <v>131072</v>
      </c>
      <c r="ER380">
        <v>11.51</v>
      </c>
      <c r="ES380">
        <v>0.4</v>
      </c>
      <c r="ET380">
        <v>0</v>
      </c>
      <c r="EU380">
        <v>0</v>
      </c>
      <c r="EV380">
        <v>11.11</v>
      </c>
      <c r="EW380">
        <v>1.1200000000000001</v>
      </c>
      <c r="EX380">
        <v>0</v>
      </c>
      <c r="EY380">
        <v>0</v>
      </c>
      <c r="FQ380">
        <v>0</v>
      </c>
      <c r="FR380">
        <f t="shared" si="309"/>
        <v>0</v>
      </c>
      <c r="FS380">
        <v>0</v>
      </c>
      <c r="FX380">
        <v>95</v>
      </c>
      <c r="FY380">
        <v>65</v>
      </c>
      <c r="GA380" t="s">
        <v>6</v>
      </c>
      <c r="GD380">
        <v>0</v>
      </c>
      <c r="GF380">
        <v>234181014</v>
      </c>
      <c r="GG380">
        <v>1</v>
      </c>
      <c r="GH380">
        <v>1</v>
      </c>
      <c r="GI380">
        <v>4</v>
      </c>
      <c r="GJ380">
        <v>0</v>
      </c>
      <c r="GK380">
        <f>ROUND(R380*(R12)/100,2)</f>
        <v>0</v>
      </c>
      <c r="GL380">
        <f t="shared" si="310"/>
        <v>0</v>
      </c>
      <c r="GM380">
        <f t="shared" si="311"/>
        <v>960.59</v>
      </c>
      <c r="GN380">
        <f t="shared" si="312"/>
        <v>0</v>
      </c>
      <c r="GO380">
        <f t="shared" si="313"/>
        <v>960.59</v>
      </c>
      <c r="GP380">
        <f t="shared" si="314"/>
        <v>0</v>
      </c>
      <c r="GR380">
        <v>0</v>
      </c>
      <c r="GS380">
        <v>3</v>
      </c>
      <c r="GT380">
        <v>0</v>
      </c>
      <c r="GU380" t="s">
        <v>6</v>
      </c>
      <c r="GV380">
        <f t="shared" si="315"/>
        <v>0</v>
      </c>
      <c r="GW380">
        <v>1</v>
      </c>
      <c r="GX380">
        <f t="shared" si="316"/>
        <v>0</v>
      </c>
      <c r="HA380">
        <v>0</v>
      </c>
      <c r="HB380">
        <v>0</v>
      </c>
      <c r="IK380">
        <v>0</v>
      </c>
    </row>
    <row r="381" spans="1:245" x14ac:dyDescent="0.2">
      <c r="A381">
        <v>18</v>
      </c>
      <c r="B381">
        <v>1</v>
      </c>
      <c r="C381">
        <v>592</v>
      </c>
      <c r="E381" t="s">
        <v>802</v>
      </c>
      <c r="F381" t="s">
        <v>803</v>
      </c>
      <c r="G381" t="s">
        <v>804</v>
      </c>
      <c r="H381" t="s">
        <v>53</v>
      </c>
      <c r="I381">
        <f>I380*J381</f>
        <v>2</v>
      </c>
      <c r="J381">
        <v>0.4</v>
      </c>
      <c r="O381">
        <f t="shared" si="278"/>
        <v>4559.07</v>
      </c>
      <c r="P381">
        <f t="shared" si="279"/>
        <v>4559.07</v>
      </c>
      <c r="Q381">
        <f t="shared" si="280"/>
        <v>0</v>
      </c>
      <c r="R381">
        <f t="shared" si="281"/>
        <v>0</v>
      </c>
      <c r="S381">
        <f t="shared" si="282"/>
        <v>0</v>
      </c>
      <c r="T381">
        <f t="shared" si="283"/>
        <v>0</v>
      </c>
      <c r="U381">
        <f t="shared" si="284"/>
        <v>0</v>
      </c>
      <c r="V381">
        <f t="shared" si="285"/>
        <v>0</v>
      </c>
      <c r="W381">
        <f t="shared" si="286"/>
        <v>0</v>
      </c>
      <c r="X381">
        <f t="shared" si="287"/>
        <v>0</v>
      </c>
      <c r="Y381">
        <f t="shared" si="288"/>
        <v>0</v>
      </c>
      <c r="AA381">
        <v>16748969</v>
      </c>
      <c r="AB381">
        <f t="shared" si="289"/>
        <v>347.49</v>
      </c>
      <c r="AC381">
        <f t="shared" si="290"/>
        <v>347.49</v>
      </c>
      <c r="AD381">
        <f t="shared" si="291"/>
        <v>0</v>
      </c>
      <c r="AE381">
        <f t="shared" si="292"/>
        <v>0</v>
      </c>
      <c r="AF381">
        <f t="shared" si="293"/>
        <v>0</v>
      </c>
      <c r="AG381">
        <f t="shared" si="294"/>
        <v>0</v>
      </c>
      <c r="AH381">
        <f t="shared" si="295"/>
        <v>0</v>
      </c>
      <c r="AI381">
        <f t="shared" si="296"/>
        <v>0</v>
      </c>
      <c r="AJ381">
        <f t="shared" si="297"/>
        <v>0</v>
      </c>
      <c r="AK381">
        <v>347.49</v>
      </c>
      <c r="AL381">
        <v>347.49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  <c r="AS381">
        <v>0</v>
      </c>
      <c r="AT381">
        <v>95</v>
      </c>
      <c r="AU381">
        <v>65</v>
      </c>
      <c r="AV381">
        <v>1</v>
      </c>
      <c r="AW381">
        <v>1</v>
      </c>
      <c r="AZ381">
        <v>6.56</v>
      </c>
      <c r="BA381">
        <v>1</v>
      </c>
      <c r="BB381">
        <v>1</v>
      </c>
      <c r="BC381">
        <v>6.56</v>
      </c>
      <c r="BD381" t="s">
        <v>6</v>
      </c>
      <c r="BE381" t="s">
        <v>6</v>
      </c>
      <c r="BF381" t="s">
        <v>6</v>
      </c>
      <c r="BG381" t="s">
        <v>6</v>
      </c>
      <c r="BH381">
        <v>3</v>
      </c>
      <c r="BI381">
        <v>2</v>
      </c>
      <c r="BJ381" t="s">
        <v>805</v>
      </c>
      <c r="BM381">
        <v>108001</v>
      </c>
      <c r="BN381">
        <v>0</v>
      </c>
      <c r="BO381" t="s">
        <v>6</v>
      </c>
      <c r="BP381">
        <v>0</v>
      </c>
      <c r="BQ381">
        <v>3</v>
      </c>
      <c r="BR381">
        <v>0</v>
      </c>
      <c r="BS381">
        <v>1</v>
      </c>
      <c r="BT381">
        <v>1</v>
      </c>
      <c r="BU381">
        <v>1</v>
      </c>
      <c r="BV381">
        <v>1</v>
      </c>
      <c r="BW381">
        <v>1</v>
      </c>
      <c r="BX381">
        <v>1</v>
      </c>
      <c r="BY381" t="s">
        <v>6</v>
      </c>
      <c r="BZ381">
        <v>95</v>
      </c>
      <c r="CA381">
        <v>65</v>
      </c>
      <c r="CF381">
        <v>0</v>
      </c>
      <c r="CG381">
        <v>0</v>
      </c>
      <c r="CM381">
        <v>0</v>
      </c>
      <c r="CN381" t="s">
        <v>6</v>
      </c>
      <c r="CO381">
        <v>0</v>
      </c>
      <c r="CP381">
        <f t="shared" si="298"/>
        <v>4559.07</v>
      </c>
      <c r="CQ381">
        <f t="shared" si="299"/>
        <v>2279.5344</v>
      </c>
      <c r="CR381">
        <f t="shared" si="300"/>
        <v>0</v>
      </c>
      <c r="CS381">
        <f t="shared" si="301"/>
        <v>0</v>
      </c>
      <c r="CT381">
        <f t="shared" si="302"/>
        <v>0</v>
      </c>
      <c r="CU381">
        <f t="shared" si="303"/>
        <v>0</v>
      </c>
      <c r="CV381">
        <f t="shared" si="304"/>
        <v>0</v>
      </c>
      <c r="CW381">
        <f t="shared" si="305"/>
        <v>0</v>
      </c>
      <c r="CX381">
        <f t="shared" si="306"/>
        <v>0</v>
      </c>
      <c r="CY381">
        <f t="shared" si="307"/>
        <v>0</v>
      </c>
      <c r="CZ381">
        <f t="shared" si="308"/>
        <v>0</v>
      </c>
      <c r="DC381" t="s">
        <v>6</v>
      </c>
      <c r="DD381" t="s">
        <v>6</v>
      </c>
      <c r="DE381" t="s">
        <v>6</v>
      </c>
      <c r="DF381" t="s">
        <v>6</v>
      </c>
      <c r="DG381" t="s">
        <v>6</v>
      </c>
      <c r="DH381" t="s">
        <v>6</v>
      </c>
      <c r="DI381" t="s">
        <v>6</v>
      </c>
      <c r="DJ381" t="s">
        <v>6</v>
      </c>
      <c r="DK381" t="s">
        <v>6</v>
      </c>
      <c r="DL381" t="s">
        <v>6</v>
      </c>
      <c r="DM381" t="s">
        <v>6</v>
      </c>
      <c r="DN381">
        <v>0</v>
      </c>
      <c r="DO381">
        <v>0</v>
      </c>
      <c r="DP381">
        <v>1</v>
      </c>
      <c r="DQ381">
        <v>1</v>
      </c>
      <c r="DU381">
        <v>1010</v>
      </c>
      <c r="DV381" t="s">
        <v>53</v>
      </c>
      <c r="DW381" t="s">
        <v>53</v>
      </c>
      <c r="DX381">
        <v>1</v>
      </c>
      <c r="EE381">
        <v>16510370</v>
      </c>
      <c r="EF381">
        <v>3</v>
      </c>
      <c r="EG381" t="s">
        <v>591</v>
      </c>
      <c r="EH381">
        <v>0</v>
      </c>
      <c r="EI381" t="s">
        <v>6</v>
      </c>
      <c r="EJ381">
        <v>2</v>
      </c>
      <c r="EK381">
        <v>108001</v>
      </c>
      <c r="EL381" t="s">
        <v>592</v>
      </c>
      <c r="EM381" t="s">
        <v>593</v>
      </c>
      <c r="EO381" t="s">
        <v>6</v>
      </c>
      <c r="EQ381">
        <v>0</v>
      </c>
      <c r="ER381">
        <v>347.49</v>
      </c>
      <c r="ES381">
        <v>347.49</v>
      </c>
      <c r="ET381">
        <v>0</v>
      </c>
      <c r="EU381">
        <v>0</v>
      </c>
      <c r="EV381">
        <v>0</v>
      </c>
      <c r="EW381">
        <v>0</v>
      </c>
      <c r="EX381">
        <v>0</v>
      </c>
      <c r="FQ381">
        <v>0</v>
      </c>
      <c r="FR381">
        <f t="shared" si="309"/>
        <v>0</v>
      </c>
      <c r="FS381">
        <v>0</v>
      </c>
      <c r="FX381">
        <v>95</v>
      </c>
      <c r="FY381">
        <v>65</v>
      </c>
      <c r="GA381" t="s">
        <v>6</v>
      </c>
      <c r="GD381">
        <v>0</v>
      </c>
      <c r="GF381">
        <v>-900248447</v>
      </c>
      <c r="GG381">
        <v>1</v>
      </c>
      <c r="GH381">
        <v>1</v>
      </c>
      <c r="GI381">
        <v>4</v>
      </c>
      <c r="GJ381">
        <v>0</v>
      </c>
      <c r="GK381">
        <f>ROUND(R381*(R12)/100,2)</f>
        <v>0</v>
      </c>
      <c r="GL381">
        <f t="shared" si="310"/>
        <v>0</v>
      </c>
      <c r="GM381">
        <f t="shared" si="311"/>
        <v>4559.07</v>
      </c>
      <c r="GN381">
        <f t="shared" si="312"/>
        <v>0</v>
      </c>
      <c r="GO381">
        <f t="shared" si="313"/>
        <v>4559.07</v>
      </c>
      <c r="GP381">
        <f t="shared" si="314"/>
        <v>0</v>
      </c>
      <c r="GR381">
        <v>0</v>
      </c>
      <c r="GS381">
        <v>3</v>
      </c>
      <c r="GT381">
        <v>0</v>
      </c>
      <c r="GU381" t="s">
        <v>6</v>
      </c>
      <c r="GV381">
        <f t="shared" si="315"/>
        <v>0</v>
      </c>
      <c r="GW381">
        <v>1</v>
      </c>
      <c r="GX381">
        <f t="shared" si="316"/>
        <v>0</v>
      </c>
      <c r="HA381">
        <v>0</v>
      </c>
      <c r="HB381">
        <v>0</v>
      </c>
      <c r="IK381">
        <v>0</v>
      </c>
    </row>
    <row r="382" spans="1:245" x14ac:dyDescent="0.2">
      <c r="A382">
        <v>18</v>
      </c>
      <c r="B382">
        <v>1</v>
      </c>
      <c r="C382">
        <v>593</v>
      </c>
      <c r="E382" t="s">
        <v>806</v>
      </c>
      <c r="F382" t="s">
        <v>685</v>
      </c>
      <c r="G382" t="s">
        <v>807</v>
      </c>
      <c r="H382" t="s">
        <v>53</v>
      </c>
      <c r="I382">
        <f>I380*J382</f>
        <v>2</v>
      </c>
      <c r="J382">
        <v>0.4</v>
      </c>
      <c r="O382">
        <f t="shared" si="278"/>
        <v>5620.61</v>
      </c>
      <c r="P382">
        <f t="shared" si="279"/>
        <v>5620.61</v>
      </c>
      <c r="Q382">
        <f t="shared" si="280"/>
        <v>0</v>
      </c>
      <c r="R382">
        <f t="shared" si="281"/>
        <v>0</v>
      </c>
      <c r="S382">
        <f t="shared" si="282"/>
        <v>0</v>
      </c>
      <c r="T382">
        <f t="shared" si="283"/>
        <v>0</v>
      </c>
      <c r="U382">
        <f t="shared" si="284"/>
        <v>0</v>
      </c>
      <c r="V382">
        <f t="shared" si="285"/>
        <v>0</v>
      </c>
      <c r="W382">
        <f t="shared" si="286"/>
        <v>0</v>
      </c>
      <c r="X382">
        <f t="shared" si="287"/>
        <v>0</v>
      </c>
      <c r="Y382">
        <f t="shared" si="288"/>
        <v>0</v>
      </c>
      <c r="AA382">
        <v>16748969</v>
      </c>
      <c r="AB382">
        <f t="shared" si="289"/>
        <v>428.4</v>
      </c>
      <c r="AC382">
        <f t="shared" si="290"/>
        <v>428.4</v>
      </c>
      <c r="AD382">
        <f t="shared" si="291"/>
        <v>0</v>
      </c>
      <c r="AE382">
        <f t="shared" si="292"/>
        <v>0</v>
      </c>
      <c r="AF382">
        <f t="shared" si="293"/>
        <v>0</v>
      </c>
      <c r="AG382">
        <f t="shared" si="294"/>
        <v>0</v>
      </c>
      <c r="AH382">
        <f t="shared" si="295"/>
        <v>0</v>
      </c>
      <c r="AI382">
        <f t="shared" si="296"/>
        <v>0</v>
      </c>
      <c r="AJ382">
        <f t="shared" si="297"/>
        <v>0</v>
      </c>
      <c r="AK382">
        <v>428.4</v>
      </c>
      <c r="AL382">
        <v>428.4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  <c r="AS382">
        <v>0</v>
      </c>
      <c r="AT382">
        <v>95</v>
      </c>
      <c r="AU382">
        <v>65</v>
      </c>
      <c r="AV382">
        <v>1</v>
      </c>
      <c r="AW382">
        <v>1</v>
      </c>
      <c r="AZ382">
        <v>6.56</v>
      </c>
      <c r="BA382">
        <v>1</v>
      </c>
      <c r="BB382">
        <v>1</v>
      </c>
      <c r="BC382">
        <v>6.56</v>
      </c>
      <c r="BD382" t="s">
        <v>6</v>
      </c>
      <c r="BE382" t="s">
        <v>6</v>
      </c>
      <c r="BF382" t="s">
        <v>6</v>
      </c>
      <c r="BG382" t="s">
        <v>6</v>
      </c>
      <c r="BH382">
        <v>3</v>
      </c>
      <c r="BI382">
        <v>2</v>
      </c>
      <c r="BJ382" t="s">
        <v>687</v>
      </c>
      <c r="BM382">
        <v>108001</v>
      </c>
      <c r="BN382">
        <v>0</v>
      </c>
      <c r="BO382" t="s">
        <v>6</v>
      </c>
      <c r="BP382">
        <v>0</v>
      </c>
      <c r="BQ382">
        <v>3</v>
      </c>
      <c r="BR382">
        <v>0</v>
      </c>
      <c r="BS382">
        <v>1</v>
      </c>
      <c r="BT382">
        <v>1</v>
      </c>
      <c r="BU382">
        <v>1</v>
      </c>
      <c r="BV382">
        <v>1</v>
      </c>
      <c r="BW382">
        <v>1</v>
      </c>
      <c r="BX382">
        <v>1</v>
      </c>
      <c r="BY382" t="s">
        <v>6</v>
      </c>
      <c r="BZ382">
        <v>95</v>
      </c>
      <c r="CA382">
        <v>65</v>
      </c>
      <c r="CF382">
        <v>0</v>
      </c>
      <c r="CG382">
        <v>0</v>
      </c>
      <c r="CM382">
        <v>0</v>
      </c>
      <c r="CN382" t="s">
        <v>6</v>
      </c>
      <c r="CO382">
        <v>0</v>
      </c>
      <c r="CP382">
        <f t="shared" si="298"/>
        <v>5620.61</v>
      </c>
      <c r="CQ382">
        <f t="shared" si="299"/>
        <v>2810.3039999999996</v>
      </c>
      <c r="CR382">
        <f t="shared" si="300"/>
        <v>0</v>
      </c>
      <c r="CS382">
        <f t="shared" si="301"/>
        <v>0</v>
      </c>
      <c r="CT382">
        <f t="shared" si="302"/>
        <v>0</v>
      </c>
      <c r="CU382">
        <f t="shared" si="303"/>
        <v>0</v>
      </c>
      <c r="CV382">
        <f t="shared" si="304"/>
        <v>0</v>
      </c>
      <c r="CW382">
        <f t="shared" si="305"/>
        <v>0</v>
      </c>
      <c r="CX382">
        <f t="shared" si="306"/>
        <v>0</v>
      </c>
      <c r="CY382">
        <f t="shared" si="307"/>
        <v>0</v>
      </c>
      <c r="CZ382">
        <f t="shared" si="308"/>
        <v>0</v>
      </c>
      <c r="DC382" t="s">
        <v>6</v>
      </c>
      <c r="DD382" t="s">
        <v>6</v>
      </c>
      <c r="DE382" t="s">
        <v>6</v>
      </c>
      <c r="DF382" t="s">
        <v>6</v>
      </c>
      <c r="DG382" t="s">
        <v>6</v>
      </c>
      <c r="DH382" t="s">
        <v>6</v>
      </c>
      <c r="DI382" t="s">
        <v>6</v>
      </c>
      <c r="DJ382" t="s">
        <v>6</v>
      </c>
      <c r="DK382" t="s">
        <v>6</v>
      </c>
      <c r="DL382" t="s">
        <v>6</v>
      </c>
      <c r="DM382" t="s">
        <v>6</v>
      </c>
      <c r="DN382">
        <v>0</v>
      </c>
      <c r="DO382">
        <v>0</v>
      </c>
      <c r="DP382">
        <v>1</v>
      </c>
      <c r="DQ382">
        <v>1</v>
      </c>
      <c r="DU382">
        <v>1010</v>
      </c>
      <c r="DV382" t="s">
        <v>53</v>
      </c>
      <c r="DW382" t="s">
        <v>53</v>
      </c>
      <c r="DX382">
        <v>1</v>
      </c>
      <c r="EE382">
        <v>16510370</v>
      </c>
      <c r="EF382">
        <v>3</v>
      </c>
      <c r="EG382" t="s">
        <v>591</v>
      </c>
      <c r="EH382">
        <v>0</v>
      </c>
      <c r="EI382" t="s">
        <v>6</v>
      </c>
      <c r="EJ382">
        <v>2</v>
      </c>
      <c r="EK382">
        <v>108001</v>
      </c>
      <c r="EL382" t="s">
        <v>592</v>
      </c>
      <c r="EM382" t="s">
        <v>593</v>
      </c>
      <c r="EO382" t="s">
        <v>6</v>
      </c>
      <c r="EQ382">
        <v>0</v>
      </c>
      <c r="ER382">
        <v>428.4</v>
      </c>
      <c r="ES382">
        <v>428.4</v>
      </c>
      <c r="ET382">
        <v>0</v>
      </c>
      <c r="EU382">
        <v>0</v>
      </c>
      <c r="EV382">
        <v>0</v>
      </c>
      <c r="EW382">
        <v>0</v>
      </c>
      <c r="EX382">
        <v>0</v>
      </c>
      <c r="FQ382">
        <v>0</v>
      </c>
      <c r="FR382">
        <f t="shared" si="309"/>
        <v>0</v>
      </c>
      <c r="FS382">
        <v>0</v>
      </c>
      <c r="FX382">
        <v>95</v>
      </c>
      <c r="FY382">
        <v>65</v>
      </c>
      <c r="GA382" t="s">
        <v>6</v>
      </c>
      <c r="GD382">
        <v>0</v>
      </c>
      <c r="GF382">
        <v>-179021244</v>
      </c>
      <c r="GG382">
        <v>1</v>
      </c>
      <c r="GH382">
        <v>1</v>
      </c>
      <c r="GI382">
        <v>4</v>
      </c>
      <c r="GJ382">
        <v>0</v>
      </c>
      <c r="GK382">
        <f>ROUND(R382*(R12)/100,2)</f>
        <v>0</v>
      </c>
      <c r="GL382">
        <f t="shared" si="310"/>
        <v>0</v>
      </c>
      <c r="GM382">
        <f t="shared" si="311"/>
        <v>5620.61</v>
      </c>
      <c r="GN382">
        <f t="shared" si="312"/>
        <v>0</v>
      </c>
      <c r="GO382">
        <f t="shared" si="313"/>
        <v>5620.61</v>
      </c>
      <c r="GP382">
        <f t="shared" si="314"/>
        <v>0</v>
      </c>
      <c r="GR382">
        <v>0</v>
      </c>
      <c r="GS382">
        <v>3</v>
      </c>
      <c r="GT382">
        <v>0</v>
      </c>
      <c r="GU382" t="s">
        <v>6</v>
      </c>
      <c r="GV382">
        <f t="shared" si="315"/>
        <v>0</v>
      </c>
      <c r="GW382">
        <v>1</v>
      </c>
      <c r="GX382">
        <f t="shared" si="316"/>
        <v>0</v>
      </c>
      <c r="HA382">
        <v>0</v>
      </c>
      <c r="HB382">
        <v>0</v>
      </c>
      <c r="IK382">
        <v>0</v>
      </c>
    </row>
    <row r="383" spans="1:245" x14ac:dyDescent="0.2">
      <c r="A383">
        <v>18</v>
      </c>
      <c r="B383">
        <v>1</v>
      </c>
      <c r="C383">
        <v>594</v>
      </c>
      <c r="E383" t="s">
        <v>808</v>
      </c>
      <c r="F383" t="s">
        <v>809</v>
      </c>
      <c r="G383" t="s">
        <v>810</v>
      </c>
      <c r="H383" t="s">
        <v>53</v>
      </c>
      <c r="I383">
        <f>I380*J383</f>
        <v>1</v>
      </c>
      <c r="J383">
        <v>0.2</v>
      </c>
      <c r="O383">
        <f t="shared" si="278"/>
        <v>6887.93</v>
      </c>
      <c r="P383">
        <f t="shared" si="279"/>
        <v>6887.93</v>
      </c>
      <c r="Q383">
        <f t="shared" si="280"/>
        <v>0</v>
      </c>
      <c r="R383">
        <f t="shared" si="281"/>
        <v>0</v>
      </c>
      <c r="S383">
        <f t="shared" si="282"/>
        <v>0</v>
      </c>
      <c r="T383">
        <f t="shared" si="283"/>
        <v>0</v>
      </c>
      <c r="U383">
        <f t="shared" si="284"/>
        <v>0</v>
      </c>
      <c r="V383">
        <f t="shared" si="285"/>
        <v>0</v>
      </c>
      <c r="W383">
        <f t="shared" si="286"/>
        <v>0</v>
      </c>
      <c r="X383">
        <f t="shared" si="287"/>
        <v>0</v>
      </c>
      <c r="Y383">
        <f t="shared" si="288"/>
        <v>0</v>
      </c>
      <c r="AA383">
        <v>16748969</v>
      </c>
      <c r="AB383">
        <f t="shared" si="289"/>
        <v>1049.99</v>
      </c>
      <c r="AC383">
        <f t="shared" si="290"/>
        <v>1049.99</v>
      </c>
      <c r="AD383">
        <f t="shared" si="291"/>
        <v>0</v>
      </c>
      <c r="AE383">
        <f t="shared" si="292"/>
        <v>0</v>
      </c>
      <c r="AF383">
        <f t="shared" si="293"/>
        <v>0</v>
      </c>
      <c r="AG383">
        <f t="shared" si="294"/>
        <v>0</v>
      </c>
      <c r="AH383">
        <f t="shared" si="295"/>
        <v>0</v>
      </c>
      <c r="AI383">
        <f t="shared" si="296"/>
        <v>0</v>
      </c>
      <c r="AJ383">
        <f t="shared" si="297"/>
        <v>0</v>
      </c>
      <c r="AK383">
        <v>1049.99</v>
      </c>
      <c r="AL383">
        <v>1049.99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  <c r="AS383">
        <v>0</v>
      </c>
      <c r="AT383">
        <v>95</v>
      </c>
      <c r="AU383">
        <v>65</v>
      </c>
      <c r="AV383">
        <v>1</v>
      </c>
      <c r="AW383">
        <v>1</v>
      </c>
      <c r="AZ383">
        <v>6.56</v>
      </c>
      <c r="BA383">
        <v>1</v>
      </c>
      <c r="BB383">
        <v>1</v>
      </c>
      <c r="BC383">
        <v>6.56</v>
      </c>
      <c r="BD383" t="s">
        <v>6</v>
      </c>
      <c r="BE383" t="s">
        <v>6</v>
      </c>
      <c r="BF383" t="s">
        <v>6</v>
      </c>
      <c r="BG383" t="s">
        <v>6</v>
      </c>
      <c r="BH383">
        <v>3</v>
      </c>
      <c r="BI383">
        <v>2</v>
      </c>
      <c r="BJ383" t="s">
        <v>811</v>
      </c>
      <c r="BM383">
        <v>108001</v>
      </c>
      <c r="BN383">
        <v>0</v>
      </c>
      <c r="BO383" t="s">
        <v>6</v>
      </c>
      <c r="BP383">
        <v>0</v>
      </c>
      <c r="BQ383">
        <v>3</v>
      </c>
      <c r="BR383">
        <v>0</v>
      </c>
      <c r="BS383">
        <v>1</v>
      </c>
      <c r="BT383">
        <v>1</v>
      </c>
      <c r="BU383">
        <v>1</v>
      </c>
      <c r="BV383">
        <v>1</v>
      </c>
      <c r="BW383">
        <v>1</v>
      </c>
      <c r="BX383">
        <v>1</v>
      </c>
      <c r="BY383" t="s">
        <v>6</v>
      </c>
      <c r="BZ383">
        <v>95</v>
      </c>
      <c r="CA383">
        <v>65</v>
      </c>
      <c r="CF383">
        <v>0</v>
      </c>
      <c r="CG383">
        <v>0</v>
      </c>
      <c r="CM383">
        <v>0</v>
      </c>
      <c r="CN383" t="s">
        <v>6</v>
      </c>
      <c r="CO383">
        <v>0</v>
      </c>
      <c r="CP383">
        <f t="shared" si="298"/>
        <v>6887.93</v>
      </c>
      <c r="CQ383">
        <f t="shared" si="299"/>
        <v>6887.9344000000001</v>
      </c>
      <c r="CR383">
        <f t="shared" si="300"/>
        <v>0</v>
      </c>
      <c r="CS383">
        <f t="shared" si="301"/>
        <v>0</v>
      </c>
      <c r="CT383">
        <f t="shared" si="302"/>
        <v>0</v>
      </c>
      <c r="CU383">
        <f t="shared" si="303"/>
        <v>0</v>
      </c>
      <c r="CV383">
        <f t="shared" si="304"/>
        <v>0</v>
      </c>
      <c r="CW383">
        <f t="shared" si="305"/>
        <v>0</v>
      </c>
      <c r="CX383">
        <f t="shared" si="306"/>
        <v>0</v>
      </c>
      <c r="CY383">
        <f t="shared" si="307"/>
        <v>0</v>
      </c>
      <c r="CZ383">
        <f t="shared" si="308"/>
        <v>0</v>
      </c>
      <c r="DC383" t="s">
        <v>6</v>
      </c>
      <c r="DD383" t="s">
        <v>6</v>
      </c>
      <c r="DE383" t="s">
        <v>6</v>
      </c>
      <c r="DF383" t="s">
        <v>6</v>
      </c>
      <c r="DG383" t="s">
        <v>6</v>
      </c>
      <c r="DH383" t="s">
        <v>6</v>
      </c>
      <c r="DI383" t="s">
        <v>6</v>
      </c>
      <c r="DJ383" t="s">
        <v>6</v>
      </c>
      <c r="DK383" t="s">
        <v>6</v>
      </c>
      <c r="DL383" t="s">
        <v>6</v>
      </c>
      <c r="DM383" t="s">
        <v>6</v>
      </c>
      <c r="DN383">
        <v>0</v>
      </c>
      <c r="DO383">
        <v>0</v>
      </c>
      <c r="DP383">
        <v>1</v>
      </c>
      <c r="DQ383">
        <v>1</v>
      </c>
      <c r="DU383">
        <v>1010</v>
      </c>
      <c r="DV383" t="s">
        <v>53</v>
      </c>
      <c r="DW383" t="s">
        <v>53</v>
      </c>
      <c r="DX383">
        <v>1</v>
      </c>
      <c r="EE383">
        <v>16510370</v>
      </c>
      <c r="EF383">
        <v>3</v>
      </c>
      <c r="EG383" t="s">
        <v>591</v>
      </c>
      <c r="EH383">
        <v>0</v>
      </c>
      <c r="EI383" t="s">
        <v>6</v>
      </c>
      <c r="EJ383">
        <v>2</v>
      </c>
      <c r="EK383">
        <v>108001</v>
      </c>
      <c r="EL383" t="s">
        <v>592</v>
      </c>
      <c r="EM383" t="s">
        <v>593</v>
      </c>
      <c r="EO383" t="s">
        <v>6</v>
      </c>
      <c r="EQ383">
        <v>0</v>
      </c>
      <c r="ER383">
        <v>1049.99</v>
      </c>
      <c r="ES383">
        <v>1049.99</v>
      </c>
      <c r="ET383">
        <v>0</v>
      </c>
      <c r="EU383">
        <v>0</v>
      </c>
      <c r="EV383">
        <v>0</v>
      </c>
      <c r="EW383">
        <v>0</v>
      </c>
      <c r="EX383">
        <v>0</v>
      </c>
      <c r="FQ383">
        <v>0</v>
      </c>
      <c r="FR383">
        <f t="shared" si="309"/>
        <v>0</v>
      </c>
      <c r="FS383">
        <v>0</v>
      </c>
      <c r="FX383">
        <v>95</v>
      </c>
      <c r="FY383">
        <v>65</v>
      </c>
      <c r="GA383" t="s">
        <v>6</v>
      </c>
      <c r="GD383">
        <v>0</v>
      </c>
      <c r="GF383">
        <v>-1059448058</v>
      </c>
      <c r="GG383">
        <v>1</v>
      </c>
      <c r="GH383">
        <v>1</v>
      </c>
      <c r="GI383">
        <v>4</v>
      </c>
      <c r="GJ383">
        <v>0</v>
      </c>
      <c r="GK383">
        <f>ROUND(R383*(R12)/100,2)</f>
        <v>0</v>
      </c>
      <c r="GL383">
        <f t="shared" si="310"/>
        <v>0</v>
      </c>
      <c r="GM383">
        <f t="shared" si="311"/>
        <v>6887.93</v>
      </c>
      <c r="GN383">
        <f t="shared" si="312"/>
        <v>0</v>
      </c>
      <c r="GO383">
        <f t="shared" si="313"/>
        <v>6887.93</v>
      </c>
      <c r="GP383">
        <f t="shared" si="314"/>
        <v>0</v>
      </c>
      <c r="GR383">
        <v>0</v>
      </c>
      <c r="GS383">
        <v>3</v>
      </c>
      <c r="GT383">
        <v>0</v>
      </c>
      <c r="GU383" t="s">
        <v>6</v>
      </c>
      <c r="GV383">
        <f t="shared" si="315"/>
        <v>0</v>
      </c>
      <c r="GW383">
        <v>1</v>
      </c>
      <c r="GX383">
        <f t="shared" si="316"/>
        <v>0</v>
      </c>
      <c r="HA383">
        <v>0</v>
      </c>
      <c r="HB383">
        <v>0</v>
      </c>
      <c r="IK383">
        <v>0</v>
      </c>
    </row>
    <row r="384" spans="1:245" x14ac:dyDescent="0.2">
      <c r="A384">
        <v>17</v>
      </c>
      <c r="B384">
        <v>1</v>
      </c>
      <c r="C384">
        <f>ROW(SmtRes!A596)</f>
        <v>596</v>
      </c>
      <c r="D384">
        <f>ROW(EtalonRes!A548)</f>
        <v>548</v>
      </c>
      <c r="E384" t="s">
        <v>812</v>
      </c>
      <c r="F384" t="s">
        <v>655</v>
      </c>
      <c r="G384" t="s">
        <v>656</v>
      </c>
      <c r="H384" t="s">
        <v>46</v>
      </c>
      <c r="I384">
        <f>ROUND(7/100,9)</f>
        <v>7.0000000000000007E-2</v>
      </c>
      <c r="J384">
        <v>0</v>
      </c>
      <c r="O384">
        <f t="shared" si="278"/>
        <v>21.5</v>
      </c>
      <c r="P384">
        <f t="shared" si="279"/>
        <v>0</v>
      </c>
      <c r="Q384">
        <f t="shared" si="280"/>
        <v>0</v>
      </c>
      <c r="R384">
        <f t="shared" si="281"/>
        <v>0</v>
      </c>
      <c r="S384">
        <f t="shared" si="282"/>
        <v>21.5</v>
      </c>
      <c r="T384">
        <f t="shared" si="283"/>
        <v>0</v>
      </c>
      <c r="U384">
        <f t="shared" si="284"/>
        <v>0.38430000000000003</v>
      </c>
      <c r="V384">
        <f t="shared" si="285"/>
        <v>0</v>
      </c>
      <c r="W384">
        <f t="shared" si="286"/>
        <v>0</v>
      </c>
      <c r="X384">
        <f t="shared" si="287"/>
        <v>16.77</v>
      </c>
      <c r="Y384">
        <f t="shared" si="288"/>
        <v>10.75</v>
      </c>
      <c r="AA384">
        <v>16748969</v>
      </c>
      <c r="AB384">
        <f t="shared" si="289"/>
        <v>46.83</v>
      </c>
      <c r="AC384">
        <f t="shared" si="290"/>
        <v>0</v>
      </c>
      <c r="AD384">
        <f t="shared" si="291"/>
        <v>0</v>
      </c>
      <c r="AE384">
        <f t="shared" si="292"/>
        <v>0</v>
      </c>
      <c r="AF384">
        <f t="shared" si="293"/>
        <v>46.83</v>
      </c>
      <c r="AG384">
        <f t="shared" si="294"/>
        <v>0</v>
      </c>
      <c r="AH384">
        <f t="shared" si="295"/>
        <v>5.49</v>
      </c>
      <c r="AI384">
        <f t="shared" si="296"/>
        <v>0</v>
      </c>
      <c r="AJ384">
        <f t="shared" si="297"/>
        <v>0</v>
      </c>
      <c r="AK384">
        <v>46.83</v>
      </c>
      <c r="AL384">
        <v>0</v>
      </c>
      <c r="AM384">
        <v>0</v>
      </c>
      <c r="AN384">
        <v>0</v>
      </c>
      <c r="AO384">
        <v>46.83</v>
      </c>
      <c r="AP384">
        <v>0</v>
      </c>
      <c r="AQ384">
        <v>5.49</v>
      </c>
      <c r="AR384">
        <v>0</v>
      </c>
      <c r="AS384">
        <v>0</v>
      </c>
      <c r="AT384">
        <v>78</v>
      </c>
      <c r="AU384">
        <v>50</v>
      </c>
      <c r="AV384">
        <v>1</v>
      </c>
      <c r="AW384">
        <v>1</v>
      </c>
      <c r="AZ384">
        <v>6.56</v>
      </c>
      <c r="BA384">
        <v>6.56</v>
      </c>
      <c r="BB384">
        <v>6.56</v>
      </c>
      <c r="BC384">
        <v>6.56</v>
      </c>
      <c r="BD384" t="s">
        <v>6</v>
      </c>
      <c r="BE384" t="s">
        <v>6</v>
      </c>
      <c r="BF384" t="s">
        <v>6</v>
      </c>
      <c r="BG384" t="s">
        <v>6</v>
      </c>
      <c r="BH384">
        <v>0</v>
      </c>
      <c r="BI384">
        <v>1</v>
      </c>
      <c r="BJ384" t="s">
        <v>657</v>
      </c>
      <c r="BM384">
        <v>69001</v>
      </c>
      <c r="BN384">
        <v>0</v>
      </c>
      <c r="BO384" t="s">
        <v>6</v>
      </c>
      <c r="BP384">
        <v>0</v>
      </c>
      <c r="BQ384">
        <v>6</v>
      </c>
      <c r="BR384">
        <v>0</v>
      </c>
      <c r="BS384">
        <v>6.56</v>
      </c>
      <c r="BT384">
        <v>1</v>
      </c>
      <c r="BU384">
        <v>1</v>
      </c>
      <c r="BV384">
        <v>1</v>
      </c>
      <c r="BW384">
        <v>1</v>
      </c>
      <c r="BX384">
        <v>1</v>
      </c>
      <c r="BY384" t="s">
        <v>6</v>
      </c>
      <c r="BZ384">
        <v>78</v>
      </c>
      <c r="CA384">
        <v>50</v>
      </c>
      <c r="CF384">
        <v>0</v>
      </c>
      <c r="CG384">
        <v>0</v>
      </c>
      <c r="CM384">
        <v>0</v>
      </c>
      <c r="CN384" t="s">
        <v>6</v>
      </c>
      <c r="CO384">
        <v>0</v>
      </c>
      <c r="CP384">
        <f t="shared" si="298"/>
        <v>21.5</v>
      </c>
      <c r="CQ384">
        <f t="shared" si="299"/>
        <v>0</v>
      </c>
      <c r="CR384">
        <f t="shared" si="300"/>
        <v>0</v>
      </c>
      <c r="CS384">
        <f t="shared" si="301"/>
        <v>0</v>
      </c>
      <c r="CT384">
        <f t="shared" si="302"/>
        <v>307.20479999999998</v>
      </c>
      <c r="CU384">
        <f t="shared" si="303"/>
        <v>0</v>
      </c>
      <c r="CV384">
        <f t="shared" si="304"/>
        <v>5.49</v>
      </c>
      <c r="CW384">
        <f t="shared" si="305"/>
        <v>0</v>
      </c>
      <c r="CX384">
        <f t="shared" si="306"/>
        <v>0</v>
      </c>
      <c r="CY384">
        <f t="shared" si="307"/>
        <v>16.77</v>
      </c>
      <c r="CZ384">
        <f t="shared" si="308"/>
        <v>10.75</v>
      </c>
      <c r="DC384" t="s">
        <v>6</v>
      </c>
      <c r="DD384" t="s">
        <v>6</v>
      </c>
      <c r="DE384" t="s">
        <v>6</v>
      </c>
      <c r="DF384" t="s">
        <v>6</v>
      </c>
      <c r="DG384" t="s">
        <v>6</v>
      </c>
      <c r="DH384" t="s">
        <v>6</v>
      </c>
      <c r="DI384" t="s">
        <v>6</v>
      </c>
      <c r="DJ384" t="s">
        <v>6</v>
      </c>
      <c r="DK384" t="s">
        <v>6</v>
      </c>
      <c r="DL384" t="s">
        <v>6</v>
      </c>
      <c r="DM384" t="s">
        <v>6</v>
      </c>
      <c r="DN384">
        <v>0</v>
      </c>
      <c r="DO384">
        <v>0</v>
      </c>
      <c r="DP384">
        <v>1</v>
      </c>
      <c r="DQ384">
        <v>1</v>
      </c>
      <c r="DU384">
        <v>1013</v>
      </c>
      <c r="DV384" t="s">
        <v>46</v>
      </c>
      <c r="DW384" t="s">
        <v>46</v>
      </c>
      <c r="DX384">
        <v>1</v>
      </c>
      <c r="EE384">
        <v>16510614</v>
      </c>
      <c r="EF384">
        <v>6</v>
      </c>
      <c r="EG384" t="s">
        <v>36</v>
      </c>
      <c r="EH384">
        <v>0</v>
      </c>
      <c r="EI384" t="s">
        <v>6</v>
      </c>
      <c r="EJ384">
        <v>1</v>
      </c>
      <c r="EK384">
        <v>69001</v>
      </c>
      <c r="EL384" t="s">
        <v>553</v>
      </c>
      <c r="EM384" t="s">
        <v>554</v>
      </c>
      <c r="EO384" t="s">
        <v>6</v>
      </c>
      <c r="EQ384">
        <v>131072</v>
      </c>
      <c r="ER384">
        <v>46.83</v>
      </c>
      <c r="ES384">
        <v>0</v>
      </c>
      <c r="ET384">
        <v>0</v>
      </c>
      <c r="EU384">
        <v>0</v>
      </c>
      <c r="EV384">
        <v>46.83</v>
      </c>
      <c r="EW384">
        <v>5.49</v>
      </c>
      <c r="EX384">
        <v>0</v>
      </c>
      <c r="EY384">
        <v>0</v>
      </c>
      <c r="FQ384">
        <v>0</v>
      </c>
      <c r="FR384">
        <f t="shared" si="309"/>
        <v>0</v>
      </c>
      <c r="FS384">
        <v>0</v>
      </c>
      <c r="FX384">
        <v>78</v>
      </c>
      <c r="FY384">
        <v>50</v>
      </c>
      <c r="GA384" t="s">
        <v>6</v>
      </c>
      <c r="GD384">
        <v>0</v>
      </c>
      <c r="GF384">
        <v>-746968197</v>
      </c>
      <c r="GG384">
        <v>1</v>
      </c>
      <c r="GH384">
        <v>1</v>
      </c>
      <c r="GI384">
        <v>4</v>
      </c>
      <c r="GJ384">
        <v>0</v>
      </c>
      <c r="GK384">
        <f>ROUND(R384*(R12)/100,2)</f>
        <v>0</v>
      </c>
      <c r="GL384">
        <f t="shared" si="310"/>
        <v>0</v>
      </c>
      <c r="GM384">
        <f t="shared" si="311"/>
        <v>49.02</v>
      </c>
      <c r="GN384">
        <f t="shared" si="312"/>
        <v>49.02</v>
      </c>
      <c r="GO384">
        <f t="shared" si="313"/>
        <v>0</v>
      </c>
      <c r="GP384">
        <f t="shared" si="314"/>
        <v>0</v>
      </c>
      <c r="GR384">
        <v>0</v>
      </c>
      <c r="GS384">
        <v>3</v>
      </c>
      <c r="GT384">
        <v>0</v>
      </c>
      <c r="GU384" t="s">
        <v>6</v>
      </c>
      <c r="GV384">
        <f t="shared" si="315"/>
        <v>0</v>
      </c>
      <c r="GW384">
        <v>1</v>
      </c>
      <c r="GX384">
        <f t="shared" si="316"/>
        <v>0</v>
      </c>
      <c r="HA384">
        <v>0</v>
      </c>
      <c r="HB384">
        <v>0</v>
      </c>
      <c r="IK384">
        <v>0</v>
      </c>
    </row>
    <row r="385" spans="1:245" x14ac:dyDescent="0.2">
      <c r="A385">
        <v>17</v>
      </c>
      <c r="B385">
        <v>1</v>
      </c>
      <c r="C385">
        <f>ROW(SmtRes!A607)</f>
        <v>607</v>
      </c>
      <c r="D385">
        <f>ROW(EtalonRes!A558)</f>
        <v>558</v>
      </c>
      <c r="E385" t="s">
        <v>813</v>
      </c>
      <c r="F385" t="s">
        <v>659</v>
      </c>
      <c r="G385" t="s">
        <v>660</v>
      </c>
      <c r="H385" t="s">
        <v>34</v>
      </c>
      <c r="I385">
        <f>ROUND(4.2/100,9)</f>
        <v>4.2000000000000003E-2</v>
      </c>
      <c r="J385">
        <v>0</v>
      </c>
      <c r="O385">
        <f t="shared" si="278"/>
        <v>69.13</v>
      </c>
      <c r="P385">
        <f t="shared" si="279"/>
        <v>24.17</v>
      </c>
      <c r="Q385">
        <f t="shared" si="280"/>
        <v>5.39</v>
      </c>
      <c r="R385">
        <f t="shared" si="281"/>
        <v>0.76</v>
      </c>
      <c r="S385">
        <f t="shared" si="282"/>
        <v>39.57</v>
      </c>
      <c r="T385">
        <f t="shared" si="283"/>
        <v>0</v>
      </c>
      <c r="U385">
        <f t="shared" si="284"/>
        <v>0.64176</v>
      </c>
      <c r="V385">
        <f t="shared" si="285"/>
        <v>9.2399999999999999E-3</v>
      </c>
      <c r="W385">
        <f t="shared" si="286"/>
        <v>0</v>
      </c>
      <c r="X385">
        <f t="shared" si="287"/>
        <v>38.31</v>
      </c>
      <c r="Y385">
        <f t="shared" si="288"/>
        <v>26.21</v>
      </c>
      <c r="AA385">
        <v>16748969</v>
      </c>
      <c r="AB385">
        <f t="shared" si="289"/>
        <v>250.92</v>
      </c>
      <c r="AC385">
        <f t="shared" si="290"/>
        <v>87.74</v>
      </c>
      <c r="AD385">
        <f t="shared" si="291"/>
        <v>19.55</v>
      </c>
      <c r="AE385">
        <f t="shared" si="292"/>
        <v>2.77</v>
      </c>
      <c r="AF385">
        <f t="shared" si="293"/>
        <v>143.63</v>
      </c>
      <c r="AG385">
        <f t="shared" si="294"/>
        <v>0</v>
      </c>
      <c r="AH385">
        <f t="shared" si="295"/>
        <v>15.28</v>
      </c>
      <c r="AI385">
        <f t="shared" si="296"/>
        <v>0.22</v>
      </c>
      <c r="AJ385">
        <f t="shared" si="297"/>
        <v>0</v>
      </c>
      <c r="AK385">
        <v>250.92</v>
      </c>
      <c r="AL385">
        <v>87.74</v>
      </c>
      <c r="AM385">
        <v>19.55</v>
      </c>
      <c r="AN385">
        <v>2.77</v>
      </c>
      <c r="AO385">
        <v>143.63</v>
      </c>
      <c r="AP385">
        <v>0</v>
      </c>
      <c r="AQ385">
        <v>15.28</v>
      </c>
      <c r="AR385">
        <v>0.22</v>
      </c>
      <c r="AS385">
        <v>0</v>
      </c>
      <c r="AT385">
        <v>95</v>
      </c>
      <c r="AU385">
        <v>65</v>
      </c>
      <c r="AV385">
        <v>1</v>
      </c>
      <c r="AW385">
        <v>1</v>
      </c>
      <c r="AZ385">
        <v>6.56</v>
      </c>
      <c r="BA385">
        <v>6.56</v>
      </c>
      <c r="BB385">
        <v>6.56</v>
      </c>
      <c r="BC385">
        <v>6.56</v>
      </c>
      <c r="BD385" t="s">
        <v>6</v>
      </c>
      <c r="BE385" t="s">
        <v>6</v>
      </c>
      <c r="BF385" t="s">
        <v>6</v>
      </c>
      <c r="BG385" t="s">
        <v>6</v>
      </c>
      <c r="BH385">
        <v>0</v>
      </c>
      <c r="BI385">
        <v>2</v>
      </c>
      <c r="BJ385" t="s">
        <v>661</v>
      </c>
      <c r="BM385">
        <v>108001</v>
      </c>
      <c r="BN385">
        <v>0</v>
      </c>
      <c r="BO385" t="s">
        <v>6</v>
      </c>
      <c r="BP385">
        <v>0</v>
      </c>
      <c r="BQ385">
        <v>3</v>
      </c>
      <c r="BR385">
        <v>0</v>
      </c>
      <c r="BS385">
        <v>6.56</v>
      </c>
      <c r="BT385">
        <v>1</v>
      </c>
      <c r="BU385">
        <v>1</v>
      </c>
      <c r="BV385">
        <v>1</v>
      </c>
      <c r="BW385">
        <v>1</v>
      </c>
      <c r="BX385">
        <v>1</v>
      </c>
      <c r="BY385" t="s">
        <v>6</v>
      </c>
      <c r="BZ385">
        <v>95</v>
      </c>
      <c r="CA385">
        <v>65</v>
      </c>
      <c r="CF385">
        <v>0</v>
      </c>
      <c r="CG385">
        <v>0</v>
      </c>
      <c r="CM385">
        <v>0</v>
      </c>
      <c r="CN385" t="s">
        <v>6</v>
      </c>
      <c r="CO385">
        <v>0</v>
      </c>
      <c r="CP385">
        <f t="shared" si="298"/>
        <v>69.13</v>
      </c>
      <c r="CQ385">
        <f t="shared" si="299"/>
        <v>575.57439999999997</v>
      </c>
      <c r="CR385">
        <f t="shared" si="300"/>
        <v>128.24799999999999</v>
      </c>
      <c r="CS385">
        <f t="shared" si="301"/>
        <v>18.171199999999999</v>
      </c>
      <c r="CT385">
        <f t="shared" si="302"/>
        <v>942.2127999999999</v>
      </c>
      <c r="CU385">
        <f t="shared" si="303"/>
        <v>0</v>
      </c>
      <c r="CV385">
        <f t="shared" si="304"/>
        <v>15.28</v>
      </c>
      <c r="CW385">
        <f t="shared" si="305"/>
        <v>0.22</v>
      </c>
      <c r="CX385">
        <f t="shared" si="306"/>
        <v>0</v>
      </c>
      <c r="CY385">
        <f t="shared" si="307"/>
        <v>38.313499999999998</v>
      </c>
      <c r="CZ385">
        <f t="shared" si="308"/>
        <v>26.214499999999997</v>
      </c>
      <c r="DC385" t="s">
        <v>6</v>
      </c>
      <c r="DD385" t="s">
        <v>6</v>
      </c>
      <c r="DE385" t="s">
        <v>6</v>
      </c>
      <c r="DF385" t="s">
        <v>6</v>
      </c>
      <c r="DG385" t="s">
        <v>6</v>
      </c>
      <c r="DH385" t="s">
        <v>6</v>
      </c>
      <c r="DI385" t="s">
        <v>6</v>
      </c>
      <c r="DJ385" t="s">
        <v>6</v>
      </c>
      <c r="DK385" t="s">
        <v>6</v>
      </c>
      <c r="DL385" t="s">
        <v>6</v>
      </c>
      <c r="DM385" t="s">
        <v>6</v>
      </c>
      <c r="DN385">
        <v>0</v>
      </c>
      <c r="DO385">
        <v>0</v>
      </c>
      <c r="DP385">
        <v>1</v>
      </c>
      <c r="DQ385">
        <v>1</v>
      </c>
      <c r="DU385">
        <v>1003</v>
      </c>
      <c r="DV385" t="s">
        <v>34</v>
      </c>
      <c r="DW385" t="s">
        <v>34</v>
      </c>
      <c r="DX385">
        <v>100</v>
      </c>
      <c r="EE385">
        <v>16510370</v>
      </c>
      <c r="EF385">
        <v>3</v>
      </c>
      <c r="EG385" t="s">
        <v>591</v>
      </c>
      <c r="EH385">
        <v>0</v>
      </c>
      <c r="EI385" t="s">
        <v>6</v>
      </c>
      <c r="EJ385">
        <v>2</v>
      </c>
      <c r="EK385">
        <v>108001</v>
      </c>
      <c r="EL385" t="s">
        <v>592</v>
      </c>
      <c r="EM385" t="s">
        <v>593</v>
      </c>
      <c r="EO385" t="s">
        <v>6</v>
      </c>
      <c r="EQ385">
        <v>131072</v>
      </c>
      <c r="ER385">
        <v>250.92</v>
      </c>
      <c r="ES385">
        <v>87.74</v>
      </c>
      <c r="ET385">
        <v>19.55</v>
      </c>
      <c r="EU385">
        <v>2.77</v>
      </c>
      <c r="EV385">
        <v>143.63</v>
      </c>
      <c r="EW385">
        <v>15.28</v>
      </c>
      <c r="EX385">
        <v>0.22</v>
      </c>
      <c r="EY385">
        <v>0</v>
      </c>
      <c r="FQ385">
        <v>0</v>
      </c>
      <c r="FR385">
        <f t="shared" si="309"/>
        <v>0</v>
      </c>
      <c r="FS385">
        <v>0</v>
      </c>
      <c r="FX385">
        <v>95</v>
      </c>
      <c r="FY385">
        <v>65</v>
      </c>
      <c r="GA385" t="s">
        <v>6</v>
      </c>
      <c r="GD385">
        <v>0</v>
      </c>
      <c r="GF385">
        <v>-137810929</v>
      </c>
      <c r="GG385">
        <v>1</v>
      </c>
      <c r="GH385">
        <v>1</v>
      </c>
      <c r="GI385">
        <v>4</v>
      </c>
      <c r="GJ385">
        <v>0</v>
      </c>
      <c r="GK385">
        <f>ROUND(R385*(R12)/100,2)</f>
        <v>0</v>
      </c>
      <c r="GL385">
        <f t="shared" si="310"/>
        <v>0</v>
      </c>
      <c r="GM385">
        <f t="shared" si="311"/>
        <v>133.65</v>
      </c>
      <c r="GN385">
        <f t="shared" si="312"/>
        <v>0</v>
      </c>
      <c r="GO385">
        <f t="shared" si="313"/>
        <v>133.65</v>
      </c>
      <c r="GP385">
        <f t="shared" si="314"/>
        <v>0</v>
      </c>
      <c r="GR385">
        <v>0</v>
      </c>
      <c r="GS385">
        <v>3</v>
      </c>
      <c r="GT385">
        <v>0</v>
      </c>
      <c r="GU385" t="s">
        <v>6</v>
      </c>
      <c r="GV385">
        <f t="shared" si="315"/>
        <v>0</v>
      </c>
      <c r="GW385">
        <v>1</v>
      </c>
      <c r="GX385">
        <f t="shared" si="316"/>
        <v>0</v>
      </c>
      <c r="HA385">
        <v>0</v>
      </c>
      <c r="HB385">
        <v>0</v>
      </c>
      <c r="IK385">
        <v>0</v>
      </c>
    </row>
    <row r="386" spans="1:245" x14ac:dyDescent="0.2">
      <c r="A386">
        <v>18</v>
      </c>
      <c r="B386">
        <v>1</v>
      </c>
      <c r="C386">
        <v>606</v>
      </c>
      <c r="E386" t="s">
        <v>814</v>
      </c>
      <c r="F386" t="s">
        <v>663</v>
      </c>
      <c r="G386" t="s">
        <v>664</v>
      </c>
      <c r="H386" t="s">
        <v>632</v>
      </c>
      <c r="I386">
        <f>I385*J386</f>
        <v>0.41999999999999993</v>
      </c>
      <c r="J386">
        <v>9.9999999999999982</v>
      </c>
      <c r="O386">
        <f t="shared" si="278"/>
        <v>218.96</v>
      </c>
      <c r="P386">
        <f t="shared" si="279"/>
        <v>218.96</v>
      </c>
      <c r="Q386">
        <f t="shared" si="280"/>
        <v>0</v>
      </c>
      <c r="R386">
        <f t="shared" si="281"/>
        <v>0</v>
      </c>
      <c r="S386">
        <f t="shared" si="282"/>
        <v>0</v>
      </c>
      <c r="T386">
        <f t="shared" si="283"/>
        <v>0</v>
      </c>
      <c r="U386">
        <f t="shared" si="284"/>
        <v>0</v>
      </c>
      <c r="V386">
        <f t="shared" si="285"/>
        <v>0</v>
      </c>
      <c r="W386">
        <f t="shared" si="286"/>
        <v>0</v>
      </c>
      <c r="X386">
        <f t="shared" si="287"/>
        <v>0</v>
      </c>
      <c r="Y386">
        <f t="shared" si="288"/>
        <v>0</v>
      </c>
      <c r="AA386">
        <v>16748969</v>
      </c>
      <c r="AB386">
        <f t="shared" si="289"/>
        <v>79.47</v>
      </c>
      <c r="AC386">
        <f t="shared" si="290"/>
        <v>79.47</v>
      </c>
      <c r="AD386">
        <f t="shared" si="291"/>
        <v>0</v>
      </c>
      <c r="AE386">
        <f t="shared" si="292"/>
        <v>0</v>
      </c>
      <c r="AF386">
        <f t="shared" si="293"/>
        <v>0</v>
      </c>
      <c r="AG386">
        <f t="shared" si="294"/>
        <v>0</v>
      </c>
      <c r="AH386">
        <f t="shared" si="295"/>
        <v>0</v>
      </c>
      <c r="AI386">
        <f t="shared" si="296"/>
        <v>0</v>
      </c>
      <c r="AJ386">
        <f t="shared" si="297"/>
        <v>0</v>
      </c>
      <c r="AK386">
        <v>79.47</v>
      </c>
      <c r="AL386">
        <v>79.47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  <c r="AS386">
        <v>0</v>
      </c>
      <c r="AT386">
        <v>95</v>
      </c>
      <c r="AU386">
        <v>65</v>
      </c>
      <c r="AV386">
        <v>1</v>
      </c>
      <c r="AW386">
        <v>1</v>
      </c>
      <c r="AZ386">
        <v>6.56</v>
      </c>
      <c r="BA386">
        <v>1</v>
      </c>
      <c r="BB386">
        <v>1</v>
      </c>
      <c r="BC386">
        <v>6.56</v>
      </c>
      <c r="BD386" t="s">
        <v>6</v>
      </c>
      <c r="BE386" t="s">
        <v>6</v>
      </c>
      <c r="BF386" t="s">
        <v>6</v>
      </c>
      <c r="BG386" t="s">
        <v>6</v>
      </c>
      <c r="BH386">
        <v>3</v>
      </c>
      <c r="BI386">
        <v>2</v>
      </c>
      <c r="BJ386" t="s">
        <v>665</v>
      </c>
      <c r="BM386">
        <v>108001</v>
      </c>
      <c r="BN386">
        <v>0</v>
      </c>
      <c r="BO386" t="s">
        <v>6</v>
      </c>
      <c r="BP386">
        <v>0</v>
      </c>
      <c r="BQ386">
        <v>3</v>
      </c>
      <c r="BR386">
        <v>0</v>
      </c>
      <c r="BS386">
        <v>1</v>
      </c>
      <c r="BT386">
        <v>1</v>
      </c>
      <c r="BU386">
        <v>1</v>
      </c>
      <c r="BV386">
        <v>1</v>
      </c>
      <c r="BW386">
        <v>1</v>
      </c>
      <c r="BX386">
        <v>1</v>
      </c>
      <c r="BY386" t="s">
        <v>6</v>
      </c>
      <c r="BZ386">
        <v>95</v>
      </c>
      <c r="CA386">
        <v>65</v>
      </c>
      <c r="CF386">
        <v>0</v>
      </c>
      <c r="CG386">
        <v>0</v>
      </c>
      <c r="CM386">
        <v>0</v>
      </c>
      <c r="CN386" t="s">
        <v>6</v>
      </c>
      <c r="CO386">
        <v>0</v>
      </c>
      <c r="CP386">
        <f t="shared" si="298"/>
        <v>218.96</v>
      </c>
      <c r="CQ386">
        <f t="shared" si="299"/>
        <v>521.32319999999993</v>
      </c>
      <c r="CR386">
        <f t="shared" si="300"/>
        <v>0</v>
      </c>
      <c r="CS386">
        <f t="shared" si="301"/>
        <v>0</v>
      </c>
      <c r="CT386">
        <f t="shared" si="302"/>
        <v>0</v>
      </c>
      <c r="CU386">
        <f t="shared" si="303"/>
        <v>0</v>
      </c>
      <c r="CV386">
        <f t="shared" si="304"/>
        <v>0</v>
      </c>
      <c r="CW386">
        <f t="shared" si="305"/>
        <v>0</v>
      </c>
      <c r="CX386">
        <f t="shared" si="306"/>
        <v>0</v>
      </c>
      <c r="CY386">
        <f t="shared" si="307"/>
        <v>0</v>
      </c>
      <c r="CZ386">
        <f t="shared" si="308"/>
        <v>0</v>
      </c>
      <c r="DC386" t="s">
        <v>6</v>
      </c>
      <c r="DD386" t="s">
        <v>6</v>
      </c>
      <c r="DE386" t="s">
        <v>6</v>
      </c>
      <c r="DF386" t="s">
        <v>6</v>
      </c>
      <c r="DG386" t="s">
        <v>6</v>
      </c>
      <c r="DH386" t="s">
        <v>6</v>
      </c>
      <c r="DI386" t="s">
        <v>6</v>
      </c>
      <c r="DJ386" t="s">
        <v>6</v>
      </c>
      <c r="DK386" t="s">
        <v>6</v>
      </c>
      <c r="DL386" t="s">
        <v>6</v>
      </c>
      <c r="DM386" t="s">
        <v>6</v>
      </c>
      <c r="DN386">
        <v>0</v>
      </c>
      <c r="DO386">
        <v>0</v>
      </c>
      <c r="DP386">
        <v>1</v>
      </c>
      <c r="DQ386">
        <v>1</v>
      </c>
      <c r="DU386">
        <v>1003</v>
      </c>
      <c r="DV386" t="s">
        <v>632</v>
      </c>
      <c r="DW386" t="s">
        <v>632</v>
      </c>
      <c r="DX386">
        <v>10</v>
      </c>
      <c r="EE386">
        <v>16510370</v>
      </c>
      <c r="EF386">
        <v>3</v>
      </c>
      <c r="EG386" t="s">
        <v>591</v>
      </c>
      <c r="EH386">
        <v>0</v>
      </c>
      <c r="EI386" t="s">
        <v>6</v>
      </c>
      <c r="EJ386">
        <v>2</v>
      </c>
      <c r="EK386">
        <v>108001</v>
      </c>
      <c r="EL386" t="s">
        <v>592</v>
      </c>
      <c r="EM386" t="s">
        <v>593</v>
      </c>
      <c r="EO386" t="s">
        <v>6</v>
      </c>
      <c r="EQ386">
        <v>0</v>
      </c>
      <c r="ER386">
        <v>79.47</v>
      </c>
      <c r="ES386">
        <v>79.47</v>
      </c>
      <c r="ET386">
        <v>0</v>
      </c>
      <c r="EU386">
        <v>0</v>
      </c>
      <c r="EV386">
        <v>0</v>
      </c>
      <c r="EW386">
        <v>0</v>
      </c>
      <c r="EX386">
        <v>0</v>
      </c>
      <c r="FQ386">
        <v>0</v>
      </c>
      <c r="FR386">
        <f t="shared" si="309"/>
        <v>0</v>
      </c>
      <c r="FS386">
        <v>0</v>
      </c>
      <c r="FX386">
        <v>95</v>
      </c>
      <c r="FY386">
        <v>65</v>
      </c>
      <c r="GA386" t="s">
        <v>6</v>
      </c>
      <c r="GD386">
        <v>0</v>
      </c>
      <c r="GF386">
        <v>1974421767</v>
      </c>
      <c r="GG386">
        <v>1</v>
      </c>
      <c r="GH386">
        <v>1</v>
      </c>
      <c r="GI386">
        <v>4</v>
      </c>
      <c r="GJ386">
        <v>0</v>
      </c>
      <c r="GK386">
        <f>ROUND(R386*(R12)/100,2)</f>
        <v>0</v>
      </c>
      <c r="GL386">
        <f t="shared" si="310"/>
        <v>0</v>
      </c>
      <c r="GM386">
        <f t="shared" si="311"/>
        <v>218.96</v>
      </c>
      <c r="GN386">
        <f t="shared" si="312"/>
        <v>0</v>
      </c>
      <c r="GO386">
        <f t="shared" si="313"/>
        <v>218.96</v>
      </c>
      <c r="GP386">
        <f t="shared" si="314"/>
        <v>0</v>
      </c>
      <c r="GR386">
        <v>0</v>
      </c>
      <c r="GS386">
        <v>3</v>
      </c>
      <c r="GT386">
        <v>0</v>
      </c>
      <c r="GU386" t="s">
        <v>6</v>
      </c>
      <c r="GV386">
        <f t="shared" si="315"/>
        <v>0</v>
      </c>
      <c r="GW386">
        <v>1</v>
      </c>
      <c r="GX386">
        <f t="shared" si="316"/>
        <v>0</v>
      </c>
      <c r="HA386">
        <v>0</v>
      </c>
      <c r="HB386">
        <v>0</v>
      </c>
      <c r="IK386">
        <v>0</v>
      </c>
    </row>
    <row r="387" spans="1:245" x14ac:dyDescent="0.2">
      <c r="A387">
        <v>17</v>
      </c>
      <c r="B387">
        <v>1</v>
      </c>
      <c r="C387">
        <f>ROW(SmtRes!A614)</f>
        <v>614</v>
      </c>
      <c r="D387">
        <f>ROW(EtalonRes!A564)</f>
        <v>564</v>
      </c>
      <c r="E387" t="s">
        <v>815</v>
      </c>
      <c r="F387" t="s">
        <v>816</v>
      </c>
      <c r="G387" t="s">
        <v>817</v>
      </c>
      <c r="H387" t="s">
        <v>242</v>
      </c>
      <c r="I387">
        <v>4</v>
      </c>
      <c r="J387">
        <v>0</v>
      </c>
      <c r="O387">
        <f t="shared" si="278"/>
        <v>560.23</v>
      </c>
      <c r="P387">
        <f t="shared" si="279"/>
        <v>136.19</v>
      </c>
      <c r="Q387">
        <f t="shared" si="280"/>
        <v>0</v>
      </c>
      <c r="R387">
        <f t="shared" si="281"/>
        <v>0</v>
      </c>
      <c r="S387">
        <f t="shared" si="282"/>
        <v>424.04</v>
      </c>
      <c r="T387">
        <f t="shared" si="283"/>
        <v>0</v>
      </c>
      <c r="U387">
        <f t="shared" si="284"/>
        <v>6.72</v>
      </c>
      <c r="V387">
        <f t="shared" si="285"/>
        <v>0</v>
      </c>
      <c r="W387">
        <f t="shared" si="286"/>
        <v>0</v>
      </c>
      <c r="X387">
        <f t="shared" si="287"/>
        <v>402.84</v>
      </c>
      <c r="Y387">
        <f t="shared" si="288"/>
        <v>275.63</v>
      </c>
      <c r="AA387">
        <v>16748969</v>
      </c>
      <c r="AB387">
        <f t="shared" si="289"/>
        <v>21.35</v>
      </c>
      <c r="AC387">
        <f t="shared" si="290"/>
        <v>5.19</v>
      </c>
      <c r="AD387">
        <f t="shared" si="291"/>
        <v>0</v>
      </c>
      <c r="AE387">
        <f t="shared" si="292"/>
        <v>0</v>
      </c>
      <c r="AF387">
        <f t="shared" si="293"/>
        <v>16.16</v>
      </c>
      <c r="AG387">
        <f t="shared" si="294"/>
        <v>0</v>
      </c>
      <c r="AH387">
        <f t="shared" si="295"/>
        <v>1.68</v>
      </c>
      <c r="AI387">
        <f t="shared" si="296"/>
        <v>0</v>
      </c>
      <c r="AJ387">
        <f t="shared" si="297"/>
        <v>0</v>
      </c>
      <c r="AK387">
        <v>21.35</v>
      </c>
      <c r="AL387">
        <v>5.19</v>
      </c>
      <c r="AM387">
        <v>0</v>
      </c>
      <c r="AN387">
        <v>0</v>
      </c>
      <c r="AO387">
        <v>16.16</v>
      </c>
      <c r="AP387">
        <v>0</v>
      </c>
      <c r="AQ387">
        <v>1.68</v>
      </c>
      <c r="AR387">
        <v>0</v>
      </c>
      <c r="AS387">
        <v>0</v>
      </c>
      <c r="AT387">
        <v>95</v>
      </c>
      <c r="AU387">
        <v>65</v>
      </c>
      <c r="AV387">
        <v>1</v>
      </c>
      <c r="AW387">
        <v>1</v>
      </c>
      <c r="AZ387">
        <v>6.56</v>
      </c>
      <c r="BA387">
        <v>6.56</v>
      </c>
      <c r="BB387">
        <v>6.56</v>
      </c>
      <c r="BC387">
        <v>6.56</v>
      </c>
      <c r="BD387" t="s">
        <v>6</v>
      </c>
      <c r="BE387" t="s">
        <v>6</v>
      </c>
      <c r="BF387" t="s">
        <v>6</v>
      </c>
      <c r="BG387" t="s">
        <v>6</v>
      </c>
      <c r="BH387">
        <v>0</v>
      </c>
      <c r="BI387">
        <v>2</v>
      </c>
      <c r="BJ387" t="s">
        <v>818</v>
      </c>
      <c r="BM387">
        <v>108001</v>
      </c>
      <c r="BN387">
        <v>0</v>
      </c>
      <c r="BO387" t="s">
        <v>6</v>
      </c>
      <c r="BP387">
        <v>0</v>
      </c>
      <c r="BQ387">
        <v>3</v>
      </c>
      <c r="BR387">
        <v>0</v>
      </c>
      <c r="BS387">
        <v>6.56</v>
      </c>
      <c r="BT387">
        <v>1</v>
      </c>
      <c r="BU387">
        <v>1</v>
      </c>
      <c r="BV387">
        <v>1</v>
      </c>
      <c r="BW387">
        <v>1</v>
      </c>
      <c r="BX387">
        <v>1</v>
      </c>
      <c r="BY387" t="s">
        <v>6</v>
      </c>
      <c r="BZ387">
        <v>95</v>
      </c>
      <c r="CA387">
        <v>65</v>
      </c>
      <c r="CF387">
        <v>0</v>
      </c>
      <c r="CG387">
        <v>0</v>
      </c>
      <c r="CM387">
        <v>0</v>
      </c>
      <c r="CN387" t="s">
        <v>6</v>
      </c>
      <c r="CO387">
        <v>0</v>
      </c>
      <c r="CP387">
        <f t="shared" si="298"/>
        <v>560.23</v>
      </c>
      <c r="CQ387">
        <f t="shared" si="299"/>
        <v>34.046399999999998</v>
      </c>
      <c r="CR387">
        <f t="shared" si="300"/>
        <v>0</v>
      </c>
      <c r="CS387">
        <f t="shared" si="301"/>
        <v>0</v>
      </c>
      <c r="CT387">
        <f t="shared" si="302"/>
        <v>106.00959999999999</v>
      </c>
      <c r="CU387">
        <f t="shared" si="303"/>
        <v>0</v>
      </c>
      <c r="CV387">
        <f t="shared" si="304"/>
        <v>1.68</v>
      </c>
      <c r="CW387">
        <f t="shared" si="305"/>
        <v>0</v>
      </c>
      <c r="CX387">
        <f t="shared" si="306"/>
        <v>0</v>
      </c>
      <c r="CY387">
        <f t="shared" si="307"/>
        <v>402.83800000000002</v>
      </c>
      <c r="CZ387">
        <f t="shared" si="308"/>
        <v>275.62600000000003</v>
      </c>
      <c r="DC387" t="s">
        <v>6</v>
      </c>
      <c r="DD387" t="s">
        <v>6</v>
      </c>
      <c r="DE387" t="s">
        <v>6</v>
      </c>
      <c r="DF387" t="s">
        <v>6</v>
      </c>
      <c r="DG387" t="s">
        <v>6</v>
      </c>
      <c r="DH387" t="s">
        <v>6</v>
      </c>
      <c r="DI387" t="s">
        <v>6</v>
      </c>
      <c r="DJ387" t="s">
        <v>6</v>
      </c>
      <c r="DK387" t="s">
        <v>6</v>
      </c>
      <c r="DL387" t="s">
        <v>6</v>
      </c>
      <c r="DM387" t="s">
        <v>6</v>
      </c>
      <c r="DN387">
        <v>0</v>
      </c>
      <c r="DO387">
        <v>0</v>
      </c>
      <c r="DP387">
        <v>1</v>
      </c>
      <c r="DQ387">
        <v>1</v>
      </c>
      <c r="DU387">
        <v>1013</v>
      </c>
      <c r="DV387" t="s">
        <v>242</v>
      </c>
      <c r="DW387" t="s">
        <v>242</v>
      </c>
      <c r="DX387">
        <v>1</v>
      </c>
      <c r="EE387">
        <v>16510370</v>
      </c>
      <c r="EF387">
        <v>3</v>
      </c>
      <c r="EG387" t="s">
        <v>591</v>
      </c>
      <c r="EH387">
        <v>0</v>
      </c>
      <c r="EI387" t="s">
        <v>6</v>
      </c>
      <c r="EJ387">
        <v>2</v>
      </c>
      <c r="EK387">
        <v>108001</v>
      </c>
      <c r="EL387" t="s">
        <v>592</v>
      </c>
      <c r="EM387" t="s">
        <v>593</v>
      </c>
      <c r="EO387" t="s">
        <v>6</v>
      </c>
      <c r="EQ387">
        <v>131072</v>
      </c>
      <c r="ER387">
        <v>21.35</v>
      </c>
      <c r="ES387">
        <v>5.19</v>
      </c>
      <c r="ET387">
        <v>0</v>
      </c>
      <c r="EU387">
        <v>0</v>
      </c>
      <c r="EV387">
        <v>16.16</v>
      </c>
      <c r="EW387">
        <v>1.68</v>
      </c>
      <c r="EX387">
        <v>0</v>
      </c>
      <c r="EY387">
        <v>0</v>
      </c>
      <c r="FQ387">
        <v>0</v>
      </c>
      <c r="FR387">
        <f t="shared" si="309"/>
        <v>0</v>
      </c>
      <c r="FS387">
        <v>0</v>
      </c>
      <c r="FX387">
        <v>95</v>
      </c>
      <c r="FY387">
        <v>65</v>
      </c>
      <c r="GA387" t="s">
        <v>6</v>
      </c>
      <c r="GD387">
        <v>0</v>
      </c>
      <c r="GF387">
        <v>-753809075</v>
      </c>
      <c r="GG387">
        <v>1</v>
      </c>
      <c r="GH387">
        <v>1</v>
      </c>
      <c r="GI387">
        <v>4</v>
      </c>
      <c r="GJ387">
        <v>0</v>
      </c>
      <c r="GK387">
        <f>ROUND(R387*(R12)/100,2)</f>
        <v>0</v>
      </c>
      <c r="GL387">
        <f t="shared" si="310"/>
        <v>0</v>
      </c>
      <c r="GM387">
        <f t="shared" si="311"/>
        <v>1238.7</v>
      </c>
      <c r="GN387">
        <f t="shared" si="312"/>
        <v>0</v>
      </c>
      <c r="GO387">
        <f t="shared" si="313"/>
        <v>1238.7</v>
      </c>
      <c r="GP387">
        <f t="shared" si="314"/>
        <v>0</v>
      </c>
      <c r="GR387">
        <v>0</v>
      </c>
      <c r="GS387">
        <v>3</v>
      </c>
      <c r="GT387">
        <v>0</v>
      </c>
      <c r="GU387" t="s">
        <v>6</v>
      </c>
      <c r="GV387">
        <f t="shared" si="315"/>
        <v>0</v>
      </c>
      <c r="GW387">
        <v>1</v>
      </c>
      <c r="GX387">
        <f t="shared" si="316"/>
        <v>0</v>
      </c>
      <c r="HA387">
        <v>0</v>
      </c>
      <c r="HB387">
        <v>0</v>
      </c>
      <c r="IK387">
        <v>0</v>
      </c>
    </row>
    <row r="388" spans="1:245" x14ac:dyDescent="0.2">
      <c r="A388">
        <v>18</v>
      </c>
      <c r="B388">
        <v>1</v>
      </c>
      <c r="C388">
        <v>613</v>
      </c>
      <c r="E388" t="s">
        <v>819</v>
      </c>
      <c r="F388" t="s">
        <v>820</v>
      </c>
      <c r="G388" t="s">
        <v>821</v>
      </c>
      <c r="H388" t="s">
        <v>53</v>
      </c>
      <c r="I388">
        <f>I387*J388</f>
        <v>4</v>
      </c>
      <c r="J388">
        <v>1</v>
      </c>
      <c r="O388">
        <f t="shared" si="278"/>
        <v>997.12</v>
      </c>
      <c r="P388">
        <f t="shared" si="279"/>
        <v>997.12</v>
      </c>
      <c r="Q388">
        <f t="shared" si="280"/>
        <v>0</v>
      </c>
      <c r="R388">
        <f t="shared" si="281"/>
        <v>0</v>
      </c>
      <c r="S388">
        <f t="shared" si="282"/>
        <v>0</v>
      </c>
      <c r="T388">
        <f t="shared" si="283"/>
        <v>0</v>
      </c>
      <c r="U388">
        <f t="shared" si="284"/>
        <v>0</v>
      </c>
      <c r="V388">
        <f t="shared" si="285"/>
        <v>0</v>
      </c>
      <c r="W388">
        <f t="shared" si="286"/>
        <v>0</v>
      </c>
      <c r="X388">
        <f t="shared" si="287"/>
        <v>0</v>
      </c>
      <c r="Y388">
        <f t="shared" si="288"/>
        <v>0</v>
      </c>
      <c r="AA388">
        <v>16748969</v>
      </c>
      <c r="AB388">
        <f t="shared" si="289"/>
        <v>38</v>
      </c>
      <c r="AC388">
        <f t="shared" si="290"/>
        <v>38</v>
      </c>
      <c r="AD388">
        <f t="shared" si="291"/>
        <v>0</v>
      </c>
      <c r="AE388">
        <f t="shared" si="292"/>
        <v>0</v>
      </c>
      <c r="AF388">
        <f t="shared" si="293"/>
        <v>0</v>
      </c>
      <c r="AG388">
        <f t="shared" si="294"/>
        <v>0</v>
      </c>
      <c r="AH388">
        <f t="shared" si="295"/>
        <v>0</v>
      </c>
      <c r="AI388">
        <f t="shared" si="296"/>
        <v>0</v>
      </c>
      <c r="AJ388">
        <f t="shared" si="297"/>
        <v>0</v>
      </c>
      <c r="AK388">
        <v>38</v>
      </c>
      <c r="AL388">
        <v>38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  <c r="AS388">
        <v>0</v>
      </c>
      <c r="AT388">
        <v>95</v>
      </c>
      <c r="AU388">
        <v>65</v>
      </c>
      <c r="AV388">
        <v>1</v>
      </c>
      <c r="AW388">
        <v>1</v>
      </c>
      <c r="AZ388">
        <v>6.56</v>
      </c>
      <c r="BA388">
        <v>1</v>
      </c>
      <c r="BB388">
        <v>1</v>
      </c>
      <c r="BC388">
        <v>6.56</v>
      </c>
      <c r="BD388" t="s">
        <v>6</v>
      </c>
      <c r="BE388" t="s">
        <v>6</v>
      </c>
      <c r="BF388" t="s">
        <v>6</v>
      </c>
      <c r="BG388" t="s">
        <v>6</v>
      </c>
      <c r="BH388">
        <v>3</v>
      </c>
      <c r="BI388">
        <v>2</v>
      </c>
      <c r="BJ388" t="s">
        <v>822</v>
      </c>
      <c r="BM388">
        <v>108001</v>
      </c>
      <c r="BN388">
        <v>0</v>
      </c>
      <c r="BO388" t="s">
        <v>6</v>
      </c>
      <c r="BP388">
        <v>0</v>
      </c>
      <c r="BQ388">
        <v>3</v>
      </c>
      <c r="BR388">
        <v>0</v>
      </c>
      <c r="BS388">
        <v>1</v>
      </c>
      <c r="BT388">
        <v>1</v>
      </c>
      <c r="BU388">
        <v>1</v>
      </c>
      <c r="BV388">
        <v>1</v>
      </c>
      <c r="BW388">
        <v>1</v>
      </c>
      <c r="BX388">
        <v>1</v>
      </c>
      <c r="BY388" t="s">
        <v>6</v>
      </c>
      <c r="BZ388">
        <v>95</v>
      </c>
      <c r="CA388">
        <v>65</v>
      </c>
      <c r="CF388">
        <v>0</v>
      </c>
      <c r="CG388">
        <v>0</v>
      </c>
      <c r="CM388">
        <v>0</v>
      </c>
      <c r="CN388" t="s">
        <v>6</v>
      </c>
      <c r="CO388">
        <v>0</v>
      </c>
      <c r="CP388">
        <f t="shared" si="298"/>
        <v>997.12</v>
      </c>
      <c r="CQ388">
        <f t="shared" si="299"/>
        <v>249.27999999999997</v>
      </c>
      <c r="CR388">
        <f t="shared" si="300"/>
        <v>0</v>
      </c>
      <c r="CS388">
        <f t="shared" si="301"/>
        <v>0</v>
      </c>
      <c r="CT388">
        <f t="shared" si="302"/>
        <v>0</v>
      </c>
      <c r="CU388">
        <f t="shared" si="303"/>
        <v>0</v>
      </c>
      <c r="CV388">
        <f t="shared" si="304"/>
        <v>0</v>
      </c>
      <c r="CW388">
        <f t="shared" si="305"/>
        <v>0</v>
      </c>
      <c r="CX388">
        <f t="shared" si="306"/>
        <v>0</v>
      </c>
      <c r="CY388">
        <f t="shared" si="307"/>
        <v>0</v>
      </c>
      <c r="CZ388">
        <f t="shared" si="308"/>
        <v>0</v>
      </c>
      <c r="DC388" t="s">
        <v>6</v>
      </c>
      <c r="DD388" t="s">
        <v>6</v>
      </c>
      <c r="DE388" t="s">
        <v>6</v>
      </c>
      <c r="DF388" t="s">
        <v>6</v>
      </c>
      <c r="DG388" t="s">
        <v>6</v>
      </c>
      <c r="DH388" t="s">
        <v>6</v>
      </c>
      <c r="DI388" t="s">
        <v>6</v>
      </c>
      <c r="DJ388" t="s">
        <v>6</v>
      </c>
      <c r="DK388" t="s">
        <v>6</v>
      </c>
      <c r="DL388" t="s">
        <v>6</v>
      </c>
      <c r="DM388" t="s">
        <v>6</v>
      </c>
      <c r="DN388">
        <v>0</v>
      </c>
      <c r="DO388">
        <v>0</v>
      </c>
      <c r="DP388">
        <v>1</v>
      </c>
      <c r="DQ388">
        <v>1</v>
      </c>
      <c r="DU388">
        <v>1010</v>
      </c>
      <c r="DV388" t="s">
        <v>53</v>
      </c>
      <c r="DW388" t="s">
        <v>53</v>
      </c>
      <c r="DX388">
        <v>1</v>
      </c>
      <c r="EE388">
        <v>16510370</v>
      </c>
      <c r="EF388">
        <v>3</v>
      </c>
      <c r="EG388" t="s">
        <v>591</v>
      </c>
      <c r="EH388">
        <v>0</v>
      </c>
      <c r="EI388" t="s">
        <v>6</v>
      </c>
      <c r="EJ388">
        <v>2</v>
      </c>
      <c r="EK388">
        <v>108001</v>
      </c>
      <c r="EL388" t="s">
        <v>592</v>
      </c>
      <c r="EM388" t="s">
        <v>593</v>
      </c>
      <c r="EO388" t="s">
        <v>6</v>
      </c>
      <c r="EQ388">
        <v>0</v>
      </c>
      <c r="ER388">
        <v>38</v>
      </c>
      <c r="ES388">
        <v>38</v>
      </c>
      <c r="ET388">
        <v>0</v>
      </c>
      <c r="EU388">
        <v>0</v>
      </c>
      <c r="EV388">
        <v>0</v>
      </c>
      <c r="EW388">
        <v>0</v>
      </c>
      <c r="EX388">
        <v>0</v>
      </c>
      <c r="FQ388">
        <v>0</v>
      </c>
      <c r="FR388">
        <f t="shared" si="309"/>
        <v>0</v>
      </c>
      <c r="FS388">
        <v>0</v>
      </c>
      <c r="FX388">
        <v>95</v>
      </c>
      <c r="FY388">
        <v>65</v>
      </c>
      <c r="GA388" t="s">
        <v>6</v>
      </c>
      <c r="GD388">
        <v>0</v>
      </c>
      <c r="GF388">
        <v>-11282944</v>
      </c>
      <c r="GG388">
        <v>1</v>
      </c>
      <c r="GH388">
        <v>1</v>
      </c>
      <c r="GI388">
        <v>4</v>
      </c>
      <c r="GJ388">
        <v>0</v>
      </c>
      <c r="GK388">
        <f>ROUND(R388*(R12)/100,2)</f>
        <v>0</v>
      </c>
      <c r="GL388">
        <f t="shared" si="310"/>
        <v>0</v>
      </c>
      <c r="GM388">
        <f t="shared" si="311"/>
        <v>997.12</v>
      </c>
      <c r="GN388">
        <f t="shared" si="312"/>
        <v>0</v>
      </c>
      <c r="GO388">
        <f t="shared" si="313"/>
        <v>997.12</v>
      </c>
      <c r="GP388">
        <f t="shared" si="314"/>
        <v>0</v>
      </c>
      <c r="GR388">
        <v>0</v>
      </c>
      <c r="GS388">
        <v>3</v>
      </c>
      <c r="GT388">
        <v>0</v>
      </c>
      <c r="GU388" t="s">
        <v>6</v>
      </c>
      <c r="GV388">
        <f t="shared" si="315"/>
        <v>0</v>
      </c>
      <c r="GW388">
        <v>1</v>
      </c>
      <c r="GX388">
        <f t="shared" si="316"/>
        <v>0</v>
      </c>
      <c r="HA388">
        <v>0</v>
      </c>
      <c r="HB388">
        <v>0</v>
      </c>
      <c r="IK388">
        <v>0</v>
      </c>
    </row>
    <row r="390" spans="1:245" x14ac:dyDescent="0.2">
      <c r="A390" s="2">
        <v>51</v>
      </c>
      <c r="B390" s="2">
        <f>B348</f>
        <v>1</v>
      </c>
      <c r="C390" s="2">
        <f>A348</f>
        <v>5</v>
      </c>
      <c r="D390" s="2">
        <f>ROW(A348)</f>
        <v>348</v>
      </c>
      <c r="E390" s="2"/>
      <c r="F390" s="2" t="str">
        <f>IF(F348&lt;&gt;"",F348,"")</f>
        <v>Новый подраздел</v>
      </c>
      <c r="G390" s="2" t="str">
        <f>IF(G348&lt;&gt;"",G348,"")</f>
        <v>3 Монтаж силовой части</v>
      </c>
      <c r="H390" s="2">
        <v>0</v>
      </c>
      <c r="I390" s="2"/>
      <c r="J390" s="2"/>
      <c r="K390" s="2"/>
      <c r="L390" s="2"/>
      <c r="M390" s="2"/>
      <c r="N390" s="2"/>
      <c r="O390" s="2">
        <f t="shared" ref="O390:T390" si="317">ROUND(AB390,2)</f>
        <v>289734.01</v>
      </c>
      <c r="P390" s="2">
        <f t="shared" si="317"/>
        <v>278246.36</v>
      </c>
      <c r="Q390" s="2">
        <f t="shared" si="317"/>
        <v>886.99</v>
      </c>
      <c r="R390" s="2">
        <f t="shared" si="317"/>
        <v>98.54</v>
      </c>
      <c r="S390" s="2">
        <f t="shared" si="317"/>
        <v>10600.66</v>
      </c>
      <c r="T390" s="2">
        <f t="shared" si="317"/>
        <v>0</v>
      </c>
      <c r="U390" s="2">
        <f>AH390</f>
        <v>168.15101999999999</v>
      </c>
      <c r="V390" s="2">
        <f>AI390</f>
        <v>1.21146</v>
      </c>
      <c r="W390" s="2">
        <f>ROUND(AJ390,2)</f>
        <v>0</v>
      </c>
      <c r="X390" s="2">
        <f>ROUND(AK390,2)</f>
        <v>10160.58</v>
      </c>
      <c r="Y390" s="2">
        <f>ROUND(AL390,2)</f>
        <v>6951.26</v>
      </c>
      <c r="Z390" s="2"/>
      <c r="AA390" s="2"/>
      <c r="AB390" s="2">
        <f>ROUND(SUMIF(AA352:AA388,"=16748969",O352:O388),2)</f>
        <v>289734.01</v>
      </c>
      <c r="AC390" s="2">
        <f>ROUND(SUMIF(AA352:AA388,"=16748969",P352:P388),2)</f>
        <v>278246.36</v>
      </c>
      <c r="AD390" s="2">
        <f>ROUND(SUMIF(AA352:AA388,"=16748969",Q352:Q388),2)</f>
        <v>886.99</v>
      </c>
      <c r="AE390" s="2">
        <f>ROUND(SUMIF(AA352:AA388,"=16748969",R352:R388),2)</f>
        <v>98.54</v>
      </c>
      <c r="AF390" s="2">
        <f>ROUND(SUMIF(AA352:AA388,"=16748969",S352:S388),2)</f>
        <v>10600.66</v>
      </c>
      <c r="AG390" s="2">
        <f>ROUND(SUMIF(AA352:AA388,"=16748969",T352:T388),2)</f>
        <v>0</v>
      </c>
      <c r="AH390" s="2">
        <f>SUMIF(AA352:AA388,"=16748969",U352:U388)</f>
        <v>168.15101999999999</v>
      </c>
      <c r="AI390" s="2">
        <f>SUMIF(AA352:AA388,"=16748969",V352:V388)</f>
        <v>1.21146</v>
      </c>
      <c r="AJ390" s="2">
        <f>ROUND(SUMIF(AA352:AA388,"=16748969",W352:W388),2)</f>
        <v>0</v>
      </c>
      <c r="AK390" s="2">
        <f>ROUND(SUMIF(AA352:AA388,"=16748969",X352:X388),2)</f>
        <v>10160.58</v>
      </c>
      <c r="AL390" s="2">
        <f>ROUND(SUMIF(AA352:AA388,"=16748969",Y352:Y388),2)</f>
        <v>6951.26</v>
      </c>
      <c r="AM390" s="2"/>
      <c r="AN390" s="2"/>
      <c r="AO390" s="2">
        <f t="shared" ref="AO390:BC390" si="318">ROUND(BX390,2)</f>
        <v>0</v>
      </c>
      <c r="AP390" s="2">
        <f t="shared" si="318"/>
        <v>0</v>
      </c>
      <c r="AQ390" s="2">
        <f t="shared" si="318"/>
        <v>0</v>
      </c>
      <c r="AR390" s="2">
        <f t="shared" si="318"/>
        <v>306845.84999999998</v>
      </c>
      <c r="AS390" s="2">
        <f t="shared" si="318"/>
        <v>49.02</v>
      </c>
      <c r="AT390" s="2">
        <f t="shared" si="318"/>
        <v>306796.83</v>
      </c>
      <c r="AU390" s="2">
        <f t="shared" si="318"/>
        <v>0</v>
      </c>
      <c r="AV390" s="2">
        <f t="shared" si="318"/>
        <v>278246.36</v>
      </c>
      <c r="AW390" s="2">
        <f t="shared" si="318"/>
        <v>278246.36</v>
      </c>
      <c r="AX390" s="2">
        <f t="shared" si="318"/>
        <v>0</v>
      </c>
      <c r="AY390" s="2">
        <f t="shared" si="318"/>
        <v>278246.36</v>
      </c>
      <c r="AZ390" s="2">
        <f t="shared" si="318"/>
        <v>0</v>
      </c>
      <c r="BA390" s="2">
        <f t="shared" si="318"/>
        <v>0</v>
      </c>
      <c r="BB390" s="2">
        <f t="shared" si="318"/>
        <v>0</v>
      </c>
      <c r="BC390" s="2">
        <f t="shared" si="318"/>
        <v>0</v>
      </c>
      <c r="BD390" s="2"/>
      <c r="BE390" s="2"/>
      <c r="BF390" s="2"/>
      <c r="BG390" s="2"/>
      <c r="BH390" s="2"/>
      <c r="BI390" s="2"/>
      <c r="BJ390" s="2"/>
      <c r="BK390" s="2"/>
      <c r="BL390" s="2"/>
      <c r="BM390" s="2"/>
      <c r="BN390" s="2"/>
      <c r="BO390" s="2"/>
      <c r="BP390" s="2"/>
      <c r="BQ390" s="2"/>
      <c r="BR390" s="2"/>
      <c r="BS390" s="2"/>
      <c r="BT390" s="2"/>
      <c r="BU390" s="2"/>
      <c r="BV390" s="2"/>
      <c r="BW390" s="2"/>
      <c r="BX390" s="2">
        <f>ROUND(SUMIF(AA352:AA388,"=16748969",FQ352:FQ388),2)</f>
        <v>0</v>
      </c>
      <c r="BY390" s="2">
        <f>ROUND(SUMIF(AA352:AA388,"=16748969",FR352:FR388),2)</f>
        <v>0</v>
      </c>
      <c r="BZ390" s="2">
        <f>ROUND(SUMIF(AA352:AA388,"=16748969",GL352:GL388),2)</f>
        <v>0</v>
      </c>
      <c r="CA390" s="2">
        <f>ROUND(SUMIF(AA352:AA388,"=16748969",GM352:GM388),2)</f>
        <v>306845.84999999998</v>
      </c>
      <c r="CB390" s="2">
        <f>ROUND(SUMIF(AA352:AA388,"=16748969",GN352:GN388),2)</f>
        <v>49.02</v>
      </c>
      <c r="CC390" s="2">
        <f>ROUND(SUMIF(AA352:AA388,"=16748969",GO352:GO388),2)</f>
        <v>306796.83</v>
      </c>
      <c r="CD390" s="2">
        <f>ROUND(SUMIF(AA352:AA388,"=16748969",GP352:GP388),2)</f>
        <v>0</v>
      </c>
      <c r="CE390" s="2">
        <f>AC390-BX390</f>
        <v>278246.36</v>
      </c>
      <c r="CF390" s="2">
        <f>AC390-BY390</f>
        <v>278246.36</v>
      </c>
      <c r="CG390" s="2">
        <f>BX390-BZ390</f>
        <v>0</v>
      </c>
      <c r="CH390" s="2">
        <f>AC390-BX390-BY390+BZ390</f>
        <v>278246.36</v>
      </c>
      <c r="CI390" s="2">
        <f>BY390-BZ390</f>
        <v>0</v>
      </c>
      <c r="CJ390" s="2">
        <f>ROUND(SUMIF(AA352:AA388,"=16748969",GX352:GX388),2)</f>
        <v>0</v>
      </c>
      <c r="CK390" s="2">
        <f>ROUND(SUMIF(AA352:AA388,"=16748969",GY352:GY388),2)</f>
        <v>0</v>
      </c>
      <c r="CL390" s="2">
        <f>ROUND(SUMIF(AA352:AA388,"=16748969",GZ352:GZ388),2)</f>
        <v>0</v>
      </c>
      <c r="CM390" s="2"/>
      <c r="CN390" s="2"/>
      <c r="CO390" s="2"/>
      <c r="CP390" s="2"/>
      <c r="CQ390" s="2"/>
      <c r="CR390" s="2"/>
      <c r="CS390" s="2"/>
      <c r="CT390" s="2"/>
      <c r="CU390" s="2"/>
      <c r="CV390" s="2"/>
      <c r="CW390" s="2"/>
      <c r="CX390" s="2"/>
      <c r="CY390" s="2"/>
      <c r="CZ390" s="2"/>
      <c r="DA390" s="2"/>
      <c r="DB390" s="2"/>
      <c r="DC390" s="2"/>
      <c r="DD390" s="2"/>
      <c r="DE390" s="2"/>
      <c r="DF390" s="2"/>
      <c r="DG390" s="3"/>
      <c r="DH390" s="3"/>
      <c r="DI390" s="3"/>
      <c r="DJ390" s="3"/>
      <c r="DK390" s="3"/>
      <c r="DL390" s="3"/>
      <c r="DM390" s="3"/>
      <c r="DN390" s="3"/>
      <c r="DO390" s="3"/>
      <c r="DP390" s="3"/>
      <c r="DQ390" s="3"/>
      <c r="DR390" s="3"/>
      <c r="DS390" s="3"/>
      <c r="DT390" s="3"/>
      <c r="DU390" s="3"/>
      <c r="DV390" s="3"/>
      <c r="DW390" s="3"/>
      <c r="DX390" s="3"/>
      <c r="DY390" s="3"/>
      <c r="DZ390" s="3"/>
      <c r="EA390" s="3"/>
      <c r="EB390" s="3"/>
      <c r="EC390" s="3"/>
      <c r="ED390" s="3"/>
      <c r="EE390" s="3"/>
      <c r="EF390" s="3"/>
      <c r="EG390" s="3"/>
      <c r="EH390" s="3"/>
      <c r="EI390" s="3"/>
      <c r="EJ390" s="3"/>
      <c r="EK390" s="3"/>
      <c r="EL390" s="3"/>
      <c r="EM390" s="3"/>
      <c r="EN390" s="3"/>
      <c r="EO390" s="3"/>
      <c r="EP390" s="3"/>
      <c r="EQ390" s="3"/>
      <c r="ER390" s="3"/>
      <c r="ES390" s="3"/>
      <c r="ET390" s="3"/>
      <c r="EU390" s="3"/>
      <c r="EV390" s="3"/>
      <c r="EW390" s="3"/>
      <c r="EX390" s="3"/>
      <c r="EY390" s="3"/>
      <c r="EZ390" s="3"/>
      <c r="FA390" s="3"/>
      <c r="FB390" s="3"/>
      <c r="FC390" s="3"/>
      <c r="FD390" s="3"/>
      <c r="FE390" s="3"/>
      <c r="FF390" s="3"/>
      <c r="FG390" s="3"/>
      <c r="FH390" s="3"/>
      <c r="FI390" s="3"/>
      <c r="FJ390" s="3"/>
      <c r="FK390" s="3"/>
      <c r="FL390" s="3"/>
      <c r="FM390" s="3"/>
      <c r="FN390" s="3"/>
      <c r="FO390" s="3"/>
      <c r="FP390" s="3"/>
      <c r="FQ390" s="3"/>
      <c r="FR390" s="3"/>
      <c r="FS390" s="3"/>
      <c r="FT390" s="3"/>
      <c r="FU390" s="3"/>
      <c r="FV390" s="3"/>
      <c r="FW390" s="3"/>
      <c r="FX390" s="3"/>
      <c r="FY390" s="3"/>
      <c r="FZ390" s="3"/>
      <c r="GA390" s="3"/>
      <c r="GB390" s="3"/>
      <c r="GC390" s="3"/>
      <c r="GD390" s="3"/>
      <c r="GE390" s="3"/>
      <c r="GF390" s="3"/>
      <c r="GG390" s="3"/>
      <c r="GH390" s="3"/>
      <c r="GI390" s="3"/>
      <c r="GJ390" s="3"/>
      <c r="GK390" s="3"/>
      <c r="GL390" s="3"/>
      <c r="GM390" s="3"/>
      <c r="GN390" s="3"/>
      <c r="GO390" s="3"/>
      <c r="GP390" s="3"/>
      <c r="GQ390" s="3"/>
      <c r="GR390" s="3"/>
      <c r="GS390" s="3"/>
      <c r="GT390" s="3"/>
      <c r="GU390" s="3"/>
      <c r="GV390" s="3"/>
      <c r="GW390" s="3"/>
      <c r="GX390" s="3">
        <v>0</v>
      </c>
    </row>
    <row r="392" spans="1:245" x14ac:dyDescent="0.2">
      <c r="A392" s="4">
        <v>50</v>
      </c>
      <c r="B392" s="4">
        <v>0</v>
      </c>
      <c r="C392" s="4">
        <v>0</v>
      </c>
      <c r="D392" s="4">
        <v>1</v>
      </c>
      <c r="E392" s="4">
        <v>201</v>
      </c>
      <c r="F392" s="4">
        <f>ROUND(Source!O390,O392)</f>
        <v>289734.01</v>
      </c>
      <c r="G392" s="4" t="s">
        <v>115</v>
      </c>
      <c r="H392" s="4" t="s">
        <v>116</v>
      </c>
      <c r="I392" s="4"/>
      <c r="J392" s="4"/>
      <c r="K392" s="4">
        <v>201</v>
      </c>
      <c r="L392" s="4">
        <v>1</v>
      </c>
      <c r="M392" s="4">
        <v>3</v>
      </c>
      <c r="N392" s="4" t="s">
        <v>6</v>
      </c>
      <c r="O392" s="4">
        <v>2</v>
      </c>
      <c r="P392" s="4"/>
      <c r="Q392" s="4"/>
      <c r="R392" s="4"/>
      <c r="S392" s="4"/>
      <c r="T392" s="4"/>
      <c r="U392" s="4"/>
      <c r="V392" s="4"/>
      <c r="W392" s="4"/>
    </row>
    <row r="393" spans="1:245" x14ac:dyDescent="0.2">
      <c r="A393" s="4">
        <v>50</v>
      </c>
      <c r="B393" s="4">
        <v>0</v>
      </c>
      <c r="C393" s="4">
        <v>0</v>
      </c>
      <c r="D393" s="4">
        <v>1</v>
      </c>
      <c r="E393" s="4">
        <v>202</v>
      </c>
      <c r="F393" s="4">
        <f>ROUND(Source!P390,O393)</f>
        <v>278246.36</v>
      </c>
      <c r="G393" s="4" t="s">
        <v>117</v>
      </c>
      <c r="H393" s="4" t="s">
        <v>118</v>
      </c>
      <c r="I393" s="4"/>
      <c r="J393" s="4"/>
      <c r="K393" s="4">
        <v>202</v>
      </c>
      <c r="L393" s="4">
        <v>2</v>
      </c>
      <c r="M393" s="4">
        <v>3</v>
      </c>
      <c r="N393" s="4" t="s">
        <v>6</v>
      </c>
      <c r="O393" s="4">
        <v>2</v>
      </c>
      <c r="P393" s="4"/>
      <c r="Q393" s="4"/>
      <c r="R393" s="4"/>
      <c r="S393" s="4"/>
      <c r="T393" s="4"/>
      <c r="U393" s="4"/>
      <c r="V393" s="4"/>
      <c r="W393" s="4"/>
    </row>
    <row r="394" spans="1:245" x14ac:dyDescent="0.2">
      <c r="A394" s="4">
        <v>50</v>
      </c>
      <c r="B394" s="4">
        <v>0</v>
      </c>
      <c r="C394" s="4">
        <v>0</v>
      </c>
      <c r="D394" s="4">
        <v>1</v>
      </c>
      <c r="E394" s="4">
        <v>222</v>
      </c>
      <c r="F394" s="4">
        <f>ROUND(Source!AO390,O394)</f>
        <v>0</v>
      </c>
      <c r="G394" s="4" t="s">
        <v>119</v>
      </c>
      <c r="H394" s="4" t="s">
        <v>120</v>
      </c>
      <c r="I394" s="4"/>
      <c r="J394" s="4"/>
      <c r="K394" s="4">
        <v>222</v>
      </c>
      <c r="L394" s="4">
        <v>3</v>
      </c>
      <c r="M394" s="4">
        <v>3</v>
      </c>
      <c r="N394" s="4" t="s">
        <v>6</v>
      </c>
      <c r="O394" s="4">
        <v>2</v>
      </c>
      <c r="P394" s="4"/>
      <c r="Q394" s="4"/>
      <c r="R394" s="4"/>
      <c r="S394" s="4"/>
      <c r="T394" s="4"/>
      <c r="U394" s="4"/>
      <c r="V394" s="4"/>
      <c r="W394" s="4"/>
    </row>
    <row r="395" spans="1:245" x14ac:dyDescent="0.2">
      <c r="A395" s="4">
        <v>50</v>
      </c>
      <c r="B395" s="4">
        <v>0</v>
      </c>
      <c r="C395" s="4">
        <v>0</v>
      </c>
      <c r="D395" s="4">
        <v>1</v>
      </c>
      <c r="E395" s="4">
        <v>225</v>
      </c>
      <c r="F395" s="4">
        <f>ROUND(Source!AV390,O395)</f>
        <v>278246.36</v>
      </c>
      <c r="G395" s="4" t="s">
        <v>121</v>
      </c>
      <c r="H395" s="4" t="s">
        <v>122</v>
      </c>
      <c r="I395" s="4"/>
      <c r="J395" s="4"/>
      <c r="K395" s="4">
        <v>225</v>
      </c>
      <c r="L395" s="4">
        <v>4</v>
      </c>
      <c r="M395" s="4">
        <v>3</v>
      </c>
      <c r="N395" s="4" t="s">
        <v>6</v>
      </c>
      <c r="O395" s="4">
        <v>2</v>
      </c>
      <c r="P395" s="4"/>
      <c r="Q395" s="4"/>
      <c r="R395" s="4"/>
      <c r="S395" s="4"/>
      <c r="T395" s="4"/>
      <c r="U395" s="4"/>
      <c r="V395" s="4"/>
      <c r="W395" s="4"/>
    </row>
    <row r="396" spans="1:245" x14ac:dyDescent="0.2">
      <c r="A396" s="4">
        <v>50</v>
      </c>
      <c r="B396" s="4">
        <v>0</v>
      </c>
      <c r="C396" s="4">
        <v>0</v>
      </c>
      <c r="D396" s="4">
        <v>1</v>
      </c>
      <c r="E396" s="4">
        <v>226</v>
      </c>
      <c r="F396" s="4">
        <f>ROUND(Source!AW390,O396)</f>
        <v>278246.36</v>
      </c>
      <c r="G396" s="4" t="s">
        <v>123</v>
      </c>
      <c r="H396" s="4" t="s">
        <v>124</v>
      </c>
      <c r="I396" s="4"/>
      <c r="J396" s="4"/>
      <c r="K396" s="4">
        <v>226</v>
      </c>
      <c r="L396" s="4">
        <v>5</v>
      </c>
      <c r="M396" s="4">
        <v>3</v>
      </c>
      <c r="N396" s="4" t="s">
        <v>6</v>
      </c>
      <c r="O396" s="4">
        <v>2</v>
      </c>
      <c r="P396" s="4"/>
      <c r="Q396" s="4"/>
      <c r="R396" s="4"/>
      <c r="S396" s="4"/>
      <c r="T396" s="4"/>
      <c r="U396" s="4"/>
      <c r="V396" s="4"/>
      <c r="W396" s="4"/>
    </row>
    <row r="397" spans="1:245" x14ac:dyDescent="0.2">
      <c r="A397" s="4">
        <v>50</v>
      </c>
      <c r="B397" s="4">
        <v>0</v>
      </c>
      <c r="C397" s="4">
        <v>0</v>
      </c>
      <c r="D397" s="4">
        <v>1</v>
      </c>
      <c r="E397" s="4">
        <v>227</v>
      </c>
      <c r="F397" s="4">
        <f>ROUND(Source!AX390,O397)</f>
        <v>0</v>
      </c>
      <c r="G397" s="4" t="s">
        <v>125</v>
      </c>
      <c r="H397" s="4" t="s">
        <v>126</v>
      </c>
      <c r="I397" s="4"/>
      <c r="J397" s="4"/>
      <c r="K397" s="4">
        <v>227</v>
      </c>
      <c r="L397" s="4">
        <v>6</v>
      </c>
      <c r="M397" s="4">
        <v>3</v>
      </c>
      <c r="N397" s="4" t="s">
        <v>6</v>
      </c>
      <c r="O397" s="4">
        <v>2</v>
      </c>
      <c r="P397" s="4"/>
      <c r="Q397" s="4"/>
      <c r="R397" s="4"/>
      <c r="S397" s="4"/>
      <c r="T397" s="4"/>
      <c r="U397" s="4"/>
      <c r="V397" s="4"/>
      <c r="W397" s="4"/>
    </row>
    <row r="398" spans="1:245" x14ac:dyDescent="0.2">
      <c r="A398" s="4">
        <v>50</v>
      </c>
      <c r="B398" s="4">
        <v>0</v>
      </c>
      <c r="C398" s="4">
        <v>0</v>
      </c>
      <c r="D398" s="4">
        <v>1</v>
      </c>
      <c r="E398" s="4">
        <v>228</v>
      </c>
      <c r="F398" s="4">
        <f>ROUND(Source!AY390,O398)</f>
        <v>278246.36</v>
      </c>
      <c r="G398" s="4" t="s">
        <v>127</v>
      </c>
      <c r="H398" s="4" t="s">
        <v>128</v>
      </c>
      <c r="I398" s="4"/>
      <c r="J398" s="4"/>
      <c r="K398" s="4">
        <v>228</v>
      </c>
      <c r="L398" s="4">
        <v>7</v>
      </c>
      <c r="M398" s="4">
        <v>3</v>
      </c>
      <c r="N398" s="4" t="s">
        <v>6</v>
      </c>
      <c r="O398" s="4">
        <v>2</v>
      </c>
      <c r="P398" s="4"/>
      <c r="Q398" s="4"/>
      <c r="R398" s="4"/>
      <c r="S398" s="4"/>
      <c r="T398" s="4"/>
      <c r="U398" s="4"/>
      <c r="V398" s="4"/>
      <c r="W398" s="4"/>
    </row>
    <row r="399" spans="1:245" x14ac:dyDescent="0.2">
      <c r="A399" s="4">
        <v>50</v>
      </c>
      <c r="B399" s="4">
        <v>0</v>
      </c>
      <c r="C399" s="4">
        <v>0</v>
      </c>
      <c r="D399" s="4">
        <v>1</v>
      </c>
      <c r="E399" s="4">
        <v>216</v>
      </c>
      <c r="F399" s="4">
        <f>ROUND(Source!AP390,O399)</f>
        <v>0</v>
      </c>
      <c r="G399" s="4" t="s">
        <v>129</v>
      </c>
      <c r="H399" s="4" t="s">
        <v>130</v>
      </c>
      <c r="I399" s="4"/>
      <c r="J399" s="4"/>
      <c r="K399" s="4">
        <v>216</v>
      </c>
      <c r="L399" s="4">
        <v>8</v>
      </c>
      <c r="M399" s="4">
        <v>3</v>
      </c>
      <c r="N399" s="4" t="s">
        <v>6</v>
      </c>
      <c r="O399" s="4">
        <v>2</v>
      </c>
      <c r="P399" s="4"/>
      <c r="Q399" s="4"/>
      <c r="R399" s="4"/>
      <c r="S399" s="4"/>
      <c r="T399" s="4"/>
      <c r="U399" s="4"/>
      <c r="V399" s="4"/>
      <c r="W399" s="4"/>
    </row>
    <row r="400" spans="1:245" x14ac:dyDescent="0.2">
      <c r="A400" s="4">
        <v>50</v>
      </c>
      <c r="B400" s="4">
        <v>0</v>
      </c>
      <c r="C400" s="4">
        <v>0</v>
      </c>
      <c r="D400" s="4">
        <v>1</v>
      </c>
      <c r="E400" s="4">
        <v>223</v>
      </c>
      <c r="F400" s="4">
        <f>ROUND(Source!AQ390,O400)</f>
        <v>0</v>
      </c>
      <c r="G400" s="4" t="s">
        <v>131</v>
      </c>
      <c r="H400" s="4" t="s">
        <v>132</v>
      </c>
      <c r="I400" s="4"/>
      <c r="J400" s="4"/>
      <c r="K400" s="4">
        <v>223</v>
      </c>
      <c r="L400" s="4">
        <v>9</v>
      </c>
      <c r="M400" s="4">
        <v>3</v>
      </c>
      <c r="N400" s="4" t="s">
        <v>6</v>
      </c>
      <c r="O400" s="4">
        <v>2</v>
      </c>
      <c r="P400" s="4"/>
      <c r="Q400" s="4"/>
      <c r="R400" s="4"/>
      <c r="S400" s="4"/>
      <c r="T400" s="4"/>
      <c r="U400" s="4"/>
      <c r="V400" s="4"/>
      <c r="W400" s="4"/>
    </row>
    <row r="401" spans="1:23" x14ac:dyDescent="0.2">
      <c r="A401" s="4">
        <v>50</v>
      </c>
      <c r="B401" s="4">
        <v>0</v>
      </c>
      <c r="C401" s="4">
        <v>0</v>
      </c>
      <c r="D401" s="4">
        <v>1</v>
      </c>
      <c r="E401" s="4">
        <v>229</v>
      </c>
      <c r="F401" s="4">
        <f>ROUND(Source!AZ390,O401)</f>
        <v>0</v>
      </c>
      <c r="G401" s="4" t="s">
        <v>133</v>
      </c>
      <c r="H401" s="4" t="s">
        <v>134</v>
      </c>
      <c r="I401" s="4"/>
      <c r="J401" s="4"/>
      <c r="K401" s="4">
        <v>229</v>
      </c>
      <c r="L401" s="4">
        <v>10</v>
      </c>
      <c r="M401" s="4">
        <v>3</v>
      </c>
      <c r="N401" s="4" t="s">
        <v>6</v>
      </c>
      <c r="O401" s="4">
        <v>2</v>
      </c>
      <c r="P401" s="4"/>
      <c r="Q401" s="4"/>
      <c r="R401" s="4"/>
      <c r="S401" s="4"/>
      <c r="T401" s="4"/>
      <c r="U401" s="4"/>
      <c r="V401" s="4"/>
      <c r="W401" s="4"/>
    </row>
    <row r="402" spans="1:23" x14ac:dyDescent="0.2">
      <c r="A402" s="4">
        <v>50</v>
      </c>
      <c r="B402" s="4">
        <v>0</v>
      </c>
      <c r="C402" s="4">
        <v>0</v>
      </c>
      <c r="D402" s="4">
        <v>1</v>
      </c>
      <c r="E402" s="4">
        <v>203</v>
      </c>
      <c r="F402" s="4">
        <f>ROUND(Source!Q390,O402)</f>
        <v>886.99</v>
      </c>
      <c r="G402" s="4" t="s">
        <v>135</v>
      </c>
      <c r="H402" s="4" t="s">
        <v>136</v>
      </c>
      <c r="I402" s="4"/>
      <c r="J402" s="4"/>
      <c r="K402" s="4">
        <v>203</v>
      </c>
      <c r="L402" s="4">
        <v>11</v>
      </c>
      <c r="M402" s="4">
        <v>3</v>
      </c>
      <c r="N402" s="4" t="s">
        <v>6</v>
      </c>
      <c r="O402" s="4">
        <v>2</v>
      </c>
      <c r="P402" s="4"/>
      <c r="Q402" s="4"/>
      <c r="R402" s="4"/>
      <c r="S402" s="4"/>
      <c r="T402" s="4"/>
      <c r="U402" s="4"/>
      <c r="V402" s="4"/>
      <c r="W402" s="4"/>
    </row>
    <row r="403" spans="1:23" x14ac:dyDescent="0.2">
      <c r="A403" s="4">
        <v>50</v>
      </c>
      <c r="B403" s="4">
        <v>0</v>
      </c>
      <c r="C403" s="4">
        <v>0</v>
      </c>
      <c r="D403" s="4">
        <v>1</v>
      </c>
      <c r="E403" s="4">
        <v>231</v>
      </c>
      <c r="F403" s="4">
        <f>ROUND(Source!BB390,O403)</f>
        <v>0</v>
      </c>
      <c r="G403" s="4" t="s">
        <v>137</v>
      </c>
      <c r="H403" s="4" t="s">
        <v>138</v>
      </c>
      <c r="I403" s="4"/>
      <c r="J403" s="4"/>
      <c r="K403" s="4">
        <v>231</v>
      </c>
      <c r="L403" s="4">
        <v>12</v>
      </c>
      <c r="M403" s="4">
        <v>3</v>
      </c>
      <c r="N403" s="4" t="s">
        <v>6</v>
      </c>
      <c r="O403" s="4">
        <v>2</v>
      </c>
      <c r="P403" s="4"/>
      <c r="Q403" s="4"/>
      <c r="R403" s="4"/>
      <c r="S403" s="4"/>
      <c r="T403" s="4"/>
      <c r="U403" s="4"/>
      <c r="V403" s="4"/>
      <c r="W403" s="4"/>
    </row>
    <row r="404" spans="1:23" x14ac:dyDescent="0.2">
      <c r="A404" s="4">
        <v>50</v>
      </c>
      <c r="B404" s="4">
        <v>0</v>
      </c>
      <c r="C404" s="4">
        <v>0</v>
      </c>
      <c r="D404" s="4">
        <v>1</v>
      </c>
      <c r="E404" s="4">
        <v>204</v>
      </c>
      <c r="F404" s="4">
        <f>ROUND(Source!R390,O404)</f>
        <v>98.54</v>
      </c>
      <c r="G404" s="4" t="s">
        <v>139</v>
      </c>
      <c r="H404" s="4" t="s">
        <v>140</v>
      </c>
      <c r="I404" s="4"/>
      <c r="J404" s="4"/>
      <c r="K404" s="4">
        <v>204</v>
      </c>
      <c r="L404" s="4">
        <v>13</v>
      </c>
      <c r="M404" s="4">
        <v>3</v>
      </c>
      <c r="N404" s="4" t="s">
        <v>6</v>
      </c>
      <c r="O404" s="4">
        <v>2</v>
      </c>
      <c r="P404" s="4"/>
      <c r="Q404" s="4"/>
      <c r="R404" s="4"/>
      <c r="S404" s="4"/>
      <c r="T404" s="4"/>
      <c r="U404" s="4"/>
      <c r="V404" s="4"/>
      <c r="W404" s="4"/>
    </row>
    <row r="405" spans="1:23" x14ac:dyDescent="0.2">
      <c r="A405" s="4">
        <v>50</v>
      </c>
      <c r="B405" s="4">
        <v>0</v>
      </c>
      <c r="C405" s="4">
        <v>0</v>
      </c>
      <c r="D405" s="4">
        <v>1</v>
      </c>
      <c r="E405" s="4">
        <v>205</v>
      </c>
      <c r="F405" s="4">
        <f>ROUND(Source!S390,O405)</f>
        <v>10600.66</v>
      </c>
      <c r="G405" s="4" t="s">
        <v>141</v>
      </c>
      <c r="H405" s="4" t="s">
        <v>142</v>
      </c>
      <c r="I405" s="4"/>
      <c r="J405" s="4"/>
      <c r="K405" s="4">
        <v>205</v>
      </c>
      <c r="L405" s="4">
        <v>14</v>
      </c>
      <c r="M405" s="4">
        <v>3</v>
      </c>
      <c r="N405" s="4" t="s">
        <v>6</v>
      </c>
      <c r="O405" s="4">
        <v>2</v>
      </c>
      <c r="P405" s="4"/>
      <c r="Q405" s="4"/>
      <c r="R405" s="4"/>
      <c r="S405" s="4"/>
      <c r="T405" s="4"/>
      <c r="U405" s="4"/>
      <c r="V405" s="4"/>
      <c r="W405" s="4"/>
    </row>
    <row r="406" spans="1:23" x14ac:dyDescent="0.2">
      <c r="A406" s="4">
        <v>50</v>
      </c>
      <c r="B406" s="4">
        <v>0</v>
      </c>
      <c r="C406" s="4">
        <v>0</v>
      </c>
      <c r="D406" s="4">
        <v>1</v>
      </c>
      <c r="E406" s="4">
        <v>232</v>
      </c>
      <c r="F406" s="4">
        <f>ROUND(Source!BC390,O406)</f>
        <v>0</v>
      </c>
      <c r="G406" s="4" t="s">
        <v>143</v>
      </c>
      <c r="H406" s="4" t="s">
        <v>144</v>
      </c>
      <c r="I406" s="4"/>
      <c r="J406" s="4"/>
      <c r="K406" s="4">
        <v>232</v>
      </c>
      <c r="L406" s="4">
        <v>15</v>
      </c>
      <c r="M406" s="4">
        <v>3</v>
      </c>
      <c r="N406" s="4" t="s">
        <v>6</v>
      </c>
      <c r="O406" s="4">
        <v>2</v>
      </c>
      <c r="P406" s="4"/>
      <c r="Q406" s="4"/>
      <c r="R406" s="4"/>
      <c r="S406" s="4"/>
      <c r="T406" s="4"/>
      <c r="U406" s="4"/>
      <c r="V406" s="4"/>
      <c r="W406" s="4"/>
    </row>
    <row r="407" spans="1:23" x14ac:dyDescent="0.2">
      <c r="A407" s="4">
        <v>50</v>
      </c>
      <c r="B407" s="4">
        <v>0</v>
      </c>
      <c r="C407" s="4">
        <v>0</v>
      </c>
      <c r="D407" s="4">
        <v>1</v>
      </c>
      <c r="E407" s="4">
        <v>214</v>
      </c>
      <c r="F407" s="4">
        <f>ROUND(Source!AS390,O407)</f>
        <v>49.02</v>
      </c>
      <c r="G407" s="4" t="s">
        <v>145</v>
      </c>
      <c r="H407" s="4" t="s">
        <v>146</v>
      </c>
      <c r="I407" s="4"/>
      <c r="J407" s="4"/>
      <c r="K407" s="4">
        <v>214</v>
      </c>
      <c r="L407" s="4">
        <v>16</v>
      </c>
      <c r="M407" s="4">
        <v>3</v>
      </c>
      <c r="N407" s="4" t="s">
        <v>6</v>
      </c>
      <c r="O407" s="4">
        <v>2</v>
      </c>
      <c r="P407" s="4"/>
      <c r="Q407" s="4"/>
      <c r="R407" s="4"/>
      <c r="S407" s="4"/>
      <c r="T407" s="4"/>
      <c r="U407" s="4"/>
      <c r="V407" s="4"/>
      <c r="W407" s="4"/>
    </row>
    <row r="408" spans="1:23" x14ac:dyDescent="0.2">
      <c r="A408" s="4">
        <v>50</v>
      </c>
      <c r="B408" s="4">
        <v>0</v>
      </c>
      <c r="C408" s="4">
        <v>0</v>
      </c>
      <c r="D408" s="4">
        <v>1</v>
      </c>
      <c r="E408" s="4">
        <v>215</v>
      </c>
      <c r="F408" s="4">
        <f>ROUND(Source!AT390,O408)</f>
        <v>306796.83</v>
      </c>
      <c r="G408" s="4" t="s">
        <v>147</v>
      </c>
      <c r="H408" s="4" t="s">
        <v>148</v>
      </c>
      <c r="I408" s="4"/>
      <c r="J408" s="4"/>
      <c r="K408" s="4">
        <v>215</v>
      </c>
      <c r="L408" s="4">
        <v>17</v>
      </c>
      <c r="M408" s="4">
        <v>3</v>
      </c>
      <c r="N408" s="4" t="s">
        <v>6</v>
      </c>
      <c r="O408" s="4">
        <v>2</v>
      </c>
      <c r="P408" s="4"/>
      <c r="Q408" s="4"/>
      <c r="R408" s="4"/>
      <c r="S408" s="4"/>
      <c r="T408" s="4"/>
      <c r="U408" s="4"/>
      <c r="V408" s="4"/>
      <c r="W408" s="4"/>
    </row>
    <row r="409" spans="1:23" x14ac:dyDescent="0.2">
      <c r="A409" s="4">
        <v>50</v>
      </c>
      <c r="B409" s="4">
        <v>0</v>
      </c>
      <c r="C409" s="4">
        <v>0</v>
      </c>
      <c r="D409" s="4">
        <v>1</v>
      </c>
      <c r="E409" s="4">
        <v>217</v>
      </c>
      <c r="F409" s="4">
        <f>ROUND(Source!AU390,O409)</f>
        <v>0</v>
      </c>
      <c r="G409" s="4" t="s">
        <v>149</v>
      </c>
      <c r="H409" s="4" t="s">
        <v>150</v>
      </c>
      <c r="I409" s="4"/>
      <c r="J409" s="4"/>
      <c r="K409" s="4">
        <v>217</v>
      </c>
      <c r="L409" s="4">
        <v>18</v>
      </c>
      <c r="M409" s="4">
        <v>3</v>
      </c>
      <c r="N409" s="4" t="s">
        <v>6</v>
      </c>
      <c r="O409" s="4">
        <v>2</v>
      </c>
      <c r="P409" s="4"/>
      <c r="Q409" s="4"/>
      <c r="R409" s="4"/>
      <c r="S409" s="4"/>
      <c r="T409" s="4"/>
      <c r="U409" s="4"/>
      <c r="V409" s="4"/>
      <c r="W409" s="4"/>
    </row>
    <row r="410" spans="1:23" x14ac:dyDescent="0.2">
      <c r="A410" s="4">
        <v>50</v>
      </c>
      <c r="B410" s="4">
        <v>0</v>
      </c>
      <c r="C410" s="4">
        <v>0</v>
      </c>
      <c r="D410" s="4">
        <v>1</v>
      </c>
      <c r="E410" s="4">
        <v>230</v>
      </c>
      <c r="F410" s="4">
        <f>ROUND(Source!BA390,O410)</f>
        <v>0</v>
      </c>
      <c r="G410" s="4" t="s">
        <v>151</v>
      </c>
      <c r="H410" s="4" t="s">
        <v>152</v>
      </c>
      <c r="I410" s="4"/>
      <c r="J410" s="4"/>
      <c r="K410" s="4">
        <v>230</v>
      </c>
      <c r="L410" s="4">
        <v>19</v>
      </c>
      <c r="M410" s="4">
        <v>3</v>
      </c>
      <c r="N410" s="4" t="s">
        <v>6</v>
      </c>
      <c r="O410" s="4">
        <v>2</v>
      </c>
      <c r="P410" s="4"/>
      <c r="Q410" s="4"/>
      <c r="R410" s="4"/>
      <c r="S410" s="4"/>
      <c r="T410" s="4"/>
      <c r="U410" s="4"/>
      <c r="V410" s="4"/>
      <c r="W410" s="4"/>
    </row>
    <row r="411" spans="1:23" x14ac:dyDescent="0.2">
      <c r="A411" s="4">
        <v>50</v>
      </c>
      <c r="B411" s="4">
        <v>0</v>
      </c>
      <c r="C411" s="4">
        <v>0</v>
      </c>
      <c r="D411" s="4">
        <v>1</v>
      </c>
      <c r="E411" s="4">
        <v>206</v>
      </c>
      <c r="F411" s="4">
        <f>ROUND(Source!T390,O411)</f>
        <v>0</v>
      </c>
      <c r="G411" s="4" t="s">
        <v>153</v>
      </c>
      <c r="H411" s="4" t="s">
        <v>154</v>
      </c>
      <c r="I411" s="4"/>
      <c r="J411" s="4"/>
      <c r="K411" s="4">
        <v>206</v>
      </c>
      <c r="L411" s="4">
        <v>20</v>
      </c>
      <c r="M411" s="4">
        <v>3</v>
      </c>
      <c r="N411" s="4" t="s">
        <v>6</v>
      </c>
      <c r="O411" s="4">
        <v>2</v>
      </c>
      <c r="P411" s="4"/>
      <c r="Q411" s="4"/>
      <c r="R411" s="4"/>
      <c r="S411" s="4"/>
      <c r="T411" s="4"/>
      <c r="U411" s="4"/>
      <c r="V411" s="4"/>
      <c r="W411" s="4"/>
    </row>
    <row r="412" spans="1:23" x14ac:dyDescent="0.2">
      <c r="A412" s="4">
        <v>50</v>
      </c>
      <c r="B412" s="4">
        <v>0</v>
      </c>
      <c r="C412" s="4">
        <v>0</v>
      </c>
      <c r="D412" s="4">
        <v>1</v>
      </c>
      <c r="E412" s="4">
        <v>207</v>
      </c>
      <c r="F412" s="4">
        <f>Source!U390</f>
        <v>168.15101999999999</v>
      </c>
      <c r="G412" s="4" t="s">
        <v>155</v>
      </c>
      <c r="H412" s="4" t="s">
        <v>156</v>
      </c>
      <c r="I412" s="4"/>
      <c r="J412" s="4"/>
      <c r="K412" s="4">
        <v>207</v>
      </c>
      <c r="L412" s="4">
        <v>21</v>
      </c>
      <c r="M412" s="4">
        <v>3</v>
      </c>
      <c r="N412" s="4" t="s">
        <v>6</v>
      </c>
      <c r="O412" s="4">
        <v>-1</v>
      </c>
      <c r="P412" s="4"/>
      <c r="Q412" s="4"/>
      <c r="R412" s="4"/>
      <c r="S412" s="4"/>
      <c r="T412" s="4"/>
      <c r="U412" s="4"/>
      <c r="V412" s="4"/>
      <c r="W412" s="4"/>
    </row>
    <row r="413" spans="1:23" x14ac:dyDescent="0.2">
      <c r="A413" s="4">
        <v>50</v>
      </c>
      <c r="B413" s="4">
        <v>0</v>
      </c>
      <c r="C413" s="4">
        <v>0</v>
      </c>
      <c r="D413" s="4">
        <v>1</v>
      </c>
      <c r="E413" s="4">
        <v>208</v>
      </c>
      <c r="F413" s="4">
        <f>Source!V390</f>
        <v>1.21146</v>
      </c>
      <c r="G413" s="4" t="s">
        <v>157</v>
      </c>
      <c r="H413" s="4" t="s">
        <v>158</v>
      </c>
      <c r="I413" s="4"/>
      <c r="J413" s="4"/>
      <c r="K413" s="4">
        <v>208</v>
      </c>
      <c r="L413" s="4">
        <v>22</v>
      </c>
      <c r="M413" s="4">
        <v>3</v>
      </c>
      <c r="N413" s="4" t="s">
        <v>6</v>
      </c>
      <c r="O413" s="4">
        <v>-1</v>
      </c>
      <c r="P413" s="4"/>
      <c r="Q413" s="4"/>
      <c r="R413" s="4"/>
      <c r="S413" s="4"/>
      <c r="T413" s="4"/>
      <c r="U413" s="4"/>
      <c r="V413" s="4"/>
      <c r="W413" s="4"/>
    </row>
    <row r="414" spans="1:23" x14ac:dyDescent="0.2">
      <c r="A414" s="4">
        <v>50</v>
      </c>
      <c r="B414" s="4">
        <v>0</v>
      </c>
      <c r="C414" s="4">
        <v>0</v>
      </c>
      <c r="D414" s="4">
        <v>1</v>
      </c>
      <c r="E414" s="4">
        <v>209</v>
      </c>
      <c r="F414" s="4">
        <f>ROUND(Source!W390,O414)</f>
        <v>0</v>
      </c>
      <c r="G414" s="4" t="s">
        <v>159</v>
      </c>
      <c r="H414" s="4" t="s">
        <v>160</v>
      </c>
      <c r="I414" s="4"/>
      <c r="J414" s="4"/>
      <c r="K414" s="4">
        <v>209</v>
      </c>
      <c r="L414" s="4">
        <v>23</v>
      </c>
      <c r="M414" s="4">
        <v>3</v>
      </c>
      <c r="N414" s="4" t="s">
        <v>6</v>
      </c>
      <c r="O414" s="4">
        <v>2</v>
      </c>
      <c r="P414" s="4"/>
      <c r="Q414" s="4"/>
      <c r="R414" s="4"/>
      <c r="S414" s="4"/>
      <c r="T414" s="4"/>
      <c r="U414" s="4"/>
      <c r="V414" s="4"/>
      <c r="W414" s="4"/>
    </row>
    <row r="415" spans="1:23" x14ac:dyDescent="0.2">
      <c r="A415" s="4">
        <v>50</v>
      </c>
      <c r="B415" s="4">
        <v>0</v>
      </c>
      <c r="C415" s="4">
        <v>0</v>
      </c>
      <c r="D415" s="4">
        <v>1</v>
      </c>
      <c r="E415" s="4">
        <v>210</v>
      </c>
      <c r="F415" s="4">
        <f>ROUND(Source!X390,O415)</f>
        <v>10160.58</v>
      </c>
      <c r="G415" s="4" t="s">
        <v>161</v>
      </c>
      <c r="H415" s="4" t="s">
        <v>162</v>
      </c>
      <c r="I415" s="4"/>
      <c r="J415" s="4"/>
      <c r="K415" s="4">
        <v>210</v>
      </c>
      <c r="L415" s="4">
        <v>24</v>
      </c>
      <c r="M415" s="4">
        <v>3</v>
      </c>
      <c r="N415" s="4" t="s">
        <v>6</v>
      </c>
      <c r="O415" s="4">
        <v>2</v>
      </c>
      <c r="P415" s="4"/>
      <c r="Q415" s="4"/>
      <c r="R415" s="4"/>
      <c r="S415" s="4"/>
      <c r="T415" s="4"/>
      <c r="U415" s="4"/>
      <c r="V415" s="4"/>
      <c r="W415" s="4"/>
    </row>
    <row r="416" spans="1:23" x14ac:dyDescent="0.2">
      <c r="A416" s="4">
        <v>50</v>
      </c>
      <c r="B416" s="4">
        <v>0</v>
      </c>
      <c r="C416" s="4">
        <v>0</v>
      </c>
      <c r="D416" s="4">
        <v>1</v>
      </c>
      <c r="E416" s="4">
        <v>211</v>
      </c>
      <c r="F416" s="4">
        <f>ROUND(Source!Y390,O416)</f>
        <v>6951.26</v>
      </c>
      <c r="G416" s="4" t="s">
        <v>163</v>
      </c>
      <c r="H416" s="4" t="s">
        <v>164</v>
      </c>
      <c r="I416" s="4"/>
      <c r="J416" s="4"/>
      <c r="K416" s="4">
        <v>211</v>
      </c>
      <c r="L416" s="4">
        <v>25</v>
      </c>
      <c r="M416" s="4">
        <v>3</v>
      </c>
      <c r="N416" s="4" t="s">
        <v>6</v>
      </c>
      <c r="O416" s="4">
        <v>2</v>
      </c>
      <c r="P416" s="4"/>
      <c r="Q416" s="4"/>
      <c r="R416" s="4"/>
      <c r="S416" s="4"/>
      <c r="T416" s="4"/>
      <c r="U416" s="4"/>
      <c r="V416" s="4"/>
      <c r="W416" s="4"/>
    </row>
    <row r="417" spans="1:206" x14ac:dyDescent="0.2">
      <c r="A417" s="4">
        <v>50</v>
      </c>
      <c r="B417" s="4">
        <v>0</v>
      </c>
      <c r="C417" s="4">
        <v>0</v>
      </c>
      <c r="D417" s="4">
        <v>1</v>
      </c>
      <c r="E417" s="4">
        <v>224</v>
      </c>
      <c r="F417" s="4">
        <f>ROUND(Source!AR390,O417)</f>
        <v>306845.84999999998</v>
      </c>
      <c r="G417" s="4" t="s">
        <v>165</v>
      </c>
      <c r="H417" s="4" t="s">
        <v>166</v>
      </c>
      <c r="I417" s="4"/>
      <c r="J417" s="4"/>
      <c r="K417" s="4">
        <v>224</v>
      </c>
      <c r="L417" s="4">
        <v>26</v>
      </c>
      <c r="M417" s="4">
        <v>3</v>
      </c>
      <c r="N417" s="4" t="s">
        <v>6</v>
      </c>
      <c r="O417" s="4">
        <v>2</v>
      </c>
      <c r="P417" s="4"/>
      <c r="Q417" s="4"/>
      <c r="R417" s="4"/>
      <c r="S417" s="4"/>
      <c r="T417" s="4"/>
      <c r="U417" s="4"/>
      <c r="V417" s="4"/>
      <c r="W417" s="4"/>
    </row>
    <row r="419" spans="1:206" x14ac:dyDescent="0.2">
      <c r="A419" s="2">
        <v>51</v>
      </c>
      <c r="B419" s="2">
        <f>B245</f>
        <v>1</v>
      </c>
      <c r="C419" s="2">
        <f>A245</f>
        <v>4</v>
      </c>
      <c r="D419" s="2">
        <f>ROW(A245)</f>
        <v>245</v>
      </c>
      <c r="E419" s="2"/>
      <c r="F419" s="2" t="str">
        <f>IF(F245&lt;&gt;"",F245,"")</f>
        <v>Новый раздел</v>
      </c>
      <c r="G419" s="2" t="str">
        <f>IF(G245&lt;&gt;"",G245,"")</f>
        <v>2 Электромонтажные работы</v>
      </c>
      <c r="H419" s="2">
        <v>0</v>
      </c>
      <c r="I419" s="2"/>
      <c r="J419" s="2"/>
      <c r="K419" s="2"/>
      <c r="L419" s="2"/>
      <c r="M419" s="2"/>
      <c r="N419" s="2"/>
      <c r="O419" s="2">
        <f t="shared" ref="O419:T419" si="319">ROUND(O259+O319+O390+AB419,2)</f>
        <v>456466.68</v>
      </c>
      <c r="P419" s="2">
        <f t="shared" si="319"/>
        <v>431794.17</v>
      </c>
      <c r="Q419" s="2">
        <f t="shared" si="319"/>
        <v>4431.84</v>
      </c>
      <c r="R419" s="2">
        <f t="shared" si="319"/>
        <v>462.45</v>
      </c>
      <c r="S419" s="2">
        <f t="shared" si="319"/>
        <v>20240.669999999998</v>
      </c>
      <c r="T419" s="2">
        <f t="shared" si="319"/>
        <v>0</v>
      </c>
      <c r="U419" s="2">
        <f>U259+U319+U390+AH419</f>
        <v>326.57650000000001</v>
      </c>
      <c r="V419" s="2">
        <f>V259+V319+V390+AI419</f>
        <v>5.429759999999999</v>
      </c>
      <c r="W419" s="2">
        <f>ROUND(W259+W319+W390+AJ419,2)</f>
        <v>0</v>
      </c>
      <c r="X419" s="2">
        <f>ROUND(X259+X319+X390+AK419,2)</f>
        <v>19233.59</v>
      </c>
      <c r="Y419" s="2">
        <f>ROUND(Y259+Y319+Y390+AL419,2)</f>
        <v>13367.12</v>
      </c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  <c r="AM419" s="2"/>
      <c r="AN419" s="2"/>
      <c r="AO419" s="2">
        <f t="shared" ref="AO419:BC419" si="320">ROUND(AO259+AO319+AO390+BX419,2)</f>
        <v>0</v>
      </c>
      <c r="AP419" s="2">
        <f t="shared" si="320"/>
        <v>0</v>
      </c>
      <c r="AQ419" s="2">
        <f t="shared" si="320"/>
        <v>0</v>
      </c>
      <c r="AR419" s="2">
        <f t="shared" si="320"/>
        <v>489067.39</v>
      </c>
      <c r="AS419" s="2">
        <f t="shared" si="320"/>
        <v>4634.21</v>
      </c>
      <c r="AT419" s="2">
        <f t="shared" si="320"/>
        <v>484433.18</v>
      </c>
      <c r="AU419" s="2">
        <f t="shared" si="320"/>
        <v>0</v>
      </c>
      <c r="AV419" s="2">
        <f t="shared" si="320"/>
        <v>431794.17</v>
      </c>
      <c r="AW419" s="2">
        <f t="shared" si="320"/>
        <v>431794.17</v>
      </c>
      <c r="AX419" s="2">
        <f t="shared" si="320"/>
        <v>0</v>
      </c>
      <c r="AY419" s="2">
        <f t="shared" si="320"/>
        <v>431794.17</v>
      </c>
      <c r="AZ419" s="2">
        <f t="shared" si="320"/>
        <v>0</v>
      </c>
      <c r="BA419" s="2">
        <f t="shared" si="320"/>
        <v>0</v>
      </c>
      <c r="BB419" s="2">
        <f t="shared" si="320"/>
        <v>0</v>
      </c>
      <c r="BC419" s="2">
        <f t="shared" si="320"/>
        <v>0</v>
      </c>
      <c r="BD419" s="2"/>
      <c r="BE419" s="2"/>
      <c r="BF419" s="2"/>
      <c r="BG419" s="2"/>
      <c r="BH419" s="2"/>
      <c r="BI419" s="2"/>
      <c r="BJ419" s="2"/>
      <c r="BK419" s="2"/>
      <c r="BL419" s="2"/>
      <c r="BM419" s="2"/>
      <c r="BN419" s="2"/>
      <c r="BO419" s="2"/>
      <c r="BP419" s="2"/>
      <c r="BQ419" s="2"/>
      <c r="BR419" s="2"/>
      <c r="BS419" s="2"/>
      <c r="BT419" s="2"/>
      <c r="BU419" s="2"/>
      <c r="BV419" s="2"/>
      <c r="BW419" s="2"/>
      <c r="BX419" s="2"/>
      <c r="BY419" s="2"/>
      <c r="BZ419" s="2"/>
      <c r="CA419" s="2"/>
      <c r="CB419" s="2"/>
      <c r="CC419" s="2"/>
      <c r="CD419" s="2"/>
      <c r="CE419" s="2"/>
      <c r="CF419" s="2"/>
      <c r="CG419" s="2"/>
      <c r="CH419" s="2"/>
      <c r="CI419" s="2"/>
      <c r="CJ419" s="2"/>
      <c r="CK419" s="2"/>
      <c r="CL419" s="2"/>
      <c r="CM419" s="2"/>
      <c r="CN419" s="2"/>
      <c r="CO419" s="2"/>
      <c r="CP419" s="2"/>
      <c r="CQ419" s="2"/>
      <c r="CR419" s="2"/>
      <c r="CS419" s="2"/>
      <c r="CT419" s="2"/>
      <c r="CU419" s="2"/>
      <c r="CV419" s="2"/>
      <c r="CW419" s="2"/>
      <c r="CX419" s="2"/>
      <c r="CY419" s="2"/>
      <c r="CZ419" s="2"/>
      <c r="DA419" s="2"/>
      <c r="DB419" s="2"/>
      <c r="DC419" s="2"/>
      <c r="DD419" s="2"/>
      <c r="DE419" s="2"/>
      <c r="DF419" s="2"/>
      <c r="DG419" s="3"/>
      <c r="DH419" s="3"/>
      <c r="DI419" s="3"/>
      <c r="DJ419" s="3"/>
      <c r="DK419" s="3"/>
      <c r="DL419" s="3"/>
      <c r="DM419" s="3"/>
      <c r="DN419" s="3"/>
      <c r="DO419" s="3"/>
      <c r="DP419" s="3"/>
      <c r="DQ419" s="3"/>
      <c r="DR419" s="3"/>
      <c r="DS419" s="3"/>
      <c r="DT419" s="3"/>
      <c r="DU419" s="3"/>
      <c r="DV419" s="3"/>
      <c r="DW419" s="3"/>
      <c r="DX419" s="3"/>
      <c r="DY419" s="3"/>
      <c r="DZ419" s="3"/>
      <c r="EA419" s="3"/>
      <c r="EB419" s="3"/>
      <c r="EC419" s="3"/>
      <c r="ED419" s="3"/>
      <c r="EE419" s="3"/>
      <c r="EF419" s="3"/>
      <c r="EG419" s="3"/>
      <c r="EH419" s="3"/>
      <c r="EI419" s="3"/>
      <c r="EJ419" s="3"/>
      <c r="EK419" s="3"/>
      <c r="EL419" s="3"/>
      <c r="EM419" s="3"/>
      <c r="EN419" s="3"/>
      <c r="EO419" s="3"/>
      <c r="EP419" s="3"/>
      <c r="EQ419" s="3"/>
      <c r="ER419" s="3"/>
      <c r="ES419" s="3"/>
      <c r="ET419" s="3"/>
      <c r="EU419" s="3"/>
      <c r="EV419" s="3"/>
      <c r="EW419" s="3"/>
      <c r="EX419" s="3"/>
      <c r="EY419" s="3"/>
      <c r="EZ419" s="3"/>
      <c r="FA419" s="3"/>
      <c r="FB419" s="3"/>
      <c r="FC419" s="3"/>
      <c r="FD419" s="3"/>
      <c r="FE419" s="3"/>
      <c r="FF419" s="3"/>
      <c r="FG419" s="3"/>
      <c r="FH419" s="3"/>
      <c r="FI419" s="3"/>
      <c r="FJ419" s="3"/>
      <c r="FK419" s="3"/>
      <c r="FL419" s="3"/>
      <c r="FM419" s="3"/>
      <c r="FN419" s="3"/>
      <c r="FO419" s="3"/>
      <c r="FP419" s="3"/>
      <c r="FQ419" s="3"/>
      <c r="FR419" s="3"/>
      <c r="FS419" s="3"/>
      <c r="FT419" s="3"/>
      <c r="FU419" s="3"/>
      <c r="FV419" s="3"/>
      <c r="FW419" s="3"/>
      <c r="FX419" s="3"/>
      <c r="FY419" s="3"/>
      <c r="FZ419" s="3"/>
      <c r="GA419" s="3"/>
      <c r="GB419" s="3"/>
      <c r="GC419" s="3"/>
      <c r="GD419" s="3"/>
      <c r="GE419" s="3"/>
      <c r="GF419" s="3"/>
      <c r="GG419" s="3"/>
      <c r="GH419" s="3"/>
      <c r="GI419" s="3"/>
      <c r="GJ419" s="3"/>
      <c r="GK419" s="3"/>
      <c r="GL419" s="3"/>
      <c r="GM419" s="3"/>
      <c r="GN419" s="3"/>
      <c r="GO419" s="3"/>
      <c r="GP419" s="3"/>
      <c r="GQ419" s="3"/>
      <c r="GR419" s="3"/>
      <c r="GS419" s="3"/>
      <c r="GT419" s="3"/>
      <c r="GU419" s="3"/>
      <c r="GV419" s="3"/>
      <c r="GW419" s="3"/>
      <c r="GX419" s="3">
        <v>0</v>
      </c>
    </row>
    <row r="421" spans="1:206" x14ac:dyDescent="0.2">
      <c r="A421" s="4">
        <v>50</v>
      </c>
      <c r="B421" s="4">
        <v>0</v>
      </c>
      <c r="C421" s="4">
        <v>0</v>
      </c>
      <c r="D421" s="4">
        <v>1</v>
      </c>
      <c r="E421" s="4">
        <v>201</v>
      </c>
      <c r="F421" s="4">
        <f>ROUND(Source!O419,O421)</f>
        <v>456466.68</v>
      </c>
      <c r="G421" s="4" t="s">
        <v>115</v>
      </c>
      <c r="H421" s="4" t="s">
        <v>116</v>
      </c>
      <c r="I421" s="4"/>
      <c r="J421" s="4"/>
      <c r="K421" s="4">
        <v>201</v>
      </c>
      <c r="L421" s="4">
        <v>1</v>
      </c>
      <c r="M421" s="4">
        <v>3</v>
      </c>
      <c r="N421" s="4" t="s">
        <v>6</v>
      </c>
      <c r="O421" s="4">
        <v>2</v>
      </c>
      <c r="P421" s="4"/>
      <c r="Q421" s="4"/>
      <c r="R421" s="4"/>
      <c r="S421" s="4"/>
      <c r="T421" s="4"/>
      <c r="U421" s="4"/>
      <c r="V421" s="4"/>
      <c r="W421" s="4"/>
    </row>
    <row r="422" spans="1:206" x14ac:dyDescent="0.2">
      <c r="A422" s="4">
        <v>50</v>
      </c>
      <c r="B422" s="4">
        <v>0</v>
      </c>
      <c r="C422" s="4">
        <v>0</v>
      </c>
      <c r="D422" s="4">
        <v>1</v>
      </c>
      <c r="E422" s="4">
        <v>202</v>
      </c>
      <c r="F422" s="4">
        <f>ROUND(Source!P419,O422)</f>
        <v>431794.17</v>
      </c>
      <c r="G422" s="4" t="s">
        <v>117</v>
      </c>
      <c r="H422" s="4" t="s">
        <v>118</v>
      </c>
      <c r="I422" s="4"/>
      <c r="J422" s="4"/>
      <c r="K422" s="4">
        <v>202</v>
      </c>
      <c r="L422" s="4">
        <v>2</v>
      </c>
      <c r="M422" s="4">
        <v>3</v>
      </c>
      <c r="N422" s="4" t="s">
        <v>6</v>
      </c>
      <c r="O422" s="4">
        <v>2</v>
      </c>
      <c r="P422" s="4"/>
      <c r="Q422" s="4"/>
      <c r="R422" s="4"/>
      <c r="S422" s="4"/>
      <c r="T422" s="4"/>
      <c r="U422" s="4"/>
      <c r="V422" s="4"/>
      <c r="W422" s="4"/>
    </row>
    <row r="423" spans="1:206" x14ac:dyDescent="0.2">
      <c r="A423" s="4">
        <v>50</v>
      </c>
      <c r="B423" s="4">
        <v>0</v>
      </c>
      <c r="C423" s="4">
        <v>0</v>
      </c>
      <c r="D423" s="4">
        <v>1</v>
      </c>
      <c r="E423" s="4">
        <v>222</v>
      </c>
      <c r="F423" s="4">
        <f>ROUND(Source!AO419,O423)</f>
        <v>0</v>
      </c>
      <c r="G423" s="4" t="s">
        <v>119</v>
      </c>
      <c r="H423" s="4" t="s">
        <v>120</v>
      </c>
      <c r="I423" s="4"/>
      <c r="J423" s="4"/>
      <c r="K423" s="4">
        <v>222</v>
      </c>
      <c r="L423" s="4">
        <v>3</v>
      </c>
      <c r="M423" s="4">
        <v>3</v>
      </c>
      <c r="N423" s="4" t="s">
        <v>6</v>
      </c>
      <c r="O423" s="4">
        <v>2</v>
      </c>
      <c r="P423" s="4"/>
      <c r="Q423" s="4"/>
      <c r="R423" s="4"/>
      <c r="S423" s="4"/>
      <c r="T423" s="4"/>
      <c r="U423" s="4"/>
      <c r="V423" s="4"/>
      <c r="W423" s="4"/>
    </row>
    <row r="424" spans="1:206" x14ac:dyDescent="0.2">
      <c r="A424" s="4">
        <v>50</v>
      </c>
      <c r="B424" s="4">
        <v>0</v>
      </c>
      <c r="C424" s="4">
        <v>0</v>
      </c>
      <c r="D424" s="4">
        <v>1</v>
      </c>
      <c r="E424" s="4">
        <v>225</v>
      </c>
      <c r="F424" s="4">
        <f>ROUND(Source!AV419,O424)</f>
        <v>431794.17</v>
      </c>
      <c r="G424" s="4" t="s">
        <v>121</v>
      </c>
      <c r="H424" s="4" t="s">
        <v>122</v>
      </c>
      <c r="I424" s="4"/>
      <c r="J424" s="4"/>
      <c r="K424" s="4">
        <v>225</v>
      </c>
      <c r="L424" s="4">
        <v>4</v>
      </c>
      <c r="M424" s="4">
        <v>3</v>
      </c>
      <c r="N424" s="4" t="s">
        <v>6</v>
      </c>
      <c r="O424" s="4">
        <v>2</v>
      </c>
      <c r="P424" s="4"/>
      <c r="Q424" s="4"/>
      <c r="R424" s="4"/>
      <c r="S424" s="4"/>
      <c r="T424" s="4"/>
      <c r="U424" s="4"/>
      <c r="V424" s="4"/>
      <c r="W424" s="4"/>
    </row>
    <row r="425" spans="1:206" x14ac:dyDescent="0.2">
      <c r="A425" s="4">
        <v>50</v>
      </c>
      <c r="B425" s="4">
        <v>0</v>
      </c>
      <c r="C425" s="4">
        <v>0</v>
      </c>
      <c r="D425" s="4">
        <v>1</v>
      </c>
      <c r="E425" s="4">
        <v>226</v>
      </c>
      <c r="F425" s="4">
        <f>ROUND(Source!AW419,O425)</f>
        <v>431794.17</v>
      </c>
      <c r="G425" s="4" t="s">
        <v>123</v>
      </c>
      <c r="H425" s="4" t="s">
        <v>124</v>
      </c>
      <c r="I425" s="4"/>
      <c r="J425" s="4"/>
      <c r="K425" s="4">
        <v>226</v>
      </c>
      <c r="L425" s="4">
        <v>5</v>
      </c>
      <c r="M425" s="4">
        <v>3</v>
      </c>
      <c r="N425" s="4" t="s">
        <v>6</v>
      </c>
      <c r="O425" s="4">
        <v>2</v>
      </c>
      <c r="P425" s="4"/>
      <c r="Q425" s="4"/>
      <c r="R425" s="4"/>
      <c r="S425" s="4"/>
      <c r="T425" s="4"/>
      <c r="U425" s="4"/>
      <c r="V425" s="4"/>
      <c r="W425" s="4"/>
    </row>
    <row r="426" spans="1:206" x14ac:dyDescent="0.2">
      <c r="A426" s="4">
        <v>50</v>
      </c>
      <c r="B426" s="4">
        <v>0</v>
      </c>
      <c r="C426" s="4">
        <v>0</v>
      </c>
      <c r="D426" s="4">
        <v>1</v>
      </c>
      <c r="E426" s="4">
        <v>227</v>
      </c>
      <c r="F426" s="4">
        <f>ROUND(Source!AX419,O426)</f>
        <v>0</v>
      </c>
      <c r="G426" s="4" t="s">
        <v>125</v>
      </c>
      <c r="H426" s="4" t="s">
        <v>126</v>
      </c>
      <c r="I426" s="4"/>
      <c r="J426" s="4"/>
      <c r="K426" s="4">
        <v>227</v>
      </c>
      <c r="L426" s="4">
        <v>6</v>
      </c>
      <c r="M426" s="4">
        <v>3</v>
      </c>
      <c r="N426" s="4" t="s">
        <v>6</v>
      </c>
      <c r="O426" s="4">
        <v>2</v>
      </c>
      <c r="P426" s="4"/>
      <c r="Q426" s="4"/>
      <c r="R426" s="4"/>
      <c r="S426" s="4"/>
      <c r="T426" s="4"/>
      <c r="U426" s="4"/>
      <c r="V426" s="4"/>
      <c r="W426" s="4"/>
    </row>
    <row r="427" spans="1:206" x14ac:dyDescent="0.2">
      <c r="A427" s="4">
        <v>50</v>
      </c>
      <c r="B427" s="4">
        <v>0</v>
      </c>
      <c r="C427" s="4">
        <v>0</v>
      </c>
      <c r="D427" s="4">
        <v>1</v>
      </c>
      <c r="E427" s="4">
        <v>228</v>
      </c>
      <c r="F427" s="4">
        <f>ROUND(Source!AY419,O427)</f>
        <v>431794.17</v>
      </c>
      <c r="G427" s="4" t="s">
        <v>127</v>
      </c>
      <c r="H427" s="4" t="s">
        <v>128</v>
      </c>
      <c r="I427" s="4"/>
      <c r="J427" s="4"/>
      <c r="K427" s="4">
        <v>228</v>
      </c>
      <c r="L427" s="4">
        <v>7</v>
      </c>
      <c r="M427" s="4">
        <v>3</v>
      </c>
      <c r="N427" s="4" t="s">
        <v>6</v>
      </c>
      <c r="O427" s="4">
        <v>2</v>
      </c>
      <c r="P427" s="4"/>
      <c r="Q427" s="4"/>
      <c r="R427" s="4"/>
      <c r="S427" s="4"/>
      <c r="T427" s="4"/>
      <c r="U427" s="4"/>
      <c r="V427" s="4"/>
      <c r="W427" s="4"/>
    </row>
    <row r="428" spans="1:206" x14ac:dyDescent="0.2">
      <c r="A428" s="4">
        <v>50</v>
      </c>
      <c r="B428" s="4">
        <v>0</v>
      </c>
      <c r="C428" s="4">
        <v>0</v>
      </c>
      <c r="D428" s="4">
        <v>1</v>
      </c>
      <c r="E428" s="4">
        <v>216</v>
      </c>
      <c r="F428" s="4">
        <f>ROUND(Source!AP419,O428)</f>
        <v>0</v>
      </c>
      <c r="G428" s="4" t="s">
        <v>129</v>
      </c>
      <c r="H428" s="4" t="s">
        <v>130</v>
      </c>
      <c r="I428" s="4"/>
      <c r="J428" s="4"/>
      <c r="K428" s="4">
        <v>216</v>
      </c>
      <c r="L428" s="4">
        <v>8</v>
      </c>
      <c r="M428" s="4">
        <v>3</v>
      </c>
      <c r="N428" s="4" t="s">
        <v>6</v>
      </c>
      <c r="O428" s="4">
        <v>2</v>
      </c>
      <c r="P428" s="4"/>
      <c r="Q428" s="4"/>
      <c r="R428" s="4"/>
      <c r="S428" s="4"/>
      <c r="T428" s="4"/>
      <c r="U428" s="4"/>
      <c r="V428" s="4"/>
      <c r="W428" s="4"/>
    </row>
    <row r="429" spans="1:206" x14ac:dyDescent="0.2">
      <c r="A429" s="4">
        <v>50</v>
      </c>
      <c r="B429" s="4">
        <v>0</v>
      </c>
      <c r="C429" s="4">
        <v>0</v>
      </c>
      <c r="D429" s="4">
        <v>1</v>
      </c>
      <c r="E429" s="4">
        <v>223</v>
      </c>
      <c r="F429" s="4">
        <f>ROUND(Source!AQ419,O429)</f>
        <v>0</v>
      </c>
      <c r="G429" s="4" t="s">
        <v>131</v>
      </c>
      <c r="H429" s="4" t="s">
        <v>132</v>
      </c>
      <c r="I429" s="4"/>
      <c r="J429" s="4"/>
      <c r="K429" s="4">
        <v>223</v>
      </c>
      <c r="L429" s="4">
        <v>9</v>
      </c>
      <c r="M429" s="4">
        <v>3</v>
      </c>
      <c r="N429" s="4" t="s">
        <v>6</v>
      </c>
      <c r="O429" s="4">
        <v>2</v>
      </c>
      <c r="P429" s="4"/>
      <c r="Q429" s="4"/>
      <c r="R429" s="4"/>
      <c r="S429" s="4"/>
      <c r="T429" s="4"/>
      <c r="U429" s="4"/>
      <c r="V429" s="4"/>
      <c r="W429" s="4"/>
    </row>
    <row r="430" spans="1:206" x14ac:dyDescent="0.2">
      <c r="A430" s="4">
        <v>50</v>
      </c>
      <c r="B430" s="4">
        <v>0</v>
      </c>
      <c r="C430" s="4">
        <v>0</v>
      </c>
      <c r="D430" s="4">
        <v>1</v>
      </c>
      <c r="E430" s="4">
        <v>229</v>
      </c>
      <c r="F430" s="4">
        <f>ROUND(Source!AZ419,O430)</f>
        <v>0</v>
      </c>
      <c r="G430" s="4" t="s">
        <v>133</v>
      </c>
      <c r="H430" s="4" t="s">
        <v>134</v>
      </c>
      <c r="I430" s="4"/>
      <c r="J430" s="4"/>
      <c r="K430" s="4">
        <v>229</v>
      </c>
      <c r="L430" s="4">
        <v>10</v>
      </c>
      <c r="M430" s="4">
        <v>3</v>
      </c>
      <c r="N430" s="4" t="s">
        <v>6</v>
      </c>
      <c r="O430" s="4">
        <v>2</v>
      </c>
      <c r="P430" s="4"/>
      <c r="Q430" s="4"/>
      <c r="R430" s="4"/>
      <c r="S430" s="4"/>
      <c r="T430" s="4"/>
      <c r="U430" s="4"/>
      <c r="V430" s="4"/>
      <c r="W430" s="4"/>
    </row>
    <row r="431" spans="1:206" x14ac:dyDescent="0.2">
      <c r="A431" s="4">
        <v>50</v>
      </c>
      <c r="B431" s="4">
        <v>0</v>
      </c>
      <c r="C431" s="4">
        <v>0</v>
      </c>
      <c r="D431" s="4">
        <v>1</v>
      </c>
      <c r="E431" s="4">
        <v>203</v>
      </c>
      <c r="F431" s="4">
        <f>ROUND(Source!Q419,O431)</f>
        <v>4431.84</v>
      </c>
      <c r="G431" s="4" t="s">
        <v>135</v>
      </c>
      <c r="H431" s="4" t="s">
        <v>136</v>
      </c>
      <c r="I431" s="4"/>
      <c r="J431" s="4"/>
      <c r="K431" s="4">
        <v>203</v>
      </c>
      <c r="L431" s="4">
        <v>11</v>
      </c>
      <c r="M431" s="4">
        <v>3</v>
      </c>
      <c r="N431" s="4" t="s">
        <v>6</v>
      </c>
      <c r="O431" s="4">
        <v>2</v>
      </c>
      <c r="P431" s="4"/>
      <c r="Q431" s="4"/>
      <c r="R431" s="4"/>
      <c r="S431" s="4"/>
      <c r="T431" s="4"/>
      <c r="U431" s="4"/>
      <c r="V431" s="4"/>
      <c r="W431" s="4"/>
    </row>
    <row r="432" spans="1:206" x14ac:dyDescent="0.2">
      <c r="A432" s="4">
        <v>50</v>
      </c>
      <c r="B432" s="4">
        <v>0</v>
      </c>
      <c r="C432" s="4">
        <v>0</v>
      </c>
      <c r="D432" s="4">
        <v>1</v>
      </c>
      <c r="E432" s="4">
        <v>231</v>
      </c>
      <c r="F432" s="4">
        <f>ROUND(Source!BB419,O432)</f>
        <v>0</v>
      </c>
      <c r="G432" s="4" t="s">
        <v>137</v>
      </c>
      <c r="H432" s="4" t="s">
        <v>138</v>
      </c>
      <c r="I432" s="4"/>
      <c r="J432" s="4"/>
      <c r="K432" s="4">
        <v>231</v>
      </c>
      <c r="L432" s="4">
        <v>12</v>
      </c>
      <c r="M432" s="4">
        <v>3</v>
      </c>
      <c r="N432" s="4" t="s">
        <v>6</v>
      </c>
      <c r="O432" s="4">
        <v>2</v>
      </c>
      <c r="P432" s="4"/>
      <c r="Q432" s="4"/>
      <c r="R432" s="4"/>
      <c r="S432" s="4"/>
      <c r="T432" s="4"/>
      <c r="U432" s="4"/>
      <c r="V432" s="4"/>
      <c r="W432" s="4"/>
    </row>
    <row r="433" spans="1:88" x14ac:dyDescent="0.2">
      <c r="A433" s="4">
        <v>50</v>
      </c>
      <c r="B433" s="4">
        <v>0</v>
      </c>
      <c r="C433" s="4">
        <v>0</v>
      </c>
      <c r="D433" s="4">
        <v>1</v>
      </c>
      <c r="E433" s="4">
        <v>204</v>
      </c>
      <c r="F433" s="4">
        <f>ROUND(Source!R419,O433)</f>
        <v>462.45</v>
      </c>
      <c r="G433" s="4" t="s">
        <v>139</v>
      </c>
      <c r="H433" s="4" t="s">
        <v>140</v>
      </c>
      <c r="I433" s="4"/>
      <c r="J433" s="4"/>
      <c r="K433" s="4">
        <v>204</v>
      </c>
      <c r="L433" s="4">
        <v>13</v>
      </c>
      <c r="M433" s="4">
        <v>3</v>
      </c>
      <c r="N433" s="4" t="s">
        <v>6</v>
      </c>
      <c r="O433" s="4">
        <v>2</v>
      </c>
      <c r="P433" s="4"/>
      <c r="Q433" s="4"/>
      <c r="R433" s="4"/>
      <c r="S433" s="4"/>
      <c r="T433" s="4"/>
      <c r="U433" s="4"/>
      <c r="V433" s="4"/>
      <c r="W433" s="4"/>
    </row>
    <row r="434" spans="1:88" x14ac:dyDescent="0.2">
      <c r="A434" s="4">
        <v>50</v>
      </c>
      <c r="B434" s="4">
        <v>0</v>
      </c>
      <c r="C434" s="4">
        <v>0</v>
      </c>
      <c r="D434" s="4">
        <v>1</v>
      </c>
      <c r="E434" s="4">
        <v>205</v>
      </c>
      <c r="F434" s="4">
        <f>ROUND(Source!S419,O434)</f>
        <v>20240.669999999998</v>
      </c>
      <c r="G434" s="4" t="s">
        <v>141</v>
      </c>
      <c r="H434" s="4" t="s">
        <v>142</v>
      </c>
      <c r="I434" s="4"/>
      <c r="J434" s="4"/>
      <c r="K434" s="4">
        <v>205</v>
      </c>
      <c r="L434" s="4">
        <v>14</v>
      </c>
      <c r="M434" s="4">
        <v>3</v>
      </c>
      <c r="N434" s="4" t="s">
        <v>6</v>
      </c>
      <c r="O434" s="4">
        <v>2</v>
      </c>
      <c r="P434" s="4"/>
      <c r="Q434" s="4"/>
      <c r="R434" s="4"/>
      <c r="S434" s="4"/>
      <c r="T434" s="4"/>
      <c r="U434" s="4"/>
      <c r="V434" s="4"/>
      <c r="W434" s="4"/>
    </row>
    <row r="435" spans="1:88" x14ac:dyDescent="0.2">
      <c r="A435" s="4">
        <v>50</v>
      </c>
      <c r="B435" s="4">
        <v>0</v>
      </c>
      <c r="C435" s="4">
        <v>0</v>
      </c>
      <c r="D435" s="4">
        <v>1</v>
      </c>
      <c r="E435" s="4">
        <v>232</v>
      </c>
      <c r="F435" s="4">
        <f>ROUND(Source!BC419,O435)</f>
        <v>0</v>
      </c>
      <c r="G435" s="4" t="s">
        <v>143</v>
      </c>
      <c r="H435" s="4" t="s">
        <v>144</v>
      </c>
      <c r="I435" s="4"/>
      <c r="J435" s="4"/>
      <c r="K435" s="4">
        <v>232</v>
      </c>
      <c r="L435" s="4">
        <v>15</v>
      </c>
      <c r="M435" s="4">
        <v>3</v>
      </c>
      <c r="N435" s="4" t="s">
        <v>6</v>
      </c>
      <c r="O435" s="4">
        <v>2</v>
      </c>
      <c r="P435" s="4"/>
      <c r="Q435" s="4"/>
      <c r="R435" s="4"/>
      <c r="S435" s="4"/>
      <c r="T435" s="4"/>
      <c r="U435" s="4"/>
      <c r="V435" s="4"/>
      <c r="W435" s="4"/>
    </row>
    <row r="436" spans="1:88" x14ac:dyDescent="0.2">
      <c r="A436" s="4">
        <v>50</v>
      </c>
      <c r="B436" s="4">
        <v>0</v>
      </c>
      <c r="C436" s="4">
        <v>0</v>
      </c>
      <c r="D436" s="4">
        <v>1</v>
      </c>
      <c r="E436" s="4">
        <v>214</v>
      </c>
      <c r="F436" s="4">
        <f>ROUND(Source!AS419,O436)</f>
        <v>4634.21</v>
      </c>
      <c r="G436" s="4" t="s">
        <v>145</v>
      </c>
      <c r="H436" s="4" t="s">
        <v>146</v>
      </c>
      <c r="I436" s="4"/>
      <c r="J436" s="4"/>
      <c r="K436" s="4">
        <v>214</v>
      </c>
      <c r="L436" s="4">
        <v>16</v>
      </c>
      <c r="M436" s="4">
        <v>3</v>
      </c>
      <c r="N436" s="4" t="s">
        <v>6</v>
      </c>
      <c r="O436" s="4">
        <v>2</v>
      </c>
      <c r="P436" s="4"/>
      <c r="Q436" s="4"/>
      <c r="R436" s="4"/>
      <c r="S436" s="4"/>
      <c r="T436" s="4"/>
      <c r="U436" s="4"/>
      <c r="V436" s="4"/>
      <c r="W436" s="4"/>
    </row>
    <row r="437" spans="1:88" x14ac:dyDescent="0.2">
      <c r="A437" s="4">
        <v>50</v>
      </c>
      <c r="B437" s="4">
        <v>0</v>
      </c>
      <c r="C437" s="4">
        <v>0</v>
      </c>
      <c r="D437" s="4">
        <v>1</v>
      </c>
      <c r="E437" s="4">
        <v>215</v>
      </c>
      <c r="F437" s="4">
        <f>ROUND(Source!AT419,O437)</f>
        <v>484433.18</v>
      </c>
      <c r="G437" s="4" t="s">
        <v>147</v>
      </c>
      <c r="H437" s="4" t="s">
        <v>148</v>
      </c>
      <c r="I437" s="4"/>
      <c r="J437" s="4"/>
      <c r="K437" s="4">
        <v>215</v>
      </c>
      <c r="L437" s="4">
        <v>17</v>
      </c>
      <c r="M437" s="4">
        <v>3</v>
      </c>
      <c r="N437" s="4" t="s">
        <v>6</v>
      </c>
      <c r="O437" s="4">
        <v>2</v>
      </c>
      <c r="P437" s="4"/>
      <c r="Q437" s="4"/>
      <c r="R437" s="4"/>
      <c r="S437" s="4"/>
      <c r="T437" s="4"/>
      <c r="U437" s="4"/>
      <c r="V437" s="4"/>
      <c r="W437" s="4"/>
    </row>
    <row r="438" spans="1:88" x14ac:dyDescent="0.2">
      <c r="A438" s="4">
        <v>50</v>
      </c>
      <c r="B438" s="4">
        <v>0</v>
      </c>
      <c r="C438" s="4">
        <v>0</v>
      </c>
      <c r="D438" s="4">
        <v>1</v>
      </c>
      <c r="E438" s="4">
        <v>217</v>
      </c>
      <c r="F438" s="4">
        <f>ROUND(Source!AU419,O438)</f>
        <v>0</v>
      </c>
      <c r="G438" s="4" t="s">
        <v>149</v>
      </c>
      <c r="H438" s="4" t="s">
        <v>150</v>
      </c>
      <c r="I438" s="4"/>
      <c r="J438" s="4"/>
      <c r="K438" s="4">
        <v>217</v>
      </c>
      <c r="L438" s="4">
        <v>18</v>
      </c>
      <c r="M438" s="4">
        <v>3</v>
      </c>
      <c r="N438" s="4" t="s">
        <v>6</v>
      </c>
      <c r="O438" s="4">
        <v>2</v>
      </c>
      <c r="P438" s="4"/>
      <c r="Q438" s="4"/>
      <c r="R438" s="4"/>
      <c r="S438" s="4"/>
      <c r="T438" s="4"/>
      <c r="U438" s="4"/>
      <c r="V438" s="4"/>
      <c r="W438" s="4"/>
    </row>
    <row r="439" spans="1:88" x14ac:dyDescent="0.2">
      <c r="A439" s="4">
        <v>50</v>
      </c>
      <c r="B439" s="4">
        <v>0</v>
      </c>
      <c r="C439" s="4">
        <v>0</v>
      </c>
      <c r="D439" s="4">
        <v>1</v>
      </c>
      <c r="E439" s="4">
        <v>230</v>
      </c>
      <c r="F439" s="4">
        <f>ROUND(Source!BA419,O439)</f>
        <v>0</v>
      </c>
      <c r="G439" s="4" t="s">
        <v>151</v>
      </c>
      <c r="H439" s="4" t="s">
        <v>152</v>
      </c>
      <c r="I439" s="4"/>
      <c r="J439" s="4"/>
      <c r="K439" s="4">
        <v>230</v>
      </c>
      <c r="L439" s="4">
        <v>19</v>
      </c>
      <c r="M439" s="4">
        <v>3</v>
      </c>
      <c r="N439" s="4" t="s">
        <v>6</v>
      </c>
      <c r="O439" s="4">
        <v>2</v>
      </c>
      <c r="P439" s="4"/>
      <c r="Q439" s="4"/>
      <c r="R439" s="4"/>
      <c r="S439" s="4"/>
      <c r="T439" s="4"/>
      <c r="U439" s="4"/>
      <c r="V439" s="4"/>
      <c r="W439" s="4"/>
    </row>
    <row r="440" spans="1:88" x14ac:dyDescent="0.2">
      <c r="A440" s="4">
        <v>50</v>
      </c>
      <c r="B440" s="4">
        <v>0</v>
      </c>
      <c r="C440" s="4">
        <v>0</v>
      </c>
      <c r="D440" s="4">
        <v>1</v>
      </c>
      <c r="E440" s="4">
        <v>206</v>
      </c>
      <c r="F440" s="4">
        <f>ROUND(Source!T419,O440)</f>
        <v>0</v>
      </c>
      <c r="G440" s="4" t="s">
        <v>153</v>
      </c>
      <c r="H440" s="4" t="s">
        <v>154</v>
      </c>
      <c r="I440" s="4"/>
      <c r="J440" s="4"/>
      <c r="K440" s="4">
        <v>206</v>
      </c>
      <c r="L440" s="4">
        <v>20</v>
      </c>
      <c r="M440" s="4">
        <v>3</v>
      </c>
      <c r="N440" s="4" t="s">
        <v>6</v>
      </c>
      <c r="O440" s="4">
        <v>2</v>
      </c>
      <c r="P440" s="4"/>
      <c r="Q440" s="4"/>
      <c r="R440" s="4"/>
      <c r="S440" s="4"/>
      <c r="T440" s="4"/>
      <c r="U440" s="4"/>
      <c r="V440" s="4"/>
      <c r="W440" s="4"/>
    </row>
    <row r="441" spans="1:88" x14ac:dyDescent="0.2">
      <c r="A441" s="4">
        <v>50</v>
      </c>
      <c r="B441" s="4">
        <v>0</v>
      </c>
      <c r="C441" s="4">
        <v>0</v>
      </c>
      <c r="D441" s="4">
        <v>1</v>
      </c>
      <c r="E441" s="4">
        <v>207</v>
      </c>
      <c r="F441" s="4">
        <f>Source!U419</f>
        <v>326.57650000000001</v>
      </c>
      <c r="G441" s="4" t="s">
        <v>155</v>
      </c>
      <c r="H441" s="4" t="s">
        <v>156</v>
      </c>
      <c r="I441" s="4"/>
      <c r="J441" s="4"/>
      <c r="K441" s="4">
        <v>207</v>
      </c>
      <c r="L441" s="4">
        <v>21</v>
      </c>
      <c r="M441" s="4">
        <v>3</v>
      </c>
      <c r="N441" s="4" t="s">
        <v>6</v>
      </c>
      <c r="O441" s="4">
        <v>-1</v>
      </c>
      <c r="P441" s="4"/>
      <c r="Q441" s="4"/>
      <c r="R441" s="4"/>
      <c r="S441" s="4"/>
      <c r="T441" s="4"/>
      <c r="U441" s="4"/>
      <c r="V441" s="4"/>
      <c r="W441" s="4"/>
    </row>
    <row r="442" spans="1:88" x14ac:dyDescent="0.2">
      <c r="A442" s="4">
        <v>50</v>
      </c>
      <c r="B442" s="4">
        <v>0</v>
      </c>
      <c r="C442" s="4">
        <v>0</v>
      </c>
      <c r="D442" s="4">
        <v>1</v>
      </c>
      <c r="E442" s="4">
        <v>208</v>
      </c>
      <c r="F442" s="4">
        <f>Source!V419</f>
        <v>5.429759999999999</v>
      </c>
      <c r="G442" s="4" t="s">
        <v>157</v>
      </c>
      <c r="H442" s="4" t="s">
        <v>158</v>
      </c>
      <c r="I442" s="4"/>
      <c r="J442" s="4"/>
      <c r="K442" s="4">
        <v>208</v>
      </c>
      <c r="L442" s="4">
        <v>22</v>
      </c>
      <c r="M442" s="4">
        <v>3</v>
      </c>
      <c r="N442" s="4" t="s">
        <v>6</v>
      </c>
      <c r="O442" s="4">
        <v>-1</v>
      </c>
      <c r="P442" s="4"/>
      <c r="Q442" s="4"/>
      <c r="R442" s="4"/>
      <c r="S442" s="4"/>
      <c r="T442" s="4"/>
      <c r="U442" s="4"/>
      <c r="V442" s="4"/>
      <c r="W442" s="4"/>
    </row>
    <row r="443" spans="1:88" x14ac:dyDescent="0.2">
      <c r="A443" s="4">
        <v>50</v>
      </c>
      <c r="B443" s="4">
        <v>0</v>
      </c>
      <c r="C443" s="4">
        <v>0</v>
      </c>
      <c r="D443" s="4">
        <v>1</v>
      </c>
      <c r="E443" s="4">
        <v>209</v>
      </c>
      <c r="F443" s="4">
        <f>ROUND(Source!W419,O443)</f>
        <v>0</v>
      </c>
      <c r="G443" s="4" t="s">
        <v>159</v>
      </c>
      <c r="H443" s="4" t="s">
        <v>160</v>
      </c>
      <c r="I443" s="4"/>
      <c r="J443" s="4"/>
      <c r="K443" s="4">
        <v>209</v>
      </c>
      <c r="L443" s="4">
        <v>23</v>
      </c>
      <c r="M443" s="4">
        <v>3</v>
      </c>
      <c r="N443" s="4" t="s">
        <v>6</v>
      </c>
      <c r="O443" s="4">
        <v>2</v>
      </c>
      <c r="P443" s="4"/>
      <c r="Q443" s="4"/>
      <c r="R443" s="4"/>
      <c r="S443" s="4"/>
      <c r="T443" s="4"/>
      <c r="U443" s="4"/>
      <c r="V443" s="4"/>
      <c r="W443" s="4"/>
    </row>
    <row r="444" spans="1:88" x14ac:dyDescent="0.2">
      <c r="A444" s="4">
        <v>50</v>
      </c>
      <c r="B444" s="4">
        <v>0</v>
      </c>
      <c r="C444" s="4">
        <v>0</v>
      </c>
      <c r="D444" s="4">
        <v>1</v>
      </c>
      <c r="E444" s="4">
        <v>210</v>
      </c>
      <c r="F444" s="4">
        <f>ROUND(Source!X419,O444)</f>
        <v>19233.59</v>
      </c>
      <c r="G444" s="4" t="s">
        <v>161</v>
      </c>
      <c r="H444" s="4" t="s">
        <v>162</v>
      </c>
      <c r="I444" s="4"/>
      <c r="J444" s="4"/>
      <c r="K444" s="4">
        <v>210</v>
      </c>
      <c r="L444" s="4">
        <v>24</v>
      </c>
      <c r="M444" s="4">
        <v>3</v>
      </c>
      <c r="N444" s="4" t="s">
        <v>6</v>
      </c>
      <c r="O444" s="4">
        <v>2</v>
      </c>
      <c r="P444" s="4"/>
      <c r="Q444" s="4"/>
      <c r="R444" s="4"/>
      <c r="S444" s="4"/>
      <c r="T444" s="4"/>
      <c r="U444" s="4"/>
      <c r="V444" s="4"/>
      <c r="W444" s="4"/>
    </row>
    <row r="445" spans="1:88" x14ac:dyDescent="0.2">
      <c r="A445" s="4">
        <v>50</v>
      </c>
      <c r="B445" s="4">
        <v>0</v>
      </c>
      <c r="C445" s="4">
        <v>0</v>
      </c>
      <c r="D445" s="4">
        <v>1</v>
      </c>
      <c r="E445" s="4">
        <v>211</v>
      </c>
      <c r="F445" s="4">
        <f>ROUND(Source!Y419,O445)</f>
        <v>13367.12</v>
      </c>
      <c r="G445" s="4" t="s">
        <v>163</v>
      </c>
      <c r="H445" s="4" t="s">
        <v>164</v>
      </c>
      <c r="I445" s="4"/>
      <c r="J445" s="4"/>
      <c r="K445" s="4">
        <v>211</v>
      </c>
      <c r="L445" s="4">
        <v>25</v>
      </c>
      <c r="M445" s="4">
        <v>3</v>
      </c>
      <c r="N445" s="4" t="s">
        <v>6</v>
      </c>
      <c r="O445" s="4">
        <v>2</v>
      </c>
      <c r="P445" s="4"/>
      <c r="Q445" s="4"/>
      <c r="R445" s="4"/>
      <c r="S445" s="4"/>
      <c r="T445" s="4"/>
      <c r="U445" s="4"/>
      <c r="V445" s="4"/>
      <c r="W445" s="4"/>
    </row>
    <row r="446" spans="1:88" x14ac:dyDescent="0.2">
      <c r="A446" s="4">
        <v>50</v>
      </c>
      <c r="B446" s="4">
        <v>0</v>
      </c>
      <c r="C446" s="4">
        <v>0</v>
      </c>
      <c r="D446" s="4">
        <v>1</v>
      </c>
      <c r="E446" s="4">
        <v>224</v>
      </c>
      <c r="F446" s="4">
        <f>ROUND(Source!AR419,O446)</f>
        <v>489067.39</v>
      </c>
      <c r="G446" s="4" t="s">
        <v>165</v>
      </c>
      <c r="H446" s="4" t="s">
        <v>166</v>
      </c>
      <c r="I446" s="4"/>
      <c r="J446" s="4"/>
      <c r="K446" s="4">
        <v>224</v>
      </c>
      <c r="L446" s="4">
        <v>26</v>
      </c>
      <c r="M446" s="4">
        <v>3</v>
      </c>
      <c r="N446" s="4" t="s">
        <v>6</v>
      </c>
      <c r="O446" s="4">
        <v>2</v>
      </c>
      <c r="P446" s="4"/>
      <c r="Q446" s="4"/>
      <c r="R446" s="4"/>
      <c r="S446" s="4"/>
      <c r="T446" s="4"/>
      <c r="U446" s="4"/>
      <c r="V446" s="4"/>
      <c r="W446" s="4"/>
    </row>
    <row r="448" spans="1:88" x14ac:dyDescent="0.2">
      <c r="A448" s="1">
        <v>4</v>
      </c>
      <c r="B448" s="1">
        <v>1</v>
      </c>
      <c r="C448" s="1"/>
      <c r="D448" s="1">
        <f>ROW(A457)</f>
        <v>457</v>
      </c>
      <c r="E448" s="1"/>
      <c r="F448" s="1" t="s">
        <v>13</v>
      </c>
      <c r="G448" s="1" t="s">
        <v>823</v>
      </c>
      <c r="H448" s="1" t="s">
        <v>6</v>
      </c>
      <c r="I448" s="1">
        <v>0</v>
      </c>
      <c r="J448" s="1"/>
      <c r="K448" s="1">
        <v>0</v>
      </c>
      <c r="L448" s="1"/>
      <c r="M448" s="1"/>
      <c r="N448" s="1"/>
      <c r="O448" s="1"/>
      <c r="P448" s="1"/>
      <c r="Q448" s="1"/>
      <c r="R448" s="1"/>
      <c r="S448" s="1"/>
      <c r="T448" s="1"/>
      <c r="U448" s="1" t="s">
        <v>6</v>
      </c>
      <c r="V448" s="1">
        <v>0</v>
      </c>
      <c r="W448" s="1"/>
      <c r="X448" s="1"/>
      <c r="Y448" s="1"/>
      <c r="Z448" s="1"/>
      <c r="AA448" s="1"/>
      <c r="AB448" s="1" t="s">
        <v>6</v>
      </c>
      <c r="AC448" s="1" t="s">
        <v>6</v>
      </c>
      <c r="AD448" s="1" t="s">
        <v>6</v>
      </c>
      <c r="AE448" s="1" t="s">
        <v>6</v>
      </c>
      <c r="AF448" s="1" t="s">
        <v>6</v>
      </c>
      <c r="AG448" s="1" t="s">
        <v>6</v>
      </c>
      <c r="AH448" s="1"/>
      <c r="AI448" s="1"/>
      <c r="AJ448" s="1"/>
      <c r="AK448" s="1"/>
      <c r="AL448" s="1"/>
      <c r="AM448" s="1"/>
      <c r="AN448" s="1"/>
      <c r="AO448" s="1"/>
      <c r="AP448" s="1" t="s">
        <v>6</v>
      </c>
      <c r="AQ448" s="1" t="s">
        <v>6</v>
      </c>
      <c r="AR448" s="1" t="s">
        <v>6</v>
      </c>
      <c r="AS448" s="1"/>
      <c r="AT448" s="1"/>
      <c r="AU448" s="1"/>
      <c r="AV448" s="1"/>
      <c r="AW448" s="1"/>
      <c r="AX448" s="1"/>
      <c r="AY448" s="1"/>
      <c r="AZ448" s="1" t="s">
        <v>6</v>
      </c>
      <c r="BA448" s="1"/>
      <c r="BB448" s="1" t="s">
        <v>6</v>
      </c>
      <c r="BC448" s="1" t="s">
        <v>6</v>
      </c>
      <c r="BD448" s="1" t="s">
        <v>6</v>
      </c>
      <c r="BE448" s="1" t="s">
        <v>6</v>
      </c>
      <c r="BF448" s="1" t="s">
        <v>6</v>
      </c>
      <c r="BG448" s="1" t="s">
        <v>6</v>
      </c>
      <c r="BH448" s="1" t="s">
        <v>6</v>
      </c>
      <c r="BI448" s="1" t="s">
        <v>6</v>
      </c>
      <c r="BJ448" s="1" t="s">
        <v>6</v>
      </c>
      <c r="BK448" s="1" t="s">
        <v>6</v>
      </c>
      <c r="BL448" s="1" t="s">
        <v>6</v>
      </c>
      <c r="BM448" s="1" t="s">
        <v>6</v>
      </c>
      <c r="BN448" s="1" t="s">
        <v>6</v>
      </c>
      <c r="BO448" s="1" t="s">
        <v>6</v>
      </c>
      <c r="BP448" s="1" t="s">
        <v>6</v>
      </c>
      <c r="BQ448" s="1"/>
      <c r="BR448" s="1"/>
      <c r="BS448" s="1"/>
      <c r="BT448" s="1"/>
      <c r="BU448" s="1"/>
      <c r="BV448" s="1"/>
      <c r="BW448" s="1"/>
      <c r="BX448" s="1">
        <v>0</v>
      </c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>
        <v>0</v>
      </c>
    </row>
    <row r="450" spans="1:245" x14ac:dyDescent="0.2">
      <c r="A450" s="2">
        <v>52</v>
      </c>
      <c r="B450" s="2">
        <f t="shared" ref="B450:G450" si="321">B457</f>
        <v>1</v>
      </c>
      <c r="C450" s="2">
        <f t="shared" si="321"/>
        <v>4</v>
      </c>
      <c r="D450" s="2">
        <f t="shared" si="321"/>
        <v>448</v>
      </c>
      <c r="E450" s="2">
        <f t="shared" si="321"/>
        <v>0</v>
      </c>
      <c r="F450" s="2" t="str">
        <f t="shared" si="321"/>
        <v>Новый раздел</v>
      </c>
      <c r="G450" s="2" t="str">
        <f t="shared" si="321"/>
        <v>3 Пусконаладочные работы</v>
      </c>
      <c r="H450" s="2"/>
      <c r="I450" s="2"/>
      <c r="J450" s="2"/>
      <c r="K450" s="2"/>
      <c r="L450" s="2"/>
      <c r="M450" s="2"/>
      <c r="N450" s="2"/>
      <c r="O450" s="2">
        <f t="shared" ref="O450:AT450" si="322">O457</f>
        <v>43600.98</v>
      </c>
      <c r="P450" s="2">
        <f t="shared" si="322"/>
        <v>0</v>
      </c>
      <c r="Q450" s="2">
        <f t="shared" si="322"/>
        <v>0</v>
      </c>
      <c r="R450" s="2">
        <f t="shared" si="322"/>
        <v>0</v>
      </c>
      <c r="S450" s="2">
        <f t="shared" si="322"/>
        <v>43600.98</v>
      </c>
      <c r="T450" s="2">
        <f t="shared" si="322"/>
        <v>0</v>
      </c>
      <c r="U450" s="2">
        <f t="shared" si="322"/>
        <v>182.96640000000002</v>
      </c>
      <c r="V450" s="2">
        <f t="shared" si="322"/>
        <v>0</v>
      </c>
      <c r="W450" s="2">
        <f t="shared" si="322"/>
        <v>0</v>
      </c>
      <c r="X450" s="2">
        <f t="shared" si="322"/>
        <v>28340.65</v>
      </c>
      <c r="Y450" s="2">
        <f t="shared" si="322"/>
        <v>17440.400000000001</v>
      </c>
      <c r="Z450" s="2">
        <f t="shared" si="322"/>
        <v>0</v>
      </c>
      <c r="AA450" s="2">
        <f t="shared" si="322"/>
        <v>0</v>
      </c>
      <c r="AB450" s="2">
        <f t="shared" si="322"/>
        <v>43600.98</v>
      </c>
      <c r="AC450" s="2">
        <f t="shared" si="322"/>
        <v>0</v>
      </c>
      <c r="AD450" s="2">
        <f t="shared" si="322"/>
        <v>0</v>
      </c>
      <c r="AE450" s="2">
        <f t="shared" si="322"/>
        <v>0</v>
      </c>
      <c r="AF450" s="2">
        <f t="shared" si="322"/>
        <v>43600.98</v>
      </c>
      <c r="AG450" s="2">
        <f t="shared" si="322"/>
        <v>0</v>
      </c>
      <c r="AH450" s="2">
        <f t="shared" si="322"/>
        <v>182.96640000000002</v>
      </c>
      <c r="AI450" s="2">
        <f t="shared" si="322"/>
        <v>0</v>
      </c>
      <c r="AJ450" s="2">
        <f t="shared" si="322"/>
        <v>0</v>
      </c>
      <c r="AK450" s="2">
        <f t="shared" si="322"/>
        <v>28340.65</v>
      </c>
      <c r="AL450" s="2">
        <f t="shared" si="322"/>
        <v>17440.400000000001</v>
      </c>
      <c r="AM450" s="2">
        <f t="shared" si="322"/>
        <v>0</v>
      </c>
      <c r="AN450" s="2">
        <f t="shared" si="322"/>
        <v>0</v>
      </c>
      <c r="AO450" s="2">
        <f t="shared" si="322"/>
        <v>0</v>
      </c>
      <c r="AP450" s="2">
        <f t="shared" si="322"/>
        <v>0</v>
      </c>
      <c r="AQ450" s="2">
        <f t="shared" si="322"/>
        <v>0</v>
      </c>
      <c r="AR450" s="2">
        <f t="shared" si="322"/>
        <v>89382.03</v>
      </c>
      <c r="AS450" s="2">
        <f t="shared" si="322"/>
        <v>0</v>
      </c>
      <c r="AT450" s="2">
        <f t="shared" si="322"/>
        <v>0</v>
      </c>
      <c r="AU450" s="2">
        <f t="shared" ref="AU450:BZ450" si="323">AU457</f>
        <v>89382.03</v>
      </c>
      <c r="AV450" s="2">
        <f t="shared" si="323"/>
        <v>0</v>
      </c>
      <c r="AW450" s="2">
        <f t="shared" si="323"/>
        <v>0</v>
      </c>
      <c r="AX450" s="2">
        <f t="shared" si="323"/>
        <v>0</v>
      </c>
      <c r="AY450" s="2">
        <f t="shared" si="323"/>
        <v>0</v>
      </c>
      <c r="AZ450" s="2">
        <f t="shared" si="323"/>
        <v>0</v>
      </c>
      <c r="BA450" s="2">
        <f t="shared" si="323"/>
        <v>0</v>
      </c>
      <c r="BB450" s="2">
        <f t="shared" si="323"/>
        <v>0</v>
      </c>
      <c r="BC450" s="2">
        <f t="shared" si="323"/>
        <v>0</v>
      </c>
      <c r="BD450" s="2">
        <f t="shared" si="323"/>
        <v>0</v>
      </c>
      <c r="BE450" s="2">
        <f t="shared" si="323"/>
        <v>0</v>
      </c>
      <c r="BF450" s="2">
        <f t="shared" si="323"/>
        <v>0</v>
      </c>
      <c r="BG450" s="2">
        <f t="shared" si="323"/>
        <v>0</v>
      </c>
      <c r="BH450" s="2">
        <f t="shared" si="323"/>
        <v>0</v>
      </c>
      <c r="BI450" s="2">
        <f t="shared" si="323"/>
        <v>0</v>
      </c>
      <c r="BJ450" s="2">
        <f t="shared" si="323"/>
        <v>0</v>
      </c>
      <c r="BK450" s="2">
        <f t="shared" si="323"/>
        <v>0</v>
      </c>
      <c r="BL450" s="2">
        <f t="shared" si="323"/>
        <v>0</v>
      </c>
      <c r="BM450" s="2">
        <f t="shared" si="323"/>
        <v>0</v>
      </c>
      <c r="BN450" s="2">
        <f t="shared" si="323"/>
        <v>0</v>
      </c>
      <c r="BO450" s="2">
        <f t="shared" si="323"/>
        <v>0</v>
      </c>
      <c r="BP450" s="2">
        <f t="shared" si="323"/>
        <v>0</v>
      </c>
      <c r="BQ450" s="2">
        <f t="shared" si="323"/>
        <v>0</v>
      </c>
      <c r="BR450" s="2">
        <f t="shared" si="323"/>
        <v>0</v>
      </c>
      <c r="BS450" s="2">
        <f t="shared" si="323"/>
        <v>0</v>
      </c>
      <c r="BT450" s="2">
        <f t="shared" si="323"/>
        <v>0</v>
      </c>
      <c r="BU450" s="2">
        <f t="shared" si="323"/>
        <v>0</v>
      </c>
      <c r="BV450" s="2">
        <f t="shared" si="323"/>
        <v>0</v>
      </c>
      <c r="BW450" s="2">
        <f t="shared" si="323"/>
        <v>0</v>
      </c>
      <c r="BX450" s="2">
        <f t="shared" si="323"/>
        <v>0</v>
      </c>
      <c r="BY450" s="2">
        <f t="shared" si="323"/>
        <v>0</v>
      </c>
      <c r="BZ450" s="2">
        <f t="shared" si="323"/>
        <v>0</v>
      </c>
      <c r="CA450" s="2">
        <f t="shared" ref="CA450:DF450" si="324">CA457</f>
        <v>89382.03</v>
      </c>
      <c r="CB450" s="2">
        <f t="shared" si="324"/>
        <v>0</v>
      </c>
      <c r="CC450" s="2">
        <f t="shared" si="324"/>
        <v>0</v>
      </c>
      <c r="CD450" s="2">
        <f t="shared" si="324"/>
        <v>89382.03</v>
      </c>
      <c r="CE450" s="2">
        <f t="shared" si="324"/>
        <v>0</v>
      </c>
      <c r="CF450" s="2">
        <f t="shared" si="324"/>
        <v>0</v>
      </c>
      <c r="CG450" s="2">
        <f t="shared" si="324"/>
        <v>0</v>
      </c>
      <c r="CH450" s="2">
        <f t="shared" si="324"/>
        <v>0</v>
      </c>
      <c r="CI450" s="2">
        <f t="shared" si="324"/>
        <v>0</v>
      </c>
      <c r="CJ450" s="2">
        <f t="shared" si="324"/>
        <v>0</v>
      </c>
      <c r="CK450" s="2">
        <f t="shared" si="324"/>
        <v>0</v>
      </c>
      <c r="CL450" s="2">
        <f t="shared" si="324"/>
        <v>0</v>
      </c>
      <c r="CM450" s="2">
        <f t="shared" si="324"/>
        <v>0</v>
      </c>
      <c r="CN450" s="2">
        <f t="shared" si="324"/>
        <v>0</v>
      </c>
      <c r="CO450" s="2">
        <f t="shared" si="324"/>
        <v>0</v>
      </c>
      <c r="CP450" s="2">
        <f t="shared" si="324"/>
        <v>0</v>
      </c>
      <c r="CQ450" s="2">
        <f t="shared" si="324"/>
        <v>0</v>
      </c>
      <c r="CR450" s="2">
        <f t="shared" si="324"/>
        <v>0</v>
      </c>
      <c r="CS450" s="2">
        <f t="shared" si="324"/>
        <v>0</v>
      </c>
      <c r="CT450" s="2">
        <f t="shared" si="324"/>
        <v>0</v>
      </c>
      <c r="CU450" s="2">
        <f t="shared" si="324"/>
        <v>0</v>
      </c>
      <c r="CV450" s="2">
        <f t="shared" si="324"/>
        <v>0</v>
      </c>
      <c r="CW450" s="2">
        <f t="shared" si="324"/>
        <v>0</v>
      </c>
      <c r="CX450" s="2">
        <f t="shared" si="324"/>
        <v>0</v>
      </c>
      <c r="CY450" s="2">
        <f t="shared" si="324"/>
        <v>0</v>
      </c>
      <c r="CZ450" s="2">
        <f t="shared" si="324"/>
        <v>0</v>
      </c>
      <c r="DA450" s="2">
        <f t="shared" si="324"/>
        <v>0</v>
      </c>
      <c r="DB450" s="2">
        <f t="shared" si="324"/>
        <v>0</v>
      </c>
      <c r="DC450" s="2">
        <f t="shared" si="324"/>
        <v>0</v>
      </c>
      <c r="DD450" s="2">
        <f t="shared" si="324"/>
        <v>0</v>
      </c>
      <c r="DE450" s="2">
        <f t="shared" si="324"/>
        <v>0</v>
      </c>
      <c r="DF450" s="2">
        <f t="shared" si="324"/>
        <v>0</v>
      </c>
      <c r="DG450" s="3">
        <f t="shared" ref="DG450:EL450" si="325">DG457</f>
        <v>0</v>
      </c>
      <c r="DH450" s="3">
        <f t="shared" si="325"/>
        <v>0</v>
      </c>
      <c r="DI450" s="3">
        <f t="shared" si="325"/>
        <v>0</v>
      </c>
      <c r="DJ450" s="3">
        <f t="shared" si="325"/>
        <v>0</v>
      </c>
      <c r="DK450" s="3">
        <f t="shared" si="325"/>
        <v>0</v>
      </c>
      <c r="DL450" s="3">
        <f t="shared" si="325"/>
        <v>0</v>
      </c>
      <c r="DM450" s="3">
        <f t="shared" si="325"/>
        <v>0</v>
      </c>
      <c r="DN450" s="3">
        <f t="shared" si="325"/>
        <v>0</v>
      </c>
      <c r="DO450" s="3">
        <f t="shared" si="325"/>
        <v>0</v>
      </c>
      <c r="DP450" s="3">
        <f t="shared" si="325"/>
        <v>0</v>
      </c>
      <c r="DQ450" s="3">
        <f t="shared" si="325"/>
        <v>0</v>
      </c>
      <c r="DR450" s="3">
        <f t="shared" si="325"/>
        <v>0</v>
      </c>
      <c r="DS450" s="3">
        <f t="shared" si="325"/>
        <v>0</v>
      </c>
      <c r="DT450" s="3">
        <f t="shared" si="325"/>
        <v>0</v>
      </c>
      <c r="DU450" s="3">
        <f t="shared" si="325"/>
        <v>0</v>
      </c>
      <c r="DV450" s="3">
        <f t="shared" si="325"/>
        <v>0</v>
      </c>
      <c r="DW450" s="3">
        <f t="shared" si="325"/>
        <v>0</v>
      </c>
      <c r="DX450" s="3">
        <f t="shared" si="325"/>
        <v>0</v>
      </c>
      <c r="DY450" s="3">
        <f t="shared" si="325"/>
        <v>0</v>
      </c>
      <c r="DZ450" s="3">
        <f t="shared" si="325"/>
        <v>0</v>
      </c>
      <c r="EA450" s="3">
        <f t="shared" si="325"/>
        <v>0</v>
      </c>
      <c r="EB450" s="3">
        <f t="shared" si="325"/>
        <v>0</v>
      </c>
      <c r="EC450" s="3">
        <f t="shared" si="325"/>
        <v>0</v>
      </c>
      <c r="ED450" s="3">
        <f t="shared" si="325"/>
        <v>0</v>
      </c>
      <c r="EE450" s="3">
        <f t="shared" si="325"/>
        <v>0</v>
      </c>
      <c r="EF450" s="3">
        <f t="shared" si="325"/>
        <v>0</v>
      </c>
      <c r="EG450" s="3">
        <f t="shared" si="325"/>
        <v>0</v>
      </c>
      <c r="EH450" s="3">
        <f t="shared" si="325"/>
        <v>0</v>
      </c>
      <c r="EI450" s="3">
        <f t="shared" si="325"/>
        <v>0</v>
      </c>
      <c r="EJ450" s="3">
        <f t="shared" si="325"/>
        <v>0</v>
      </c>
      <c r="EK450" s="3">
        <f t="shared" si="325"/>
        <v>0</v>
      </c>
      <c r="EL450" s="3">
        <f t="shared" si="325"/>
        <v>0</v>
      </c>
      <c r="EM450" s="3">
        <f t="shared" ref="EM450:FR450" si="326">EM457</f>
        <v>0</v>
      </c>
      <c r="EN450" s="3">
        <f t="shared" si="326"/>
        <v>0</v>
      </c>
      <c r="EO450" s="3">
        <f t="shared" si="326"/>
        <v>0</v>
      </c>
      <c r="EP450" s="3">
        <f t="shared" si="326"/>
        <v>0</v>
      </c>
      <c r="EQ450" s="3">
        <f t="shared" si="326"/>
        <v>0</v>
      </c>
      <c r="ER450" s="3">
        <f t="shared" si="326"/>
        <v>0</v>
      </c>
      <c r="ES450" s="3">
        <f t="shared" si="326"/>
        <v>0</v>
      </c>
      <c r="ET450" s="3">
        <f t="shared" si="326"/>
        <v>0</v>
      </c>
      <c r="EU450" s="3">
        <f t="shared" si="326"/>
        <v>0</v>
      </c>
      <c r="EV450" s="3">
        <f t="shared" si="326"/>
        <v>0</v>
      </c>
      <c r="EW450" s="3">
        <f t="shared" si="326"/>
        <v>0</v>
      </c>
      <c r="EX450" s="3">
        <f t="shared" si="326"/>
        <v>0</v>
      </c>
      <c r="EY450" s="3">
        <f t="shared" si="326"/>
        <v>0</v>
      </c>
      <c r="EZ450" s="3">
        <f t="shared" si="326"/>
        <v>0</v>
      </c>
      <c r="FA450" s="3">
        <f t="shared" si="326"/>
        <v>0</v>
      </c>
      <c r="FB450" s="3">
        <f t="shared" si="326"/>
        <v>0</v>
      </c>
      <c r="FC450" s="3">
        <f t="shared" si="326"/>
        <v>0</v>
      </c>
      <c r="FD450" s="3">
        <f t="shared" si="326"/>
        <v>0</v>
      </c>
      <c r="FE450" s="3">
        <f t="shared" si="326"/>
        <v>0</v>
      </c>
      <c r="FF450" s="3">
        <f t="shared" si="326"/>
        <v>0</v>
      </c>
      <c r="FG450" s="3">
        <f t="shared" si="326"/>
        <v>0</v>
      </c>
      <c r="FH450" s="3">
        <f t="shared" si="326"/>
        <v>0</v>
      </c>
      <c r="FI450" s="3">
        <f t="shared" si="326"/>
        <v>0</v>
      </c>
      <c r="FJ450" s="3">
        <f t="shared" si="326"/>
        <v>0</v>
      </c>
      <c r="FK450" s="3">
        <f t="shared" si="326"/>
        <v>0</v>
      </c>
      <c r="FL450" s="3">
        <f t="shared" si="326"/>
        <v>0</v>
      </c>
      <c r="FM450" s="3">
        <f t="shared" si="326"/>
        <v>0</v>
      </c>
      <c r="FN450" s="3">
        <f t="shared" si="326"/>
        <v>0</v>
      </c>
      <c r="FO450" s="3">
        <f t="shared" si="326"/>
        <v>0</v>
      </c>
      <c r="FP450" s="3">
        <f t="shared" si="326"/>
        <v>0</v>
      </c>
      <c r="FQ450" s="3">
        <f t="shared" si="326"/>
        <v>0</v>
      </c>
      <c r="FR450" s="3">
        <f t="shared" si="326"/>
        <v>0</v>
      </c>
      <c r="FS450" s="3">
        <f t="shared" ref="FS450:GX450" si="327">FS457</f>
        <v>0</v>
      </c>
      <c r="FT450" s="3">
        <f t="shared" si="327"/>
        <v>0</v>
      </c>
      <c r="FU450" s="3">
        <f t="shared" si="327"/>
        <v>0</v>
      </c>
      <c r="FV450" s="3">
        <f t="shared" si="327"/>
        <v>0</v>
      </c>
      <c r="FW450" s="3">
        <f t="shared" si="327"/>
        <v>0</v>
      </c>
      <c r="FX450" s="3">
        <f t="shared" si="327"/>
        <v>0</v>
      </c>
      <c r="FY450" s="3">
        <f t="shared" si="327"/>
        <v>0</v>
      </c>
      <c r="FZ450" s="3">
        <f t="shared" si="327"/>
        <v>0</v>
      </c>
      <c r="GA450" s="3">
        <f t="shared" si="327"/>
        <v>0</v>
      </c>
      <c r="GB450" s="3">
        <f t="shared" si="327"/>
        <v>0</v>
      </c>
      <c r="GC450" s="3">
        <f t="shared" si="327"/>
        <v>0</v>
      </c>
      <c r="GD450" s="3">
        <f t="shared" si="327"/>
        <v>0</v>
      </c>
      <c r="GE450" s="3">
        <f t="shared" si="327"/>
        <v>0</v>
      </c>
      <c r="GF450" s="3">
        <f t="shared" si="327"/>
        <v>0</v>
      </c>
      <c r="GG450" s="3">
        <f t="shared" si="327"/>
        <v>0</v>
      </c>
      <c r="GH450" s="3">
        <f t="shared" si="327"/>
        <v>0</v>
      </c>
      <c r="GI450" s="3">
        <f t="shared" si="327"/>
        <v>0</v>
      </c>
      <c r="GJ450" s="3">
        <f t="shared" si="327"/>
        <v>0</v>
      </c>
      <c r="GK450" s="3">
        <f t="shared" si="327"/>
        <v>0</v>
      </c>
      <c r="GL450" s="3">
        <f t="shared" si="327"/>
        <v>0</v>
      </c>
      <c r="GM450" s="3">
        <f t="shared" si="327"/>
        <v>0</v>
      </c>
      <c r="GN450" s="3">
        <f t="shared" si="327"/>
        <v>0</v>
      </c>
      <c r="GO450" s="3">
        <f t="shared" si="327"/>
        <v>0</v>
      </c>
      <c r="GP450" s="3">
        <f t="shared" si="327"/>
        <v>0</v>
      </c>
      <c r="GQ450" s="3">
        <f t="shared" si="327"/>
        <v>0</v>
      </c>
      <c r="GR450" s="3">
        <f t="shared" si="327"/>
        <v>0</v>
      </c>
      <c r="GS450" s="3">
        <f t="shared" si="327"/>
        <v>0</v>
      </c>
      <c r="GT450" s="3">
        <f t="shared" si="327"/>
        <v>0</v>
      </c>
      <c r="GU450" s="3">
        <f t="shared" si="327"/>
        <v>0</v>
      </c>
      <c r="GV450" s="3">
        <f t="shared" si="327"/>
        <v>0</v>
      </c>
      <c r="GW450" s="3">
        <f t="shared" si="327"/>
        <v>0</v>
      </c>
      <c r="GX450" s="3">
        <f t="shared" si="327"/>
        <v>0</v>
      </c>
    </row>
    <row r="452" spans="1:245" x14ac:dyDescent="0.2">
      <c r="A452">
        <v>17</v>
      </c>
      <c r="B452">
        <v>1</v>
      </c>
      <c r="C452">
        <f>ROW(SmtRes!A616)</f>
        <v>616</v>
      </c>
      <c r="D452">
        <f>ROW(EtalonRes!A566)</f>
        <v>566</v>
      </c>
      <c r="E452" t="s">
        <v>824</v>
      </c>
      <c r="F452" t="s">
        <v>825</v>
      </c>
      <c r="G452" t="s">
        <v>826</v>
      </c>
      <c r="H452" t="s">
        <v>242</v>
      </c>
      <c r="I452">
        <v>49</v>
      </c>
      <c r="J452">
        <v>0</v>
      </c>
      <c r="O452">
        <f>ROUND(CP452,2)</f>
        <v>3044.04</v>
      </c>
      <c r="P452">
        <f>ROUND(CQ452*I452,2)</f>
        <v>0</v>
      </c>
      <c r="Q452">
        <f>ROUND(CR452*I452,2)</f>
        <v>0</v>
      </c>
      <c r="R452">
        <f>ROUND(CS452*I452,2)</f>
        <v>0</v>
      </c>
      <c r="S452">
        <f>ROUND(CT452*I452,2)</f>
        <v>3044.04</v>
      </c>
      <c r="T452">
        <f>ROUND(CU452*I452,2)</f>
        <v>0</v>
      </c>
      <c r="U452">
        <f>CV452*I452</f>
        <v>12.544</v>
      </c>
      <c r="V452">
        <f>CW452*I452</f>
        <v>0</v>
      </c>
      <c r="W452">
        <f>ROUND(CX452*I452,2)</f>
        <v>0</v>
      </c>
      <c r="X452">
        <f t="shared" ref="X452:Y455" si="328">ROUND(CY452,2)</f>
        <v>1978.63</v>
      </c>
      <c r="Y452">
        <f t="shared" si="328"/>
        <v>1217.6199999999999</v>
      </c>
      <c r="AA452">
        <v>16748969</v>
      </c>
      <c r="AB452">
        <f>ROUND((AC452+AD452+AF452),2)</f>
        <v>3.28</v>
      </c>
      <c r="AC452">
        <f>ROUND((ES452),2)</f>
        <v>0</v>
      </c>
      <c r="AD452">
        <f>ROUND((((ET452)-(EU452))+AE452),2)</f>
        <v>0</v>
      </c>
      <c r="AE452">
        <f>ROUND((EU452),2)</f>
        <v>0</v>
      </c>
      <c r="AF452">
        <f>ROUND(((EV452*0.8)),2)</f>
        <v>3.28</v>
      </c>
      <c r="AG452">
        <f>ROUND((AP452),2)</f>
        <v>0</v>
      </c>
      <c r="AH452">
        <f>((EW452*0.8))</f>
        <v>0.25600000000000001</v>
      </c>
      <c r="AI452">
        <f>(EX452)</f>
        <v>0</v>
      </c>
      <c r="AJ452">
        <f>ROUND((AS452),2)</f>
        <v>0</v>
      </c>
      <c r="AK452">
        <v>4.0999999999999996</v>
      </c>
      <c r="AL452">
        <v>0</v>
      </c>
      <c r="AM452">
        <v>0</v>
      </c>
      <c r="AN452">
        <v>0</v>
      </c>
      <c r="AO452">
        <v>4.0999999999999996</v>
      </c>
      <c r="AP452">
        <v>0</v>
      </c>
      <c r="AQ452">
        <v>0.32</v>
      </c>
      <c r="AR452">
        <v>0</v>
      </c>
      <c r="AS452">
        <v>0</v>
      </c>
      <c r="AT452">
        <v>65</v>
      </c>
      <c r="AU452">
        <v>40</v>
      </c>
      <c r="AV452">
        <v>1</v>
      </c>
      <c r="AW452">
        <v>1</v>
      </c>
      <c r="AZ452">
        <v>18.940000000000001</v>
      </c>
      <c r="BA452">
        <v>18.940000000000001</v>
      </c>
      <c r="BB452">
        <v>1</v>
      </c>
      <c r="BC452">
        <v>1</v>
      </c>
      <c r="BD452" t="s">
        <v>6</v>
      </c>
      <c r="BE452" t="s">
        <v>6</v>
      </c>
      <c r="BF452" t="s">
        <v>6</v>
      </c>
      <c r="BG452" t="s">
        <v>6</v>
      </c>
      <c r="BH452">
        <v>0</v>
      </c>
      <c r="BI452">
        <v>4</v>
      </c>
      <c r="BJ452" t="s">
        <v>827</v>
      </c>
      <c r="BM452">
        <v>200001</v>
      </c>
      <c r="BN452">
        <v>0</v>
      </c>
      <c r="BO452" t="s">
        <v>6</v>
      </c>
      <c r="BP452">
        <v>0</v>
      </c>
      <c r="BQ452">
        <v>4</v>
      </c>
      <c r="BR452">
        <v>0</v>
      </c>
      <c r="BS452">
        <v>1</v>
      </c>
      <c r="BT452">
        <v>1</v>
      </c>
      <c r="BU452">
        <v>1</v>
      </c>
      <c r="BV452">
        <v>1</v>
      </c>
      <c r="BW452">
        <v>1</v>
      </c>
      <c r="BX452">
        <v>1</v>
      </c>
      <c r="BY452" t="s">
        <v>6</v>
      </c>
      <c r="BZ452">
        <v>65</v>
      </c>
      <c r="CA452">
        <v>40</v>
      </c>
      <c r="CF452">
        <v>0</v>
      </c>
      <c r="CG452">
        <v>0</v>
      </c>
      <c r="CM452">
        <v>0</v>
      </c>
      <c r="CN452" t="s">
        <v>828</v>
      </c>
      <c r="CO452">
        <v>0</v>
      </c>
      <c r="CP452">
        <f>(P452+Q452+S452)</f>
        <v>3044.04</v>
      </c>
      <c r="CQ452">
        <f>AC452*BC452</f>
        <v>0</v>
      </c>
      <c r="CR452">
        <f>AD452*BB452</f>
        <v>0</v>
      </c>
      <c r="CS452">
        <f>AE452*BS452</f>
        <v>0</v>
      </c>
      <c r="CT452">
        <f>AF452*BA452</f>
        <v>62.123199999999997</v>
      </c>
      <c r="CU452">
        <f t="shared" ref="CU452:CX455" si="329">AG452</f>
        <v>0</v>
      </c>
      <c r="CV452">
        <f t="shared" si="329"/>
        <v>0.25600000000000001</v>
      </c>
      <c r="CW452">
        <f t="shared" si="329"/>
        <v>0</v>
      </c>
      <c r="CX452">
        <f t="shared" si="329"/>
        <v>0</v>
      </c>
      <c r="CY452">
        <f>(((S452+R452)*AT452)/100)</f>
        <v>1978.626</v>
      </c>
      <c r="CZ452">
        <f>(((S452+R452)*AU452)/100)</f>
        <v>1217.616</v>
      </c>
      <c r="DC452" t="s">
        <v>6</v>
      </c>
      <c r="DD452" t="s">
        <v>6</v>
      </c>
      <c r="DE452" t="s">
        <v>6</v>
      </c>
      <c r="DF452" t="s">
        <v>6</v>
      </c>
      <c r="DG452" t="s">
        <v>829</v>
      </c>
      <c r="DH452" t="s">
        <v>6</v>
      </c>
      <c r="DI452" t="s">
        <v>829</v>
      </c>
      <c r="DJ452" t="s">
        <v>6</v>
      </c>
      <c r="DK452" t="s">
        <v>6</v>
      </c>
      <c r="DL452" t="s">
        <v>6</v>
      </c>
      <c r="DM452" t="s">
        <v>6</v>
      </c>
      <c r="DN452">
        <v>0</v>
      </c>
      <c r="DO452">
        <v>0</v>
      </c>
      <c r="DP452">
        <v>1</v>
      </c>
      <c r="DQ452">
        <v>1</v>
      </c>
      <c r="DU452">
        <v>1013</v>
      </c>
      <c r="DV452" t="s">
        <v>242</v>
      </c>
      <c r="DW452" t="s">
        <v>242</v>
      </c>
      <c r="DX452">
        <v>1</v>
      </c>
      <c r="EE452">
        <v>16510412</v>
      </c>
      <c r="EF452">
        <v>4</v>
      </c>
      <c r="EG452" t="s">
        <v>830</v>
      </c>
      <c r="EH452">
        <v>0</v>
      </c>
      <c r="EI452" t="s">
        <v>6</v>
      </c>
      <c r="EJ452">
        <v>4</v>
      </c>
      <c r="EK452">
        <v>200001</v>
      </c>
      <c r="EL452" t="s">
        <v>831</v>
      </c>
      <c r="EM452" t="s">
        <v>832</v>
      </c>
      <c r="EO452" t="s">
        <v>833</v>
      </c>
      <c r="EQ452">
        <v>131072</v>
      </c>
      <c r="ER452">
        <v>4.0999999999999996</v>
      </c>
      <c r="ES452">
        <v>0</v>
      </c>
      <c r="ET452">
        <v>0</v>
      </c>
      <c r="EU452">
        <v>0</v>
      </c>
      <c r="EV452">
        <v>4.0999999999999996</v>
      </c>
      <c r="EW452">
        <v>0.32</v>
      </c>
      <c r="EX452">
        <v>0</v>
      </c>
      <c r="EY452">
        <v>0</v>
      </c>
      <c r="FQ452">
        <v>0</v>
      </c>
      <c r="FR452">
        <f>ROUND(IF(AND(BH452=3,BI452=3),P452,0),2)</f>
        <v>0</v>
      </c>
      <c r="FS452">
        <v>0</v>
      </c>
      <c r="FX452">
        <v>65</v>
      </c>
      <c r="FY452">
        <v>40</v>
      </c>
      <c r="GA452" t="s">
        <v>6</v>
      </c>
      <c r="GD452">
        <v>0</v>
      </c>
      <c r="GF452">
        <v>-1617765494</v>
      </c>
      <c r="GG452">
        <v>1</v>
      </c>
      <c r="GH452">
        <v>1</v>
      </c>
      <c r="GI452">
        <v>4</v>
      </c>
      <c r="GJ452">
        <v>0</v>
      </c>
      <c r="GK452">
        <f>ROUND(R452*(R12)/100,2)</f>
        <v>0</v>
      </c>
      <c r="GL452">
        <f>ROUND(IF(AND(BH452=3,BI452=3,FS452&lt;&gt;0),P452,0),2)</f>
        <v>0</v>
      </c>
      <c r="GM452">
        <f>ROUND(O452+X452+Y452+GK452,2)+GX452</f>
        <v>6240.29</v>
      </c>
      <c r="GN452">
        <f>IF(OR(BI452=0,BI452=1),ROUND(O452+X452+Y452+GK452,2),0)</f>
        <v>0</v>
      </c>
      <c r="GO452">
        <f>IF(BI452=2,ROUND(O452+X452+Y452+GK452,2),0)</f>
        <v>0</v>
      </c>
      <c r="GP452">
        <f>IF(BI452=4,ROUND(O452+X452+Y452+GK452,2)+GX452,0)</f>
        <v>6240.29</v>
      </c>
      <c r="GR452">
        <v>0</v>
      </c>
      <c r="GS452">
        <v>3</v>
      </c>
      <c r="GT452">
        <v>0</v>
      </c>
      <c r="GU452" t="s">
        <v>6</v>
      </c>
      <c r="GV452">
        <f>ROUND(GT452,2)</f>
        <v>0</v>
      </c>
      <c r="GW452">
        <v>1</v>
      </c>
      <c r="GX452">
        <f>ROUND(GV452*GW452*I452,2)</f>
        <v>0</v>
      </c>
      <c r="HA452">
        <v>0</v>
      </c>
      <c r="HB452">
        <v>0</v>
      </c>
      <c r="IK452">
        <v>0</v>
      </c>
    </row>
    <row r="453" spans="1:245" x14ac:dyDescent="0.2">
      <c r="A453">
        <v>17</v>
      </c>
      <c r="B453">
        <v>1</v>
      </c>
      <c r="C453">
        <f>ROW(SmtRes!A618)</f>
        <v>618</v>
      </c>
      <c r="D453">
        <f>ROW(EtalonRes!A568)</f>
        <v>568</v>
      </c>
      <c r="E453" t="s">
        <v>834</v>
      </c>
      <c r="F453" t="s">
        <v>835</v>
      </c>
      <c r="G453" t="s">
        <v>836</v>
      </c>
      <c r="H453" t="s">
        <v>242</v>
      </c>
      <c r="I453">
        <v>113</v>
      </c>
      <c r="J453">
        <v>0</v>
      </c>
      <c r="O453">
        <f>ROUND(CP453,2)</f>
        <v>26752.75</v>
      </c>
      <c r="P453">
        <f>ROUND(CQ453*I453,2)</f>
        <v>0</v>
      </c>
      <c r="Q453">
        <f>ROUND(CR453*I453,2)</f>
        <v>0</v>
      </c>
      <c r="R453">
        <f>ROUND(CS453*I453,2)</f>
        <v>0</v>
      </c>
      <c r="S453">
        <f>ROUND(CT453*I453,2)</f>
        <v>26752.75</v>
      </c>
      <c r="T453">
        <f>ROUND(CU453*I453,2)</f>
        <v>0</v>
      </c>
      <c r="U453">
        <f>CV453*I453</f>
        <v>110.288</v>
      </c>
      <c r="V453">
        <f>CW453*I453</f>
        <v>0</v>
      </c>
      <c r="W453">
        <f>ROUND(CX453*I453,2)</f>
        <v>0</v>
      </c>
      <c r="X453">
        <f t="shared" si="328"/>
        <v>17389.29</v>
      </c>
      <c r="Y453">
        <f t="shared" si="328"/>
        <v>10701.1</v>
      </c>
      <c r="AA453">
        <v>16748969</v>
      </c>
      <c r="AB453">
        <f>ROUND((AC453+AD453+AF453),2)</f>
        <v>12.5</v>
      </c>
      <c r="AC453">
        <f>ROUND((ES453),2)</f>
        <v>0</v>
      </c>
      <c r="AD453">
        <f>ROUND((((ET453)-(EU453))+AE453),2)</f>
        <v>0</v>
      </c>
      <c r="AE453">
        <f>ROUND((EU453),2)</f>
        <v>0</v>
      </c>
      <c r="AF453">
        <f>ROUND(((EV453*0.8)),2)</f>
        <v>12.5</v>
      </c>
      <c r="AG453">
        <f>ROUND((AP453),2)</f>
        <v>0</v>
      </c>
      <c r="AH453">
        <f>((EW453*0.8))</f>
        <v>0.97599999999999998</v>
      </c>
      <c r="AI453">
        <f>(EX453)</f>
        <v>0</v>
      </c>
      <c r="AJ453">
        <f>ROUND((AS453),2)</f>
        <v>0</v>
      </c>
      <c r="AK453">
        <v>15.62</v>
      </c>
      <c r="AL453">
        <v>0</v>
      </c>
      <c r="AM453">
        <v>0</v>
      </c>
      <c r="AN453">
        <v>0</v>
      </c>
      <c r="AO453">
        <v>15.62</v>
      </c>
      <c r="AP453">
        <v>0</v>
      </c>
      <c r="AQ453">
        <v>1.22</v>
      </c>
      <c r="AR453">
        <v>0</v>
      </c>
      <c r="AS453">
        <v>0</v>
      </c>
      <c r="AT453">
        <v>65</v>
      </c>
      <c r="AU453">
        <v>40</v>
      </c>
      <c r="AV453">
        <v>1</v>
      </c>
      <c r="AW453">
        <v>1</v>
      </c>
      <c r="AZ453">
        <v>18.940000000000001</v>
      </c>
      <c r="BA453">
        <v>18.940000000000001</v>
      </c>
      <c r="BB453">
        <v>1</v>
      </c>
      <c r="BC453">
        <v>1</v>
      </c>
      <c r="BD453" t="s">
        <v>6</v>
      </c>
      <c r="BE453" t="s">
        <v>6</v>
      </c>
      <c r="BF453" t="s">
        <v>6</v>
      </c>
      <c r="BG453" t="s">
        <v>6</v>
      </c>
      <c r="BH453">
        <v>0</v>
      </c>
      <c r="BI453">
        <v>4</v>
      </c>
      <c r="BJ453" t="s">
        <v>837</v>
      </c>
      <c r="BM453">
        <v>200001</v>
      </c>
      <c r="BN453">
        <v>0</v>
      </c>
      <c r="BO453" t="s">
        <v>6</v>
      </c>
      <c r="BP453">
        <v>0</v>
      </c>
      <c r="BQ453">
        <v>4</v>
      </c>
      <c r="BR453">
        <v>0</v>
      </c>
      <c r="BS453">
        <v>1</v>
      </c>
      <c r="BT453">
        <v>1</v>
      </c>
      <c r="BU453">
        <v>1</v>
      </c>
      <c r="BV453">
        <v>1</v>
      </c>
      <c r="BW453">
        <v>1</v>
      </c>
      <c r="BX453">
        <v>1</v>
      </c>
      <c r="BY453" t="s">
        <v>6</v>
      </c>
      <c r="BZ453">
        <v>65</v>
      </c>
      <c r="CA453">
        <v>40</v>
      </c>
      <c r="CF453">
        <v>0</v>
      </c>
      <c r="CG453">
        <v>0</v>
      </c>
      <c r="CM453">
        <v>0</v>
      </c>
      <c r="CN453" t="s">
        <v>828</v>
      </c>
      <c r="CO453">
        <v>0</v>
      </c>
      <c r="CP453">
        <f>(P453+Q453+S453)</f>
        <v>26752.75</v>
      </c>
      <c r="CQ453">
        <f>AC453*BC453</f>
        <v>0</v>
      </c>
      <c r="CR453">
        <f>AD453*BB453</f>
        <v>0</v>
      </c>
      <c r="CS453">
        <f>AE453*BS453</f>
        <v>0</v>
      </c>
      <c r="CT453">
        <f>AF453*BA453</f>
        <v>236.75000000000003</v>
      </c>
      <c r="CU453">
        <f t="shared" si="329"/>
        <v>0</v>
      </c>
      <c r="CV453">
        <f t="shared" si="329"/>
        <v>0.97599999999999998</v>
      </c>
      <c r="CW453">
        <f t="shared" si="329"/>
        <v>0</v>
      </c>
      <c r="CX453">
        <f t="shared" si="329"/>
        <v>0</v>
      </c>
      <c r="CY453">
        <f>(((S453+R453)*AT453)/100)</f>
        <v>17389.287499999999</v>
      </c>
      <c r="CZ453">
        <f>(((S453+R453)*AU453)/100)</f>
        <v>10701.1</v>
      </c>
      <c r="DC453" t="s">
        <v>6</v>
      </c>
      <c r="DD453" t="s">
        <v>6</v>
      </c>
      <c r="DE453" t="s">
        <v>6</v>
      </c>
      <c r="DF453" t="s">
        <v>6</v>
      </c>
      <c r="DG453" t="s">
        <v>829</v>
      </c>
      <c r="DH453" t="s">
        <v>6</v>
      </c>
      <c r="DI453" t="s">
        <v>829</v>
      </c>
      <c r="DJ453" t="s">
        <v>6</v>
      </c>
      <c r="DK453" t="s">
        <v>6</v>
      </c>
      <c r="DL453" t="s">
        <v>6</v>
      </c>
      <c r="DM453" t="s">
        <v>6</v>
      </c>
      <c r="DN453">
        <v>0</v>
      </c>
      <c r="DO453">
        <v>0</v>
      </c>
      <c r="DP453">
        <v>1</v>
      </c>
      <c r="DQ453">
        <v>1</v>
      </c>
      <c r="DU453">
        <v>1013</v>
      </c>
      <c r="DV453" t="s">
        <v>242</v>
      </c>
      <c r="DW453" t="s">
        <v>242</v>
      </c>
      <c r="DX453">
        <v>1</v>
      </c>
      <c r="EE453">
        <v>16510412</v>
      </c>
      <c r="EF453">
        <v>4</v>
      </c>
      <c r="EG453" t="s">
        <v>830</v>
      </c>
      <c r="EH453">
        <v>0</v>
      </c>
      <c r="EI453" t="s">
        <v>6</v>
      </c>
      <c r="EJ453">
        <v>4</v>
      </c>
      <c r="EK453">
        <v>200001</v>
      </c>
      <c r="EL453" t="s">
        <v>831</v>
      </c>
      <c r="EM453" t="s">
        <v>832</v>
      </c>
      <c r="EO453" t="s">
        <v>833</v>
      </c>
      <c r="EQ453">
        <v>131072</v>
      </c>
      <c r="ER453">
        <v>15.62</v>
      </c>
      <c r="ES453">
        <v>0</v>
      </c>
      <c r="ET453">
        <v>0</v>
      </c>
      <c r="EU453">
        <v>0</v>
      </c>
      <c r="EV453">
        <v>15.62</v>
      </c>
      <c r="EW453">
        <v>1.22</v>
      </c>
      <c r="EX453">
        <v>0</v>
      </c>
      <c r="EY453">
        <v>0</v>
      </c>
      <c r="FQ453">
        <v>0</v>
      </c>
      <c r="FR453">
        <f>ROUND(IF(AND(BH453=3,BI453=3),P453,0),2)</f>
        <v>0</v>
      </c>
      <c r="FS453">
        <v>0</v>
      </c>
      <c r="FX453">
        <v>65</v>
      </c>
      <c r="FY453">
        <v>40</v>
      </c>
      <c r="GA453" t="s">
        <v>6</v>
      </c>
      <c r="GD453">
        <v>0</v>
      </c>
      <c r="GF453">
        <v>-829332442</v>
      </c>
      <c r="GG453">
        <v>1</v>
      </c>
      <c r="GH453">
        <v>1</v>
      </c>
      <c r="GI453">
        <v>4</v>
      </c>
      <c r="GJ453">
        <v>0</v>
      </c>
      <c r="GK453">
        <f>ROUND(R453*(R12)/100,2)</f>
        <v>0</v>
      </c>
      <c r="GL453">
        <f>ROUND(IF(AND(BH453=3,BI453=3,FS453&lt;&gt;0),P453,0),2)</f>
        <v>0</v>
      </c>
      <c r="GM453">
        <f>ROUND(O453+X453+Y453+GK453,2)+GX453</f>
        <v>54843.14</v>
      </c>
      <c r="GN453">
        <f>IF(OR(BI453=0,BI453=1),ROUND(O453+X453+Y453+GK453,2),0)</f>
        <v>0</v>
      </c>
      <c r="GO453">
        <f>IF(BI453=2,ROUND(O453+X453+Y453+GK453,2),0)</f>
        <v>0</v>
      </c>
      <c r="GP453">
        <f>IF(BI453=4,ROUND(O453+X453+Y453+GK453,2)+GX453,0)</f>
        <v>54843.14</v>
      </c>
      <c r="GR453">
        <v>0</v>
      </c>
      <c r="GS453">
        <v>3</v>
      </c>
      <c r="GT453">
        <v>0</v>
      </c>
      <c r="GU453" t="s">
        <v>6</v>
      </c>
      <c r="GV453">
        <f>ROUND(GT453,2)</f>
        <v>0</v>
      </c>
      <c r="GW453">
        <v>1</v>
      </c>
      <c r="GX453">
        <f>ROUND(GV453*GW453*I453,2)</f>
        <v>0</v>
      </c>
      <c r="HA453">
        <v>0</v>
      </c>
      <c r="HB453">
        <v>0</v>
      </c>
      <c r="IK453">
        <v>0</v>
      </c>
    </row>
    <row r="454" spans="1:245" x14ac:dyDescent="0.2">
      <c r="A454">
        <v>17</v>
      </c>
      <c r="B454">
        <v>1</v>
      </c>
      <c r="C454">
        <f>ROW(SmtRes!A620)</f>
        <v>620</v>
      </c>
      <c r="D454">
        <f>ROW(EtalonRes!A570)</f>
        <v>570</v>
      </c>
      <c r="E454" t="s">
        <v>838</v>
      </c>
      <c r="F454" t="s">
        <v>839</v>
      </c>
      <c r="G454" t="s">
        <v>840</v>
      </c>
      <c r="H454" t="s">
        <v>841</v>
      </c>
      <c r="I454">
        <f>ROUND(5/100,9)</f>
        <v>0.05</v>
      </c>
      <c r="J454">
        <v>0</v>
      </c>
      <c r="O454">
        <f>ROUND(CP454,2)</f>
        <v>125.72</v>
      </c>
      <c r="P454">
        <f>ROUND(CQ454*I454,2)</f>
        <v>0</v>
      </c>
      <c r="Q454">
        <f>ROUND(CR454*I454,2)</f>
        <v>0</v>
      </c>
      <c r="R454">
        <f>ROUND(CS454*I454,2)</f>
        <v>0</v>
      </c>
      <c r="S454">
        <f>ROUND(CT454*I454,2)</f>
        <v>125.72</v>
      </c>
      <c r="T454">
        <f>ROUND(CU454*I454,2)</f>
        <v>0</v>
      </c>
      <c r="U454">
        <f>CV454*I454</f>
        <v>0.51840000000000008</v>
      </c>
      <c r="V454">
        <f>CW454*I454</f>
        <v>0</v>
      </c>
      <c r="W454">
        <f>ROUND(CX454*I454,2)</f>
        <v>0</v>
      </c>
      <c r="X454">
        <f t="shared" si="328"/>
        <v>81.72</v>
      </c>
      <c r="Y454">
        <f t="shared" si="328"/>
        <v>50.29</v>
      </c>
      <c r="AA454">
        <v>16748969</v>
      </c>
      <c r="AB454">
        <f>ROUND((AC454+AD454+AF454),2)</f>
        <v>132.76</v>
      </c>
      <c r="AC454">
        <f>ROUND((ES454),2)</f>
        <v>0</v>
      </c>
      <c r="AD454">
        <f>ROUND((((ET454)-(EU454))+AE454),2)</f>
        <v>0</v>
      </c>
      <c r="AE454">
        <f>ROUND((EU454),2)</f>
        <v>0</v>
      </c>
      <c r="AF454">
        <f>ROUND(((EV454*0.8)),2)</f>
        <v>132.76</v>
      </c>
      <c r="AG454">
        <f>ROUND((AP454),2)</f>
        <v>0</v>
      </c>
      <c r="AH454">
        <f>((EW454*0.8))</f>
        <v>10.368000000000002</v>
      </c>
      <c r="AI454">
        <f>(EX454)</f>
        <v>0</v>
      </c>
      <c r="AJ454">
        <f>ROUND((AS454),2)</f>
        <v>0</v>
      </c>
      <c r="AK454">
        <v>165.95</v>
      </c>
      <c r="AL454">
        <v>0</v>
      </c>
      <c r="AM454">
        <v>0</v>
      </c>
      <c r="AN454">
        <v>0</v>
      </c>
      <c r="AO454">
        <v>165.95</v>
      </c>
      <c r="AP454">
        <v>0</v>
      </c>
      <c r="AQ454">
        <v>12.96</v>
      </c>
      <c r="AR454">
        <v>0</v>
      </c>
      <c r="AS454">
        <v>0</v>
      </c>
      <c r="AT454">
        <v>65</v>
      </c>
      <c r="AU454">
        <v>40</v>
      </c>
      <c r="AV454">
        <v>1</v>
      </c>
      <c r="AW454">
        <v>1</v>
      </c>
      <c r="AZ454">
        <v>18.940000000000001</v>
      </c>
      <c r="BA454">
        <v>18.940000000000001</v>
      </c>
      <c r="BB454">
        <v>1</v>
      </c>
      <c r="BC454">
        <v>1</v>
      </c>
      <c r="BD454" t="s">
        <v>6</v>
      </c>
      <c r="BE454" t="s">
        <v>6</v>
      </c>
      <c r="BF454" t="s">
        <v>6</v>
      </c>
      <c r="BG454" t="s">
        <v>6</v>
      </c>
      <c r="BH454">
        <v>0</v>
      </c>
      <c r="BI454">
        <v>4</v>
      </c>
      <c r="BJ454" t="s">
        <v>842</v>
      </c>
      <c r="BM454">
        <v>200001</v>
      </c>
      <c r="BN454">
        <v>0</v>
      </c>
      <c r="BO454" t="s">
        <v>6</v>
      </c>
      <c r="BP454">
        <v>0</v>
      </c>
      <c r="BQ454">
        <v>4</v>
      </c>
      <c r="BR454">
        <v>0</v>
      </c>
      <c r="BS454">
        <v>1</v>
      </c>
      <c r="BT454">
        <v>1</v>
      </c>
      <c r="BU454">
        <v>1</v>
      </c>
      <c r="BV454">
        <v>1</v>
      </c>
      <c r="BW454">
        <v>1</v>
      </c>
      <c r="BX454">
        <v>1</v>
      </c>
      <c r="BY454" t="s">
        <v>6</v>
      </c>
      <c r="BZ454">
        <v>65</v>
      </c>
      <c r="CA454">
        <v>40</v>
      </c>
      <c r="CF454">
        <v>0</v>
      </c>
      <c r="CG454">
        <v>0</v>
      </c>
      <c r="CM454">
        <v>0</v>
      </c>
      <c r="CN454" t="s">
        <v>828</v>
      </c>
      <c r="CO454">
        <v>0</v>
      </c>
      <c r="CP454">
        <f>(P454+Q454+S454)</f>
        <v>125.72</v>
      </c>
      <c r="CQ454">
        <f>AC454*BC454</f>
        <v>0</v>
      </c>
      <c r="CR454">
        <f>AD454*BB454</f>
        <v>0</v>
      </c>
      <c r="CS454">
        <f>AE454*BS454</f>
        <v>0</v>
      </c>
      <c r="CT454">
        <f>AF454*BA454</f>
        <v>2514.4744000000001</v>
      </c>
      <c r="CU454">
        <f t="shared" si="329"/>
        <v>0</v>
      </c>
      <c r="CV454">
        <f t="shared" si="329"/>
        <v>10.368000000000002</v>
      </c>
      <c r="CW454">
        <f t="shared" si="329"/>
        <v>0</v>
      </c>
      <c r="CX454">
        <f t="shared" si="329"/>
        <v>0</v>
      </c>
      <c r="CY454">
        <f>(((S454+R454)*AT454)/100)</f>
        <v>81.718000000000004</v>
      </c>
      <c r="CZ454">
        <f>(((S454+R454)*AU454)/100)</f>
        <v>50.288000000000004</v>
      </c>
      <c r="DC454" t="s">
        <v>6</v>
      </c>
      <c r="DD454" t="s">
        <v>6</v>
      </c>
      <c r="DE454" t="s">
        <v>6</v>
      </c>
      <c r="DF454" t="s">
        <v>6</v>
      </c>
      <c r="DG454" t="s">
        <v>829</v>
      </c>
      <c r="DH454" t="s">
        <v>6</v>
      </c>
      <c r="DI454" t="s">
        <v>829</v>
      </c>
      <c r="DJ454" t="s">
        <v>6</v>
      </c>
      <c r="DK454" t="s">
        <v>6</v>
      </c>
      <c r="DL454" t="s">
        <v>6</v>
      </c>
      <c r="DM454" t="s">
        <v>6</v>
      </c>
      <c r="DN454">
        <v>0</v>
      </c>
      <c r="DO454">
        <v>0</v>
      </c>
      <c r="DP454">
        <v>1</v>
      </c>
      <c r="DQ454">
        <v>1</v>
      </c>
      <c r="DU454">
        <v>1013</v>
      </c>
      <c r="DV454" t="s">
        <v>841</v>
      </c>
      <c r="DW454" t="s">
        <v>841</v>
      </c>
      <c r="DX454">
        <v>1</v>
      </c>
      <c r="EE454">
        <v>16510412</v>
      </c>
      <c r="EF454">
        <v>4</v>
      </c>
      <c r="EG454" t="s">
        <v>830</v>
      </c>
      <c r="EH454">
        <v>0</v>
      </c>
      <c r="EI454" t="s">
        <v>6</v>
      </c>
      <c r="EJ454">
        <v>4</v>
      </c>
      <c r="EK454">
        <v>200001</v>
      </c>
      <c r="EL454" t="s">
        <v>831</v>
      </c>
      <c r="EM454" t="s">
        <v>832</v>
      </c>
      <c r="EO454" t="s">
        <v>833</v>
      </c>
      <c r="EQ454">
        <v>131072</v>
      </c>
      <c r="ER454">
        <v>165.95</v>
      </c>
      <c r="ES454">
        <v>0</v>
      </c>
      <c r="ET454">
        <v>0</v>
      </c>
      <c r="EU454">
        <v>0</v>
      </c>
      <c r="EV454">
        <v>165.95</v>
      </c>
      <c r="EW454">
        <v>12.96</v>
      </c>
      <c r="EX454">
        <v>0</v>
      </c>
      <c r="EY454">
        <v>0</v>
      </c>
      <c r="FQ454">
        <v>0</v>
      </c>
      <c r="FR454">
        <f>ROUND(IF(AND(BH454=3,BI454=3),P454,0),2)</f>
        <v>0</v>
      </c>
      <c r="FS454">
        <v>0</v>
      </c>
      <c r="FX454">
        <v>65</v>
      </c>
      <c r="FY454">
        <v>40</v>
      </c>
      <c r="GA454" t="s">
        <v>6</v>
      </c>
      <c r="GD454">
        <v>0</v>
      </c>
      <c r="GF454">
        <v>-931447527</v>
      </c>
      <c r="GG454">
        <v>1</v>
      </c>
      <c r="GH454">
        <v>1</v>
      </c>
      <c r="GI454">
        <v>4</v>
      </c>
      <c r="GJ454">
        <v>0</v>
      </c>
      <c r="GK454">
        <f>ROUND(R454*(R12)/100,2)</f>
        <v>0</v>
      </c>
      <c r="GL454">
        <f>ROUND(IF(AND(BH454=3,BI454=3,FS454&lt;&gt;0),P454,0),2)</f>
        <v>0</v>
      </c>
      <c r="GM454">
        <f>ROUND(O454+X454+Y454+GK454,2)+GX454</f>
        <v>257.73</v>
      </c>
      <c r="GN454">
        <f>IF(OR(BI454=0,BI454=1),ROUND(O454+X454+Y454+GK454,2),0)</f>
        <v>0</v>
      </c>
      <c r="GO454">
        <f>IF(BI454=2,ROUND(O454+X454+Y454+GK454,2),0)</f>
        <v>0</v>
      </c>
      <c r="GP454">
        <f>IF(BI454=4,ROUND(O454+X454+Y454+GK454,2)+GX454,0)</f>
        <v>257.73</v>
      </c>
      <c r="GR454">
        <v>0</v>
      </c>
      <c r="GS454">
        <v>3</v>
      </c>
      <c r="GT454">
        <v>0</v>
      </c>
      <c r="GU454" t="s">
        <v>6</v>
      </c>
      <c r="GV454">
        <f>ROUND(GT454,2)</f>
        <v>0</v>
      </c>
      <c r="GW454">
        <v>1</v>
      </c>
      <c r="GX454">
        <f>ROUND(GV454*GW454*I454,2)</f>
        <v>0</v>
      </c>
      <c r="HA454">
        <v>0</v>
      </c>
      <c r="HB454">
        <v>0</v>
      </c>
      <c r="IK454">
        <v>0</v>
      </c>
    </row>
    <row r="455" spans="1:245" x14ac:dyDescent="0.2">
      <c r="A455">
        <v>17</v>
      </c>
      <c r="B455">
        <v>1</v>
      </c>
      <c r="C455">
        <f>ROW(SmtRes!A622)</f>
        <v>622</v>
      </c>
      <c r="D455">
        <f>ROW(EtalonRes!A572)</f>
        <v>572</v>
      </c>
      <c r="E455" t="s">
        <v>843</v>
      </c>
      <c r="F455" t="s">
        <v>844</v>
      </c>
      <c r="G455" t="s">
        <v>845</v>
      </c>
      <c r="H455" t="s">
        <v>846</v>
      </c>
      <c r="I455">
        <v>46</v>
      </c>
      <c r="J455">
        <v>0</v>
      </c>
      <c r="O455">
        <f>ROUND(CP455,2)</f>
        <v>13678.47</v>
      </c>
      <c r="P455">
        <f>ROUND(CQ455*I455,2)</f>
        <v>0</v>
      </c>
      <c r="Q455">
        <f>ROUND(CR455*I455,2)</f>
        <v>0</v>
      </c>
      <c r="R455">
        <f>ROUND(CS455*I455,2)</f>
        <v>0</v>
      </c>
      <c r="S455">
        <f>ROUND(CT455*I455,2)</f>
        <v>13678.47</v>
      </c>
      <c r="T455">
        <f>ROUND(CU455*I455,2)</f>
        <v>0</v>
      </c>
      <c r="U455">
        <f>CV455*I455</f>
        <v>59.616000000000014</v>
      </c>
      <c r="V455">
        <f>CW455*I455</f>
        <v>0</v>
      </c>
      <c r="W455">
        <f>ROUND(CX455*I455,2)</f>
        <v>0</v>
      </c>
      <c r="X455">
        <f t="shared" si="328"/>
        <v>8891.01</v>
      </c>
      <c r="Y455">
        <f t="shared" si="328"/>
        <v>5471.39</v>
      </c>
      <c r="AA455">
        <v>16748969</v>
      </c>
      <c r="AB455">
        <f>ROUND((AC455+AD455+AF455),2)</f>
        <v>15.7</v>
      </c>
      <c r="AC455">
        <f>ROUND((ES455),2)</f>
        <v>0</v>
      </c>
      <c r="AD455">
        <f>ROUND((((ET455)-(EU455))+AE455),2)</f>
        <v>0</v>
      </c>
      <c r="AE455">
        <f>ROUND((EU455),2)</f>
        <v>0</v>
      </c>
      <c r="AF455">
        <f>ROUND(((EV455*0.8)),2)</f>
        <v>15.7</v>
      </c>
      <c r="AG455">
        <f>ROUND((AP455),2)</f>
        <v>0</v>
      </c>
      <c r="AH455">
        <f>((EW455*0.8))</f>
        <v>1.2960000000000003</v>
      </c>
      <c r="AI455">
        <f>(EX455)</f>
        <v>0</v>
      </c>
      <c r="AJ455">
        <f>ROUND((AS455),2)</f>
        <v>0</v>
      </c>
      <c r="AK455">
        <v>19.63</v>
      </c>
      <c r="AL455">
        <v>0</v>
      </c>
      <c r="AM455">
        <v>0</v>
      </c>
      <c r="AN455">
        <v>0</v>
      </c>
      <c r="AO455">
        <v>19.63</v>
      </c>
      <c r="AP455">
        <v>0</v>
      </c>
      <c r="AQ455">
        <v>1.62</v>
      </c>
      <c r="AR455">
        <v>0</v>
      </c>
      <c r="AS455">
        <v>0</v>
      </c>
      <c r="AT455">
        <v>65</v>
      </c>
      <c r="AU455">
        <v>40</v>
      </c>
      <c r="AV455">
        <v>1</v>
      </c>
      <c r="AW455">
        <v>1</v>
      </c>
      <c r="AZ455">
        <v>18.940000000000001</v>
      </c>
      <c r="BA455">
        <v>18.940000000000001</v>
      </c>
      <c r="BB455">
        <v>1</v>
      </c>
      <c r="BC455">
        <v>1</v>
      </c>
      <c r="BD455" t="s">
        <v>6</v>
      </c>
      <c r="BE455" t="s">
        <v>6</v>
      </c>
      <c r="BF455" t="s">
        <v>6</v>
      </c>
      <c r="BG455" t="s">
        <v>6</v>
      </c>
      <c r="BH455">
        <v>0</v>
      </c>
      <c r="BI455">
        <v>4</v>
      </c>
      <c r="BJ455" t="s">
        <v>847</v>
      </c>
      <c r="BM455">
        <v>200001</v>
      </c>
      <c r="BN455">
        <v>0</v>
      </c>
      <c r="BO455" t="s">
        <v>6</v>
      </c>
      <c r="BP455">
        <v>0</v>
      </c>
      <c r="BQ455">
        <v>4</v>
      </c>
      <c r="BR455">
        <v>0</v>
      </c>
      <c r="BS455">
        <v>1</v>
      </c>
      <c r="BT455">
        <v>1</v>
      </c>
      <c r="BU455">
        <v>1</v>
      </c>
      <c r="BV455">
        <v>1</v>
      </c>
      <c r="BW455">
        <v>1</v>
      </c>
      <c r="BX455">
        <v>1</v>
      </c>
      <c r="BY455" t="s">
        <v>6</v>
      </c>
      <c r="BZ455">
        <v>65</v>
      </c>
      <c r="CA455">
        <v>40</v>
      </c>
      <c r="CF455">
        <v>0</v>
      </c>
      <c r="CG455">
        <v>0</v>
      </c>
      <c r="CM455">
        <v>0</v>
      </c>
      <c r="CN455" t="s">
        <v>828</v>
      </c>
      <c r="CO455">
        <v>0</v>
      </c>
      <c r="CP455">
        <f>(P455+Q455+S455)</f>
        <v>13678.47</v>
      </c>
      <c r="CQ455">
        <f>AC455*BC455</f>
        <v>0</v>
      </c>
      <c r="CR455">
        <f>AD455*BB455</f>
        <v>0</v>
      </c>
      <c r="CS455">
        <f>AE455*BS455</f>
        <v>0</v>
      </c>
      <c r="CT455">
        <f>AF455*BA455</f>
        <v>297.358</v>
      </c>
      <c r="CU455">
        <f t="shared" si="329"/>
        <v>0</v>
      </c>
      <c r="CV455">
        <f t="shared" si="329"/>
        <v>1.2960000000000003</v>
      </c>
      <c r="CW455">
        <f t="shared" si="329"/>
        <v>0</v>
      </c>
      <c r="CX455">
        <f t="shared" si="329"/>
        <v>0</v>
      </c>
      <c r="CY455">
        <f>(((S455+R455)*AT455)/100)</f>
        <v>8891.0054999999993</v>
      </c>
      <c r="CZ455">
        <f>(((S455+R455)*AU455)/100)</f>
        <v>5471.387999999999</v>
      </c>
      <c r="DC455" t="s">
        <v>6</v>
      </c>
      <c r="DD455" t="s">
        <v>6</v>
      </c>
      <c r="DE455" t="s">
        <v>6</v>
      </c>
      <c r="DF455" t="s">
        <v>6</v>
      </c>
      <c r="DG455" t="s">
        <v>829</v>
      </c>
      <c r="DH455" t="s">
        <v>6</v>
      </c>
      <c r="DI455" t="s">
        <v>829</v>
      </c>
      <c r="DJ455" t="s">
        <v>6</v>
      </c>
      <c r="DK455" t="s">
        <v>6</v>
      </c>
      <c r="DL455" t="s">
        <v>6</v>
      </c>
      <c r="DM455" t="s">
        <v>6</v>
      </c>
      <c r="DN455">
        <v>0</v>
      </c>
      <c r="DO455">
        <v>0</v>
      </c>
      <c r="DP455">
        <v>1</v>
      </c>
      <c r="DQ455">
        <v>1</v>
      </c>
      <c r="DU455">
        <v>1013</v>
      </c>
      <c r="DV455" t="s">
        <v>846</v>
      </c>
      <c r="DW455" t="s">
        <v>846</v>
      </c>
      <c r="DX455">
        <v>1</v>
      </c>
      <c r="EE455">
        <v>16510412</v>
      </c>
      <c r="EF455">
        <v>4</v>
      </c>
      <c r="EG455" t="s">
        <v>830</v>
      </c>
      <c r="EH455">
        <v>0</v>
      </c>
      <c r="EI455" t="s">
        <v>6</v>
      </c>
      <c r="EJ455">
        <v>4</v>
      </c>
      <c r="EK455">
        <v>200001</v>
      </c>
      <c r="EL455" t="s">
        <v>831</v>
      </c>
      <c r="EM455" t="s">
        <v>832</v>
      </c>
      <c r="EO455" t="s">
        <v>833</v>
      </c>
      <c r="EQ455">
        <v>131072</v>
      </c>
      <c r="ER455">
        <v>19.63</v>
      </c>
      <c r="ES455">
        <v>0</v>
      </c>
      <c r="ET455">
        <v>0</v>
      </c>
      <c r="EU455">
        <v>0</v>
      </c>
      <c r="EV455">
        <v>19.63</v>
      </c>
      <c r="EW455">
        <v>1.62</v>
      </c>
      <c r="EX455">
        <v>0</v>
      </c>
      <c r="EY455">
        <v>0</v>
      </c>
      <c r="FQ455">
        <v>0</v>
      </c>
      <c r="FR455">
        <f>ROUND(IF(AND(BH455=3,BI455=3),P455,0),2)</f>
        <v>0</v>
      </c>
      <c r="FS455">
        <v>0</v>
      </c>
      <c r="FX455">
        <v>65</v>
      </c>
      <c r="FY455">
        <v>40</v>
      </c>
      <c r="GA455" t="s">
        <v>6</v>
      </c>
      <c r="GD455">
        <v>0</v>
      </c>
      <c r="GF455">
        <v>-1211304926</v>
      </c>
      <c r="GG455">
        <v>1</v>
      </c>
      <c r="GH455">
        <v>1</v>
      </c>
      <c r="GI455">
        <v>4</v>
      </c>
      <c r="GJ455">
        <v>0</v>
      </c>
      <c r="GK455">
        <f>ROUND(R455*(R12)/100,2)</f>
        <v>0</v>
      </c>
      <c r="GL455">
        <f>ROUND(IF(AND(BH455=3,BI455=3,FS455&lt;&gt;0),P455,0),2)</f>
        <v>0</v>
      </c>
      <c r="GM455">
        <f>ROUND(O455+X455+Y455+GK455,2)+GX455</f>
        <v>28040.87</v>
      </c>
      <c r="GN455">
        <f>IF(OR(BI455=0,BI455=1),ROUND(O455+X455+Y455+GK455,2),0)</f>
        <v>0</v>
      </c>
      <c r="GO455">
        <f>IF(BI455=2,ROUND(O455+X455+Y455+GK455,2),0)</f>
        <v>0</v>
      </c>
      <c r="GP455">
        <f>IF(BI455=4,ROUND(O455+X455+Y455+GK455,2)+GX455,0)</f>
        <v>28040.87</v>
      </c>
      <c r="GR455">
        <v>0</v>
      </c>
      <c r="GS455">
        <v>3</v>
      </c>
      <c r="GT455">
        <v>0</v>
      </c>
      <c r="GU455" t="s">
        <v>6</v>
      </c>
      <c r="GV455">
        <f>ROUND(GT455,2)</f>
        <v>0</v>
      </c>
      <c r="GW455">
        <v>1</v>
      </c>
      <c r="GX455">
        <f>ROUND(GV455*GW455*I455,2)</f>
        <v>0</v>
      </c>
      <c r="HA455">
        <v>0</v>
      </c>
      <c r="HB455">
        <v>0</v>
      </c>
      <c r="IK455">
        <v>0</v>
      </c>
    </row>
    <row r="457" spans="1:245" x14ac:dyDescent="0.2">
      <c r="A457" s="2">
        <v>51</v>
      </c>
      <c r="B457" s="2">
        <f>B448</f>
        <v>1</v>
      </c>
      <c r="C457" s="2">
        <f>A448</f>
        <v>4</v>
      </c>
      <c r="D457" s="2">
        <f>ROW(A448)</f>
        <v>448</v>
      </c>
      <c r="E457" s="2"/>
      <c r="F457" s="2" t="str">
        <f>IF(F448&lt;&gt;"",F448,"")</f>
        <v>Новый раздел</v>
      </c>
      <c r="G457" s="2" t="str">
        <f>IF(G448&lt;&gt;"",G448,"")</f>
        <v>3 Пусконаладочные работы</v>
      </c>
      <c r="H457" s="2">
        <v>0</v>
      </c>
      <c r="I457" s="2"/>
      <c r="J457" s="2"/>
      <c r="K457" s="2"/>
      <c r="L457" s="2"/>
      <c r="M457" s="2"/>
      <c r="N457" s="2"/>
      <c r="O457" s="2">
        <f t="shared" ref="O457:T457" si="330">ROUND(AB457,2)</f>
        <v>43600.98</v>
      </c>
      <c r="P457" s="2">
        <f t="shared" si="330"/>
        <v>0</v>
      </c>
      <c r="Q457" s="2">
        <f t="shared" si="330"/>
        <v>0</v>
      </c>
      <c r="R457" s="2">
        <f t="shared" si="330"/>
        <v>0</v>
      </c>
      <c r="S457" s="2">
        <f t="shared" si="330"/>
        <v>43600.98</v>
      </c>
      <c r="T457" s="2">
        <f t="shared" si="330"/>
        <v>0</v>
      </c>
      <c r="U457" s="2">
        <f>AH457</f>
        <v>182.96640000000002</v>
      </c>
      <c r="V457" s="2">
        <f>AI457</f>
        <v>0</v>
      </c>
      <c r="W457" s="2">
        <f>ROUND(AJ457,2)</f>
        <v>0</v>
      </c>
      <c r="X457" s="2">
        <f>ROUND(AK457,2)</f>
        <v>28340.65</v>
      </c>
      <c r="Y457" s="2">
        <f>ROUND(AL457,2)</f>
        <v>17440.400000000001</v>
      </c>
      <c r="Z457" s="2"/>
      <c r="AA457" s="2"/>
      <c r="AB457" s="2">
        <f>ROUND(SUMIF(AA452:AA455,"=16748969",O452:O455),2)</f>
        <v>43600.98</v>
      </c>
      <c r="AC457" s="2">
        <f>ROUND(SUMIF(AA452:AA455,"=16748969",P452:P455),2)</f>
        <v>0</v>
      </c>
      <c r="AD457" s="2">
        <f>ROUND(SUMIF(AA452:AA455,"=16748969",Q452:Q455),2)</f>
        <v>0</v>
      </c>
      <c r="AE457" s="2">
        <f>ROUND(SUMIF(AA452:AA455,"=16748969",R452:R455),2)</f>
        <v>0</v>
      </c>
      <c r="AF457" s="2">
        <f>ROUND(SUMIF(AA452:AA455,"=16748969",S452:S455),2)</f>
        <v>43600.98</v>
      </c>
      <c r="AG457" s="2">
        <f>ROUND(SUMIF(AA452:AA455,"=16748969",T452:T455),2)</f>
        <v>0</v>
      </c>
      <c r="AH457" s="2">
        <f>SUMIF(AA452:AA455,"=16748969",U452:U455)</f>
        <v>182.96640000000002</v>
      </c>
      <c r="AI457" s="2">
        <f>SUMIF(AA452:AA455,"=16748969",V452:V455)</f>
        <v>0</v>
      </c>
      <c r="AJ457" s="2">
        <f>ROUND(SUMIF(AA452:AA455,"=16748969",W452:W455),2)</f>
        <v>0</v>
      </c>
      <c r="AK457" s="2">
        <f>ROUND(SUMIF(AA452:AA455,"=16748969",X452:X455),2)</f>
        <v>28340.65</v>
      </c>
      <c r="AL457" s="2">
        <f>ROUND(SUMIF(AA452:AA455,"=16748969",Y452:Y455),2)</f>
        <v>17440.400000000001</v>
      </c>
      <c r="AM457" s="2"/>
      <c r="AN457" s="2"/>
      <c r="AO457" s="2">
        <f t="shared" ref="AO457:BC457" si="331">ROUND(BX457,2)</f>
        <v>0</v>
      </c>
      <c r="AP457" s="2">
        <f t="shared" si="331"/>
        <v>0</v>
      </c>
      <c r="AQ457" s="2">
        <f t="shared" si="331"/>
        <v>0</v>
      </c>
      <c r="AR457" s="2">
        <f t="shared" si="331"/>
        <v>89382.03</v>
      </c>
      <c r="AS457" s="2">
        <f t="shared" si="331"/>
        <v>0</v>
      </c>
      <c r="AT457" s="2">
        <f t="shared" si="331"/>
        <v>0</v>
      </c>
      <c r="AU457" s="2">
        <f t="shared" si="331"/>
        <v>89382.03</v>
      </c>
      <c r="AV457" s="2">
        <f t="shared" si="331"/>
        <v>0</v>
      </c>
      <c r="AW457" s="2">
        <f t="shared" si="331"/>
        <v>0</v>
      </c>
      <c r="AX457" s="2">
        <f t="shared" si="331"/>
        <v>0</v>
      </c>
      <c r="AY457" s="2">
        <f t="shared" si="331"/>
        <v>0</v>
      </c>
      <c r="AZ457" s="2">
        <f t="shared" si="331"/>
        <v>0</v>
      </c>
      <c r="BA457" s="2">
        <f t="shared" si="331"/>
        <v>0</v>
      </c>
      <c r="BB457" s="2">
        <f t="shared" si="331"/>
        <v>0</v>
      </c>
      <c r="BC457" s="2">
        <f t="shared" si="331"/>
        <v>0</v>
      </c>
      <c r="BD457" s="2"/>
      <c r="BE457" s="2"/>
      <c r="BF457" s="2"/>
      <c r="BG457" s="2"/>
      <c r="BH457" s="2"/>
      <c r="BI457" s="2"/>
      <c r="BJ457" s="2"/>
      <c r="BK457" s="2"/>
      <c r="BL457" s="2"/>
      <c r="BM457" s="2"/>
      <c r="BN457" s="2"/>
      <c r="BO457" s="2"/>
      <c r="BP457" s="2"/>
      <c r="BQ457" s="2"/>
      <c r="BR457" s="2"/>
      <c r="BS457" s="2"/>
      <c r="BT457" s="2"/>
      <c r="BU457" s="2"/>
      <c r="BV457" s="2"/>
      <c r="BW457" s="2"/>
      <c r="BX457" s="2">
        <f>ROUND(SUMIF(AA452:AA455,"=16748969",FQ452:FQ455),2)</f>
        <v>0</v>
      </c>
      <c r="BY457" s="2">
        <f>ROUND(SUMIF(AA452:AA455,"=16748969",FR452:FR455),2)</f>
        <v>0</v>
      </c>
      <c r="BZ457" s="2">
        <f>ROUND(SUMIF(AA452:AA455,"=16748969",GL452:GL455),2)</f>
        <v>0</v>
      </c>
      <c r="CA457" s="2">
        <f>ROUND(SUMIF(AA452:AA455,"=16748969",GM452:GM455),2)</f>
        <v>89382.03</v>
      </c>
      <c r="CB457" s="2">
        <f>ROUND(SUMIF(AA452:AA455,"=16748969",GN452:GN455),2)</f>
        <v>0</v>
      </c>
      <c r="CC457" s="2">
        <f>ROUND(SUMIF(AA452:AA455,"=16748969",GO452:GO455),2)</f>
        <v>0</v>
      </c>
      <c r="CD457" s="2">
        <f>ROUND(SUMIF(AA452:AA455,"=16748969",GP452:GP455),2)</f>
        <v>89382.03</v>
      </c>
      <c r="CE457" s="2">
        <f>AC457-BX457</f>
        <v>0</v>
      </c>
      <c r="CF457" s="2">
        <f>AC457-BY457</f>
        <v>0</v>
      </c>
      <c r="CG457" s="2">
        <f>BX457-BZ457</f>
        <v>0</v>
      </c>
      <c r="CH457" s="2">
        <f>AC457-BX457-BY457+BZ457</f>
        <v>0</v>
      </c>
      <c r="CI457" s="2">
        <f>BY457-BZ457</f>
        <v>0</v>
      </c>
      <c r="CJ457" s="2">
        <f>ROUND(SUMIF(AA452:AA455,"=16748969",GX452:GX455),2)</f>
        <v>0</v>
      </c>
      <c r="CK457" s="2">
        <f>ROUND(SUMIF(AA452:AA455,"=16748969",GY452:GY455),2)</f>
        <v>0</v>
      </c>
      <c r="CL457" s="2">
        <f>ROUND(SUMIF(AA452:AA455,"=16748969",GZ452:GZ455),2)</f>
        <v>0</v>
      </c>
      <c r="CM457" s="2"/>
      <c r="CN457" s="2"/>
      <c r="CO457" s="2"/>
      <c r="CP457" s="2"/>
      <c r="CQ457" s="2"/>
      <c r="CR457" s="2"/>
      <c r="CS457" s="2"/>
      <c r="CT457" s="2"/>
      <c r="CU457" s="2"/>
      <c r="CV457" s="2"/>
      <c r="CW457" s="2"/>
      <c r="CX457" s="2"/>
      <c r="CY457" s="2"/>
      <c r="CZ457" s="2"/>
      <c r="DA457" s="2"/>
      <c r="DB457" s="2"/>
      <c r="DC457" s="2"/>
      <c r="DD457" s="2"/>
      <c r="DE457" s="2"/>
      <c r="DF457" s="2"/>
      <c r="DG457" s="3"/>
      <c r="DH457" s="3"/>
      <c r="DI457" s="3"/>
      <c r="DJ457" s="3"/>
      <c r="DK457" s="3"/>
      <c r="DL457" s="3"/>
      <c r="DM457" s="3"/>
      <c r="DN457" s="3"/>
      <c r="DO457" s="3"/>
      <c r="DP457" s="3"/>
      <c r="DQ457" s="3"/>
      <c r="DR457" s="3"/>
      <c r="DS457" s="3"/>
      <c r="DT457" s="3"/>
      <c r="DU457" s="3"/>
      <c r="DV457" s="3"/>
      <c r="DW457" s="3"/>
      <c r="DX457" s="3"/>
      <c r="DY457" s="3"/>
      <c r="DZ457" s="3"/>
      <c r="EA457" s="3"/>
      <c r="EB457" s="3"/>
      <c r="EC457" s="3"/>
      <c r="ED457" s="3"/>
      <c r="EE457" s="3"/>
      <c r="EF457" s="3"/>
      <c r="EG457" s="3"/>
      <c r="EH457" s="3"/>
      <c r="EI457" s="3"/>
      <c r="EJ457" s="3"/>
      <c r="EK457" s="3"/>
      <c r="EL457" s="3"/>
      <c r="EM457" s="3"/>
      <c r="EN457" s="3"/>
      <c r="EO457" s="3"/>
      <c r="EP457" s="3"/>
      <c r="EQ457" s="3"/>
      <c r="ER457" s="3"/>
      <c r="ES457" s="3"/>
      <c r="ET457" s="3"/>
      <c r="EU457" s="3"/>
      <c r="EV457" s="3"/>
      <c r="EW457" s="3"/>
      <c r="EX457" s="3"/>
      <c r="EY457" s="3"/>
      <c r="EZ457" s="3"/>
      <c r="FA457" s="3"/>
      <c r="FB457" s="3"/>
      <c r="FC457" s="3"/>
      <c r="FD457" s="3"/>
      <c r="FE457" s="3"/>
      <c r="FF457" s="3"/>
      <c r="FG457" s="3"/>
      <c r="FH457" s="3"/>
      <c r="FI457" s="3"/>
      <c r="FJ457" s="3"/>
      <c r="FK457" s="3"/>
      <c r="FL457" s="3"/>
      <c r="FM457" s="3"/>
      <c r="FN457" s="3"/>
      <c r="FO457" s="3"/>
      <c r="FP457" s="3"/>
      <c r="FQ457" s="3"/>
      <c r="FR457" s="3"/>
      <c r="FS457" s="3"/>
      <c r="FT457" s="3"/>
      <c r="FU457" s="3"/>
      <c r="FV457" s="3"/>
      <c r="FW457" s="3"/>
      <c r="FX457" s="3"/>
      <c r="FY457" s="3"/>
      <c r="FZ457" s="3"/>
      <c r="GA457" s="3"/>
      <c r="GB457" s="3"/>
      <c r="GC457" s="3"/>
      <c r="GD457" s="3"/>
      <c r="GE457" s="3"/>
      <c r="GF457" s="3"/>
      <c r="GG457" s="3"/>
      <c r="GH457" s="3"/>
      <c r="GI457" s="3"/>
      <c r="GJ457" s="3"/>
      <c r="GK457" s="3"/>
      <c r="GL457" s="3"/>
      <c r="GM457" s="3"/>
      <c r="GN457" s="3"/>
      <c r="GO457" s="3"/>
      <c r="GP457" s="3"/>
      <c r="GQ457" s="3"/>
      <c r="GR457" s="3"/>
      <c r="GS457" s="3"/>
      <c r="GT457" s="3"/>
      <c r="GU457" s="3"/>
      <c r="GV457" s="3"/>
      <c r="GW457" s="3"/>
      <c r="GX457" s="3">
        <v>0</v>
      </c>
    </row>
    <row r="459" spans="1:245" x14ac:dyDescent="0.2">
      <c r="A459" s="4">
        <v>50</v>
      </c>
      <c r="B459" s="4">
        <v>0</v>
      </c>
      <c r="C459" s="4">
        <v>0</v>
      </c>
      <c r="D459" s="4">
        <v>1</v>
      </c>
      <c r="E459" s="4">
        <v>201</v>
      </c>
      <c r="F459" s="4">
        <f>ROUND(Source!O457,O459)</f>
        <v>43600.98</v>
      </c>
      <c r="G459" s="4" t="s">
        <v>115</v>
      </c>
      <c r="H459" s="4" t="s">
        <v>116</v>
      </c>
      <c r="I459" s="4"/>
      <c r="J459" s="4"/>
      <c r="K459" s="4">
        <v>201</v>
      </c>
      <c r="L459" s="4">
        <v>1</v>
      </c>
      <c r="M459" s="4">
        <v>3</v>
      </c>
      <c r="N459" s="4" t="s">
        <v>6</v>
      </c>
      <c r="O459" s="4">
        <v>2</v>
      </c>
      <c r="P459" s="4"/>
      <c r="Q459" s="4"/>
      <c r="R459" s="4"/>
      <c r="S459" s="4"/>
      <c r="T459" s="4"/>
      <c r="U459" s="4"/>
      <c r="V459" s="4"/>
      <c r="W459" s="4"/>
    </row>
    <row r="460" spans="1:245" x14ac:dyDescent="0.2">
      <c r="A460" s="4">
        <v>50</v>
      </c>
      <c r="B460" s="4">
        <v>0</v>
      </c>
      <c r="C460" s="4">
        <v>0</v>
      </c>
      <c r="D460" s="4">
        <v>1</v>
      </c>
      <c r="E460" s="4">
        <v>202</v>
      </c>
      <c r="F460" s="4">
        <f>ROUND(Source!P457,O460)</f>
        <v>0</v>
      </c>
      <c r="G460" s="4" t="s">
        <v>117</v>
      </c>
      <c r="H460" s="4" t="s">
        <v>118</v>
      </c>
      <c r="I460" s="4"/>
      <c r="J460" s="4"/>
      <c r="K460" s="4">
        <v>202</v>
      </c>
      <c r="L460" s="4">
        <v>2</v>
      </c>
      <c r="M460" s="4">
        <v>3</v>
      </c>
      <c r="N460" s="4" t="s">
        <v>6</v>
      </c>
      <c r="O460" s="4">
        <v>2</v>
      </c>
      <c r="P460" s="4"/>
      <c r="Q460" s="4"/>
      <c r="R460" s="4"/>
      <c r="S460" s="4"/>
      <c r="T460" s="4"/>
      <c r="U460" s="4"/>
      <c r="V460" s="4"/>
      <c r="W460" s="4"/>
    </row>
    <row r="461" spans="1:245" x14ac:dyDescent="0.2">
      <c r="A461" s="4">
        <v>50</v>
      </c>
      <c r="B461" s="4">
        <v>0</v>
      </c>
      <c r="C461" s="4">
        <v>0</v>
      </c>
      <c r="D461" s="4">
        <v>1</v>
      </c>
      <c r="E461" s="4">
        <v>222</v>
      </c>
      <c r="F461" s="4">
        <f>ROUND(Source!AO457,O461)</f>
        <v>0</v>
      </c>
      <c r="G461" s="4" t="s">
        <v>119</v>
      </c>
      <c r="H461" s="4" t="s">
        <v>120</v>
      </c>
      <c r="I461" s="4"/>
      <c r="J461" s="4"/>
      <c r="K461" s="4">
        <v>222</v>
      </c>
      <c r="L461" s="4">
        <v>3</v>
      </c>
      <c r="M461" s="4">
        <v>3</v>
      </c>
      <c r="N461" s="4" t="s">
        <v>6</v>
      </c>
      <c r="O461" s="4">
        <v>2</v>
      </c>
      <c r="P461" s="4"/>
      <c r="Q461" s="4"/>
      <c r="R461" s="4"/>
      <c r="S461" s="4"/>
      <c r="T461" s="4"/>
      <c r="U461" s="4"/>
      <c r="V461" s="4"/>
      <c r="W461" s="4"/>
    </row>
    <row r="462" spans="1:245" x14ac:dyDescent="0.2">
      <c r="A462" s="4">
        <v>50</v>
      </c>
      <c r="B462" s="4">
        <v>0</v>
      </c>
      <c r="C462" s="4">
        <v>0</v>
      </c>
      <c r="D462" s="4">
        <v>1</v>
      </c>
      <c r="E462" s="4">
        <v>225</v>
      </c>
      <c r="F462" s="4">
        <f>ROUND(Source!AV457,O462)</f>
        <v>0</v>
      </c>
      <c r="G462" s="4" t="s">
        <v>121</v>
      </c>
      <c r="H462" s="4" t="s">
        <v>122</v>
      </c>
      <c r="I462" s="4"/>
      <c r="J462" s="4"/>
      <c r="K462" s="4">
        <v>225</v>
      </c>
      <c r="L462" s="4">
        <v>4</v>
      </c>
      <c r="M462" s="4">
        <v>3</v>
      </c>
      <c r="N462" s="4" t="s">
        <v>6</v>
      </c>
      <c r="O462" s="4">
        <v>2</v>
      </c>
      <c r="P462" s="4"/>
      <c r="Q462" s="4"/>
      <c r="R462" s="4"/>
      <c r="S462" s="4"/>
      <c r="T462" s="4"/>
      <c r="U462" s="4"/>
      <c r="V462" s="4"/>
      <c r="W462" s="4"/>
    </row>
    <row r="463" spans="1:245" x14ac:dyDescent="0.2">
      <c r="A463" s="4">
        <v>50</v>
      </c>
      <c r="B463" s="4">
        <v>0</v>
      </c>
      <c r="C463" s="4">
        <v>0</v>
      </c>
      <c r="D463" s="4">
        <v>1</v>
      </c>
      <c r="E463" s="4">
        <v>226</v>
      </c>
      <c r="F463" s="4">
        <f>ROUND(Source!AW457,O463)</f>
        <v>0</v>
      </c>
      <c r="G463" s="4" t="s">
        <v>123</v>
      </c>
      <c r="H463" s="4" t="s">
        <v>124</v>
      </c>
      <c r="I463" s="4"/>
      <c r="J463" s="4"/>
      <c r="K463" s="4">
        <v>226</v>
      </c>
      <c r="L463" s="4">
        <v>5</v>
      </c>
      <c r="M463" s="4">
        <v>3</v>
      </c>
      <c r="N463" s="4" t="s">
        <v>6</v>
      </c>
      <c r="O463" s="4">
        <v>2</v>
      </c>
      <c r="P463" s="4"/>
      <c r="Q463" s="4"/>
      <c r="R463" s="4"/>
      <c r="S463" s="4"/>
      <c r="T463" s="4"/>
      <c r="U463" s="4"/>
      <c r="V463" s="4"/>
      <c r="W463" s="4"/>
    </row>
    <row r="464" spans="1:245" x14ac:dyDescent="0.2">
      <c r="A464" s="4">
        <v>50</v>
      </c>
      <c r="B464" s="4">
        <v>0</v>
      </c>
      <c r="C464" s="4">
        <v>0</v>
      </c>
      <c r="D464" s="4">
        <v>1</v>
      </c>
      <c r="E464" s="4">
        <v>227</v>
      </c>
      <c r="F464" s="4">
        <f>ROUND(Source!AX457,O464)</f>
        <v>0</v>
      </c>
      <c r="G464" s="4" t="s">
        <v>125</v>
      </c>
      <c r="H464" s="4" t="s">
        <v>126</v>
      </c>
      <c r="I464" s="4"/>
      <c r="J464" s="4"/>
      <c r="K464" s="4">
        <v>227</v>
      </c>
      <c r="L464" s="4">
        <v>6</v>
      </c>
      <c r="M464" s="4">
        <v>3</v>
      </c>
      <c r="N464" s="4" t="s">
        <v>6</v>
      </c>
      <c r="O464" s="4">
        <v>2</v>
      </c>
      <c r="P464" s="4"/>
      <c r="Q464" s="4"/>
      <c r="R464" s="4"/>
      <c r="S464" s="4"/>
      <c r="T464" s="4"/>
      <c r="U464" s="4"/>
      <c r="V464" s="4"/>
      <c r="W464" s="4"/>
    </row>
    <row r="465" spans="1:23" x14ac:dyDescent="0.2">
      <c r="A465" s="4">
        <v>50</v>
      </c>
      <c r="B465" s="4">
        <v>0</v>
      </c>
      <c r="C465" s="4">
        <v>0</v>
      </c>
      <c r="D465" s="4">
        <v>1</v>
      </c>
      <c r="E465" s="4">
        <v>228</v>
      </c>
      <c r="F465" s="4">
        <f>ROUND(Source!AY457,O465)</f>
        <v>0</v>
      </c>
      <c r="G465" s="4" t="s">
        <v>127</v>
      </c>
      <c r="H465" s="4" t="s">
        <v>128</v>
      </c>
      <c r="I465" s="4"/>
      <c r="J465" s="4"/>
      <c r="K465" s="4">
        <v>228</v>
      </c>
      <c r="L465" s="4">
        <v>7</v>
      </c>
      <c r="M465" s="4">
        <v>3</v>
      </c>
      <c r="N465" s="4" t="s">
        <v>6</v>
      </c>
      <c r="O465" s="4">
        <v>2</v>
      </c>
      <c r="P465" s="4"/>
      <c r="Q465" s="4"/>
      <c r="R465" s="4"/>
      <c r="S465" s="4"/>
      <c r="T465" s="4"/>
      <c r="U465" s="4"/>
      <c r="V465" s="4"/>
      <c r="W465" s="4"/>
    </row>
    <row r="466" spans="1:23" x14ac:dyDescent="0.2">
      <c r="A466" s="4">
        <v>50</v>
      </c>
      <c r="B466" s="4">
        <v>0</v>
      </c>
      <c r="C466" s="4">
        <v>0</v>
      </c>
      <c r="D466" s="4">
        <v>1</v>
      </c>
      <c r="E466" s="4">
        <v>216</v>
      </c>
      <c r="F466" s="4">
        <f>ROUND(Source!AP457,O466)</f>
        <v>0</v>
      </c>
      <c r="G466" s="4" t="s">
        <v>129</v>
      </c>
      <c r="H466" s="4" t="s">
        <v>130</v>
      </c>
      <c r="I466" s="4"/>
      <c r="J466" s="4"/>
      <c r="K466" s="4">
        <v>216</v>
      </c>
      <c r="L466" s="4">
        <v>8</v>
      </c>
      <c r="M466" s="4">
        <v>3</v>
      </c>
      <c r="N466" s="4" t="s">
        <v>6</v>
      </c>
      <c r="O466" s="4">
        <v>2</v>
      </c>
      <c r="P466" s="4"/>
      <c r="Q466" s="4"/>
      <c r="R466" s="4"/>
      <c r="S466" s="4"/>
      <c r="T466" s="4"/>
      <c r="U466" s="4"/>
      <c r="V466" s="4"/>
      <c r="W466" s="4"/>
    </row>
    <row r="467" spans="1:23" x14ac:dyDescent="0.2">
      <c r="A467" s="4">
        <v>50</v>
      </c>
      <c r="B467" s="4">
        <v>0</v>
      </c>
      <c r="C467" s="4">
        <v>0</v>
      </c>
      <c r="D467" s="4">
        <v>1</v>
      </c>
      <c r="E467" s="4">
        <v>223</v>
      </c>
      <c r="F467" s="4">
        <f>ROUND(Source!AQ457,O467)</f>
        <v>0</v>
      </c>
      <c r="G467" s="4" t="s">
        <v>131</v>
      </c>
      <c r="H467" s="4" t="s">
        <v>132</v>
      </c>
      <c r="I467" s="4"/>
      <c r="J467" s="4"/>
      <c r="K467" s="4">
        <v>223</v>
      </c>
      <c r="L467" s="4">
        <v>9</v>
      </c>
      <c r="M467" s="4">
        <v>3</v>
      </c>
      <c r="N467" s="4" t="s">
        <v>6</v>
      </c>
      <c r="O467" s="4">
        <v>2</v>
      </c>
      <c r="P467" s="4"/>
      <c r="Q467" s="4"/>
      <c r="R467" s="4"/>
      <c r="S467" s="4"/>
      <c r="T467" s="4"/>
      <c r="U467" s="4"/>
      <c r="V467" s="4"/>
      <c r="W467" s="4"/>
    </row>
    <row r="468" spans="1:23" x14ac:dyDescent="0.2">
      <c r="A468" s="4">
        <v>50</v>
      </c>
      <c r="B468" s="4">
        <v>0</v>
      </c>
      <c r="C468" s="4">
        <v>0</v>
      </c>
      <c r="D468" s="4">
        <v>1</v>
      </c>
      <c r="E468" s="4">
        <v>229</v>
      </c>
      <c r="F468" s="4">
        <f>ROUND(Source!AZ457,O468)</f>
        <v>0</v>
      </c>
      <c r="G468" s="4" t="s">
        <v>133</v>
      </c>
      <c r="H468" s="4" t="s">
        <v>134</v>
      </c>
      <c r="I468" s="4"/>
      <c r="J468" s="4"/>
      <c r="K468" s="4">
        <v>229</v>
      </c>
      <c r="L468" s="4">
        <v>10</v>
      </c>
      <c r="M468" s="4">
        <v>3</v>
      </c>
      <c r="N468" s="4" t="s">
        <v>6</v>
      </c>
      <c r="O468" s="4">
        <v>2</v>
      </c>
      <c r="P468" s="4"/>
      <c r="Q468" s="4"/>
      <c r="R468" s="4"/>
      <c r="S468" s="4"/>
      <c r="T468" s="4"/>
      <c r="U468" s="4"/>
      <c r="V468" s="4"/>
      <c r="W468" s="4"/>
    </row>
    <row r="469" spans="1:23" x14ac:dyDescent="0.2">
      <c r="A469" s="4">
        <v>50</v>
      </c>
      <c r="B469" s="4">
        <v>0</v>
      </c>
      <c r="C469" s="4">
        <v>0</v>
      </c>
      <c r="D469" s="4">
        <v>1</v>
      </c>
      <c r="E469" s="4">
        <v>203</v>
      </c>
      <c r="F469" s="4">
        <f>ROUND(Source!Q457,O469)</f>
        <v>0</v>
      </c>
      <c r="G469" s="4" t="s">
        <v>135</v>
      </c>
      <c r="H469" s="4" t="s">
        <v>136</v>
      </c>
      <c r="I469" s="4"/>
      <c r="J469" s="4"/>
      <c r="K469" s="4">
        <v>203</v>
      </c>
      <c r="L469" s="4">
        <v>11</v>
      </c>
      <c r="M469" s="4">
        <v>3</v>
      </c>
      <c r="N469" s="4" t="s">
        <v>6</v>
      </c>
      <c r="O469" s="4">
        <v>2</v>
      </c>
      <c r="P469" s="4"/>
      <c r="Q469" s="4"/>
      <c r="R469" s="4"/>
      <c r="S469" s="4"/>
      <c r="T469" s="4"/>
      <c r="U469" s="4"/>
      <c r="V469" s="4"/>
      <c r="W469" s="4"/>
    </row>
    <row r="470" spans="1:23" x14ac:dyDescent="0.2">
      <c r="A470" s="4">
        <v>50</v>
      </c>
      <c r="B470" s="4">
        <v>0</v>
      </c>
      <c r="C470" s="4">
        <v>0</v>
      </c>
      <c r="D470" s="4">
        <v>1</v>
      </c>
      <c r="E470" s="4">
        <v>231</v>
      </c>
      <c r="F470" s="4">
        <f>ROUND(Source!BB457,O470)</f>
        <v>0</v>
      </c>
      <c r="G470" s="4" t="s">
        <v>137</v>
      </c>
      <c r="H470" s="4" t="s">
        <v>138</v>
      </c>
      <c r="I470" s="4"/>
      <c r="J470" s="4"/>
      <c r="K470" s="4">
        <v>231</v>
      </c>
      <c r="L470" s="4">
        <v>12</v>
      </c>
      <c r="M470" s="4">
        <v>3</v>
      </c>
      <c r="N470" s="4" t="s">
        <v>6</v>
      </c>
      <c r="O470" s="4">
        <v>2</v>
      </c>
      <c r="P470" s="4"/>
      <c r="Q470" s="4"/>
      <c r="R470" s="4"/>
      <c r="S470" s="4"/>
      <c r="T470" s="4"/>
      <c r="U470" s="4"/>
      <c r="V470" s="4"/>
      <c r="W470" s="4"/>
    </row>
    <row r="471" spans="1:23" x14ac:dyDescent="0.2">
      <c r="A471" s="4">
        <v>50</v>
      </c>
      <c r="B471" s="4">
        <v>0</v>
      </c>
      <c r="C471" s="4">
        <v>0</v>
      </c>
      <c r="D471" s="4">
        <v>1</v>
      </c>
      <c r="E471" s="4">
        <v>204</v>
      </c>
      <c r="F471" s="4">
        <f>ROUND(Source!R457,O471)</f>
        <v>0</v>
      </c>
      <c r="G471" s="4" t="s">
        <v>139</v>
      </c>
      <c r="H471" s="4" t="s">
        <v>140</v>
      </c>
      <c r="I471" s="4"/>
      <c r="J471" s="4"/>
      <c r="K471" s="4">
        <v>204</v>
      </c>
      <c r="L471" s="4">
        <v>13</v>
      </c>
      <c r="M471" s="4">
        <v>3</v>
      </c>
      <c r="N471" s="4" t="s">
        <v>6</v>
      </c>
      <c r="O471" s="4">
        <v>2</v>
      </c>
      <c r="P471" s="4"/>
      <c r="Q471" s="4"/>
      <c r="R471" s="4"/>
      <c r="S471" s="4"/>
      <c r="T471" s="4"/>
      <c r="U471" s="4"/>
      <c r="V471" s="4"/>
      <c r="W471" s="4"/>
    </row>
    <row r="472" spans="1:23" x14ac:dyDescent="0.2">
      <c r="A472" s="4">
        <v>50</v>
      </c>
      <c r="B472" s="4">
        <v>0</v>
      </c>
      <c r="C472" s="4">
        <v>0</v>
      </c>
      <c r="D472" s="4">
        <v>1</v>
      </c>
      <c r="E472" s="4">
        <v>205</v>
      </c>
      <c r="F472" s="4">
        <f>ROUND(Source!S457,O472)</f>
        <v>43600.98</v>
      </c>
      <c r="G472" s="4" t="s">
        <v>141</v>
      </c>
      <c r="H472" s="4" t="s">
        <v>142</v>
      </c>
      <c r="I472" s="4"/>
      <c r="J472" s="4"/>
      <c r="K472" s="4">
        <v>205</v>
      </c>
      <c r="L472" s="4">
        <v>14</v>
      </c>
      <c r="M472" s="4">
        <v>3</v>
      </c>
      <c r="N472" s="4" t="s">
        <v>6</v>
      </c>
      <c r="O472" s="4">
        <v>2</v>
      </c>
      <c r="P472" s="4"/>
      <c r="Q472" s="4"/>
      <c r="R472" s="4"/>
      <c r="S472" s="4"/>
      <c r="T472" s="4"/>
      <c r="U472" s="4"/>
      <c r="V472" s="4"/>
      <c r="W472" s="4"/>
    </row>
    <row r="473" spans="1:23" x14ac:dyDescent="0.2">
      <c r="A473" s="4">
        <v>50</v>
      </c>
      <c r="B473" s="4">
        <v>0</v>
      </c>
      <c r="C473" s="4">
        <v>0</v>
      </c>
      <c r="D473" s="4">
        <v>1</v>
      </c>
      <c r="E473" s="4">
        <v>232</v>
      </c>
      <c r="F473" s="4">
        <f>ROUND(Source!BC457,O473)</f>
        <v>0</v>
      </c>
      <c r="G473" s="4" t="s">
        <v>143</v>
      </c>
      <c r="H473" s="4" t="s">
        <v>144</v>
      </c>
      <c r="I473" s="4"/>
      <c r="J473" s="4"/>
      <c r="K473" s="4">
        <v>232</v>
      </c>
      <c r="L473" s="4">
        <v>15</v>
      </c>
      <c r="M473" s="4">
        <v>3</v>
      </c>
      <c r="N473" s="4" t="s">
        <v>6</v>
      </c>
      <c r="O473" s="4">
        <v>2</v>
      </c>
      <c r="P473" s="4"/>
      <c r="Q473" s="4"/>
      <c r="R473" s="4"/>
      <c r="S473" s="4"/>
      <c r="T473" s="4"/>
      <c r="U473" s="4"/>
      <c r="V473" s="4"/>
      <c r="W473" s="4"/>
    </row>
    <row r="474" spans="1:23" x14ac:dyDescent="0.2">
      <c r="A474" s="4">
        <v>50</v>
      </c>
      <c r="B474" s="4">
        <v>0</v>
      </c>
      <c r="C474" s="4">
        <v>0</v>
      </c>
      <c r="D474" s="4">
        <v>1</v>
      </c>
      <c r="E474" s="4">
        <v>214</v>
      </c>
      <c r="F474" s="4">
        <f>ROUND(Source!AS457,O474)</f>
        <v>0</v>
      </c>
      <c r="G474" s="4" t="s">
        <v>145</v>
      </c>
      <c r="H474" s="4" t="s">
        <v>146</v>
      </c>
      <c r="I474" s="4"/>
      <c r="J474" s="4"/>
      <c r="K474" s="4">
        <v>214</v>
      </c>
      <c r="L474" s="4">
        <v>16</v>
      </c>
      <c r="M474" s="4">
        <v>3</v>
      </c>
      <c r="N474" s="4" t="s">
        <v>6</v>
      </c>
      <c r="O474" s="4">
        <v>2</v>
      </c>
      <c r="P474" s="4"/>
      <c r="Q474" s="4"/>
      <c r="R474" s="4"/>
      <c r="S474" s="4"/>
      <c r="T474" s="4"/>
      <c r="U474" s="4"/>
      <c r="V474" s="4"/>
      <c r="W474" s="4"/>
    </row>
    <row r="475" spans="1:23" x14ac:dyDescent="0.2">
      <c r="A475" s="4">
        <v>50</v>
      </c>
      <c r="B475" s="4">
        <v>0</v>
      </c>
      <c r="C475" s="4">
        <v>0</v>
      </c>
      <c r="D475" s="4">
        <v>1</v>
      </c>
      <c r="E475" s="4">
        <v>215</v>
      </c>
      <c r="F475" s="4">
        <f>ROUND(Source!AT457,O475)</f>
        <v>0</v>
      </c>
      <c r="G475" s="4" t="s">
        <v>147</v>
      </c>
      <c r="H475" s="4" t="s">
        <v>148</v>
      </c>
      <c r="I475" s="4"/>
      <c r="J475" s="4"/>
      <c r="K475" s="4">
        <v>215</v>
      </c>
      <c r="L475" s="4">
        <v>17</v>
      </c>
      <c r="M475" s="4">
        <v>3</v>
      </c>
      <c r="N475" s="4" t="s">
        <v>6</v>
      </c>
      <c r="O475" s="4">
        <v>2</v>
      </c>
      <c r="P475" s="4"/>
      <c r="Q475" s="4"/>
      <c r="R475" s="4"/>
      <c r="S475" s="4"/>
      <c r="T475" s="4"/>
      <c r="U475" s="4"/>
      <c r="V475" s="4"/>
      <c r="W475" s="4"/>
    </row>
    <row r="476" spans="1:23" x14ac:dyDescent="0.2">
      <c r="A476" s="4">
        <v>50</v>
      </c>
      <c r="B476" s="4">
        <v>0</v>
      </c>
      <c r="C476" s="4">
        <v>0</v>
      </c>
      <c r="D476" s="4">
        <v>1</v>
      </c>
      <c r="E476" s="4">
        <v>217</v>
      </c>
      <c r="F476" s="4">
        <f>ROUND(Source!AU457,O476)</f>
        <v>89382.03</v>
      </c>
      <c r="G476" s="4" t="s">
        <v>149</v>
      </c>
      <c r="H476" s="4" t="s">
        <v>150</v>
      </c>
      <c r="I476" s="4"/>
      <c r="J476" s="4"/>
      <c r="K476" s="4">
        <v>217</v>
      </c>
      <c r="L476" s="4">
        <v>18</v>
      </c>
      <c r="M476" s="4">
        <v>3</v>
      </c>
      <c r="N476" s="4" t="s">
        <v>6</v>
      </c>
      <c r="O476" s="4">
        <v>2</v>
      </c>
      <c r="P476" s="4"/>
      <c r="Q476" s="4"/>
      <c r="R476" s="4"/>
      <c r="S476" s="4"/>
      <c r="T476" s="4"/>
      <c r="U476" s="4"/>
      <c r="V476" s="4"/>
      <c r="W476" s="4"/>
    </row>
    <row r="477" spans="1:23" x14ac:dyDescent="0.2">
      <c r="A477" s="4">
        <v>50</v>
      </c>
      <c r="B477" s="4">
        <v>0</v>
      </c>
      <c r="C477" s="4">
        <v>0</v>
      </c>
      <c r="D477" s="4">
        <v>1</v>
      </c>
      <c r="E477" s="4">
        <v>230</v>
      </c>
      <c r="F477" s="4">
        <f>ROUND(Source!BA457,O477)</f>
        <v>0</v>
      </c>
      <c r="G477" s="4" t="s">
        <v>151</v>
      </c>
      <c r="H477" s="4" t="s">
        <v>152</v>
      </c>
      <c r="I477" s="4"/>
      <c r="J477" s="4"/>
      <c r="K477" s="4">
        <v>230</v>
      </c>
      <c r="L477" s="4">
        <v>19</v>
      </c>
      <c r="M477" s="4">
        <v>3</v>
      </c>
      <c r="N477" s="4" t="s">
        <v>6</v>
      </c>
      <c r="O477" s="4">
        <v>2</v>
      </c>
      <c r="P477" s="4"/>
      <c r="Q477" s="4"/>
      <c r="R477" s="4"/>
      <c r="S477" s="4"/>
      <c r="T477" s="4"/>
      <c r="U477" s="4"/>
      <c r="V477" s="4"/>
      <c r="W477" s="4"/>
    </row>
    <row r="478" spans="1:23" x14ac:dyDescent="0.2">
      <c r="A478" s="4">
        <v>50</v>
      </c>
      <c r="B478" s="4">
        <v>0</v>
      </c>
      <c r="C478" s="4">
        <v>0</v>
      </c>
      <c r="D478" s="4">
        <v>1</v>
      </c>
      <c r="E478" s="4">
        <v>206</v>
      </c>
      <c r="F478" s="4">
        <f>ROUND(Source!T457,O478)</f>
        <v>0</v>
      </c>
      <c r="G478" s="4" t="s">
        <v>153</v>
      </c>
      <c r="H478" s="4" t="s">
        <v>154</v>
      </c>
      <c r="I478" s="4"/>
      <c r="J478" s="4"/>
      <c r="K478" s="4">
        <v>206</v>
      </c>
      <c r="L478" s="4">
        <v>20</v>
      </c>
      <c r="M478" s="4">
        <v>3</v>
      </c>
      <c r="N478" s="4" t="s">
        <v>6</v>
      </c>
      <c r="O478" s="4">
        <v>2</v>
      </c>
      <c r="P478" s="4"/>
      <c r="Q478" s="4"/>
      <c r="R478" s="4"/>
      <c r="S478" s="4"/>
      <c r="T478" s="4"/>
      <c r="U478" s="4"/>
      <c r="V478" s="4"/>
      <c r="W478" s="4"/>
    </row>
    <row r="479" spans="1:23" x14ac:dyDescent="0.2">
      <c r="A479" s="4">
        <v>50</v>
      </c>
      <c r="B479" s="4">
        <v>0</v>
      </c>
      <c r="C479" s="4">
        <v>0</v>
      </c>
      <c r="D479" s="4">
        <v>1</v>
      </c>
      <c r="E479" s="4">
        <v>207</v>
      </c>
      <c r="F479" s="4">
        <f>Source!U457</f>
        <v>182.96640000000002</v>
      </c>
      <c r="G479" s="4" t="s">
        <v>155</v>
      </c>
      <c r="H479" s="4" t="s">
        <v>156</v>
      </c>
      <c r="I479" s="4"/>
      <c r="J479" s="4"/>
      <c r="K479" s="4">
        <v>207</v>
      </c>
      <c r="L479" s="4">
        <v>21</v>
      </c>
      <c r="M479" s="4">
        <v>3</v>
      </c>
      <c r="N479" s="4" t="s">
        <v>6</v>
      </c>
      <c r="O479" s="4">
        <v>-1</v>
      </c>
      <c r="P479" s="4"/>
      <c r="Q479" s="4"/>
      <c r="R479" s="4"/>
      <c r="S479" s="4"/>
      <c r="T479" s="4"/>
      <c r="U479" s="4"/>
      <c r="V479" s="4"/>
      <c r="W479" s="4"/>
    </row>
    <row r="480" spans="1:23" x14ac:dyDescent="0.2">
      <c r="A480" s="4">
        <v>50</v>
      </c>
      <c r="B480" s="4">
        <v>0</v>
      </c>
      <c r="C480" s="4">
        <v>0</v>
      </c>
      <c r="D480" s="4">
        <v>1</v>
      </c>
      <c r="E480" s="4">
        <v>208</v>
      </c>
      <c r="F480" s="4">
        <f>Source!V457</f>
        <v>0</v>
      </c>
      <c r="G480" s="4" t="s">
        <v>157</v>
      </c>
      <c r="H480" s="4" t="s">
        <v>158</v>
      </c>
      <c r="I480" s="4"/>
      <c r="J480" s="4"/>
      <c r="K480" s="4">
        <v>208</v>
      </c>
      <c r="L480" s="4">
        <v>22</v>
      </c>
      <c r="M480" s="4">
        <v>3</v>
      </c>
      <c r="N480" s="4" t="s">
        <v>6</v>
      </c>
      <c r="O480" s="4">
        <v>-1</v>
      </c>
      <c r="P480" s="4"/>
      <c r="Q480" s="4"/>
      <c r="R480" s="4"/>
      <c r="S480" s="4"/>
      <c r="T480" s="4"/>
      <c r="U480" s="4"/>
      <c r="V480" s="4"/>
      <c r="W480" s="4"/>
    </row>
    <row r="481" spans="1:245" x14ac:dyDescent="0.2">
      <c r="A481" s="4">
        <v>50</v>
      </c>
      <c r="B481" s="4">
        <v>0</v>
      </c>
      <c r="C481" s="4">
        <v>0</v>
      </c>
      <c r="D481" s="4">
        <v>1</v>
      </c>
      <c r="E481" s="4">
        <v>209</v>
      </c>
      <c r="F481" s="4">
        <f>ROUND(Source!W457,O481)</f>
        <v>0</v>
      </c>
      <c r="G481" s="4" t="s">
        <v>159</v>
      </c>
      <c r="H481" s="4" t="s">
        <v>160</v>
      </c>
      <c r="I481" s="4"/>
      <c r="J481" s="4"/>
      <c r="K481" s="4">
        <v>209</v>
      </c>
      <c r="L481" s="4">
        <v>23</v>
      </c>
      <c r="M481" s="4">
        <v>3</v>
      </c>
      <c r="N481" s="4" t="s">
        <v>6</v>
      </c>
      <c r="O481" s="4">
        <v>2</v>
      </c>
      <c r="P481" s="4"/>
      <c r="Q481" s="4"/>
      <c r="R481" s="4"/>
      <c r="S481" s="4"/>
      <c r="T481" s="4"/>
      <c r="U481" s="4"/>
      <c r="V481" s="4"/>
      <c r="W481" s="4"/>
    </row>
    <row r="482" spans="1:245" x14ac:dyDescent="0.2">
      <c r="A482" s="4">
        <v>50</v>
      </c>
      <c r="B482" s="4">
        <v>0</v>
      </c>
      <c r="C482" s="4">
        <v>0</v>
      </c>
      <c r="D482" s="4">
        <v>1</v>
      </c>
      <c r="E482" s="4">
        <v>210</v>
      </c>
      <c r="F482" s="4">
        <f>ROUND(Source!X457,O482)</f>
        <v>28340.65</v>
      </c>
      <c r="G482" s="4" t="s">
        <v>161</v>
      </c>
      <c r="H482" s="4" t="s">
        <v>162</v>
      </c>
      <c r="I482" s="4"/>
      <c r="J482" s="4"/>
      <c r="K482" s="4">
        <v>210</v>
      </c>
      <c r="L482" s="4">
        <v>24</v>
      </c>
      <c r="M482" s="4">
        <v>3</v>
      </c>
      <c r="N482" s="4" t="s">
        <v>6</v>
      </c>
      <c r="O482" s="4">
        <v>2</v>
      </c>
      <c r="P482" s="4"/>
      <c r="Q482" s="4"/>
      <c r="R482" s="4"/>
      <c r="S482" s="4"/>
      <c r="T482" s="4"/>
      <c r="U482" s="4"/>
      <c r="V482" s="4"/>
      <c r="W482" s="4"/>
    </row>
    <row r="483" spans="1:245" x14ac:dyDescent="0.2">
      <c r="A483" s="4">
        <v>50</v>
      </c>
      <c r="B483" s="4">
        <v>0</v>
      </c>
      <c r="C483" s="4">
        <v>0</v>
      </c>
      <c r="D483" s="4">
        <v>1</v>
      </c>
      <c r="E483" s="4">
        <v>211</v>
      </c>
      <c r="F483" s="4">
        <f>ROUND(Source!Y457,O483)</f>
        <v>17440.400000000001</v>
      </c>
      <c r="G483" s="4" t="s">
        <v>163</v>
      </c>
      <c r="H483" s="4" t="s">
        <v>164</v>
      </c>
      <c r="I483" s="4"/>
      <c r="J483" s="4"/>
      <c r="K483" s="4">
        <v>211</v>
      </c>
      <c r="L483" s="4">
        <v>25</v>
      </c>
      <c r="M483" s="4">
        <v>3</v>
      </c>
      <c r="N483" s="4" t="s">
        <v>6</v>
      </c>
      <c r="O483" s="4">
        <v>2</v>
      </c>
      <c r="P483" s="4"/>
      <c r="Q483" s="4"/>
      <c r="R483" s="4"/>
      <c r="S483" s="4"/>
      <c r="T483" s="4"/>
      <c r="U483" s="4"/>
      <c r="V483" s="4"/>
      <c r="W483" s="4"/>
    </row>
    <row r="484" spans="1:245" x14ac:dyDescent="0.2">
      <c r="A484" s="4">
        <v>50</v>
      </c>
      <c r="B484" s="4">
        <v>0</v>
      </c>
      <c r="C484" s="4">
        <v>0</v>
      </c>
      <c r="D484" s="4">
        <v>1</v>
      </c>
      <c r="E484" s="4">
        <v>224</v>
      </c>
      <c r="F484" s="4">
        <f>ROUND(Source!AR457,O484)</f>
        <v>89382.03</v>
      </c>
      <c r="G484" s="4" t="s">
        <v>165</v>
      </c>
      <c r="H484" s="4" t="s">
        <v>166</v>
      </c>
      <c r="I484" s="4"/>
      <c r="J484" s="4"/>
      <c r="K484" s="4">
        <v>224</v>
      </c>
      <c r="L484" s="4">
        <v>26</v>
      </c>
      <c r="M484" s="4">
        <v>3</v>
      </c>
      <c r="N484" s="4" t="s">
        <v>6</v>
      </c>
      <c r="O484" s="4">
        <v>2</v>
      </c>
      <c r="P484" s="4"/>
      <c r="Q484" s="4"/>
      <c r="R484" s="4"/>
      <c r="S484" s="4"/>
      <c r="T484" s="4"/>
      <c r="U484" s="4"/>
      <c r="V484" s="4"/>
      <c r="W484" s="4"/>
    </row>
    <row r="486" spans="1:245" x14ac:dyDescent="0.2">
      <c r="A486" s="1">
        <v>4</v>
      </c>
      <c r="B486" s="1">
        <v>1</v>
      </c>
      <c r="C486" s="1"/>
      <c r="D486" s="1">
        <f>ROW(A498)</f>
        <v>498</v>
      </c>
      <c r="E486" s="1"/>
      <c r="F486" s="1" t="s">
        <v>13</v>
      </c>
      <c r="G486" s="1" t="s">
        <v>848</v>
      </c>
      <c r="H486" s="1" t="s">
        <v>6</v>
      </c>
      <c r="I486" s="1">
        <v>0</v>
      </c>
      <c r="J486" s="1"/>
      <c r="K486" s="1">
        <v>0</v>
      </c>
      <c r="L486" s="1"/>
      <c r="M486" s="1"/>
      <c r="N486" s="1"/>
      <c r="O486" s="1"/>
      <c r="P486" s="1"/>
      <c r="Q486" s="1"/>
      <c r="R486" s="1"/>
      <c r="S486" s="1"/>
      <c r="T486" s="1"/>
      <c r="U486" s="1" t="s">
        <v>6</v>
      </c>
      <c r="V486" s="1">
        <v>0</v>
      </c>
      <c r="W486" s="1"/>
      <c r="X486" s="1"/>
      <c r="Y486" s="1"/>
      <c r="Z486" s="1"/>
      <c r="AA486" s="1"/>
      <c r="AB486" s="1" t="s">
        <v>6</v>
      </c>
      <c r="AC486" s="1" t="s">
        <v>6</v>
      </c>
      <c r="AD486" s="1" t="s">
        <v>6</v>
      </c>
      <c r="AE486" s="1" t="s">
        <v>6</v>
      </c>
      <c r="AF486" s="1" t="s">
        <v>6</v>
      </c>
      <c r="AG486" s="1" t="s">
        <v>6</v>
      </c>
      <c r="AH486" s="1"/>
      <c r="AI486" s="1"/>
      <c r="AJ486" s="1"/>
      <c r="AK486" s="1"/>
      <c r="AL486" s="1"/>
      <c r="AM486" s="1"/>
      <c r="AN486" s="1"/>
      <c r="AO486" s="1"/>
      <c r="AP486" s="1" t="s">
        <v>6</v>
      </c>
      <c r="AQ486" s="1" t="s">
        <v>6</v>
      </c>
      <c r="AR486" s="1" t="s">
        <v>6</v>
      </c>
      <c r="AS486" s="1"/>
      <c r="AT486" s="1"/>
      <c r="AU486" s="1"/>
      <c r="AV486" s="1"/>
      <c r="AW486" s="1"/>
      <c r="AX486" s="1"/>
      <c r="AY486" s="1"/>
      <c r="AZ486" s="1" t="s">
        <v>6</v>
      </c>
      <c r="BA486" s="1"/>
      <c r="BB486" s="1" t="s">
        <v>6</v>
      </c>
      <c r="BC486" s="1" t="s">
        <v>6</v>
      </c>
      <c r="BD486" s="1" t="s">
        <v>6</v>
      </c>
      <c r="BE486" s="1" t="s">
        <v>6</v>
      </c>
      <c r="BF486" s="1" t="s">
        <v>6</v>
      </c>
      <c r="BG486" s="1" t="s">
        <v>6</v>
      </c>
      <c r="BH486" s="1" t="s">
        <v>6</v>
      </c>
      <c r="BI486" s="1" t="s">
        <v>6</v>
      </c>
      <c r="BJ486" s="1" t="s">
        <v>6</v>
      </c>
      <c r="BK486" s="1" t="s">
        <v>6</v>
      </c>
      <c r="BL486" s="1" t="s">
        <v>6</v>
      </c>
      <c r="BM486" s="1" t="s">
        <v>6</v>
      </c>
      <c r="BN486" s="1" t="s">
        <v>6</v>
      </c>
      <c r="BO486" s="1" t="s">
        <v>6</v>
      </c>
      <c r="BP486" s="1" t="s">
        <v>6</v>
      </c>
      <c r="BQ486" s="1"/>
      <c r="BR486" s="1"/>
      <c r="BS486" s="1"/>
      <c r="BT486" s="1"/>
      <c r="BU486" s="1"/>
      <c r="BV486" s="1"/>
      <c r="BW486" s="1"/>
      <c r="BX486" s="1">
        <v>0</v>
      </c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>
        <v>0</v>
      </c>
    </row>
    <row r="488" spans="1:245" x14ac:dyDescent="0.2">
      <c r="A488" s="2">
        <v>52</v>
      </c>
      <c r="B488" s="2">
        <f t="shared" ref="B488:G488" si="332">B498</f>
        <v>1</v>
      </c>
      <c r="C488" s="2">
        <f t="shared" si="332"/>
        <v>4</v>
      </c>
      <c r="D488" s="2">
        <f t="shared" si="332"/>
        <v>486</v>
      </c>
      <c r="E488" s="2">
        <f t="shared" si="332"/>
        <v>0</v>
      </c>
      <c r="F488" s="2" t="str">
        <f t="shared" si="332"/>
        <v>Новый раздел</v>
      </c>
      <c r="G488" s="2" t="str">
        <f t="shared" si="332"/>
        <v>4 Пожарная сигнализация</v>
      </c>
      <c r="H488" s="2"/>
      <c r="I488" s="2"/>
      <c r="J488" s="2"/>
      <c r="K488" s="2"/>
      <c r="L488" s="2"/>
      <c r="M488" s="2"/>
      <c r="N488" s="2"/>
      <c r="O488" s="2">
        <f t="shared" ref="O488:AT488" si="333">O498</f>
        <v>28818.3</v>
      </c>
      <c r="P488" s="2">
        <f t="shared" si="333"/>
        <v>7248.9</v>
      </c>
      <c r="Q488" s="2">
        <f t="shared" si="333"/>
        <v>5.59</v>
      </c>
      <c r="R488" s="2">
        <f t="shared" si="333"/>
        <v>0.79</v>
      </c>
      <c r="S488" s="2">
        <f t="shared" si="333"/>
        <v>21563.81</v>
      </c>
      <c r="T488" s="2">
        <f t="shared" si="333"/>
        <v>0</v>
      </c>
      <c r="U488" s="2">
        <f t="shared" si="333"/>
        <v>258.48559999999998</v>
      </c>
      <c r="V488" s="2">
        <f t="shared" si="333"/>
        <v>9.5999999999999992E-3</v>
      </c>
      <c r="W488" s="2">
        <f t="shared" si="333"/>
        <v>0</v>
      </c>
      <c r="X488" s="2">
        <f t="shared" si="333"/>
        <v>17285.740000000002</v>
      </c>
      <c r="Y488" s="2">
        <f t="shared" si="333"/>
        <v>12950.11</v>
      </c>
      <c r="Z488" s="2">
        <f t="shared" si="333"/>
        <v>0</v>
      </c>
      <c r="AA488" s="2">
        <f t="shared" si="333"/>
        <v>0</v>
      </c>
      <c r="AB488" s="2">
        <f t="shared" si="333"/>
        <v>28818.3</v>
      </c>
      <c r="AC488" s="2">
        <f t="shared" si="333"/>
        <v>7248.9</v>
      </c>
      <c r="AD488" s="2">
        <f t="shared" si="333"/>
        <v>5.59</v>
      </c>
      <c r="AE488" s="2">
        <f t="shared" si="333"/>
        <v>0.79</v>
      </c>
      <c r="AF488" s="2">
        <f t="shared" si="333"/>
        <v>21563.81</v>
      </c>
      <c r="AG488" s="2">
        <f t="shared" si="333"/>
        <v>0</v>
      </c>
      <c r="AH488" s="2">
        <f t="shared" si="333"/>
        <v>258.48559999999998</v>
      </c>
      <c r="AI488" s="2">
        <f t="shared" si="333"/>
        <v>9.5999999999999992E-3</v>
      </c>
      <c r="AJ488" s="2">
        <f t="shared" si="333"/>
        <v>0</v>
      </c>
      <c r="AK488" s="2">
        <f t="shared" si="333"/>
        <v>17285.740000000002</v>
      </c>
      <c r="AL488" s="2">
        <f t="shared" si="333"/>
        <v>12950.11</v>
      </c>
      <c r="AM488" s="2">
        <f t="shared" si="333"/>
        <v>0</v>
      </c>
      <c r="AN488" s="2">
        <f t="shared" si="333"/>
        <v>0</v>
      </c>
      <c r="AO488" s="2">
        <f t="shared" si="333"/>
        <v>0</v>
      </c>
      <c r="AP488" s="2">
        <f t="shared" si="333"/>
        <v>0</v>
      </c>
      <c r="AQ488" s="2">
        <f t="shared" si="333"/>
        <v>0</v>
      </c>
      <c r="AR488" s="2">
        <f t="shared" si="333"/>
        <v>59054.15</v>
      </c>
      <c r="AS488" s="2">
        <f t="shared" si="333"/>
        <v>0</v>
      </c>
      <c r="AT488" s="2">
        <f t="shared" si="333"/>
        <v>59054.15</v>
      </c>
      <c r="AU488" s="2">
        <f t="shared" ref="AU488:BZ488" si="334">AU498</f>
        <v>0</v>
      </c>
      <c r="AV488" s="2">
        <f t="shared" si="334"/>
        <v>7248.9</v>
      </c>
      <c r="AW488" s="2">
        <f t="shared" si="334"/>
        <v>7248.9</v>
      </c>
      <c r="AX488" s="2">
        <f t="shared" si="334"/>
        <v>0</v>
      </c>
      <c r="AY488" s="2">
        <f t="shared" si="334"/>
        <v>7248.9</v>
      </c>
      <c r="AZ488" s="2">
        <f t="shared" si="334"/>
        <v>0</v>
      </c>
      <c r="BA488" s="2">
        <f t="shared" si="334"/>
        <v>0</v>
      </c>
      <c r="BB488" s="2">
        <f t="shared" si="334"/>
        <v>0</v>
      </c>
      <c r="BC488" s="2">
        <f t="shared" si="334"/>
        <v>0</v>
      </c>
      <c r="BD488" s="2">
        <f t="shared" si="334"/>
        <v>0</v>
      </c>
      <c r="BE488" s="2">
        <f t="shared" si="334"/>
        <v>0</v>
      </c>
      <c r="BF488" s="2">
        <f t="shared" si="334"/>
        <v>0</v>
      </c>
      <c r="BG488" s="2">
        <f t="shared" si="334"/>
        <v>0</v>
      </c>
      <c r="BH488" s="2">
        <f t="shared" si="334"/>
        <v>0</v>
      </c>
      <c r="BI488" s="2">
        <f t="shared" si="334"/>
        <v>0</v>
      </c>
      <c r="BJ488" s="2">
        <f t="shared" si="334"/>
        <v>0</v>
      </c>
      <c r="BK488" s="2">
        <f t="shared" si="334"/>
        <v>0</v>
      </c>
      <c r="BL488" s="2">
        <f t="shared" si="334"/>
        <v>0</v>
      </c>
      <c r="BM488" s="2">
        <f t="shared" si="334"/>
        <v>0</v>
      </c>
      <c r="BN488" s="2">
        <f t="shared" si="334"/>
        <v>0</v>
      </c>
      <c r="BO488" s="2">
        <f t="shared" si="334"/>
        <v>0</v>
      </c>
      <c r="BP488" s="2">
        <f t="shared" si="334"/>
        <v>0</v>
      </c>
      <c r="BQ488" s="2">
        <f t="shared" si="334"/>
        <v>0</v>
      </c>
      <c r="BR488" s="2">
        <f t="shared" si="334"/>
        <v>0</v>
      </c>
      <c r="BS488" s="2">
        <f t="shared" si="334"/>
        <v>0</v>
      </c>
      <c r="BT488" s="2">
        <f t="shared" si="334"/>
        <v>0</v>
      </c>
      <c r="BU488" s="2">
        <f t="shared" si="334"/>
        <v>0</v>
      </c>
      <c r="BV488" s="2">
        <f t="shared" si="334"/>
        <v>0</v>
      </c>
      <c r="BW488" s="2">
        <f t="shared" si="334"/>
        <v>0</v>
      </c>
      <c r="BX488" s="2">
        <f t="shared" si="334"/>
        <v>0</v>
      </c>
      <c r="BY488" s="2">
        <f t="shared" si="334"/>
        <v>0</v>
      </c>
      <c r="BZ488" s="2">
        <f t="shared" si="334"/>
        <v>0</v>
      </c>
      <c r="CA488" s="2">
        <f t="shared" ref="CA488:DF488" si="335">CA498</f>
        <v>59054.15</v>
      </c>
      <c r="CB488" s="2">
        <f t="shared" si="335"/>
        <v>0</v>
      </c>
      <c r="CC488" s="2">
        <f t="shared" si="335"/>
        <v>59054.15</v>
      </c>
      <c r="CD488" s="2">
        <f t="shared" si="335"/>
        <v>0</v>
      </c>
      <c r="CE488" s="2">
        <f t="shared" si="335"/>
        <v>7248.9</v>
      </c>
      <c r="CF488" s="2">
        <f t="shared" si="335"/>
        <v>7248.9</v>
      </c>
      <c r="CG488" s="2">
        <f t="shared" si="335"/>
        <v>0</v>
      </c>
      <c r="CH488" s="2">
        <f t="shared" si="335"/>
        <v>7248.9</v>
      </c>
      <c r="CI488" s="2">
        <f t="shared" si="335"/>
        <v>0</v>
      </c>
      <c r="CJ488" s="2">
        <f t="shared" si="335"/>
        <v>0</v>
      </c>
      <c r="CK488" s="2">
        <f t="shared" si="335"/>
        <v>0</v>
      </c>
      <c r="CL488" s="2">
        <f t="shared" si="335"/>
        <v>0</v>
      </c>
      <c r="CM488" s="2">
        <f t="shared" si="335"/>
        <v>0</v>
      </c>
      <c r="CN488" s="2">
        <f t="shared" si="335"/>
        <v>0</v>
      </c>
      <c r="CO488" s="2">
        <f t="shared" si="335"/>
        <v>0</v>
      </c>
      <c r="CP488" s="2">
        <f t="shared" si="335"/>
        <v>0</v>
      </c>
      <c r="CQ488" s="2">
        <f t="shared" si="335"/>
        <v>0</v>
      </c>
      <c r="CR488" s="2">
        <f t="shared" si="335"/>
        <v>0</v>
      </c>
      <c r="CS488" s="2">
        <f t="shared" si="335"/>
        <v>0</v>
      </c>
      <c r="CT488" s="2">
        <f t="shared" si="335"/>
        <v>0</v>
      </c>
      <c r="CU488" s="2">
        <f t="shared" si="335"/>
        <v>0</v>
      </c>
      <c r="CV488" s="2">
        <f t="shared" si="335"/>
        <v>0</v>
      </c>
      <c r="CW488" s="2">
        <f t="shared" si="335"/>
        <v>0</v>
      </c>
      <c r="CX488" s="2">
        <f t="shared" si="335"/>
        <v>0</v>
      </c>
      <c r="CY488" s="2">
        <f t="shared" si="335"/>
        <v>0</v>
      </c>
      <c r="CZ488" s="2">
        <f t="shared" si="335"/>
        <v>0</v>
      </c>
      <c r="DA488" s="2">
        <f t="shared" si="335"/>
        <v>0</v>
      </c>
      <c r="DB488" s="2">
        <f t="shared" si="335"/>
        <v>0</v>
      </c>
      <c r="DC488" s="2">
        <f t="shared" si="335"/>
        <v>0</v>
      </c>
      <c r="DD488" s="2">
        <f t="shared" si="335"/>
        <v>0</v>
      </c>
      <c r="DE488" s="2">
        <f t="shared" si="335"/>
        <v>0</v>
      </c>
      <c r="DF488" s="2">
        <f t="shared" si="335"/>
        <v>0</v>
      </c>
      <c r="DG488" s="3">
        <f t="shared" ref="DG488:EL488" si="336">DG498</f>
        <v>0</v>
      </c>
      <c r="DH488" s="3">
        <f t="shared" si="336"/>
        <v>0</v>
      </c>
      <c r="DI488" s="3">
        <f t="shared" si="336"/>
        <v>0</v>
      </c>
      <c r="DJ488" s="3">
        <f t="shared" si="336"/>
        <v>0</v>
      </c>
      <c r="DK488" s="3">
        <f t="shared" si="336"/>
        <v>0</v>
      </c>
      <c r="DL488" s="3">
        <f t="shared" si="336"/>
        <v>0</v>
      </c>
      <c r="DM488" s="3">
        <f t="shared" si="336"/>
        <v>0</v>
      </c>
      <c r="DN488" s="3">
        <f t="shared" si="336"/>
        <v>0</v>
      </c>
      <c r="DO488" s="3">
        <f t="shared" si="336"/>
        <v>0</v>
      </c>
      <c r="DP488" s="3">
        <f t="shared" si="336"/>
        <v>0</v>
      </c>
      <c r="DQ488" s="3">
        <f t="shared" si="336"/>
        <v>0</v>
      </c>
      <c r="DR488" s="3">
        <f t="shared" si="336"/>
        <v>0</v>
      </c>
      <c r="DS488" s="3">
        <f t="shared" si="336"/>
        <v>0</v>
      </c>
      <c r="DT488" s="3">
        <f t="shared" si="336"/>
        <v>0</v>
      </c>
      <c r="DU488" s="3">
        <f t="shared" si="336"/>
        <v>0</v>
      </c>
      <c r="DV488" s="3">
        <f t="shared" si="336"/>
        <v>0</v>
      </c>
      <c r="DW488" s="3">
        <f t="shared" si="336"/>
        <v>0</v>
      </c>
      <c r="DX488" s="3">
        <f t="shared" si="336"/>
        <v>0</v>
      </c>
      <c r="DY488" s="3">
        <f t="shared" si="336"/>
        <v>0</v>
      </c>
      <c r="DZ488" s="3">
        <f t="shared" si="336"/>
        <v>0</v>
      </c>
      <c r="EA488" s="3">
        <f t="shared" si="336"/>
        <v>0</v>
      </c>
      <c r="EB488" s="3">
        <f t="shared" si="336"/>
        <v>0</v>
      </c>
      <c r="EC488" s="3">
        <f t="shared" si="336"/>
        <v>0</v>
      </c>
      <c r="ED488" s="3">
        <f t="shared" si="336"/>
        <v>0</v>
      </c>
      <c r="EE488" s="3">
        <f t="shared" si="336"/>
        <v>0</v>
      </c>
      <c r="EF488" s="3">
        <f t="shared" si="336"/>
        <v>0</v>
      </c>
      <c r="EG488" s="3">
        <f t="shared" si="336"/>
        <v>0</v>
      </c>
      <c r="EH488" s="3">
        <f t="shared" si="336"/>
        <v>0</v>
      </c>
      <c r="EI488" s="3">
        <f t="shared" si="336"/>
        <v>0</v>
      </c>
      <c r="EJ488" s="3">
        <f t="shared" si="336"/>
        <v>0</v>
      </c>
      <c r="EK488" s="3">
        <f t="shared" si="336"/>
        <v>0</v>
      </c>
      <c r="EL488" s="3">
        <f t="shared" si="336"/>
        <v>0</v>
      </c>
      <c r="EM488" s="3">
        <f t="shared" ref="EM488:FR488" si="337">EM498</f>
        <v>0</v>
      </c>
      <c r="EN488" s="3">
        <f t="shared" si="337"/>
        <v>0</v>
      </c>
      <c r="EO488" s="3">
        <f t="shared" si="337"/>
        <v>0</v>
      </c>
      <c r="EP488" s="3">
        <f t="shared" si="337"/>
        <v>0</v>
      </c>
      <c r="EQ488" s="3">
        <f t="shared" si="337"/>
        <v>0</v>
      </c>
      <c r="ER488" s="3">
        <f t="shared" si="337"/>
        <v>0</v>
      </c>
      <c r="ES488" s="3">
        <f t="shared" si="337"/>
        <v>0</v>
      </c>
      <c r="ET488" s="3">
        <f t="shared" si="337"/>
        <v>0</v>
      </c>
      <c r="EU488" s="3">
        <f t="shared" si="337"/>
        <v>0</v>
      </c>
      <c r="EV488" s="3">
        <f t="shared" si="337"/>
        <v>0</v>
      </c>
      <c r="EW488" s="3">
        <f t="shared" si="337"/>
        <v>0</v>
      </c>
      <c r="EX488" s="3">
        <f t="shared" si="337"/>
        <v>0</v>
      </c>
      <c r="EY488" s="3">
        <f t="shared" si="337"/>
        <v>0</v>
      </c>
      <c r="EZ488" s="3">
        <f t="shared" si="337"/>
        <v>0</v>
      </c>
      <c r="FA488" s="3">
        <f t="shared" si="337"/>
        <v>0</v>
      </c>
      <c r="FB488" s="3">
        <f t="shared" si="337"/>
        <v>0</v>
      </c>
      <c r="FC488" s="3">
        <f t="shared" si="337"/>
        <v>0</v>
      </c>
      <c r="FD488" s="3">
        <f t="shared" si="337"/>
        <v>0</v>
      </c>
      <c r="FE488" s="3">
        <f t="shared" si="337"/>
        <v>0</v>
      </c>
      <c r="FF488" s="3">
        <f t="shared" si="337"/>
        <v>0</v>
      </c>
      <c r="FG488" s="3">
        <f t="shared" si="337"/>
        <v>0</v>
      </c>
      <c r="FH488" s="3">
        <f t="shared" si="337"/>
        <v>0</v>
      </c>
      <c r="FI488" s="3">
        <f t="shared" si="337"/>
        <v>0</v>
      </c>
      <c r="FJ488" s="3">
        <f t="shared" si="337"/>
        <v>0</v>
      </c>
      <c r="FK488" s="3">
        <f t="shared" si="337"/>
        <v>0</v>
      </c>
      <c r="FL488" s="3">
        <f t="shared" si="337"/>
        <v>0</v>
      </c>
      <c r="FM488" s="3">
        <f t="shared" si="337"/>
        <v>0</v>
      </c>
      <c r="FN488" s="3">
        <f t="shared" si="337"/>
        <v>0</v>
      </c>
      <c r="FO488" s="3">
        <f t="shared" si="337"/>
        <v>0</v>
      </c>
      <c r="FP488" s="3">
        <f t="shared" si="337"/>
        <v>0</v>
      </c>
      <c r="FQ488" s="3">
        <f t="shared" si="337"/>
        <v>0</v>
      </c>
      <c r="FR488" s="3">
        <f t="shared" si="337"/>
        <v>0</v>
      </c>
      <c r="FS488" s="3">
        <f t="shared" ref="FS488:GX488" si="338">FS498</f>
        <v>0</v>
      </c>
      <c r="FT488" s="3">
        <f t="shared" si="338"/>
        <v>0</v>
      </c>
      <c r="FU488" s="3">
        <f t="shared" si="338"/>
        <v>0</v>
      </c>
      <c r="FV488" s="3">
        <f t="shared" si="338"/>
        <v>0</v>
      </c>
      <c r="FW488" s="3">
        <f t="shared" si="338"/>
        <v>0</v>
      </c>
      <c r="FX488" s="3">
        <f t="shared" si="338"/>
        <v>0</v>
      </c>
      <c r="FY488" s="3">
        <f t="shared" si="338"/>
        <v>0</v>
      </c>
      <c r="FZ488" s="3">
        <f t="shared" si="338"/>
        <v>0</v>
      </c>
      <c r="GA488" s="3">
        <f t="shared" si="338"/>
        <v>0</v>
      </c>
      <c r="GB488" s="3">
        <f t="shared" si="338"/>
        <v>0</v>
      </c>
      <c r="GC488" s="3">
        <f t="shared" si="338"/>
        <v>0</v>
      </c>
      <c r="GD488" s="3">
        <f t="shared" si="338"/>
        <v>0</v>
      </c>
      <c r="GE488" s="3">
        <f t="shared" si="338"/>
        <v>0</v>
      </c>
      <c r="GF488" s="3">
        <f t="shared" si="338"/>
        <v>0</v>
      </c>
      <c r="GG488" s="3">
        <f t="shared" si="338"/>
        <v>0</v>
      </c>
      <c r="GH488" s="3">
        <f t="shared" si="338"/>
        <v>0</v>
      </c>
      <c r="GI488" s="3">
        <f t="shared" si="338"/>
        <v>0</v>
      </c>
      <c r="GJ488" s="3">
        <f t="shared" si="338"/>
        <v>0</v>
      </c>
      <c r="GK488" s="3">
        <f t="shared" si="338"/>
        <v>0</v>
      </c>
      <c r="GL488" s="3">
        <f t="shared" si="338"/>
        <v>0</v>
      </c>
      <c r="GM488" s="3">
        <f t="shared" si="338"/>
        <v>0</v>
      </c>
      <c r="GN488" s="3">
        <f t="shared" si="338"/>
        <v>0</v>
      </c>
      <c r="GO488" s="3">
        <f t="shared" si="338"/>
        <v>0</v>
      </c>
      <c r="GP488" s="3">
        <f t="shared" si="338"/>
        <v>0</v>
      </c>
      <c r="GQ488" s="3">
        <f t="shared" si="338"/>
        <v>0</v>
      </c>
      <c r="GR488" s="3">
        <f t="shared" si="338"/>
        <v>0</v>
      </c>
      <c r="GS488" s="3">
        <f t="shared" si="338"/>
        <v>0</v>
      </c>
      <c r="GT488" s="3">
        <f t="shared" si="338"/>
        <v>0</v>
      </c>
      <c r="GU488" s="3">
        <f t="shared" si="338"/>
        <v>0</v>
      </c>
      <c r="GV488" s="3">
        <f t="shared" si="338"/>
        <v>0</v>
      </c>
      <c r="GW488" s="3">
        <f t="shared" si="338"/>
        <v>0</v>
      </c>
      <c r="GX488" s="3">
        <f t="shared" si="338"/>
        <v>0</v>
      </c>
    </row>
    <row r="490" spans="1:245" x14ac:dyDescent="0.2">
      <c r="A490">
        <v>17</v>
      </c>
      <c r="B490">
        <v>1</v>
      </c>
      <c r="C490">
        <f>ROW(SmtRes!A629)</f>
        <v>629</v>
      </c>
      <c r="D490">
        <f>ROW(EtalonRes!A578)</f>
        <v>578</v>
      </c>
      <c r="E490" t="s">
        <v>849</v>
      </c>
      <c r="F490" t="s">
        <v>850</v>
      </c>
      <c r="G490" t="s">
        <v>851</v>
      </c>
      <c r="H490" t="s">
        <v>242</v>
      </c>
      <c r="I490">
        <v>7</v>
      </c>
      <c r="J490">
        <v>0</v>
      </c>
      <c r="O490">
        <f t="shared" ref="O490:O496" si="339">ROUND(CP490,2)</f>
        <v>868.35</v>
      </c>
      <c r="P490">
        <f t="shared" ref="P490:P496" si="340">ROUND(CQ490*I490,2)</f>
        <v>126.28</v>
      </c>
      <c r="Q490">
        <f t="shared" ref="Q490:Q496" si="341">ROUND(CR490*I490,2)</f>
        <v>0</v>
      </c>
      <c r="R490">
        <f t="shared" ref="R490:R496" si="342">ROUND(CS490*I490,2)</f>
        <v>0</v>
      </c>
      <c r="S490">
        <f t="shared" ref="S490:S496" si="343">ROUND(CT490*I490,2)</f>
        <v>742.07</v>
      </c>
      <c r="T490">
        <f t="shared" ref="T490:T496" si="344">ROUND(CU490*I490,2)</f>
        <v>0</v>
      </c>
      <c r="U490">
        <f t="shared" ref="U490:U496" si="345">CV490*I490</f>
        <v>11.76</v>
      </c>
      <c r="V490">
        <f t="shared" ref="V490:V496" si="346">CW490*I490</f>
        <v>0</v>
      </c>
      <c r="W490">
        <f t="shared" ref="W490:W496" si="347">ROUND(CX490*I490,2)</f>
        <v>0</v>
      </c>
      <c r="X490">
        <f t="shared" ref="X490:Y496" si="348">ROUND(CY490,2)</f>
        <v>593.66</v>
      </c>
      <c r="Y490">
        <f t="shared" si="348"/>
        <v>445.24</v>
      </c>
      <c r="AA490">
        <v>16748969</v>
      </c>
      <c r="AB490">
        <f t="shared" ref="AB490:AB496" si="349">ROUND((AC490+AD490+AF490),2)</f>
        <v>18.91</v>
      </c>
      <c r="AC490">
        <f t="shared" ref="AC490:AC496" si="350">ROUND((ES490),2)</f>
        <v>2.75</v>
      </c>
      <c r="AD490">
        <f t="shared" ref="AD490:AD496" si="351">ROUND((((ET490)-(EU490))+AE490),2)</f>
        <v>0</v>
      </c>
      <c r="AE490">
        <f t="shared" ref="AE490:AF496" si="352">ROUND((EU490),2)</f>
        <v>0</v>
      </c>
      <c r="AF490">
        <f t="shared" si="352"/>
        <v>16.16</v>
      </c>
      <c r="AG490">
        <f t="shared" ref="AG490:AG496" si="353">ROUND((AP490),2)</f>
        <v>0</v>
      </c>
      <c r="AH490">
        <f t="shared" ref="AH490:AI496" si="354">(EW490)</f>
        <v>1.68</v>
      </c>
      <c r="AI490">
        <f t="shared" si="354"/>
        <v>0</v>
      </c>
      <c r="AJ490">
        <f t="shared" ref="AJ490:AJ496" si="355">ROUND((AS490),2)</f>
        <v>0</v>
      </c>
      <c r="AK490">
        <v>18.91</v>
      </c>
      <c r="AL490">
        <v>2.75</v>
      </c>
      <c r="AM490">
        <v>0</v>
      </c>
      <c r="AN490">
        <v>0</v>
      </c>
      <c r="AO490">
        <v>16.16</v>
      </c>
      <c r="AP490">
        <v>0</v>
      </c>
      <c r="AQ490">
        <v>1.68</v>
      </c>
      <c r="AR490">
        <v>0</v>
      </c>
      <c r="AS490">
        <v>0</v>
      </c>
      <c r="AT490">
        <v>80</v>
      </c>
      <c r="AU490">
        <v>60</v>
      </c>
      <c r="AV490">
        <v>1</v>
      </c>
      <c r="AW490">
        <v>1</v>
      </c>
      <c r="AZ490">
        <v>6.56</v>
      </c>
      <c r="BA490">
        <v>6.56</v>
      </c>
      <c r="BB490">
        <v>6.56</v>
      </c>
      <c r="BC490">
        <v>6.56</v>
      </c>
      <c r="BD490" t="s">
        <v>6</v>
      </c>
      <c r="BE490" t="s">
        <v>6</v>
      </c>
      <c r="BF490" t="s">
        <v>6</v>
      </c>
      <c r="BG490" t="s">
        <v>6</v>
      </c>
      <c r="BH490">
        <v>0</v>
      </c>
      <c r="BI490">
        <v>2</v>
      </c>
      <c r="BJ490" t="s">
        <v>852</v>
      </c>
      <c r="BM490">
        <v>110011</v>
      </c>
      <c r="BN490">
        <v>0</v>
      </c>
      <c r="BO490" t="s">
        <v>6</v>
      </c>
      <c r="BP490">
        <v>0</v>
      </c>
      <c r="BQ490">
        <v>3</v>
      </c>
      <c r="BR490">
        <v>0</v>
      </c>
      <c r="BS490">
        <v>6.56</v>
      </c>
      <c r="BT490">
        <v>1</v>
      </c>
      <c r="BU490">
        <v>1</v>
      </c>
      <c r="BV490">
        <v>1</v>
      </c>
      <c r="BW490">
        <v>1</v>
      </c>
      <c r="BX490">
        <v>1</v>
      </c>
      <c r="BY490" t="s">
        <v>6</v>
      </c>
      <c r="BZ490">
        <v>80</v>
      </c>
      <c r="CA490">
        <v>60</v>
      </c>
      <c r="CF490">
        <v>0</v>
      </c>
      <c r="CG490">
        <v>0</v>
      </c>
      <c r="CM490">
        <v>0</v>
      </c>
      <c r="CN490" t="s">
        <v>6</v>
      </c>
      <c r="CO490">
        <v>0</v>
      </c>
      <c r="CP490">
        <f t="shared" ref="CP490:CP496" si="356">(P490+Q490+S490)</f>
        <v>868.35</v>
      </c>
      <c r="CQ490">
        <f t="shared" ref="CQ490:CQ496" si="357">AC490*BC490</f>
        <v>18.04</v>
      </c>
      <c r="CR490">
        <f t="shared" ref="CR490:CR496" si="358">AD490*BB490</f>
        <v>0</v>
      </c>
      <c r="CS490">
        <f t="shared" ref="CS490:CS496" si="359">AE490*BS490</f>
        <v>0</v>
      </c>
      <c r="CT490">
        <f t="shared" ref="CT490:CT496" si="360">AF490*BA490</f>
        <v>106.00959999999999</v>
      </c>
      <c r="CU490">
        <f t="shared" ref="CU490:CX496" si="361">AG490</f>
        <v>0</v>
      </c>
      <c r="CV490">
        <f t="shared" si="361"/>
        <v>1.68</v>
      </c>
      <c r="CW490">
        <f t="shared" si="361"/>
        <v>0</v>
      </c>
      <c r="CX490">
        <f t="shared" si="361"/>
        <v>0</v>
      </c>
      <c r="CY490">
        <f t="shared" ref="CY490:CY496" si="362">(((S490+R490)*AT490)/100)</f>
        <v>593.65600000000006</v>
      </c>
      <c r="CZ490">
        <f t="shared" ref="CZ490:CZ496" si="363">(((S490+R490)*AU490)/100)</f>
        <v>445.24200000000002</v>
      </c>
      <c r="DC490" t="s">
        <v>6</v>
      </c>
      <c r="DD490" t="s">
        <v>6</v>
      </c>
      <c r="DE490" t="s">
        <v>6</v>
      </c>
      <c r="DF490" t="s">
        <v>6</v>
      </c>
      <c r="DG490" t="s">
        <v>6</v>
      </c>
      <c r="DH490" t="s">
        <v>6</v>
      </c>
      <c r="DI490" t="s">
        <v>6</v>
      </c>
      <c r="DJ490" t="s">
        <v>6</v>
      </c>
      <c r="DK490" t="s">
        <v>6</v>
      </c>
      <c r="DL490" t="s">
        <v>6</v>
      </c>
      <c r="DM490" t="s">
        <v>6</v>
      </c>
      <c r="DN490">
        <v>0</v>
      </c>
      <c r="DO490">
        <v>0</v>
      </c>
      <c r="DP490">
        <v>1</v>
      </c>
      <c r="DQ490">
        <v>1</v>
      </c>
      <c r="DU490">
        <v>1013</v>
      </c>
      <c r="DV490" t="s">
        <v>242</v>
      </c>
      <c r="DW490" t="s">
        <v>242</v>
      </c>
      <c r="DX490">
        <v>1</v>
      </c>
      <c r="EE490">
        <v>16510417</v>
      </c>
      <c r="EF490">
        <v>3</v>
      </c>
      <c r="EG490" t="s">
        <v>591</v>
      </c>
      <c r="EH490">
        <v>0</v>
      </c>
      <c r="EI490" t="s">
        <v>6</v>
      </c>
      <c r="EJ490">
        <v>2</v>
      </c>
      <c r="EK490">
        <v>110011</v>
      </c>
      <c r="EL490" t="s">
        <v>648</v>
      </c>
      <c r="EM490" t="s">
        <v>649</v>
      </c>
      <c r="EO490" t="s">
        <v>6</v>
      </c>
      <c r="EQ490">
        <v>131072</v>
      </c>
      <c r="ER490">
        <v>18.91</v>
      </c>
      <c r="ES490">
        <v>2.75</v>
      </c>
      <c r="ET490">
        <v>0</v>
      </c>
      <c r="EU490">
        <v>0</v>
      </c>
      <c r="EV490">
        <v>16.16</v>
      </c>
      <c r="EW490">
        <v>1.68</v>
      </c>
      <c r="EX490">
        <v>0</v>
      </c>
      <c r="EY490">
        <v>0</v>
      </c>
      <c r="FQ490">
        <v>0</v>
      </c>
      <c r="FR490">
        <f t="shared" ref="FR490:FR496" si="364">ROUND(IF(AND(BH490=3,BI490=3),P490,0),2)</f>
        <v>0</v>
      </c>
      <c r="FS490">
        <v>0</v>
      </c>
      <c r="FX490">
        <v>80</v>
      </c>
      <c r="FY490">
        <v>60</v>
      </c>
      <c r="GA490" t="s">
        <v>6</v>
      </c>
      <c r="GD490">
        <v>0</v>
      </c>
      <c r="GF490">
        <v>209323162</v>
      </c>
      <c r="GG490">
        <v>1</v>
      </c>
      <c r="GH490">
        <v>1</v>
      </c>
      <c r="GI490">
        <v>4</v>
      </c>
      <c r="GJ490">
        <v>0</v>
      </c>
      <c r="GK490">
        <f>ROUND(R490*(R12)/100,2)</f>
        <v>0</v>
      </c>
      <c r="GL490">
        <f t="shared" ref="GL490:GL496" si="365">ROUND(IF(AND(BH490=3,BI490=3,FS490&lt;&gt;0),P490,0),2)</f>
        <v>0</v>
      </c>
      <c r="GM490">
        <f t="shared" ref="GM490:GM496" si="366">ROUND(O490+X490+Y490+GK490,2)+GX490</f>
        <v>1907.25</v>
      </c>
      <c r="GN490">
        <f t="shared" ref="GN490:GN496" si="367">IF(OR(BI490=0,BI490=1),ROUND(O490+X490+Y490+GK490,2),0)</f>
        <v>0</v>
      </c>
      <c r="GO490">
        <f t="shared" ref="GO490:GO496" si="368">IF(BI490=2,ROUND(O490+X490+Y490+GK490,2),0)</f>
        <v>1907.25</v>
      </c>
      <c r="GP490">
        <f t="shared" ref="GP490:GP496" si="369">IF(BI490=4,ROUND(O490+X490+Y490+GK490,2)+GX490,0)</f>
        <v>0</v>
      </c>
      <c r="GR490">
        <v>0</v>
      </c>
      <c r="GS490">
        <v>3</v>
      </c>
      <c r="GT490">
        <v>0</v>
      </c>
      <c r="GU490" t="s">
        <v>6</v>
      </c>
      <c r="GV490">
        <f t="shared" ref="GV490:GV496" si="370">ROUND(GT490,2)</f>
        <v>0</v>
      </c>
      <c r="GW490">
        <v>1</v>
      </c>
      <c r="GX490">
        <f t="shared" ref="GX490:GX496" si="371">ROUND(GV490*GW490*I490,2)</f>
        <v>0</v>
      </c>
      <c r="HA490">
        <v>0</v>
      </c>
      <c r="HB490">
        <v>0</v>
      </c>
      <c r="IK490">
        <v>0</v>
      </c>
    </row>
    <row r="491" spans="1:245" x14ac:dyDescent="0.2">
      <c r="A491">
        <v>18</v>
      </c>
      <c r="B491">
        <v>1</v>
      </c>
      <c r="C491">
        <v>628</v>
      </c>
      <c r="E491" t="s">
        <v>853</v>
      </c>
      <c r="F491" t="s">
        <v>854</v>
      </c>
      <c r="G491" t="s">
        <v>855</v>
      </c>
      <c r="H491" t="s">
        <v>615</v>
      </c>
      <c r="I491">
        <f>I490*J491</f>
        <v>0.7</v>
      </c>
      <c r="J491">
        <v>9.9999999999999992E-2</v>
      </c>
      <c r="O491">
        <f t="shared" si="339"/>
        <v>5350.69</v>
      </c>
      <c r="P491">
        <f t="shared" si="340"/>
        <v>5350.69</v>
      </c>
      <c r="Q491">
        <f t="shared" si="341"/>
        <v>0</v>
      </c>
      <c r="R491">
        <f t="shared" si="342"/>
        <v>0</v>
      </c>
      <c r="S491">
        <f t="shared" si="343"/>
        <v>0</v>
      </c>
      <c r="T491">
        <f t="shared" si="344"/>
        <v>0</v>
      </c>
      <c r="U491">
        <f t="shared" si="345"/>
        <v>0</v>
      </c>
      <c r="V491">
        <f t="shared" si="346"/>
        <v>0</v>
      </c>
      <c r="W491">
        <f t="shared" si="347"/>
        <v>0</v>
      </c>
      <c r="X491">
        <f t="shared" si="348"/>
        <v>0</v>
      </c>
      <c r="Y491">
        <f t="shared" si="348"/>
        <v>0</v>
      </c>
      <c r="AA491">
        <v>16748969</v>
      </c>
      <c r="AB491">
        <f t="shared" si="349"/>
        <v>1165.22</v>
      </c>
      <c r="AC491">
        <f t="shared" si="350"/>
        <v>1165.22</v>
      </c>
      <c r="AD491">
        <f t="shared" si="351"/>
        <v>0</v>
      </c>
      <c r="AE491">
        <f t="shared" si="352"/>
        <v>0</v>
      </c>
      <c r="AF491">
        <f t="shared" si="352"/>
        <v>0</v>
      </c>
      <c r="AG491">
        <f t="shared" si="353"/>
        <v>0</v>
      </c>
      <c r="AH491">
        <f t="shared" si="354"/>
        <v>0</v>
      </c>
      <c r="AI491">
        <f t="shared" si="354"/>
        <v>0</v>
      </c>
      <c r="AJ491">
        <f t="shared" si="355"/>
        <v>0</v>
      </c>
      <c r="AK491">
        <v>1165.22</v>
      </c>
      <c r="AL491">
        <v>1165.22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  <c r="AS491">
        <v>0</v>
      </c>
      <c r="AT491">
        <v>80</v>
      </c>
      <c r="AU491">
        <v>60</v>
      </c>
      <c r="AV491">
        <v>1</v>
      </c>
      <c r="AW491">
        <v>1</v>
      </c>
      <c r="AZ491">
        <v>6.56</v>
      </c>
      <c r="BA491">
        <v>1</v>
      </c>
      <c r="BB491">
        <v>1</v>
      </c>
      <c r="BC491">
        <v>6.56</v>
      </c>
      <c r="BD491" t="s">
        <v>6</v>
      </c>
      <c r="BE491" t="s">
        <v>6</v>
      </c>
      <c r="BF491" t="s">
        <v>6</v>
      </c>
      <c r="BG491" t="s">
        <v>6</v>
      </c>
      <c r="BH491">
        <v>3</v>
      </c>
      <c r="BI491">
        <v>2</v>
      </c>
      <c r="BJ491" t="s">
        <v>856</v>
      </c>
      <c r="BM491">
        <v>110011</v>
      </c>
      <c r="BN491">
        <v>0</v>
      </c>
      <c r="BO491" t="s">
        <v>6</v>
      </c>
      <c r="BP491">
        <v>0</v>
      </c>
      <c r="BQ491">
        <v>3</v>
      </c>
      <c r="BR491">
        <v>0</v>
      </c>
      <c r="BS491">
        <v>1</v>
      </c>
      <c r="BT491">
        <v>1</v>
      </c>
      <c r="BU491">
        <v>1</v>
      </c>
      <c r="BV491">
        <v>1</v>
      </c>
      <c r="BW491">
        <v>1</v>
      </c>
      <c r="BX491">
        <v>1</v>
      </c>
      <c r="BY491" t="s">
        <v>6</v>
      </c>
      <c r="BZ491">
        <v>80</v>
      </c>
      <c r="CA491">
        <v>60</v>
      </c>
      <c r="CF491">
        <v>0</v>
      </c>
      <c r="CG491">
        <v>0</v>
      </c>
      <c r="CM491">
        <v>0</v>
      </c>
      <c r="CN491" t="s">
        <v>6</v>
      </c>
      <c r="CO491">
        <v>0</v>
      </c>
      <c r="CP491">
        <f t="shared" si="356"/>
        <v>5350.69</v>
      </c>
      <c r="CQ491">
        <f t="shared" si="357"/>
        <v>7643.8431999999993</v>
      </c>
      <c r="CR491">
        <f t="shared" si="358"/>
        <v>0</v>
      </c>
      <c r="CS491">
        <f t="shared" si="359"/>
        <v>0</v>
      </c>
      <c r="CT491">
        <f t="shared" si="360"/>
        <v>0</v>
      </c>
      <c r="CU491">
        <f t="shared" si="361"/>
        <v>0</v>
      </c>
      <c r="CV491">
        <f t="shared" si="361"/>
        <v>0</v>
      </c>
      <c r="CW491">
        <f t="shared" si="361"/>
        <v>0</v>
      </c>
      <c r="CX491">
        <f t="shared" si="361"/>
        <v>0</v>
      </c>
      <c r="CY491">
        <f t="shared" si="362"/>
        <v>0</v>
      </c>
      <c r="CZ491">
        <f t="shared" si="363"/>
        <v>0</v>
      </c>
      <c r="DC491" t="s">
        <v>6</v>
      </c>
      <c r="DD491" t="s">
        <v>6</v>
      </c>
      <c r="DE491" t="s">
        <v>6</v>
      </c>
      <c r="DF491" t="s">
        <v>6</v>
      </c>
      <c r="DG491" t="s">
        <v>6</v>
      </c>
      <c r="DH491" t="s">
        <v>6</v>
      </c>
      <c r="DI491" t="s">
        <v>6</v>
      </c>
      <c r="DJ491" t="s">
        <v>6</v>
      </c>
      <c r="DK491" t="s">
        <v>6</v>
      </c>
      <c r="DL491" t="s">
        <v>6</v>
      </c>
      <c r="DM491" t="s">
        <v>6</v>
      </c>
      <c r="DN491">
        <v>0</v>
      </c>
      <c r="DO491">
        <v>0</v>
      </c>
      <c r="DP491">
        <v>1</v>
      </c>
      <c r="DQ491">
        <v>1</v>
      </c>
      <c r="DU491">
        <v>1010</v>
      </c>
      <c r="DV491" t="s">
        <v>615</v>
      </c>
      <c r="DW491" t="s">
        <v>615</v>
      </c>
      <c r="DX491">
        <v>10</v>
      </c>
      <c r="EE491">
        <v>16510417</v>
      </c>
      <c r="EF491">
        <v>3</v>
      </c>
      <c r="EG491" t="s">
        <v>591</v>
      </c>
      <c r="EH491">
        <v>0</v>
      </c>
      <c r="EI491" t="s">
        <v>6</v>
      </c>
      <c r="EJ491">
        <v>2</v>
      </c>
      <c r="EK491">
        <v>110011</v>
      </c>
      <c r="EL491" t="s">
        <v>648</v>
      </c>
      <c r="EM491" t="s">
        <v>649</v>
      </c>
      <c r="EO491" t="s">
        <v>6</v>
      </c>
      <c r="EQ491">
        <v>0</v>
      </c>
      <c r="ER491">
        <v>1165.22</v>
      </c>
      <c r="ES491">
        <v>1165.22</v>
      </c>
      <c r="ET491">
        <v>0</v>
      </c>
      <c r="EU491">
        <v>0</v>
      </c>
      <c r="EV491">
        <v>0</v>
      </c>
      <c r="EW491">
        <v>0</v>
      </c>
      <c r="EX491">
        <v>0</v>
      </c>
      <c r="FQ491">
        <v>0</v>
      </c>
      <c r="FR491">
        <f t="shared" si="364"/>
        <v>0</v>
      </c>
      <c r="FS491">
        <v>0</v>
      </c>
      <c r="FX491">
        <v>80</v>
      </c>
      <c r="FY491">
        <v>60</v>
      </c>
      <c r="GA491" t="s">
        <v>6</v>
      </c>
      <c r="GD491">
        <v>0</v>
      </c>
      <c r="GF491">
        <v>-1785852769</v>
      </c>
      <c r="GG491">
        <v>1</v>
      </c>
      <c r="GH491">
        <v>1</v>
      </c>
      <c r="GI491">
        <v>4</v>
      </c>
      <c r="GJ491">
        <v>0</v>
      </c>
      <c r="GK491">
        <f>ROUND(R491*(R12)/100,2)</f>
        <v>0</v>
      </c>
      <c r="GL491">
        <f t="shared" si="365"/>
        <v>0</v>
      </c>
      <c r="GM491">
        <f t="shared" si="366"/>
        <v>5350.69</v>
      </c>
      <c r="GN491">
        <f t="shared" si="367"/>
        <v>0</v>
      </c>
      <c r="GO491">
        <f t="shared" si="368"/>
        <v>5350.69</v>
      </c>
      <c r="GP491">
        <f t="shared" si="369"/>
        <v>0</v>
      </c>
      <c r="GR491">
        <v>0</v>
      </c>
      <c r="GS491">
        <v>3</v>
      </c>
      <c r="GT491">
        <v>0</v>
      </c>
      <c r="GU491" t="s">
        <v>6</v>
      </c>
      <c r="GV491">
        <f t="shared" si="370"/>
        <v>0</v>
      </c>
      <c r="GW491">
        <v>1</v>
      </c>
      <c r="GX491">
        <f t="shared" si="371"/>
        <v>0</v>
      </c>
      <c r="HA491">
        <v>0</v>
      </c>
      <c r="HB491">
        <v>0</v>
      </c>
      <c r="IK491">
        <v>0</v>
      </c>
    </row>
    <row r="492" spans="1:245" x14ac:dyDescent="0.2">
      <c r="A492">
        <v>17</v>
      </c>
      <c r="B492">
        <v>1</v>
      </c>
      <c r="C492">
        <f>ROW(SmtRes!A633)</f>
        <v>633</v>
      </c>
      <c r="D492">
        <f>ROW(EtalonRes!A581)</f>
        <v>581</v>
      </c>
      <c r="E492" t="s">
        <v>857</v>
      </c>
      <c r="F492" t="s">
        <v>626</v>
      </c>
      <c r="G492" t="s">
        <v>627</v>
      </c>
      <c r="H492" t="s">
        <v>34</v>
      </c>
      <c r="I492">
        <f>ROUND(16/100,9)</f>
        <v>0.16</v>
      </c>
      <c r="J492">
        <v>0</v>
      </c>
      <c r="O492">
        <f t="shared" si="339"/>
        <v>164.08</v>
      </c>
      <c r="P492">
        <f t="shared" si="340"/>
        <v>17.62</v>
      </c>
      <c r="Q492">
        <f t="shared" si="341"/>
        <v>0</v>
      </c>
      <c r="R492">
        <f t="shared" si="342"/>
        <v>0</v>
      </c>
      <c r="S492">
        <f t="shared" si="343"/>
        <v>146.46</v>
      </c>
      <c r="T492">
        <f t="shared" si="344"/>
        <v>0</v>
      </c>
      <c r="U492">
        <f t="shared" si="345"/>
        <v>2.4319999999999999</v>
      </c>
      <c r="V492">
        <f t="shared" si="346"/>
        <v>0</v>
      </c>
      <c r="W492">
        <f t="shared" si="347"/>
        <v>0</v>
      </c>
      <c r="X492">
        <f t="shared" si="348"/>
        <v>139.13999999999999</v>
      </c>
      <c r="Y492">
        <f t="shared" si="348"/>
        <v>95.2</v>
      </c>
      <c r="AA492">
        <v>16748969</v>
      </c>
      <c r="AB492">
        <f t="shared" si="349"/>
        <v>156.33000000000001</v>
      </c>
      <c r="AC492">
        <f t="shared" si="350"/>
        <v>16.79</v>
      </c>
      <c r="AD492">
        <f t="shared" si="351"/>
        <v>0</v>
      </c>
      <c r="AE492">
        <f t="shared" si="352"/>
        <v>0</v>
      </c>
      <c r="AF492">
        <f t="shared" si="352"/>
        <v>139.54</v>
      </c>
      <c r="AG492">
        <f t="shared" si="353"/>
        <v>0</v>
      </c>
      <c r="AH492">
        <f t="shared" si="354"/>
        <v>15.2</v>
      </c>
      <c r="AI492">
        <f t="shared" si="354"/>
        <v>0</v>
      </c>
      <c r="AJ492">
        <f t="shared" si="355"/>
        <v>0</v>
      </c>
      <c r="AK492">
        <v>156.33000000000001</v>
      </c>
      <c r="AL492">
        <v>16.79</v>
      </c>
      <c r="AM492">
        <v>0</v>
      </c>
      <c r="AN492">
        <v>0</v>
      </c>
      <c r="AO492">
        <v>139.54</v>
      </c>
      <c r="AP492">
        <v>0</v>
      </c>
      <c r="AQ492">
        <v>15.2</v>
      </c>
      <c r="AR492">
        <v>0</v>
      </c>
      <c r="AS492">
        <v>0</v>
      </c>
      <c r="AT492">
        <v>95</v>
      </c>
      <c r="AU492">
        <v>65</v>
      </c>
      <c r="AV492">
        <v>1</v>
      </c>
      <c r="AW492">
        <v>1</v>
      </c>
      <c r="AZ492">
        <v>6.56</v>
      </c>
      <c r="BA492">
        <v>6.56</v>
      </c>
      <c r="BB492">
        <v>6.56</v>
      </c>
      <c r="BC492">
        <v>6.56</v>
      </c>
      <c r="BD492" t="s">
        <v>6</v>
      </c>
      <c r="BE492" t="s">
        <v>6</v>
      </c>
      <c r="BF492" t="s">
        <v>6</v>
      </c>
      <c r="BG492" t="s">
        <v>6</v>
      </c>
      <c r="BH492">
        <v>0</v>
      </c>
      <c r="BI492">
        <v>2</v>
      </c>
      <c r="BJ492" t="s">
        <v>628</v>
      </c>
      <c r="BM492">
        <v>108001</v>
      </c>
      <c r="BN492">
        <v>0</v>
      </c>
      <c r="BO492" t="s">
        <v>6</v>
      </c>
      <c r="BP492">
        <v>0</v>
      </c>
      <c r="BQ492">
        <v>3</v>
      </c>
      <c r="BR492">
        <v>0</v>
      </c>
      <c r="BS492">
        <v>6.56</v>
      </c>
      <c r="BT492">
        <v>1</v>
      </c>
      <c r="BU492">
        <v>1</v>
      </c>
      <c r="BV492">
        <v>1</v>
      </c>
      <c r="BW492">
        <v>1</v>
      </c>
      <c r="BX492">
        <v>1</v>
      </c>
      <c r="BY492" t="s">
        <v>6</v>
      </c>
      <c r="BZ492">
        <v>95</v>
      </c>
      <c r="CA492">
        <v>65</v>
      </c>
      <c r="CF492">
        <v>0</v>
      </c>
      <c r="CG492">
        <v>0</v>
      </c>
      <c r="CM492">
        <v>0</v>
      </c>
      <c r="CN492" t="s">
        <v>6</v>
      </c>
      <c r="CO492">
        <v>0</v>
      </c>
      <c r="CP492">
        <f t="shared" si="356"/>
        <v>164.08</v>
      </c>
      <c r="CQ492">
        <f t="shared" si="357"/>
        <v>110.14239999999998</v>
      </c>
      <c r="CR492">
        <f t="shared" si="358"/>
        <v>0</v>
      </c>
      <c r="CS492">
        <f t="shared" si="359"/>
        <v>0</v>
      </c>
      <c r="CT492">
        <f t="shared" si="360"/>
        <v>915.38239999999985</v>
      </c>
      <c r="CU492">
        <f t="shared" si="361"/>
        <v>0</v>
      </c>
      <c r="CV492">
        <f t="shared" si="361"/>
        <v>15.2</v>
      </c>
      <c r="CW492">
        <f t="shared" si="361"/>
        <v>0</v>
      </c>
      <c r="CX492">
        <f t="shared" si="361"/>
        <v>0</v>
      </c>
      <c r="CY492">
        <f t="shared" si="362"/>
        <v>139.137</v>
      </c>
      <c r="CZ492">
        <f t="shared" si="363"/>
        <v>95.198999999999998</v>
      </c>
      <c r="DC492" t="s">
        <v>6</v>
      </c>
      <c r="DD492" t="s">
        <v>6</v>
      </c>
      <c r="DE492" t="s">
        <v>6</v>
      </c>
      <c r="DF492" t="s">
        <v>6</v>
      </c>
      <c r="DG492" t="s">
        <v>6</v>
      </c>
      <c r="DH492" t="s">
        <v>6</v>
      </c>
      <c r="DI492" t="s">
        <v>6</v>
      </c>
      <c r="DJ492" t="s">
        <v>6</v>
      </c>
      <c r="DK492" t="s">
        <v>6</v>
      </c>
      <c r="DL492" t="s">
        <v>6</v>
      </c>
      <c r="DM492" t="s">
        <v>6</v>
      </c>
      <c r="DN492">
        <v>0</v>
      </c>
      <c r="DO492">
        <v>0</v>
      </c>
      <c r="DP492">
        <v>1</v>
      </c>
      <c r="DQ492">
        <v>1</v>
      </c>
      <c r="DU492">
        <v>1003</v>
      </c>
      <c r="DV492" t="s">
        <v>34</v>
      </c>
      <c r="DW492" t="s">
        <v>34</v>
      </c>
      <c r="DX492">
        <v>100</v>
      </c>
      <c r="EE492">
        <v>16510370</v>
      </c>
      <c r="EF492">
        <v>3</v>
      </c>
      <c r="EG492" t="s">
        <v>591</v>
      </c>
      <c r="EH492">
        <v>0</v>
      </c>
      <c r="EI492" t="s">
        <v>6</v>
      </c>
      <c r="EJ492">
        <v>2</v>
      </c>
      <c r="EK492">
        <v>108001</v>
      </c>
      <c r="EL492" t="s">
        <v>592</v>
      </c>
      <c r="EM492" t="s">
        <v>593</v>
      </c>
      <c r="EO492" t="s">
        <v>6</v>
      </c>
      <c r="EQ492">
        <v>131072</v>
      </c>
      <c r="ER492">
        <v>156.33000000000001</v>
      </c>
      <c r="ES492">
        <v>16.79</v>
      </c>
      <c r="ET492">
        <v>0</v>
      </c>
      <c r="EU492">
        <v>0</v>
      </c>
      <c r="EV492">
        <v>139.54</v>
      </c>
      <c r="EW492">
        <v>15.2</v>
      </c>
      <c r="EX492">
        <v>0</v>
      </c>
      <c r="EY492">
        <v>0</v>
      </c>
      <c r="FQ492">
        <v>0</v>
      </c>
      <c r="FR492">
        <f t="shared" si="364"/>
        <v>0</v>
      </c>
      <c r="FS492">
        <v>0</v>
      </c>
      <c r="FX492">
        <v>95</v>
      </c>
      <c r="FY492">
        <v>65</v>
      </c>
      <c r="GA492" t="s">
        <v>6</v>
      </c>
      <c r="GD492">
        <v>0</v>
      </c>
      <c r="GF492">
        <v>-596386547</v>
      </c>
      <c r="GG492">
        <v>1</v>
      </c>
      <c r="GH492">
        <v>1</v>
      </c>
      <c r="GI492">
        <v>4</v>
      </c>
      <c r="GJ492">
        <v>0</v>
      </c>
      <c r="GK492">
        <f>ROUND(R492*(R12)/100,2)</f>
        <v>0</v>
      </c>
      <c r="GL492">
        <f t="shared" si="365"/>
        <v>0</v>
      </c>
      <c r="GM492">
        <f t="shared" si="366"/>
        <v>398.42</v>
      </c>
      <c r="GN492">
        <f t="shared" si="367"/>
        <v>0</v>
      </c>
      <c r="GO492">
        <f t="shared" si="368"/>
        <v>398.42</v>
      </c>
      <c r="GP492">
        <f t="shared" si="369"/>
        <v>0</v>
      </c>
      <c r="GR492">
        <v>0</v>
      </c>
      <c r="GS492">
        <v>3</v>
      </c>
      <c r="GT492">
        <v>0</v>
      </c>
      <c r="GU492" t="s">
        <v>6</v>
      </c>
      <c r="GV492">
        <f t="shared" si="370"/>
        <v>0</v>
      </c>
      <c r="GW492">
        <v>1</v>
      </c>
      <c r="GX492">
        <f t="shared" si="371"/>
        <v>0</v>
      </c>
      <c r="HA492">
        <v>0</v>
      </c>
      <c r="HB492">
        <v>0</v>
      </c>
      <c r="IK492">
        <v>0</v>
      </c>
    </row>
    <row r="493" spans="1:245" x14ac:dyDescent="0.2">
      <c r="A493">
        <v>18</v>
      </c>
      <c r="B493">
        <v>1</v>
      </c>
      <c r="C493">
        <v>632</v>
      </c>
      <c r="E493" t="s">
        <v>858</v>
      </c>
      <c r="F493" t="s">
        <v>630</v>
      </c>
      <c r="G493" t="s">
        <v>631</v>
      </c>
      <c r="H493" t="s">
        <v>632</v>
      </c>
      <c r="I493">
        <f>I492*J493</f>
        <v>1.6</v>
      </c>
      <c r="J493">
        <v>10</v>
      </c>
      <c r="O493">
        <f t="shared" si="339"/>
        <v>169.09</v>
      </c>
      <c r="P493">
        <f t="shared" si="340"/>
        <v>169.09</v>
      </c>
      <c r="Q493">
        <f t="shared" si="341"/>
        <v>0</v>
      </c>
      <c r="R493">
        <f t="shared" si="342"/>
        <v>0</v>
      </c>
      <c r="S493">
        <f t="shared" si="343"/>
        <v>0</v>
      </c>
      <c r="T493">
        <f t="shared" si="344"/>
        <v>0</v>
      </c>
      <c r="U493">
        <f t="shared" si="345"/>
        <v>0</v>
      </c>
      <c r="V493">
        <f t="shared" si="346"/>
        <v>0</v>
      </c>
      <c r="W493">
        <f t="shared" si="347"/>
        <v>0</v>
      </c>
      <c r="X493">
        <f t="shared" si="348"/>
        <v>0</v>
      </c>
      <c r="Y493">
        <f t="shared" si="348"/>
        <v>0</v>
      </c>
      <c r="AA493">
        <v>16748969</v>
      </c>
      <c r="AB493">
        <f t="shared" si="349"/>
        <v>16.11</v>
      </c>
      <c r="AC493">
        <f t="shared" si="350"/>
        <v>16.11</v>
      </c>
      <c r="AD493">
        <f t="shared" si="351"/>
        <v>0</v>
      </c>
      <c r="AE493">
        <f t="shared" si="352"/>
        <v>0</v>
      </c>
      <c r="AF493">
        <f t="shared" si="352"/>
        <v>0</v>
      </c>
      <c r="AG493">
        <f t="shared" si="353"/>
        <v>0</v>
      </c>
      <c r="AH493">
        <f t="shared" si="354"/>
        <v>0</v>
      </c>
      <c r="AI493">
        <f t="shared" si="354"/>
        <v>0</v>
      </c>
      <c r="AJ493">
        <f t="shared" si="355"/>
        <v>0</v>
      </c>
      <c r="AK493">
        <v>16.11</v>
      </c>
      <c r="AL493">
        <v>16.11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  <c r="AS493">
        <v>0</v>
      </c>
      <c r="AT493">
        <v>95</v>
      </c>
      <c r="AU493">
        <v>65</v>
      </c>
      <c r="AV493">
        <v>1</v>
      </c>
      <c r="AW493">
        <v>1</v>
      </c>
      <c r="AZ493">
        <v>6.56</v>
      </c>
      <c r="BA493">
        <v>1</v>
      </c>
      <c r="BB493">
        <v>1</v>
      </c>
      <c r="BC493">
        <v>6.56</v>
      </c>
      <c r="BD493" t="s">
        <v>6</v>
      </c>
      <c r="BE493" t="s">
        <v>6</v>
      </c>
      <c r="BF493" t="s">
        <v>6</v>
      </c>
      <c r="BG493" t="s">
        <v>6</v>
      </c>
      <c r="BH493">
        <v>3</v>
      </c>
      <c r="BI493">
        <v>2</v>
      </c>
      <c r="BJ493" t="s">
        <v>633</v>
      </c>
      <c r="BM493">
        <v>108001</v>
      </c>
      <c r="BN493">
        <v>0</v>
      </c>
      <c r="BO493" t="s">
        <v>6</v>
      </c>
      <c r="BP493">
        <v>0</v>
      </c>
      <c r="BQ493">
        <v>3</v>
      </c>
      <c r="BR493">
        <v>0</v>
      </c>
      <c r="BS493">
        <v>1</v>
      </c>
      <c r="BT493">
        <v>1</v>
      </c>
      <c r="BU493">
        <v>1</v>
      </c>
      <c r="BV493">
        <v>1</v>
      </c>
      <c r="BW493">
        <v>1</v>
      </c>
      <c r="BX493">
        <v>1</v>
      </c>
      <c r="BY493" t="s">
        <v>6</v>
      </c>
      <c r="BZ493">
        <v>95</v>
      </c>
      <c r="CA493">
        <v>65</v>
      </c>
      <c r="CF493">
        <v>0</v>
      </c>
      <c r="CG493">
        <v>0</v>
      </c>
      <c r="CM493">
        <v>0</v>
      </c>
      <c r="CN493" t="s">
        <v>6</v>
      </c>
      <c r="CO493">
        <v>0</v>
      </c>
      <c r="CP493">
        <f t="shared" si="356"/>
        <v>169.09</v>
      </c>
      <c r="CQ493">
        <f t="shared" si="357"/>
        <v>105.68159999999999</v>
      </c>
      <c r="CR493">
        <f t="shared" si="358"/>
        <v>0</v>
      </c>
      <c r="CS493">
        <f t="shared" si="359"/>
        <v>0</v>
      </c>
      <c r="CT493">
        <f t="shared" si="360"/>
        <v>0</v>
      </c>
      <c r="CU493">
        <f t="shared" si="361"/>
        <v>0</v>
      </c>
      <c r="CV493">
        <f t="shared" si="361"/>
        <v>0</v>
      </c>
      <c r="CW493">
        <f t="shared" si="361"/>
        <v>0</v>
      </c>
      <c r="CX493">
        <f t="shared" si="361"/>
        <v>0</v>
      </c>
      <c r="CY493">
        <f t="shared" si="362"/>
        <v>0</v>
      </c>
      <c r="CZ493">
        <f t="shared" si="363"/>
        <v>0</v>
      </c>
      <c r="DC493" t="s">
        <v>6</v>
      </c>
      <c r="DD493" t="s">
        <v>6</v>
      </c>
      <c r="DE493" t="s">
        <v>6</v>
      </c>
      <c r="DF493" t="s">
        <v>6</v>
      </c>
      <c r="DG493" t="s">
        <v>6</v>
      </c>
      <c r="DH493" t="s">
        <v>6</v>
      </c>
      <c r="DI493" t="s">
        <v>6</v>
      </c>
      <c r="DJ493" t="s">
        <v>6</v>
      </c>
      <c r="DK493" t="s">
        <v>6</v>
      </c>
      <c r="DL493" t="s">
        <v>6</v>
      </c>
      <c r="DM493" t="s">
        <v>6</v>
      </c>
      <c r="DN493">
        <v>0</v>
      </c>
      <c r="DO493">
        <v>0</v>
      </c>
      <c r="DP493">
        <v>1</v>
      </c>
      <c r="DQ493">
        <v>1</v>
      </c>
      <c r="DU493">
        <v>1003</v>
      </c>
      <c r="DV493" t="s">
        <v>632</v>
      </c>
      <c r="DW493" t="s">
        <v>632</v>
      </c>
      <c r="DX493">
        <v>10</v>
      </c>
      <c r="EE493">
        <v>16510370</v>
      </c>
      <c r="EF493">
        <v>3</v>
      </c>
      <c r="EG493" t="s">
        <v>591</v>
      </c>
      <c r="EH493">
        <v>0</v>
      </c>
      <c r="EI493" t="s">
        <v>6</v>
      </c>
      <c r="EJ493">
        <v>2</v>
      </c>
      <c r="EK493">
        <v>108001</v>
      </c>
      <c r="EL493" t="s">
        <v>592</v>
      </c>
      <c r="EM493" t="s">
        <v>593</v>
      </c>
      <c r="EO493" t="s">
        <v>6</v>
      </c>
      <c r="EQ493">
        <v>0</v>
      </c>
      <c r="ER493">
        <v>16.11</v>
      </c>
      <c r="ES493">
        <v>16.11</v>
      </c>
      <c r="ET493">
        <v>0</v>
      </c>
      <c r="EU493">
        <v>0</v>
      </c>
      <c r="EV493">
        <v>0</v>
      </c>
      <c r="EW493">
        <v>0</v>
      </c>
      <c r="EX493">
        <v>0</v>
      </c>
      <c r="FQ493">
        <v>0</v>
      </c>
      <c r="FR493">
        <f t="shared" si="364"/>
        <v>0</v>
      </c>
      <c r="FS493">
        <v>0</v>
      </c>
      <c r="FX493">
        <v>95</v>
      </c>
      <c r="FY493">
        <v>65</v>
      </c>
      <c r="GA493" t="s">
        <v>6</v>
      </c>
      <c r="GD493">
        <v>0</v>
      </c>
      <c r="GF493">
        <v>-819900352</v>
      </c>
      <c r="GG493">
        <v>1</v>
      </c>
      <c r="GH493">
        <v>1</v>
      </c>
      <c r="GI493">
        <v>4</v>
      </c>
      <c r="GJ493">
        <v>0</v>
      </c>
      <c r="GK493">
        <f>ROUND(R493*(R12)/100,2)</f>
        <v>0</v>
      </c>
      <c r="GL493">
        <f t="shared" si="365"/>
        <v>0</v>
      </c>
      <c r="GM493">
        <f t="shared" si="366"/>
        <v>169.09</v>
      </c>
      <c r="GN493">
        <f t="shared" si="367"/>
        <v>0</v>
      </c>
      <c r="GO493">
        <f t="shared" si="368"/>
        <v>169.09</v>
      </c>
      <c r="GP493">
        <f t="shared" si="369"/>
        <v>0</v>
      </c>
      <c r="GR493">
        <v>0</v>
      </c>
      <c r="GS493">
        <v>3</v>
      </c>
      <c r="GT493">
        <v>0</v>
      </c>
      <c r="GU493" t="s">
        <v>6</v>
      </c>
      <c r="GV493">
        <f t="shared" si="370"/>
        <v>0</v>
      </c>
      <c r="GW493">
        <v>1</v>
      </c>
      <c r="GX493">
        <f t="shared" si="371"/>
        <v>0</v>
      </c>
      <c r="HA493">
        <v>0</v>
      </c>
      <c r="HB493">
        <v>0</v>
      </c>
      <c r="IK493">
        <v>0</v>
      </c>
    </row>
    <row r="494" spans="1:245" x14ac:dyDescent="0.2">
      <c r="A494">
        <v>17</v>
      </c>
      <c r="B494">
        <v>1</v>
      </c>
      <c r="C494">
        <f>ROW(SmtRes!A644)</f>
        <v>644</v>
      </c>
      <c r="D494">
        <f>ROW(EtalonRes!A591)</f>
        <v>591</v>
      </c>
      <c r="E494" t="s">
        <v>859</v>
      </c>
      <c r="F494" t="s">
        <v>635</v>
      </c>
      <c r="G494" t="s">
        <v>636</v>
      </c>
      <c r="H494" t="s">
        <v>34</v>
      </c>
      <c r="I494">
        <f>ROUND(24/100,9)</f>
        <v>0.24</v>
      </c>
      <c r="J494">
        <v>0</v>
      </c>
      <c r="O494">
        <f t="shared" si="339"/>
        <v>108.16</v>
      </c>
      <c r="P494">
        <f t="shared" si="340"/>
        <v>22.8</v>
      </c>
      <c r="Q494">
        <f t="shared" si="341"/>
        <v>5.59</v>
      </c>
      <c r="R494">
        <f t="shared" si="342"/>
        <v>0.79</v>
      </c>
      <c r="S494">
        <f t="shared" si="343"/>
        <v>79.77</v>
      </c>
      <c r="T494">
        <f t="shared" si="344"/>
        <v>0</v>
      </c>
      <c r="U494">
        <f t="shared" si="345"/>
        <v>1.2935999999999999</v>
      </c>
      <c r="V494">
        <f t="shared" si="346"/>
        <v>9.5999999999999992E-3</v>
      </c>
      <c r="W494">
        <f t="shared" si="347"/>
        <v>0</v>
      </c>
      <c r="X494">
        <f t="shared" si="348"/>
        <v>76.53</v>
      </c>
      <c r="Y494">
        <f t="shared" si="348"/>
        <v>52.36</v>
      </c>
      <c r="AA494">
        <v>16748969</v>
      </c>
      <c r="AB494">
        <f t="shared" si="349"/>
        <v>68.7</v>
      </c>
      <c r="AC494">
        <f t="shared" si="350"/>
        <v>14.48</v>
      </c>
      <c r="AD494">
        <f t="shared" si="351"/>
        <v>3.55</v>
      </c>
      <c r="AE494">
        <f t="shared" si="352"/>
        <v>0.5</v>
      </c>
      <c r="AF494">
        <f t="shared" si="352"/>
        <v>50.67</v>
      </c>
      <c r="AG494">
        <f t="shared" si="353"/>
        <v>0</v>
      </c>
      <c r="AH494">
        <f t="shared" si="354"/>
        <v>5.39</v>
      </c>
      <c r="AI494">
        <f t="shared" si="354"/>
        <v>0.04</v>
      </c>
      <c r="AJ494">
        <f t="shared" si="355"/>
        <v>0</v>
      </c>
      <c r="AK494">
        <v>68.7</v>
      </c>
      <c r="AL494">
        <v>14.48</v>
      </c>
      <c r="AM494">
        <v>3.55</v>
      </c>
      <c r="AN494">
        <v>0.5</v>
      </c>
      <c r="AO494">
        <v>50.67</v>
      </c>
      <c r="AP494">
        <v>0</v>
      </c>
      <c r="AQ494">
        <v>5.39</v>
      </c>
      <c r="AR494">
        <v>0.04</v>
      </c>
      <c r="AS494">
        <v>0</v>
      </c>
      <c r="AT494">
        <v>95</v>
      </c>
      <c r="AU494">
        <v>65</v>
      </c>
      <c r="AV494">
        <v>1</v>
      </c>
      <c r="AW494">
        <v>1</v>
      </c>
      <c r="AZ494">
        <v>6.56</v>
      </c>
      <c r="BA494">
        <v>6.56</v>
      </c>
      <c r="BB494">
        <v>6.56</v>
      </c>
      <c r="BC494">
        <v>6.56</v>
      </c>
      <c r="BD494" t="s">
        <v>6</v>
      </c>
      <c r="BE494" t="s">
        <v>6</v>
      </c>
      <c r="BF494" t="s">
        <v>6</v>
      </c>
      <c r="BG494" t="s">
        <v>6</v>
      </c>
      <c r="BH494">
        <v>0</v>
      </c>
      <c r="BI494">
        <v>2</v>
      </c>
      <c r="BJ494" t="s">
        <v>637</v>
      </c>
      <c r="BM494">
        <v>108001</v>
      </c>
      <c r="BN494">
        <v>0</v>
      </c>
      <c r="BO494" t="s">
        <v>6</v>
      </c>
      <c r="BP494">
        <v>0</v>
      </c>
      <c r="BQ494">
        <v>3</v>
      </c>
      <c r="BR494">
        <v>0</v>
      </c>
      <c r="BS494">
        <v>6.56</v>
      </c>
      <c r="BT494">
        <v>1</v>
      </c>
      <c r="BU494">
        <v>1</v>
      </c>
      <c r="BV494">
        <v>1</v>
      </c>
      <c r="BW494">
        <v>1</v>
      </c>
      <c r="BX494">
        <v>1</v>
      </c>
      <c r="BY494" t="s">
        <v>6</v>
      </c>
      <c r="BZ494">
        <v>95</v>
      </c>
      <c r="CA494">
        <v>65</v>
      </c>
      <c r="CF494">
        <v>0</v>
      </c>
      <c r="CG494">
        <v>0</v>
      </c>
      <c r="CM494">
        <v>0</v>
      </c>
      <c r="CN494" t="s">
        <v>6</v>
      </c>
      <c r="CO494">
        <v>0</v>
      </c>
      <c r="CP494">
        <f t="shared" si="356"/>
        <v>108.16</v>
      </c>
      <c r="CQ494">
        <f t="shared" si="357"/>
        <v>94.988799999999998</v>
      </c>
      <c r="CR494">
        <f t="shared" si="358"/>
        <v>23.287999999999997</v>
      </c>
      <c r="CS494">
        <f t="shared" si="359"/>
        <v>3.28</v>
      </c>
      <c r="CT494">
        <f t="shared" si="360"/>
        <v>332.39519999999999</v>
      </c>
      <c r="CU494">
        <f t="shared" si="361"/>
        <v>0</v>
      </c>
      <c r="CV494">
        <f t="shared" si="361"/>
        <v>5.39</v>
      </c>
      <c r="CW494">
        <f t="shared" si="361"/>
        <v>0.04</v>
      </c>
      <c r="CX494">
        <f t="shared" si="361"/>
        <v>0</v>
      </c>
      <c r="CY494">
        <f t="shared" si="362"/>
        <v>76.531999999999996</v>
      </c>
      <c r="CZ494">
        <f t="shared" si="363"/>
        <v>52.364000000000004</v>
      </c>
      <c r="DC494" t="s">
        <v>6</v>
      </c>
      <c r="DD494" t="s">
        <v>6</v>
      </c>
      <c r="DE494" t="s">
        <v>6</v>
      </c>
      <c r="DF494" t="s">
        <v>6</v>
      </c>
      <c r="DG494" t="s">
        <v>6</v>
      </c>
      <c r="DH494" t="s">
        <v>6</v>
      </c>
      <c r="DI494" t="s">
        <v>6</v>
      </c>
      <c r="DJ494" t="s">
        <v>6</v>
      </c>
      <c r="DK494" t="s">
        <v>6</v>
      </c>
      <c r="DL494" t="s">
        <v>6</v>
      </c>
      <c r="DM494" t="s">
        <v>6</v>
      </c>
      <c r="DN494">
        <v>0</v>
      </c>
      <c r="DO494">
        <v>0</v>
      </c>
      <c r="DP494">
        <v>1</v>
      </c>
      <c r="DQ494">
        <v>1</v>
      </c>
      <c r="DU494">
        <v>1003</v>
      </c>
      <c r="DV494" t="s">
        <v>34</v>
      </c>
      <c r="DW494" t="s">
        <v>34</v>
      </c>
      <c r="DX494">
        <v>100</v>
      </c>
      <c r="EE494">
        <v>16510370</v>
      </c>
      <c r="EF494">
        <v>3</v>
      </c>
      <c r="EG494" t="s">
        <v>591</v>
      </c>
      <c r="EH494">
        <v>0</v>
      </c>
      <c r="EI494" t="s">
        <v>6</v>
      </c>
      <c r="EJ494">
        <v>2</v>
      </c>
      <c r="EK494">
        <v>108001</v>
      </c>
      <c r="EL494" t="s">
        <v>592</v>
      </c>
      <c r="EM494" t="s">
        <v>593</v>
      </c>
      <c r="EO494" t="s">
        <v>6</v>
      </c>
      <c r="EQ494">
        <v>131072</v>
      </c>
      <c r="ER494">
        <v>68.7</v>
      </c>
      <c r="ES494">
        <v>14.48</v>
      </c>
      <c r="ET494">
        <v>3.55</v>
      </c>
      <c r="EU494">
        <v>0.5</v>
      </c>
      <c r="EV494">
        <v>50.67</v>
      </c>
      <c r="EW494">
        <v>5.39</v>
      </c>
      <c r="EX494">
        <v>0.04</v>
      </c>
      <c r="EY494">
        <v>0</v>
      </c>
      <c r="FQ494">
        <v>0</v>
      </c>
      <c r="FR494">
        <f t="shared" si="364"/>
        <v>0</v>
      </c>
      <c r="FS494">
        <v>0</v>
      </c>
      <c r="FX494">
        <v>95</v>
      </c>
      <c r="FY494">
        <v>65</v>
      </c>
      <c r="GA494" t="s">
        <v>6</v>
      </c>
      <c r="GD494">
        <v>0</v>
      </c>
      <c r="GF494">
        <v>-1215790049</v>
      </c>
      <c r="GG494">
        <v>1</v>
      </c>
      <c r="GH494">
        <v>1</v>
      </c>
      <c r="GI494">
        <v>4</v>
      </c>
      <c r="GJ494">
        <v>0</v>
      </c>
      <c r="GK494">
        <f>ROUND(R494*(R12)/100,2)</f>
        <v>0</v>
      </c>
      <c r="GL494">
        <f t="shared" si="365"/>
        <v>0</v>
      </c>
      <c r="GM494">
        <f t="shared" si="366"/>
        <v>237.05</v>
      </c>
      <c r="GN494">
        <f t="shared" si="367"/>
        <v>0</v>
      </c>
      <c r="GO494">
        <f t="shared" si="368"/>
        <v>237.05</v>
      </c>
      <c r="GP494">
        <f t="shared" si="369"/>
        <v>0</v>
      </c>
      <c r="GR494">
        <v>0</v>
      </c>
      <c r="GS494">
        <v>3</v>
      </c>
      <c r="GT494">
        <v>0</v>
      </c>
      <c r="GU494" t="s">
        <v>6</v>
      </c>
      <c r="GV494">
        <f t="shared" si="370"/>
        <v>0</v>
      </c>
      <c r="GW494">
        <v>1</v>
      </c>
      <c r="GX494">
        <f t="shared" si="371"/>
        <v>0</v>
      </c>
      <c r="HA494">
        <v>0</v>
      </c>
      <c r="HB494">
        <v>0</v>
      </c>
      <c r="IK494">
        <v>0</v>
      </c>
    </row>
    <row r="495" spans="1:245" x14ac:dyDescent="0.2">
      <c r="A495">
        <v>18</v>
      </c>
      <c r="B495">
        <v>1</v>
      </c>
      <c r="C495">
        <v>643</v>
      </c>
      <c r="E495" t="s">
        <v>860</v>
      </c>
      <c r="F495" t="s">
        <v>861</v>
      </c>
      <c r="G495" t="s">
        <v>1611</v>
      </c>
      <c r="H495" t="s">
        <v>641</v>
      </c>
      <c r="I495">
        <f>I494*J495</f>
        <v>2.4E-2</v>
      </c>
      <c r="J495">
        <v>0.1</v>
      </c>
      <c r="O495">
        <f t="shared" si="339"/>
        <v>1150.52</v>
      </c>
      <c r="P495">
        <f t="shared" si="340"/>
        <v>1150.52</v>
      </c>
      <c r="Q495">
        <f t="shared" si="341"/>
        <v>0</v>
      </c>
      <c r="R495">
        <f t="shared" si="342"/>
        <v>0</v>
      </c>
      <c r="S495">
        <f t="shared" si="343"/>
        <v>0</v>
      </c>
      <c r="T495">
        <f t="shared" si="344"/>
        <v>0</v>
      </c>
      <c r="U495">
        <f t="shared" si="345"/>
        <v>0</v>
      </c>
      <c r="V495">
        <f t="shared" si="346"/>
        <v>0</v>
      </c>
      <c r="W495">
        <f t="shared" si="347"/>
        <v>0</v>
      </c>
      <c r="X495">
        <f t="shared" si="348"/>
        <v>0</v>
      </c>
      <c r="Y495">
        <f t="shared" si="348"/>
        <v>0</v>
      </c>
      <c r="AA495">
        <v>16748969</v>
      </c>
      <c r="AB495">
        <f t="shared" si="349"/>
        <v>7307.7</v>
      </c>
      <c r="AC495">
        <f t="shared" si="350"/>
        <v>7307.7</v>
      </c>
      <c r="AD495">
        <f t="shared" si="351"/>
        <v>0</v>
      </c>
      <c r="AE495">
        <f t="shared" si="352"/>
        <v>0</v>
      </c>
      <c r="AF495">
        <f t="shared" si="352"/>
        <v>0</v>
      </c>
      <c r="AG495">
        <f t="shared" si="353"/>
        <v>0</v>
      </c>
      <c r="AH495">
        <f t="shared" si="354"/>
        <v>0</v>
      </c>
      <c r="AI495">
        <f t="shared" si="354"/>
        <v>0</v>
      </c>
      <c r="AJ495">
        <f t="shared" si="355"/>
        <v>0</v>
      </c>
      <c r="AK495">
        <v>7307.7</v>
      </c>
      <c r="AL495">
        <v>7307.7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0</v>
      </c>
      <c r="AS495">
        <v>0</v>
      </c>
      <c r="AT495">
        <v>95</v>
      </c>
      <c r="AU495">
        <v>65</v>
      </c>
      <c r="AV495">
        <v>1</v>
      </c>
      <c r="AW495">
        <v>1</v>
      </c>
      <c r="AZ495">
        <v>6.56</v>
      </c>
      <c r="BA495">
        <v>1</v>
      </c>
      <c r="BB495">
        <v>1</v>
      </c>
      <c r="BC495">
        <v>6.56</v>
      </c>
      <c r="BD495" t="s">
        <v>6</v>
      </c>
      <c r="BE495" t="s">
        <v>6</v>
      </c>
      <c r="BF495" t="s">
        <v>6</v>
      </c>
      <c r="BG495" t="s">
        <v>6</v>
      </c>
      <c r="BH495">
        <v>3</v>
      </c>
      <c r="BI495">
        <v>2</v>
      </c>
      <c r="BJ495" t="s">
        <v>862</v>
      </c>
      <c r="BM495">
        <v>108001</v>
      </c>
      <c r="BN495">
        <v>0</v>
      </c>
      <c r="BO495" t="s">
        <v>6</v>
      </c>
      <c r="BP495">
        <v>0</v>
      </c>
      <c r="BQ495">
        <v>3</v>
      </c>
      <c r="BR495">
        <v>0</v>
      </c>
      <c r="BS495">
        <v>1</v>
      </c>
      <c r="BT495">
        <v>1</v>
      </c>
      <c r="BU495">
        <v>1</v>
      </c>
      <c r="BV495">
        <v>1</v>
      </c>
      <c r="BW495">
        <v>1</v>
      </c>
      <c r="BX495">
        <v>1</v>
      </c>
      <c r="BY495" t="s">
        <v>6</v>
      </c>
      <c r="BZ495">
        <v>95</v>
      </c>
      <c r="CA495">
        <v>65</v>
      </c>
      <c r="CF495">
        <v>0</v>
      </c>
      <c r="CG495">
        <v>0</v>
      </c>
      <c r="CM495">
        <v>0</v>
      </c>
      <c r="CN495" t="s">
        <v>6</v>
      </c>
      <c r="CO495">
        <v>0</v>
      </c>
      <c r="CP495">
        <f t="shared" si="356"/>
        <v>1150.52</v>
      </c>
      <c r="CQ495">
        <f t="shared" si="357"/>
        <v>47938.511999999995</v>
      </c>
      <c r="CR495">
        <f t="shared" si="358"/>
        <v>0</v>
      </c>
      <c r="CS495">
        <f t="shared" si="359"/>
        <v>0</v>
      </c>
      <c r="CT495">
        <f t="shared" si="360"/>
        <v>0</v>
      </c>
      <c r="CU495">
        <f t="shared" si="361"/>
        <v>0</v>
      </c>
      <c r="CV495">
        <f t="shared" si="361"/>
        <v>0</v>
      </c>
      <c r="CW495">
        <f t="shared" si="361"/>
        <v>0</v>
      </c>
      <c r="CX495">
        <f t="shared" si="361"/>
        <v>0</v>
      </c>
      <c r="CY495">
        <f t="shared" si="362"/>
        <v>0</v>
      </c>
      <c r="CZ495">
        <f t="shared" si="363"/>
        <v>0</v>
      </c>
      <c r="DC495" t="s">
        <v>6</v>
      </c>
      <c r="DD495" t="s">
        <v>6</v>
      </c>
      <c r="DE495" t="s">
        <v>6</v>
      </c>
      <c r="DF495" t="s">
        <v>6</v>
      </c>
      <c r="DG495" t="s">
        <v>6</v>
      </c>
      <c r="DH495" t="s">
        <v>6</v>
      </c>
      <c r="DI495" t="s">
        <v>6</v>
      </c>
      <c r="DJ495" t="s">
        <v>6</v>
      </c>
      <c r="DK495" t="s">
        <v>6</v>
      </c>
      <c r="DL495" t="s">
        <v>6</v>
      </c>
      <c r="DM495" t="s">
        <v>6</v>
      </c>
      <c r="DN495">
        <v>0</v>
      </c>
      <c r="DO495">
        <v>0</v>
      </c>
      <c r="DP495">
        <v>1</v>
      </c>
      <c r="DQ495">
        <v>1</v>
      </c>
      <c r="DU495">
        <v>1013</v>
      </c>
      <c r="DV495" t="s">
        <v>641</v>
      </c>
      <c r="DW495" t="s">
        <v>643</v>
      </c>
      <c r="DX495">
        <v>1</v>
      </c>
      <c r="EE495">
        <v>16510370</v>
      </c>
      <c r="EF495">
        <v>3</v>
      </c>
      <c r="EG495" t="s">
        <v>591</v>
      </c>
      <c r="EH495">
        <v>0</v>
      </c>
      <c r="EI495" t="s">
        <v>6</v>
      </c>
      <c r="EJ495">
        <v>2</v>
      </c>
      <c r="EK495">
        <v>108001</v>
      </c>
      <c r="EL495" t="s">
        <v>592</v>
      </c>
      <c r="EM495" t="s">
        <v>593</v>
      </c>
      <c r="EO495" t="s">
        <v>6</v>
      </c>
      <c r="EQ495">
        <v>0</v>
      </c>
      <c r="ER495">
        <v>7307.7</v>
      </c>
      <c r="ES495">
        <v>7307.7</v>
      </c>
      <c r="ET495">
        <v>0</v>
      </c>
      <c r="EU495">
        <v>0</v>
      </c>
      <c r="EV495">
        <v>0</v>
      </c>
      <c r="EW495">
        <v>0</v>
      </c>
      <c r="EX495">
        <v>0</v>
      </c>
      <c r="FQ495">
        <v>0</v>
      </c>
      <c r="FR495">
        <f t="shared" si="364"/>
        <v>0</v>
      </c>
      <c r="FS495">
        <v>0</v>
      </c>
      <c r="FX495">
        <v>95</v>
      </c>
      <c r="FY495">
        <v>65</v>
      </c>
      <c r="GA495" t="s">
        <v>6</v>
      </c>
      <c r="GD495">
        <v>0</v>
      </c>
      <c r="GF495">
        <v>287234314</v>
      </c>
      <c r="GG495">
        <v>1</v>
      </c>
      <c r="GH495">
        <v>1</v>
      </c>
      <c r="GI495">
        <v>4</v>
      </c>
      <c r="GJ495">
        <v>0</v>
      </c>
      <c r="GK495">
        <f>ROUND(R495*(R12)/100,2)</f>
        <v>0</v>
      </c>
      <c r="GL495">
        <f t="shared" si="365"/>
        <v>0</v>
      </c>
      <c r="GM495">
        <f t="shared" si="366"/>
        <v>1150.52</v>
      </c>
      <c r="GN495">
        <f t="shared" si="367"/>
        <v>0</v>
      </c>
      <c r="GO495">
        <f t="shared" si="368"/>
        <v>1150.52</v>
      </c>
      <c r="GP495">
        <f t="shared" si="369"/>
        <v>0</v>
      </c>
      <c r="GR495">
        <v>0</v>
      </c>
      <c r="GS495">
        <v>3</v>
      </c>
      <c r="GT495">
        <v>0</v>
      </c>
      <c r="GU495" t="s">
        <v>6</v>
      </c>
      <c r="GV495">
        <f t="shared" si="370"/>
        <v>0</v>
      </c>
      <c r="GW495">
        <v>1</v>
      </c>
      <c r="GX495">
        <f t="shared" si="371"/>
        <v>0</v>
      </c>
      <c r="HA495">
        <v>0</v>
      </c>
      <c r="HB495">
        <v>0</v>
      </c>
      <c r="IK495">
        <v>0</v>
      </c>
    </row>
    <row r="496" spans="1:245" x14ac:dyDescent="0.2">
      <c r="A496">
        <v>17</v>
      </c>
      <c r="B496">
        <v>1</v>
      </c>
      <c r="C496">
        <f>ROW(SmtRes!A646)</f>
        <v>646</v>
      </c>
      <c r="D496">
        <f>ROW(EtalonRes!A593)</f>
        <v>593</v>
      </c>
      <c r="E496" t="s">
        <v>863</v>
      </c>
      <c r="F496" t="s">
        <v>864</v>
      </c>
      <c r="G496" t="s">
        <v>865</v>
      </c>
      <c r="H496" t="s">
        <v>866</v>
      </c>
      <c r="I496">
        <v>1</v>
      </c>
      <c r="J496">
        <v>0</v>
      </c>
      <c r="O496">
        <f t="shared" si="339"/>
        <v>21007.41</v>
      </c>
      <c r="P496">
        <f t="shared" si="340"/>
        <v>411.9</v>
      </c>
      <c r="Q496">
        <f t="shared" si="341"/>
        <v>0</v>
      </c>
      <c r="R496">
        <f t="shared" si="342"/>
        <v>0</v>
      </c>
      <c r="S496">
        <f t="shared" si="343"/>
        <v>20595.509999999998</v>
      </c>
      <c r="T496">
        <f t="shared" si="344"/>
        <v>0</v>
      </c>
      <c r="U496">
        <f t="shared" si="345"/>
        <v>243</v>
      </c>
      <c r="V496">
        <f t="shared" si="346"/>
        <v>0</v>
      </c>
      <c r="W496">
        <f t="shared" si="347"/>
        <v>0</v>
      </c>
      <c r="X496">
        <f t="shared" si="348"/>
        <v>16476.41</v>
      </c>
      <c r="Y496">
        <f t="shared" si="348"/>
        <v>12357.31</v>
      </c>
      <c r="AA496">
        <v>16748969</v>
      </c>
      <c r="AB496">
        <f t="shared" si="349"/>
        <v>3202.35</v>
      </c>
      <c r="AC496">
        <f t="shared" si="350"/>
        <v>62.79</v>
      </c>
      <c r="AD496">
        <f t="shared" si="351"/>
        <v>0</v>
      </c>
      <c r="AE496">
        <f t="shared" si="352"/>
        <v>0</v>
      </c>
      <c r="AF496">
        <f t="shared" si="352"/>
        <v>3139.56</v>
      </c>
      <c r="AG496">
        <f t="shared" si="353"/>
        <v>0</v>
      </c>
      <c r="AH496">
        <f t="shared" si="354"/>
        <v>243</v>
      </c>
      <c r="AI496">
        <f t="shared" si="354"/>
        <v>0</v>
      </c>
      <c r="AJ496">
        <f t="shared" si="355"/>
        <v>0</v>
      </c>
      <c r="AK496">
        <v>3202.35</v>
      </c>
      <c r="AL496">
        <v>62.79</v>
      </c>
      <c r="AM496">
        <v>0</v>
      </c>
      <c r="AN496">
        <v>0</v>
      </c>
      <c r="AO496">
        <v>3139.56</v>
      </c>
      <c r="AP496">
        <v>0</v>
      </c>
      <c r="AQ496">
        <v>243</v>
      </c>
      <c r="AR496">
        <v>0</v>
      </c>
      <c r="AS496">
        <v>0</v>
      </c>
      <c r="AT496">
        <v>80</v>
      </c>
      <c r="AU496">
        <v>60</v>
      </c>
      <c r="AV496">
        <v>1</v>
      </c>
      <c r="AW496">
        <v>1</v>
      </c>
      <c r="AZ496">
        <v>6.56</v>
      </c>
      <c r="BA496">
        <v>6.56</v>
      </c>
      <c r="BB496">
        <v>6.56</v>
      </c>
      <c r="BC496">
        <v>6.56</v>
      </c>
      <c r="BD496" t="s">
        <v>6</v>
      </c>
      <c r="BE496" t="s">
        <v>6</v>
      </c>
      <c r="BF496" t="s">
        <v>6</v>
      </c>
      <c r="BG496" t="s">
        <v>6</v>
      </c>
      <c r="BH496">
        <v>0</v>
      </c>
      <c r="BI496">
        <v>2</v>
      </c>
      <c r="BJ496" t="s">
        <v>867</v>
      </c>
      <c r="BM496">
        <v>110001</v>
      </c>
      <c r="BN496">
        <v>0</v>
      </c>
      <c r="BO496" t="s">
        <v>6</v>
      </c>
      <c r="BP496">
        <v>0</v>
      </c>
      <c r="BQ496">
        <v>3</v>
      </c>
      <c r="BR496">
        <v>0</v>
      </c>
      <c r="BS496">
        <v>6.56</v>
      </c>
      <c r="BT496">
        <v>1</v>
      </c>
      <c r="BU496">
        <v>1</v>
      </c>
      <c r="BV496">
        <v>1</v>
      </c>
      <c r="BW496">
        <v>1</v>
      </c>
      <c r="BX496">
        <v>1</v>
      </c>
      <c r="BY496" t="s">
        <v>6</v>
      </c>
      <c r="BZ496">
        <v>80</v>
      </c>
      <c r="CA496">
        <v>60</v>
      </c>
      <c r="CF496">
        <v>0</v>
      </c>
      <c r="CG496">
        <v>0</v>
      </c>
      <c r="CM496">
        <v>0</v>
      </c>
      <c r="CN496" t="s">
        <v>6</v>
      </c>
      <c r="CO496">
        <v>0</v>
      </c>
      <c r="CP496">
        <f t="shared" si="356"/>
        <v>21007.41</v>
      </c>
      <c r="CQ496">
        <f t="shared" si="357"/>
        <v>411.90239999999994</v>
      </c>
      <c r="CR496">
        <f t="shared" si="358"/>
        <v>0</v>
      </c>
      <c r="CS496">
        <f t="shared" si="359"/>
        <v>0</v>
      </c>
      <c r="CT496">
        <f t="shared" si="360"/>
        <v>20595.513599999998</v>
      </c>
      <c r="CU496">
        <f t="shared" si="361"/>
        <v>0</v>
      </c>
      <c r="CV496">
        <f t="shared" si="361"/>
        <v>243</v>
      </c>
      <c r="CW496">
        <f t="shared" si="361"/>
        <v>0</v>
      </c>
      <c r="CX496">
        <f t="shared" si="361"/>
        <v>0</v>
      </c>
      <c r="CY496">
        <f t="shared" si="362"/>
        <v>16476.407999999999</v>
      </c>
      <c r="CZ496">
        <f t="shared" si="363"/>
        <v>12357.305999999999</v>
      </c>
      <c r="DC496" t="s">
        <v>6</v>
      </c>
      <c r="DD496" t="s">
        <v>6</v>
      </c>
      <c r="DE496" t="s">
        <v>6</v>
      </c>
      <c r="DF496" t="s">
        <v>6</v>
      </c>
      <c r="DG496" t="s">
        <v>6</v>
      </c>
      <c r="DH496" t="s">
        <v>6</v>
      </c>
      <c r="DI496" t="s">
        <v>6</v>
      </c>
      <c r="DJ496" t="s">
        <v>6</v>
      </c>
      <c r="DK496" t="s">
        <v>6</v>
      </c>
      <c r="DL496" t="s">
        <v>6</v>
      </c>
      <c r="DM496" t="s">
        <v>6</v>
      </c>
      <c r="DN496">
        <v>0</v>
      </c>
      <c r="DO496">
        <v>0</v>
      </c>
      <c r="DP496">
        <v>1</v>
      </c>
      <c r="DQ496">
        <v>1</v>
      </c>
      <c r="DU496">
        <v>1013</v>
      </c>
      <c r="DV496" t="s">
        <v>866</v>
      </c>
      <c r="DW496" t="s">
        <v>866</v>
      </c>
      <c r="DX496">
        <v>1</v>
      </c>
      <c r="EE496">
        <v>16510373</v>
      </c>
      <c r="EF496">
        <v>3</v>
      </c>
      <c r="EG496" t="s">
        <v>591</v>
      </c>
      <c r="EH496">
        <v>0</v>
      </c>
      <c r="EI496" t="s">
        <v>6</v>
      </c>
      <c r="EJ496">
        <v>2</v>
      </c>
      <c r="EK496">
        <v>110001</v>
      </c>
      <c r="EL496" t="s">
        <v>868</v>
      </c>
      <c r="EM496" t="s">
        <v>649</v>
      </c>
      <c r="EO496" t="s">
        <v>6</v>
      </c>
      <c r="EQ496">
        <v>131072</v>
      </c>
      <c r="ER496">
        <v>3202.35</v>
      </c>
      <c r="ES496">
        <v>62.79</v>
      </c>
      <c r="ET496">
        <v>0</v>
      </c>
      <c r="EU496">
        <v>0</v>
      </c>
      <c r="EV496">
        <v>3139.56</v>
      </c>
      <c r="EW496">
        <v>243</v>
      </c>
      <c r="EX496">
        <v>0</v>
      </c>
      <c r="EY496">
        <v>0</v>
      </c>
      <c r="FQ496">
        <v>0</v>
      </c>
      <c r="FR496">
        <f t="shared" si="364"/>
        <v>0</v>
      </c>
      <c r="FS496">
        <v>0</v>
      </c>
      <c r="FX496">
        <v>80</v>
      </c>
      <c r="FY496">
        <v>60</v>
      </c>
      <c r="GA496" t="s">
        <v>6</v>
      </c>
      <c r="GD496">
        <v>0</v>
      </c>
      <c r="GF496">
        <v>731725496</v>
      </c>
      <c r="GG496">
        <v>1</v>
      </c>
      <c r="GH496">
        <v>1</v>
      </c>
      <c r="GI496">
        <v>4</v>
      </c>
      <c r="GJ496">
        <v>0</v>
      </c>
      <c r="GK496">
        <f>ROUND(R496*(R12)/100,2)</f>
        <v>0</v>
      </c>
      <c r="GL496">
        <f t="shared" si="365"/>
        <v>0</v>
      </c>
      <c r="GM496">
        <f t="shared" si="366"/>
        <v>49841.13</v>
      </c>
      <c r="GN496">
        <f t="shared" si="367"/>
        <v>0</v>
      </c>
      <c r="GO496">
        <f t="shared" si="368"/>
        <v>49841.13</v>
      </c>
      <c r="GP496">
        <f t="shared" si="369"/>
        <v>0</v>
      </c>
      <c r="GR496">
        <v>0</v>
      </c>
      <c r="GS496">
        <v>3</v>
      </c>
      <c r="GT496">
        <v>0</v>
      </c>
      <c r="GU496" t="s">
        <v>6</v>
      </c>
      <c r="GV496">
        <f t="shared" si="370"/>
        <v>0</v>
      </c>
      <c r="GW496">
        <v>1</v>
      </c>
      <c r="GX496">
        <f t="shared" si="371"/>
        <v>0</v>
      </c>
      <c r="HA496">
        <v>0</v>
      </c>
      <c r="HB496">
        <v>0</v>
      </c>
      <c r="IK496">
        <v>0</v>
      </c>
    </row>
    <row r="498" spans="1:206" x14ac:dyDescent="0.2">
      <c r="A498" s="2">
        <v>51</v>
      </c>
      <c r="B498" s="2">
        <f>B486</f>
        <v>1</v>
      </c>
      <c r="C498" s="2">
        <f>A486</f>
        <v>4</v>
      </c>
      <c r="D498" s="2">
        <f>ROW(A486)</f>
        <v>486</v>
      </c>
      <c r="E498" s="2"/>
      <c r="F498" s="2" t="str">
        <f>IF(F486&lt;&gt;"",F486,"")</f>
        <v>Новый раздел</v>
      </c>
      <c r="G498" s="2" t="str">
        <f>IF(G486&lt;&gt;"",G486,"")</f>
        <v>4 Пожарная сигнализация</v>
      </c>
      <c r="H498" s="2">
        <v>0</v>
      </c>
      <c r="I498" s="2"/>
      <c r="J498" s="2"/>
      <c r="K498" s="2"/>
      <c r="L498" s="2"/>
      <c r="M498" s="2"/>
      <c r="N498" s="2"/>
      <c r="O498" s="2">
        <f t="shared" ref="O498:T498" si="372">ROUND(AB498,2)</f>
        <v>28818.3</v>
      </c>
      <c r="P498" s="2">
        <f t="shared" si="372"/>
        <v>7248.9</v>
      </c>
      <c r="Q498" s="2">
        <f t="shared" si="372"/>
        <v>5.59</v>
      </c>
      <c r="R498" s="2">
        <f t="shared" si="372"/>
        <v>0.79</v>
      </c>
      <c r="S498" s="2">
        <f t="shared" si="372"/>
        <v>21563.81</v>
      </c>
      <c r="T498" s="2">
        <f t="shared" si="372"/>
        <v>0</v>
      </c>
      <c r="U498" s="2">
        <f>AH498</f>
        <v>258.48559999999998</v>
      </c>
      <c r="V498" s="2">
        <f>AI498</f>
        <v>9.5999999999999992E-3</v>
      </c>
      <c r="W498" s="2">
        <f>ROUND(AJ498,2)</f>
        <v>0</v>
      </c>
      <c r="X498" s="2">
        <f>ROUND(AK498,2)</f>
        <v>17285.740000000002</v>
      </c>
      <c r="Y498" s="2">
        <f>ROUND(AL498,2)</f>
        <v>12950.11</v>
      </c>
      <c r="Z498" s="2"/>
      <c r="AA498" s="2"/>
      <c r="AB498" s="2">
        <f>ROUND(SUMIF(AA490:AA496,"=16748969",O490:O496),2)</f>
        <v>28818.3</v>
      </c>
      <c r="AC498" s="2">
        <f>ROUND(SUMIF(AA490:AA496,"=16748969",P490:P496),2)</f>
        <v>7248.9</v>
      </c>
      <c r="AD498" s="2">
        <f>ROUND(SUMIF(AA490:AA496,"=16748969",Q490:Q496),2)</f>
        <v>5.59</v>
      </c>
      <c r="AE498" s="2">
        <f>ROUND(SUMIF(AA490:AA496,"=16748969",R490:R496),2)</f>
        <v>0.79</v>
      </c>
      <c r="AF498" s="2">
        <f>ROUND(SUMIF(AA490:AA496,"=16748969",S490:S496),2)</f>
        <v>21563.81</v>
      </c>
      <c r="AG498" s="2">
        <f>ROUND(SUMIF(AA490:AA496,"=16748969",T490:T496),2)</f>
        <v>0</v>
      </c>
      <c r="AH498" s="2">
        <f>SUMIF(AA490:AA496,"=16748969",U490:U496)</f>
        <v>258.48559999999998</v>
      </c>
      <c r="AI498" s="2">
        <f>SUMIF(AA490:AA496,"=16748969",V490:V496)</f>
        <v>9.5999999999999992E-3</v>
      </c>
      <c r="AJ498" s="2">
        <f>ROUND(SUMIF(AA490:AA496,"=16748969",W490:W496),2)</f>
        <v>0</v>
      </c>
      <c r="AK498" s="2">
        <f>ROUND(SUMIF(AA490:AA496,"=16748969",X490:X496),2)</f>
        <v>17285.740000000002</v>
      </c>
      <c r="AL498" s="2">
        <f>ROUND(SUMIF(AA490:AA496,"=16748969",Y490:Y496),2)</f>
        <v>12950.11</v>
      </c>
      <c r="AM498" s="2"/>
      <c r="AN498" s="2"/>
      <c r="AO498" s="2">
        <f t="shared" ref="AO498:BC498" si="373">ROUND(BX498,2)</f>
        <v>0</v>
      </c>
      <c r="AP498" s="2">
        <f t="shared" si="373"/>
        <v>0</v>
      </c>
      <c r="AQ498" s="2">
        <f t="shared" si="373"/>
        <v>0</v>
      </c>
      <c r="AR498" s="2">
        <f t="shared" si="373"/>
        <v>59054.15</v>
      </c>
      <c r="AS498" s="2">
        <f t="shared" si="373"/>
        <v>0</v>
      </c>
      <c r="AT498" s="2">
        <f t="shared" si="373"/>
        <v>59054.15</v>
      </c>
      <c r="AU498" s="2">
        <f t="shared" si="373"/>
        <v>0</v>
      </c>
      <c r="AV498" s="2">
        <f t="shared" si="373"/>
        <v>7248.9</v>
      </c>
      <c r="AW498" s="2">
        <f t="shared" si="373"/>
        <v>7248.9</v>
      </c>
      <c r="AX498" s="2">
        <f t="shared" si="373"/>
        <v>0</v>
      </c>
      <c r="AY498" s="2">
        <f t="shared" si="373"/>
        <v>7248.9</v>
      </c>
      <c r="AZ498" s="2">
        <f t="shared" si="373"/>
        <v>0</v>
      </c>
      <c r="BA498" s="2">
        <f t="shared" si="373"/>
        <v>0</v>
      </c>
      <c r="BB498" s="2">
        <f t="shared" si="373"/>
        <v>0</v>
      </c>
      <c r="BC498" s="2">
        <f t="shared" si="373"/>
        <v>0</v>
      </c>
      <c r="BD498" s="2"/>
      <c r="BE498" s="2"/>
      <c r="BF498" s="2"/>
      <c r="BG498" s="2"/>
      <c r="BH498" s="2"/>
      <c r="BI498" s="2"/>
      <c r="BJ498" s="2"/>
      <c r="BK498" s="2"/>
      <c r="BL498" s="2"/>
      <c r="BM498" s="2"/>
      <c r="BN498" s="2"/>
      <c r="BO498" s="2"/>
      <c r="BP498" s="2"/>
      <c r="BQ498" s="2"/>
      <c r="BR498" s="2"/>
      <c r="BS498" s="2"/>
      <c r="BT498" s="2"/>
      <c r="BU498" s="2"/>
      <c r="BV498" s="2"/>
      <c r="BW498" s="2"/>
      <c r="BX498" s="2">
        <f>ROUND(SUMIF(AA490:AA496,"=16748969",FQ490:FQ496),2)</f>
        <v>0</v>
      </c>
      <c r="BY498" s="2">
        <f>ROUND(SUMIF(AA490:AA496,"=16748969",FR490:FR496),2)</f>
        <v>0</v>
      </c>
      <c r="BZ498" s="2">
        <f>ROUND(SUMIF(AA490:AA496,"=16748969",GL490:GL496),2)</f>
        <v>0</v>
      </c>
      <c r="CA498" s="2">
        <f>ROUND(SUMIF(AA490:AA496,"=16748969",GM490:GM496),2)</f>
        <v>59054.15</v>
      </c>
      <c r="CB498" s="2">
        <f>ROUND(SUMIF(AA490:AA496,"=16748969",GN490:GN496),2)</f>
        <v>0</v>
      </c>
      <c r="CC498" s="2">
        <f>ROUND(SUMIF(AA490:AA496,"=16748969",GO490:GO496),2)</f>
        <v>59054.15</v>
      </c>
      <c r="CD498" s="2">
        <f>ROUND(SUMIF(AA490:AA496,"=16748969",GP490:GP496),2)</f>
        <v>0</v>
      </c>
      <c r="CE498" s="2">
        <f>AC498-BX498</f>
        <v>7248.9</v>
      </c>
      <c r="CF498" s="2">
        <f>AC498-BY498</f>
        <v>7248.9</v>
      </c>
      <c r="CG498" s="2">
        <f>BX498-BZ498</f>
        <v>0</v>
      </c>
      <c r="CH498" s="2">
        <f>AC498-BX498-BY498+BZ498</f>
        <v>7248.9</v>
      </c>
      <c r="CI498" s="2">
        <f>BY498-BZ498</f>
        <v>0</v>
      </c>
      <c r="CJ498" s="2">
        <f>ROUND(SUMIF(AA490:AA496,"=16748969",GX490:GX496),2)</f>
        <v>0</v>
      </c>
      <c r="CK498" s="2">
        <f>ROUND(SUMIF(AA490:AA496,"=16748969",GY490:GY496),2)</f>
        <v>0</v>
      </c>
      <c r="CL498" s="2">
        <f>ROUND(SUMIF(AA490:AA496,"=16748969",GZ490:GZ496),2)</f>
        <v>0</v>
      </c>
      <c r="CM498" s="2"/>
      <c r="CN498" s="2"/>
      <c r="CO498" s="2"/>
      <c r="CP498" s="2"/>
      <c r="CQ498" s="2"/>
      <c r="CR498" s="2"/>
      <c r="CS498" s="2"/>
      <c r="CT498" s="2"/>
      <c r="CU498" s="2"/>
      <c r="CV498" s="2"/>
      <c r="CW498" s="2"/>
      <c r="CX498" s="2"/>
      <c r="CY498" s="2"/>
      <c r="CZ498" s="2"/>
      <c r="DA498" s="2"/>
      <c r="DB498" s="2"/>
      <c r="DC498" s="2"/>
      <c r="DD498" s="2"/>
      <c r="DE498" s="2"/>
      <c r="DF498" s="2"/>
      <c r="DG498" s="3"/>
      <c r="DH498" s="3"/>
      <c r="DI498" s="3"/>
      <c r="DJ498" s="3"/>
      <c r="DK498" s="3"/>
      <c r="DL498" s="3"/>
      <c r="DM498" s="3"/>
      <c r="DN498" s="3"/>
      <c r="DO498" s="3"/>
      <c r="DP498" s="3"/>
      <c r="DQ498" s="3"/>
      <c r="DR498" s="3"/>
      <c r="DS498" s="3"/>
      <c r="DT498" s="3"/>
      <c r="DU498" s="3"/>
      <c r="DV498" s="3"/>
      <c r="DW498" s="3"/>
      <c r="DX498" s="3"/>
      <c r="DY498" s="3"/>
      <c r="DZ498" s="3"/>
      <c r="EA498" s="3"/>
      <c r="EB498" s="3"/>
      <c r="EC498" s="3"/>
      <c r="ED498" s="3"/>
      <c r="EE498" s="3"/>
      <c r="EF498" s="3"/>
      <c r="EG498" s="3"/>
      <c r="EH498" s="3"/>
      <c r="EI498" s="3"/>
      <c r="EJ498" s="3"/>
      <c r="EK498" s="3"/>
      <c r="EL498" s="3"/>
      <c r="EM498" s="3"/>
      <c r="EN498" s="3"/>
      <c r="EO498" s="3"/>
      <c r="EP498" s="3"/>
      <c r="EQ498" s="3"/>
      <c r="ER498" s="3"/>
      <c r="ES498" s="3"/>
      <c r="ET498" s="3"/>
      <c r="EU498" s="3"/>
      <c r="EV498" s="3"/>
      <c r="EW498" s="3"/>
      <c r="EX498" s="3"/>
      <c r="EY498" s="3"/>
      <c r="EZ498" s="3"/>
      <c r="FA498" s="3"/>
      <c r="FB498" s="3"/>
      <c r="FC498" s="3"/>
      <c r="FD498" s="3"/>
      <c r="FE498" s="3"/>
      <c r="FF498" s="3"/>
      <c r="FG498" s="3"/>
      <c r="FH498" s="3"/>
      <c r="FI498" s="3"/>
      <c r="FJ498" s="3"/>
      <c r="FK498" s="3"/>
      <c r="FL498" s="3"/>
      <c r="FM498" s="3"/>
      <c r="FN498" s="3"/>
      <c r="FO498" s="3"/>
      <c r="FP498" s="3"/>
      <c r="FQ498" s="3"/>
      <c r="FR498" s="3"/>
      <c r="FS498" s="3"/>
      <c r="FT498" s="3"/>
      <c r="FU498" s="3"/>
      <c r="FV498" s="3"/>
      <c r="FW498" s="3"/>
      <c r="FX498" s="3"/>
      <c r="FY498" s="3"/>
      <c r="FZ498" s="3"/>
      <c r="GA498" s="3"/>
      <c r="GB498" s="3"/>
      <c r="GC498" s="3"/>
      <c r="GD498" s="3"/>
      <c r="GE498" s="3"/>
      <c r="GF498" s="3"/>
      <c r="GG498" s="3"/>
      <c r="GH498" s="3"/>
      <c r="GI498" s="3"/>
      <c r="GJ498" s="3"/>
      <c r="GK498" s="3"/>
      <c r="GL498" s="3"/>
      <c r="GM498" s="3"/>
      <c r="GN498" s="3"/>
      <c r="GO498" s="3"/>
      <c r="GP498" s="3"/>
      <c r="GQ498" s="3"/>
      <c r="GR498" s="3"/>
      <c r="GS498" s="3"/>
      <c r="GT498" s="3"/>
      <c r="GU498" s="3"/>
      <c r="GV498" s="3"/>
      <c r="GW498" s="3"/>
      <c r="GX498" s="3">
        <v>0</v>
      </c>
    </row>
    <row r="500" spans="1:206" x14ac:dyDescent="0.2">
      <c r="A500" s="4">
        <v>50</v>
      </c>
      <c r="B500" s="4">
        <v>0</v>
      </c>
      <c r="C500" s="4">
        <v>0</v>
      </c>
      <c r="D500" s="4">
        <v>1</v>
      </c>
      <c r="E500" s="4">
        <v>201</v>
      </c>
      <c r="F500" s="4">
        <f>ROUND(Source!O498,O500)</f>
        <v>28818.3</v>
      </c>
      <c r="G500" s="4" t="s">
        <v>115</v>
      </c>
      <c r="H500" s="4" t="s">
        <v>116</v>
      </c>
      <c r="I500" s="4"/>
      <c r="J500" s="4"/>
      <c r="K500" s="4">
        <v>201</v>
      </c>
      <c r="L500" s="4">
        <v>1</v>
      </c>
      <c r="M500" s="4">
        <v>3</v>
      </c>
      <c r="N500" s="4" t="s">
        <v>6</v>
      </c>
      <c r="O500" s="4">
        <v>2</v>
      </c>
      <c r="P500" s="4"/>
      <c r="Q500" s="4"/>
      <c r="R500" s="4"/>
      <c r="S500" s="4"/>
      <c r="T500" s="4"/>
      <c r="U500" s="4"/>
      <c r="V500" s="4"/>
      <c r="W500" s="4"/>
    </row>
    <row r="501" spans="1:206" x14ac:dyDescent="0.2">
      <c r="A501" s="4">
        <v>50</v>
      </c>
      <c r="B501" s="4">
        <v>0</v>
      </c>
      <c r="C501" s="4">
        <v>0</v>
      </c>
      <c r="D501" s="4">
        <v>1</v>
      </c>
      <c r="E501" s="4">
        <v>202</v>
      </c>
      <c r="F501" s="4">
        <f>ROUND(Source!P498,O501)</f>
        <v>7248.9</v>
      </c>
      <c r="G501" s="4" t="s">
        <v>117</v>
      </c>
      <c r="H501" s="4" t="s">
        <v>118</v>
      </c>
      <c r="I501" s="4"/>
      <c r="J501" s="4"/>
      <c r="K501" s="4">
        <v>202</v>
      </c>
      <c r="L501" s="4">
        <v>2</v>
      </c>
      <c r="M501" s="4">
        <v>3</v>
      </c>
      <c r="N501" s="4" t="s">
        <v>6</v>
      </c>
      <c r="O501" s="4">
        <v>2</v>
      </c>
      <c r="P501" s="4"/>
      <c r="Q501" s="4"/>
      <c r="R501" s="4"/>
      <c r="S501" s="4"/>
      <c r="T501" s="4"/>
      <c r="U501" s="4"/>
      <c r="V501" s="4"/>
      <c r="W501" s="4"/>
    </row>
    <row r="502" spans="1:206" x14ac:dyDescent="0.2">
      <c r="A502" s="4">
        <v>50</v>
      </c>
      <c r="B502" s="4">
        <v>0</v>
      </c>
      <c r="C502" s="4">
        <v>0</v>
      </c>
      <c r="D502" s="4">
        <v>1</v>
      </c>
      <c r="E502" s="4">
        <v>222</v>
      </c>
      <c r="F502" s="4">
        <f>ROUND(Source!AO498,O502)</f>
        <v>0</v>
      </c>
      <c r="G502" s="4" t="s">
        <v>119</v>
      </c>
      <c r="H502" s="4" t="s">
        <v>120</v>
      </c>
      <c r="I502" s="4"/>
      <c r="J502" s="4"/>
      <c r="K502" s="4">
        <v>222</v>
      </c>
      <c r="L502" s="4">
        <v>3</v>
      </c>
      <c r="M502" s="4">
        <v>3</v>
      </c>
      <c r="N502" s="4" t="s">
        <v>6</v>
      </c>
      <c r="O502" s="4">
        <v>2</v>
      </c>
      <c r="P502" s="4"/>
      <c r="Q502" s="4"/>
      <c r="R502" s="4"/>
      <c r="S502" s="4"/>
      <c r="T502" s="4"/>
      <c r="U502" s="4"/>
      <c r="V502" s="4"/>
      <c r="W502" s="4"/>
    </row>
    <row r="503" spans="1:206" x14ac:dyDescent="0.2">
      <c r="A503" s="4">
        <v>50</v>
      </c>
      <c r="B503" s="4">
        <v>0</v>
      </c>
      <c r="C503" s="4">
        <v>0</v>
      </c>
      <c r="D503" s="4">
        <v>1</v>
      </c>
      <c r="E503" s="4">
        <v>225</v>
      </c>
      <c r="F503" s="4">
        <f>ROUND(Source!AV498,O503)</f>
        <v>7248.9</v>
      </c>
      <c r="G503" s="4" t="s">
        <v>121</v>
      </c>
      <c r="H503" s="4" t="s">
        <v>122</v>
      </c>
      <c r="I503" s="4"/>
      <c r="J503" s="4"/>
      <c r="K503" s="4">
        <v>225</v>
      </c>
      <c r="L503" s="4">
        <v>4</v>
      </c>
      <c r="M503" s="4">
        <v>3</v>
      </c>
      <c r="N503" s="4" t="s">
        <v>6</v>
      </c>
      <c r="O503" s="4">
        <v>2</v>
      </c>
      <c r="P503" s="4"/>
      <c r="Q503" s="4"/>
      <c r="R503" s="4"/>
      <c r="S503" s="4"/>
      <c r="T503" s="4"/>
      <c r="U503" s="4"/>
      <c r="V503" s="4"/>
      <c r="W503" s="4"/>
    </row>
    <row r="504" spans="1:206" x14ac:dyDescent="0.2">
      <c r="A504" s="4">
        <v>50</v>
      </c>
      <c r="B504" s="4">
        <v>0</v>
      </c>
      <c r="C504" s="4">
        <v>0</v>
      </c>
      <c r="D504" s="4">
        <v>1</v>
      </c>
      <c r="E504" s="4">
        <v>226</v>
      </c>
      <c r="F504" s="4">
        <f>ROUND(Source!AW498,O504)</f>
        <v>7248.9</v>
      </c>
      <c r="G504" s="4" t="s">
        <v>123</v>
      </c>
      <c r="H504" s="4" t="s">
        <v>124</v>
      </c>
      <c r="I504" s="4"/>
      <c r="J504" s="4"/>
      <c r="K504" s="4">
        <v>226</v>
      </c>
      <c r="L504" s="4">
        <v>5</v>
      </c>
      <c r="M504" s="4">
        <v>3</v>
      </c>
      <c r="N504" s="4" t="s">
        <v>6</v>
      </c>
      <c r="O504" s="4">
        <v>2</v>
      </c>
      <c r="P504" s="4"/>
      <c r="Q504" s="4"/>
      <c r="R504" s="4"/>
      <c r="S504" s="4"/>
      <c r="T504" s="4"/>
      <c r="U504" s="4"/>
      <c r="V504" s="4"/>
      <c r="W504" s="4"/>
    </row>
    <row r="505" spans="1:206" x14ac:dyDescent="0.2">
      <c r="A505" s="4">
        <v>50</v>
      </c>
      <c r="B505" s="4">
        <v>0</v>
      </c>
      <c r="C505" s="4">
        <v>0</v>
      </c>
      <c r="D505" s="4">
        <v>1</v>
      </c>
      <c r="E505" s="4">
        <v>227</v>
      </c>
      <c r="F505" s="4">
        <f>ROUND(Source!AX498,O505)</f>
        <v>0</v>
      </c>
      <c r="G505" s="4" t="s">
        <v>125</v>
      </c>
      <c r="H505" s="4" t="s">
        <v>126</v>
      </c>
      <c r="I505" s="4"/>
      <c r="J505" s="4"/>
      <c r="K505" s="4">
        <v>227</v>
      </c>
      <c r="L505" s="4">
        <v>6</v>
      </c>
      <c r="M505" s="4">
        <v>3</v>
      </c>
      <c r="N505" s="4" t="s">
        <v>6</v>
      </c>
      <c r="O505" s="4">
        <v>2</v>
      </c>
      <c r="P505" s="4"/>
      <c r="Q505" s="4"/>
      <c r="R505" s="4"/>
      <c r="S505" s="4"/>
      <c r="T505" s="4"/>
      <c r="U505" s="4"/>
      <c r="V505" s="4"/>
      <c r="W505" s="4"/>
    </row>
    <row r="506" spans="1:206" x14ac:dyDescent="0.2">
      <c r="A506" s="4">
        <v>50</v>
      </c>
      <c r="B506" s="4">
        <v>0</v>
      </c>
      <c r="C506" s="4">
        <v>0</v>
      </c>
      <c r="D506" s="4">
        <v>1</v>
      </c>
      <c r="E506" s="4">
        <v>228</v>
      </c>
      <c r="F506" s="4">
        <f>ROUND(Source!AY498,O506)</f>
        <v>7248.9</v>
      </c>
      <c r="G506" s="4" t="s">
        <v>127</v>
      </c>
      <c r="H506" s="4" t="s">
        <v>128</v>
      </c>
      <c r="I506" s="4"/>
      <c r="J506" s="4"/>
      <c r="K506" s="4">
        <v>228</v>
      </c>
      <c r="L506" s="4">
        <v>7</v>
      </c>
      <c r="M506" s="4">
        <v>3</v>
      </c>
      <c r="N506" s="4" t="s">
        <v>6</v>
      </c>
      <c r="O506" s="4">
        <v>2</v>
      </c>
      <c r="P506" s="4"/>
      <c r="Q506" s="4"/>
      <c r="R506" s="4"/>
      <c r="S506" s="4"/>
      <c r="T506" s="4"/>
      <c r="U506" s="4"/>
      <c r="V506" s="4"/>
      <c r="W506" s="4"/>
    </row>
    <row r="507" spans="1:206" x14ac:dyDescent="0.2">
      <c r="A507" s="4">
        <v>50</v>
      </c>
      <c r="B507" s="4">
        <v>0</v>
      </c>
      <c r="C507" s="4">
        <v>0</v>
      </c>
      <c r="D507" s="4">
        <v>1</v>
      </c>
      <c r="E507" s="4">
        <v>216</v>
      </c>
      <c r="F507" s="4">
        <f>ROUND(Source!AP498,O507)</f>
        <v>0</v>
      </c>
      <c r="G507" s="4" t="s">
        <v>129</v>
      </c>
      <c r="H507" s="4" t="s">
        <v>130</v>
      </c>
      <c r="I507" s="4"/>
      <c r="J507" s="4"/>
      <c r="K507" s="4">
        <v>216</v>
      </c>
      <c r="L507" s="4">
        <v>8</v>
      </c>
      <c r="M507" s="4">
        <v>3</v>
      </c>
      <c r="N507" s="4" t="s">
        <v>6</v>
      </c>
      <c r="O507" s="4">
        <v>2</v>
      </c>
      <c r="P507" s="4"/>
      <c r="Q507" s="4"/>
      <c r="R507" s="4"/>
      <c r="S507" s="4"/>
      <c r="T507" s="4"/>
      <c r="U507" s="4"/>
      <c r="V507" s="4"/>
      <c r="W507" s="4"/>
    </row>
    <row r="508" spans="1:206" x14ac:dyDescent="0.2">
      <c r="A508" s="4">
        <v>50</v>
      </c>
      <c r="B508" s="4">
        <v>0</v>
      </c>
      <c r="C508" s="4">
        <v>0</v>
      </c>
      <c r="D508" s="4">
        <v>1</v>
      </c>
      <c r="E508" s="4">
        <v>223</v>
      </c>
      <c r="F508" s="4">
        <f>ROUND(Source!AQ498,O508)</f>
        <v>0</v>
      </c>
      <c r="G508" s="4" t="s">
        <v>131</v>
      </c>
      <c r="H508" s="4" t="s">
        <v>132</v>
      </c>
      <c r="I508" s="4"/>
      <c r="J508" s="4"/>
      <c r="K508" s="4">
        <v>223</v>
      </c>
      <c r="L508" s="4">
        <v>9</v>
      </c>
      <c r="M508" s="4">
        <v>3</v>
      </c>
      <c r="N508" s="4" t="s">
        <v>6</v>
      </c>
      <c r="O508" s="4">
        <v>2</v>
      </c>
      <c r="P508" s="4"/>
      <c r="Q508" s="4"/>
      <c r="R508" s="4"/>
      <c r="S508" s="4"/>
      <c r="T508" s="4"/>
      <c r="U508" s="4"/>
      <c r="V508" s="4"/>
      <c r="W508" s="4"/>
    </row>
    <row r="509" spans="1:206" x14ac:dyDescent="0.2">
      <c r="A509" s="4">
        <v>50</v>
      </c>
      <c r="B509" s="4">
        <v>0</v>
      </c>
      <c r="C509" s="4">
        <v>0</v>
      </c>
      <c r="D509" s="4">
        <v>1</v>
      </c>
      <c r="E509" s="4">
        <v>229</v>
      </c>
      <c r="F509" s="4">
        <f>ROUND(Source!AZ498,O509)</f>
        <v>0</v>
      </c>
      <c r="G509" s="4" t="s">
        <v>133</v>
      </c>
      <c r="H509" s="4" t="s">
        <v>134</v>
      </c>
      <c r="I509" s="4"/>
      <c r="J509" s="4"/>
      <c r="K509" s="4">
        <v>229</v>
      </c>
      <c r="L509" s="4">
        <v>10</v>
      </c>
      <c r="M509" s="4">
        <v>3</v>
      </c>
      <c r="N509" s="4" t="s">
        <v>6</v>
      </c>
      <c r="O509" s="4">
        <v>2</v>
      </c>
      <c r="P509" s="4"/>
      <c r="Q509" s="4"/>
      <c r="R509" s="4"/>
      <c r="S509" s="4"/>
      <c r="T509" s="4"/>
      <c r="U509" s="4"/>
      <c r="V509" s="4"/>
      <c r="W509" s="4"/>
    </row>
    <row r="510" spans="1:206" x14ac:dyDescent="0.2">
      <c r="A510" s="4">
        <v>50</v>
      </c>
      <c r="B510" s="4">
        <v>0</v>
      </c>
      <c r="C510" s="4">
        <v>0</v>
      </c>
      <c r="D510" s="4">
        <v>1</v>
      </c>
      <c r="E510" s="4">
        <v>203</v>
      </c>
      <c r="F510" s="4">
        <f>ROUND(Source!Q498,O510)</f>
        <v>5.59</v>
      </c>
      <c r="G510" s="4" t="s">
        <v>135</v>
      </c>
      <c r="H510" s="4" t="s">
        <v>136</v>
      </c>
      <c r="I510" s="4"/>
      <c r="J510" s="4"/>
      <c r="K510" s="4">
        <v>203</v>
      </c>
      <c r="L510" s="4">
        <v>11</v>
      </c>
      <c r="M510" s="4">
        <v>3</v>
      </c>
      <c r="N510" s="4" t="s">
        <v>6</v>
      </c>
      <c r="O510" s="4">
        <v>2</v>
      </c>
      <c r="P510" s="4"/>
      <c r="Q510" s="4"/>
      <c r="R510" s="4"/>
      <c r="S510" s="4"/>
      <c r="T510" s="4"/>
      <c r="U510" s="4"/>
      <c r="V510" s="4"/>
      <c r="W510" s="4"/>
    </row>
    <row r="511" spans="1:206" x14ac:dyDescent="0.2">
      <c r="A511" s="4">
        <v>50</v>
      </c>
      <c r="B511" s="4">
        <v>0</v>
      </c>
      <c r="C511" s="4">
        <v>0</v>
      </c>
      <c r="D511" s="4">
        <v>1</v>
      </c>
      <c r="E511" s="4">
        <v>231</v>
      </c>
      <c r="F511" s="4">
        <f>ROUND(Source!BB498,O511)</f>
        <v>0</v>
      </c>
      <c r="G511" s="4" t="s">
        <v>137</v>
      </c>
      <c r="H511" s="4" t="s">
        <v>138</v>
      </c>
      <c r="I511" s="4"/>
      <c r="J511" s="4"/>
      <c r="K511" s="4">
        <v>231</v>
      </c>
      <c r="L511" s="4">
        <v>12</v>
      </c>
      <c r="M511" s="4">
        <v>3</v>
      </c>
      <c r="N511" s="4" t="s">
        <v>6</v>
      </c>
      <c r="O511" s="4">
        <v>2</v>
      </c>
      <c r="P511" s="4"/>
      <c r="Q511" s="4"/>
      <c r="R511" s="4"/>
      <c r="S511" s="4"/>
      <c r="T511" s="4"/>
      <c r="U511" s="4"/>
      <c r="V511" s="4"/>
      <c r="W511" s="4"/>
    </row>
    <row r="512" spans="1:206" x14ac:dyDescent="0.2">
      <c r="A512" s="4">
        <v>50</v>
      </c>
      <c r="B512" s="4">
        <v>0</v>
      </c>
      <c r="C512" s="4">
        <v>0</v>
      </c>
      <c r="D512" s="4">
        <v>1</v>
      </c>
      <c r="E512" s="4">
        <v>204</v>
      </c>
      <c r="F512" s="4">
        <f>ROUND(Source!R498,O512)</f>
        <v>0.79</v>
      </c>
      <c r="G512" s="4" t="s">
        <v>139</v>
      </c>
      <c r="H512" s="4" t="s">
        <v>140</v>
      </c>
      <c r="I512" s="4"/>
      <c r="J512" s="4"/>
      <c r="K512" s="4">
        <v>204</v>
      </c>
      <c r="L512" s="4">
        <v>13</v>
      </c>
      <c r="M512" s="4">
        <v>3</v>
      </c>
      <c r="N512" s="4" t="s">
        <v>6</v>
      </c>
      <c r="O512" s="4">
        <v>2</v>
      </c>
      <c r="P512" s="4"/>
      <c r="Q512" s="4"/>
      <c r="R512" s="4"/>
      <c r="S512" s="4"/>
      <c r="T512" s="4"/>
      <c r="U512" s="4"/>
      <c r="V512" s="4"/>
      <c r="W512" s="4"/>
    </row>
    <row r="513" spans="1:88" x14ac:dyDescent="0.2">
      <c r="A513" s="4">
        <v>50</v>
      </c>
      <c r="B513" s="4">
        <v>0</v>
      </c>
      <c r="C513" s="4">
        <v>0</v>
      </c>
      <c r="D513" s="4">
        <v>1</v>
      </c>
      <c r="E513" s="4">
        <v>205</v>
      </c>
      <c r="F513" s="4">
        <f>ROUND(Source!S498,O513)</f>
        <v>21563.81</v>
      </c>
      <c r="G513" s="4" t="s">
        <v>141</v>
      </c>
      <c r="H513" s="4" t="s">
        <v>142</v>
      </c>
      <c r="I513" s="4"/>
      <c r="J513" s="4"/>
      <c r="K513" s="4">
        <v>205</v>
      </c>
      <c r="L513" s="4">
        <v>14</v>
      </c>
      <c r="M513" s="4">
        <v>3</v>
      </c>
      <c r="N513" s="4" t="s">
        <v>6</v>
      </c>
      <c r="O513" s="4">
        <v>2</v>
      </c>
      <c r="P513" s="4"/>
      <c r="Q513" s="4"/>
      <c r="R513" s="4"/>
      <c r="S513" s="4"/>
      <c r="T513" s="4"/>
      <c r="U513" s="4"/>
      <c r="V513" s="4"/>
      <c r="W513" s="4"/>
    </row>
    <row r="514" spans="1:88" x14ac:dyDescent="0.2">
      <c r="A514" s="4">
        <v>50</v>
      </c>
      <c r="B514" s="4">
        <v>0</v>
      </c>
      <c r="C514" s="4">
        <v>0</v>
      </c>
      <c r="D514" s="4">
        <v>1</v>
      </c>
      <c r="E514" s="4">
        <v>232</v>
      </c>
      <c r="F514" s="4">
        <f>ROUND(Source!BC498,O514)</f>
        <v>0</v>
      </c>
      <c r="G514" s="4" t="s">
        <v>143</v>
      </c>
      <c r="H514" s="4" t="s">
        <v>144</v>
      </c>
      <c r="I514" s="4"/>
      <c r="J514" s="4"/>
      <c r="K514" s="4">
        <v>232</v>
      </c>
      <c r="L514" s="4">
        <v>15</v>
      </c>
      <c r="M514" s="4">
        <v>3</v>
      </c>
      <c r="N514" s="4" t="s">
        <v>6</v>
      </c>
      <c r="O514" s="4">
        <v>2</v>
      </c>
      <c r="P514" s="4"/>
      <c r="Q514" s="4"/>
      <c r="R514" s="4"/>
      <c r="S514" s="4"/>
      <c r="T514" s="4"/>
      <c r="U514" s="4"/>
      <c r="V514" s="4"/>
      <c r="W514" s="4"/>
    </row>
    <row r="515" spans="1:88" x14ac:dyDescent="0.2">
      <c r="A515" s="4">
        <v>50</v>
      </c>
      <c r="B515" s="4">
        <v>0</v>
      </c>
      <c r="C515" s="4">
        <v>0</v>
      </c>
      <c r="D515" s="4">
        <v>1</v>
      </c>
      <c r="E515" s="4">
        <v>214</v>
      </c>
      <c r="F515" s="4">
        <f>ROUND(Source!AS498,O515)</f>
        <v>0</v>
      </c>
      <c r="G515" s="4" t="s">
        <v>145</v>
      </c>
      <c r="H515" s="4" t="s">
        <v>146</v>
      </c>
      <c r="I515" s="4"/>
      <c r="J515" s="4"/>
      <c r="K515" s="4">
        <v>214</v>
      </c>
      <c r="L515" s="4">
        <v>16</v>
      </c>
      <c r="M515" s="4">
        <v>3</v>
      </c>
      <c r="N515" s="4" t="s">
        <v>6</v>
      </c>
      <c r="O515" s="4">
        <v>2</v>
      </c>
      <c r="P515" s="4"/>
      <c r="Q515" s="4"/>
      <c r="R515" s="4"/>
      <c r="S515" s="4"/>
      <c r="T515" s="4"/>
      <c r="U515" s="4"/>
      <c r="V515" s="4"/>
      <c r="W515" s="4"/>
    </row>
    <row r="516" spans="1:88" x14ac:dyDescent="0.2">
      <c r="A516" s="4">
        <v>50</v>
      </c>
      <c r="B516" s="4">
        <v>0</v>
      </c>
      <c r="C516" s="4">
        <v>0</v>
      </c>
      <c r="D516" s="4">
        <v>1</v>
      </c>
      <c r="E516" s="4">
        <v>215</v>
      </c>
      <c r="F516" s="4">
        <f>ROUND(Source!AT498,O516)</f>
        <v>59054.15</v>
      </c>
      <c r="G516" s="4" t="s">
        <v>147</v>
      </c>
      <c r="H516" s="4" t="s">
        <v>148</v>
      </c>
      <c r="I516" s="4"/>
      <c r="J516" s="4"/>
      <c r="K516" s="4">
        <v>215</v>
      </c>
      <c r="L516" s="4">
        <v>17</v>
      </c>
      <c r="M516" s="4">
        <v>3</v>
      </c>
      <c r="N516" s="4" t="s">
        <v>6</v>
      </c>
      <c r="O516" s="4">
        <v>2</v>
      </c>
      <c r="P516" s="4"/>
      <c r="Q516" s="4"/>
      <c r="R516" s="4"/>
      <c r="S516" s="4"/>
      <c r="T516" s="4"/>
      <c r="U516" s="4"/>
      <c r="V516" s="4"/>
      <c r="W516" s="4"/>
    </row>
    <row r="517" spans="1:88" x14ac:dyDescent="0.2">
      <c r="A517" s="4">
        <v>50</v>
      </c>
      <c r="B517" s="4">
        <v>0</v>
      </c>
      <c r="C517" s="4">
        <v>0</v>
      </c>
      <c r="D517" s="4">
        <v>1</v>
      </c>
      <c r="E517" s="4">
        <v>217</v>
      </c>
      <c r="F517" s="4">
        <f>ROUND(Source!AU498,O517)</f>
        <v>0</v>
      </c>
      <c r="G517" s="4" t="s">
        <v>149</v>
      </c>
      <c r="H517" s="4" t="s">
        <v>150</v>
      </c>
      <c r="I517" s="4"/>
      <c r="J517" s="4"/>
      <c r="K517" s="4">
        <v>217</v>
      </c>
      <c r="L517" s="4">
        <v>18</v>
      </c>
      <c r="M517" s="4">
        <v>3</v>
      </c>
      <c r="N517" s="4" t="s">
        <v>6</v>
      </c>
      <c r="O517" s="4">
        <v>2</v>
      </c>
      <c r="P517" s="4"/>
      <c r="Q517" s="4"/>
      <c r="R517" s="4"/>
      <c r="S517" s="4"/>
      <c r="T517" s="4"/>
      <c r="U517" s="4"/>
      <c r="V517" s="4"/>
      <c r="W517" s="4"/>
    </row>
    <row r="518" spans="1:88" x14ac:dyDescent="0.2">
      <c r="A518" s="4">
        <v>50</v>
      </c>
      <c r="B518" s="4">
        <v>0</v>
      </c>
      <c r="C518" s="4">
        <v>0</v>
      </c>
      <c r="D518" s="4">
        <v>1</v>
      </c>
      <c r="E518" s="4">
        <v>230</v>
      </c>
      <c r="F518" s="4">
        <f>ROUND(Source!BA498,O518)</f>
        <v>0</v>
      </c>
      <c r="G518" s="4" t="s">
        <v>151</v>
      </c>
      <c r="H518" s="4" t="s">
        <v>152</v>
      </c>
      <c r="I518" s="4"/>
      <c r="J518" s="4"/>
      <c r="K518" s="4">
        <v>230</v>
      </c>
      <c r="L518" s="4">
        <v>19</v>
      </c>
      <c r="M518" s="4">
        <v>3</v>
      </c>
      <c r="N518" s="4" t="s">
        <v>6</v>
      </c>
      <c r="O518" s="4">
        <v>2</v>
      </c>
      <c r="P518" s="4"/>
      <c r="Q518" s="4"/>
      <c r="R518" s="4"/>
      <c r="S518" s="4"/>
      <c r="T518" s="4"/>
      <c r="U518" s="4"/>
      <c r="V518" s="4"/>
      <c r="W518" s="4"/>
    </row>
    <row r="519" spans="1:88" x14ac:dyDescent="0.2">
      <c r="A519" s="4">
        <v>50</v>
      </c>
      <c r="B519" s="4">
        <v>0</v>
      </c>
      <c r="C519" s="4">
        <v>0</v>
      </c>
      <c r="D519" s="4">
        <v>1</v>
      </c>
      <c r="E519" s="4">
        <v>206</v>
      </c>
      <c r="F519" s="4">
        <f>ROUND(Source!T498,O519)</f>
        <v>0</v>
      </c>
      <c r="G519" s="4" t="s">
        <v>153</v>
      </c>
      <c r="H519" s="4" t="s">
        <v>154</v>
      </c>
      <c r="I519" s="4"/>
      <c r="J519" s="4"/>
      <c r="K519" s="4">
        <v>206</v>
      </c>
      <c r="L519" s="4">
        <v>20</v>
      </c>
      <c r="M519" s="4">
        <v>3</v>
      </c>
      <c r="N519" s="4" t="s">
        <v>6</v>
      </c>
      <c r="O519" s="4">
        <v>2</v>
      </c>
      <c r="P519" s="4"/>
      <c r="Q519" s="4"/>
      <c r="R519" s="4"/>
      <c r="S519" s="4"/>
      <c r="T519" s="4"/>
      <c r="U519" s="4"/>
      <c r="V519" s="4"/>
      <c r="W519" s="4"/>
    </row>
    <row r="520" spans="1:88" x14ac:dyDescent="0.2">
      <c r="A520" s="4">
        <v>50</v>
      </c>
      <c r="B520" s="4">
        <v>0</v>
      </c>
      <c r="C520" s="4">
        <v>0</v>
      </c>
      <c r="D520" s="4">
        <v>1</v>
      </c>
      <c r="E520" s="4">
        <v>207</v>
      </c>
      <c r="F520" s="4">
        <f>Source!U498</f>
        <v>258.48559999999998</v>
      </c>
      <c r="G520" s="4" t="s">
        <v>155</v>
      </c>
      <c r="H520" s="4" t="s">
        <v>156</v>
      </c>
      <c r="I520" s="4"/>
      <c r="J520" s="4"/>
      <c r="K520" s="4">
        <v>207</v>
      </c>
      <c r="L520" s="4">
        <v>21</v>
      </c>
      <c r="M520" s="4">
        <v>3</v>
      </c>
      <c r="N520" s="4" t="s">
        <v>6</v>
      </c>
      <c r="O520" s="4">
        <v>-1</v>
      </c>
      <c r="P520" s="4"/>
      <c r="Q520" s="4"/>
      <c r="R520" s="4"/>
      <c r="S520" s="4"/>
      <c r="T520" s="4"/>
      <c r="U520" s="4"/>
      <c r="V520" s="4"/>
      <c r="W520" s="4"/>
    </row>
    <row r="521" spans="1:88" x14ac:dyDescent="0.2">
      <c r="A521" s="4">
        <v>50</v>
      </c>
      <c r="B521" s="4">
        <v>0</v>
      </c>
      <c r="C521" s="4">
        <v>0</v>
      </c>
      <c r="D521" s="4">
        <v>1</v>
      </c>
      <c r="E521" s="4">
        <v>208</v>
      </c>
      <c r="F521" s="4">
        <f>Source!V498</f>
        <v>9.5999999999999992E-3</v>
      </c>
      <c r="G521" s="4" t="s">
        <v>157</v>
      </c>
      <c r="H521" s="4" t="s">
        <v>158</v>
      </c>
      <c r="I521" s="4"/>
      <c r="J521" s="4"/>
      <c r="K521" s="4">
        <v>208</v>
      </c>
      <c r="L521" s="4">
        <v>22</v>
      </c>
      <c r="M521" s="4">
        <v>3</v>
      </c>
      <c r="N521" s="4" t="s">
        <v>6</v>
      </c>
      <c r="O521" s="4">
        <v>-1</v>
      </c>
      <c r="P521" s="4"/>
      <c r="Q521" s="4"/>
      <c r="R521" s="4"/>
      <c r="S521" s="4"/>
      <c r="T521" s="4"/>
      <c r="U521" s="4"/>
      <c r="V521" s="4"/>
      <c r="W521" s="4"/>
    </row>
    <row r="522" spans="1:88" x14ac:dyDescent="0.2">
      <c r="A522" s="4">
        <v>50</v>
      </c>
      <c r="B522" s="4">
        <v>0</v>
      </c>
      <c r="C522" s="4">
        <v>0</v>
      </c>
      <c r="D522" s="4">
        <v>1</v>
      </c>
      <c r="E522" s="4">
        <v>209</v>
      </c>
      <c r="F522" s="4">
        <f>ROUND(Source!W498,O522)</f>
        <v>0</v>
      </c>
      <c r="G522" s="4" t="s">
        <v>159</v>
      </c>
      <c r="H522" s="4" t="s">
        <v>160</v>
      </c>
      <c r="I522" s="4"/>
      <c r="J522" s="4"/>
      <c r="K522" s="4">
        <v>209</v>
      </c>
      <c r="L522" s="4">
        <v>23</v>
      </c>
      <c r="M522" s="4">
        <v>3</v>
      </c>
      <c r="N522" s="4" t="s">
        <v>6</v>
      </c>
      <c r="O522" s="4">
        <v>2</v>
      </c>
      <c r="P522" s="4"/>
      <c r="Q522" s="4"/>
      <c r="R522" s="4"/>
      <c r="S522" s="4"/>
      <c r="T522" s="4"/>
      <c r="U522" s="4"/>
      <c r="V522" s="4"/>
      <c r="W522" s="4"/>
    </row>
    <row r="523" spans="1:88" x14ac:dyDescent="0.2">
      <c r="A523" s="4">
        <v>50</v>
      </c>
      <c r="B523" s="4">
        <v>0</v>
      </c>
      <c r="C523" s="4">
        <v>0</v>
      </c>
      <c r="D523" s="4">
        <v>1</v>
      </c>
      <c r="E523" s="4">
        <v>210</v>
      </c>
      <c r="F523" s="4">
        <f>ROUND(Source!X498,O523)</f>
        <v>17285.740000000002</v>
      </c>
      <c r="G523" s="4" t="s">
        <v>161</v>
      </c>
      <c r="H523" s="4" t="s">
        <v>162</v>
      </c>
      <c r="I523" s="4"/>
      <c r="J523" s="4"/>
      <c r="K523" s="4">
        <v>210</v>
      </c>
      <c r="L523" s="4">
        <v>24</v>
      </c>
      <c r="M523" s="4">
        <v>3</v>
      </c>
      <c r="N523" s="4" t="s">
        <v>6</v>
      </c>
      <c r="O523" s="4">
        <v>2</v>
      </c>
      <c r="P523" s="4"/>
      <c r="Q523" s="4"/>
      <c r="R523" s="4"/>
      <c r="S523" s="4"/>
      <c r="T523" s="4"/>
      <c r="U523" s="4"/>
      <c r="V523" s="4"/>
      <c r="W523" s="4"/>
    </row>
    <row r="524" spans="1:88" x14ac:dyDescent="0.2">
      <c r="A524" s="4">
        <v>50</v>
      </c>
      <c r="B524" s="4">
        <v>0</v>
      </c>
      <c r="C524" s="4">
        <v>0</v>
      </c>
      <c r="D524" s="4">
        <v>1</v>
      </c>
      <c r="E524" s="4">
        <v>211</v>
      </c>
      <c r="F524" s="4">
        <f>ROUND(Source!Y498,O524)</f>
        <v>12950.11</v>
      </c>
      <c r="G524" s="4" t="s">
        <v>163</v>
      </c>
      <c r="H524" s="4" t="s">
        <v>164</v>
      </c>
      <c r="I524" s="4"/>
      <c r="J524" s="4"/>
      <c r="K524" s="4">
        <v>211</v>
      </c>
      <c r="L524" s="4">
        <v>25</v>
      </c>
      <c r="M524" s="4">
        <v>3</v>
      </c>
      <c r="N524" s="4" t="s">
        <v>6</v>
      </c>
      <c r="O524" s="4">
        <v>2</v>
      </c>
      <c r="P524" s="4"/>
      <c r="Q524" s="4"/>
      <c r="R524" s="4"/>
      <c r="S524" s="4"/>
      <c r="T524" s="4"/>
      <c r="U524" s="4"/>
      <c r="V524" s="4"/>
      <c r="W524" s="4"/>
    </row>
    <row r="525" spans="1:88" x14ac:dyDescent="0.2">
      <c r="A525" s="4">
        <v>50</v>
      </c>
      <c r="B525" s="4">
        <v>0</v>
      </c>
      <c r="C525" s="4">
        <v>0</v>
      </c>
      <c r="D525" s="4">
        <v>1</v>
      </c>
      <c r="E525" s="4">
        <v>224</v>
      </c>
      <c r="F525" s="4">
        <f>ROUND(Source!AR498,O525)</f>
        <v>59054.15</v>
      </c>
      <c r="G525" s="4" t="s">
        <v>165</v>
      </c>
      <c r="H525" s="4" t="s">
        <v>166</v>
      </c>
      <c r="I525" s="4"/>
      <c r="J525" s="4"/>
      <c r="K525" s="4">
        <v>224</v>
      </c>
      <c r="L525" s="4">
        <v>26</v>
      </c>
      <c r="M525" s="4">
        <v>3</v>
      </c>
      <c r="N525" s="4" t="s">
        <v>6</v>
      </c>
      <c r="O525" s="4">
        <v>2</v>
      </c>
      <c r="P525" s="4"/>
      <c r="Q525" s="4"/>
      <c r="R525" s="4"/>
      <c r="S525" s="4"/>
      <c r="T525" s="4"/>
      <c r="U525" s="4"/>
      <c r="V525" s="4"/>
      <c r="W525" s="4"/>
    </row>
    <row r="527" spans="1:88" x14ac:dyDescent="0.2">
      <c r="A527" s="1">
        <v>4</v>
      </c>
      <c r="B527" s="1">
        <v>1</v>
      </c>
      <c r="C527" s="1"/>
      <c r="D527" s="1">
        <f>ROW(A541)</f>
        <v>541</v>
      </c>
      <c r="E527" s="1"/>
      <c r="F527" s="1" t="s">
        <v>13</v>
      </c>
      <c r="G527" s="1" t="s">
        <v>869</v>
      </c>
      <c r="H527" s="1" t="s">
        <v>6</v>
      </c>
      <c r="I527" s="1">
        <v>0</v>
      </c>
      <c r="J527" s="1"/>
      <c r="K527" s="1">
        <v>0</v>
      </c>
      <c r="L527" s="1"/>
      <c r="M527" s="1"/>
      <c r="N527" s="1"/>
      <c r="O527" s="1"/>
      <c r="P527" s="1"/>
      <c r="Q527" s="1"/>
      <c r="R527" s="1"/>
      <c r="S527" s="1"/>
      <c r="T527" s="1"/>
      <c r="U527" s="1" t="s">
        <v>6</v>
      </c>
      <c r="V527" s="1">
        <v>0</v>
      </c>
      <c r="W527" s="1"/>
      <c r="X527" s="1"/>
      <c r="Y527" s="1"/>
      <c r="Z527" s="1"/>
      <c r="AA527" s="1"/>
      <c r="AB527" s="1" t="s">
        <v>6</v>
      </c>
      <c r="AC527" s="1" t="s">
        <v>6</v>
      </c>
      <c r="AD527" s="1" t="s">
        <v>6</v>
      </c>
      <c r="AE527" s="1" t="s">
        <v>6</v>
      </c>
      <c r="AF527" s="1" t="s">
        <v>6</v>
      </c>
      <c r="AG527" s="1" t="s">
        <v>6</v>
      </c>
      <c r="AH527" s="1"/>
      <c r="AI527" s="1"/>
      <c r="AJ527" s="1"/>
      <c r="AK527" s="1"/>
      <c r="AL527" s="1"/>
      <c r="AM527" s="1"/>
      <c r="AN527" s="1"/>
      <c r="AO527" s="1"/>
      <c r="AP527" s="1" t="s">
        <v>6</v>
      </c>
      <c r="AQ527" s="1" t="s">
        <v>6</v>
      </c>
      <c r="AR527" s="1" t="s">
        <v>6</v>
      </c>
      <c r="AS527" s="1"/>
      <c r="AT527" s="1"/>
      <c r="AU527" s="1"/>
      <c r="AV527" s="1"/>
      <c r="AW527" s="1"/>
      <c r="AX527" s="1"/>
      <c r="AY527" s="1"/>
      <c r="AZ527" s="1" t="s">
        <v>6</v>
      </c>
      <c r="BA527" s="1"/>
      <c r="BB527" s="1" t="s">
        <v>6</v>
      </c>
      <c r="BC527" s="1" t="s">
        <v>6</v>
      </c>
      <c r="BD527" s="1" t="s">
        <v>6</v>
      </c>
      <c r="BE527" s="1" t="s">
        <v>6</v>
      </c>
      <c r="BF527" s="1" t="s">
        <v>6</v>
      </c>
      <c r="BG527" s="1" t="s">
        <v>6</v>
      </c>
      <c r="BH527" s="1" t="s">
        <v>6</v>
      </c>
      <c r="BI527" s="1" t="s">
        <v>6</v>
      </c>
      <c r="BJ527" s="1" t="s">
        <v>6</v>
      </c>
      <c r="BK527" s="1" t="s">
        <v>6</v>
      </c>
      <c r="BL527" s="1" t="s">
        <v>6</v>
      </c>
      <c r="BM527" s="1" t="s">
        <v>6</v>
      </c>
      <c r="BN527" s="1" t="s">
        <v>6</v>
      </c>
      <c r="BO527" s="1" t="s">
        <v>6</v>
      </c>
      <c r="BP527" s="1" t="s">
        <v>6</v>
      </c>
      <c r="BQ527" s="1"/>
      <c r="BR527" s="1"/>
      <c r="BS527" s="1"/>
      <c r="BT527" s="1"/>
      <c r="BU527" s="1"/>
      <c r="BV527" s="1"/>
      <c r="BW527" s="1"/>
      <c r="BX527" s="1">
        <v>0</v>
      </c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>
        <v>0</v>
      </c>
    </row>
    <row r="529" spans="1:245" x14ac:dyDescent="0.2">
      <c r="A529" s="2">
        <v>52</v>
      </c>
      <c r="B529" s="2">
        <f t="shared" ref="B529:G529" si="374">B541</f>
        <v>1</v>
      </c>
      <c r="C529" s="2">
        <f t="shared" si="374"/>
        <v>4</v>
      </c>
      <c r="D529" s="2">
        <f t="shared" si="374"/>
        <v>527</v>
      </c>
      <c r="E529" s="2">
        <f t="shared" si="374"/>
        <v>0</v>
      </c>
      <c r="F529" s="2" t="str">
        <f t="shared" si="374"/>
        <v>Новый раздел</v>
      </c>
      <c r="G529" s="2" t="str">
        <f t="shared" si="374"/>
        <v>5 Сети СКС</v>
      </c>
      <c r="H529" s="2"/>
      <c r="I529" s="2"/>
      <c r="J529" s="2"/>
      <c r="K529" s="2"/>
      <c r="L529" s="2"/>
      <c r="M529" s="2"/>
      <c r="N529" s="2"/>
      <c r="O529" s="2">
        <f t="shared" ref="O529:AT529" si="375">O541</f>
        <v>28762.01</v>
      </c>
      <c r="P529" s="2">
        <f t="shared" si="375"/>
        <v>13720.57</v>
      </c>
      <c r="Q529" s="2">
        <f t="shared" si="375"/>
        <v>3762.03</v>
      </c>
      <c r="R529" s="2">
        <f t="shared" si="375"/>
        <v>426.14</v>
      </c>
      <c r="S529" s="2">
        <f t="shared" si="375"/>
        <v>11279.41</v>
      </c>
      <c r="T529" s="2">
        <f t="shared" si="375"/>
        <v>0</v>
      </c>
      <c r="U529" s="2">
        <f t="shared" si="375"/>
        <v>178.18668000000002</v>
      </c>
      <c r="V529" s="2">
        <f t="shared" si="375"/>
        <v>6.4441199999999998</v>
      </c>
      <c r="W529" s="2">
        <f t="shared" si="375"/>
        <v>0</v>
      </c>
      <c r="X529" s="2">
        <f t="shared" si="375"/>
        <v>9564.66</v>
      </c>
      <c r="Y529" s="2">
        <f t="shared" si="375"/>
        <v>7088.35</v>
      </c>
      <c r="Z529" s="2">
        <f t="shared" si="375"/>
        <v>0</v>
      </c>
      <c r="AA529" s="2">
        <f t="shared" si="375"/>
        <v>0</v>
      </c>
      <c r="AB529" s="2">
        <f t="shared" si="375"/>
        <v>28762.01</v>
      </c>
      <c r="AC529" s="2">
        <f t="shared" si="375"/>
        <v>13720.57</v>
      </c>
      <c r="AD529" s="2">
        <f t="shared" si="375"/>
        <v>3762.03</v>
      </c>
      <c r="AE529" s="2">
        <f t="shared" si="375"/>
        <v>426.14</v>
      </c>
      <c r="AF529" s="2">
        <f t="shared" si="375"/>
        <v>11279.41</v>
      </c>
      <c r="AG529" s="2">
        <f t="shared" si="375"/>
        <v>0</v>
      </c>
      <c r="AH529" s="2">
        <f t="shared" si="375"/>
        <v>178.18668000000002</v>
      </c>
      <c r="AI529" s="2">
        <f t="shared" si="375"/>
        <v>6.4441199999999998</v>
      </c>
      <c r="AJ529" s="2">
        <f t="shared" si="375"/>
        <v>0</v>
      </c>
      <c r="AK529" s="2">
        <f t="shared" si="375"/>
        <v>9564.66</v>
      </c>
      <c r="AL529" s="2">
        <f t="shared" si="375"/>
        <v>7088.35</v>
      </c>
      <c r="AM529" s="2">
        <f t="shared" si="375"/>
        <v>0</v>
      </c>
      <c r="AN529" s="2">
        <f t="shared" si="375"/>
        <v>0</v>
      </c>
      <c r="AO529" s="2">
        <f t="shared" si="375"/>
        <v>0</v>
      </c>
      <c r="AP529" s="2">
        <f t="shared" si="375"/>
        <v>0</v>
      </c>
      <c r="AQ529" s="2">
        <f t="shared" si="375"/>
        <v>0</v>
      </c>
      <c r="AR529" s="2">
        <f t="shared" si="375"/>
        <v>45415.02</v>
      </c>
      <c r="AS529" s="2">
        <f t="shared" si="375"/>
        <v>42.03</v>
      </c>
      <c r="AT529" s="2">
        <f t="shared" si="375"/>
        <v>45372.99</v>
      </c>
      <c r="AU529" s="2">
        <f t="shared" ref="AU529:BZ529" si="376">AU541</f>
        <v>0</v>
      </c>
      <c r="AV529" s="2">
        <f t="shared" si="376"/>
        <v>13720.57</v>
      </c>
      <c r="AW529" s="2">
        <f t="shared" si="376"/>
        <v>13720.57</v>
      </c>
      <c r="AX529" s="2">
        <f t="shared" si="376"/>
        <v>0</v>
      </c>
      <c r="AY529" s="2">
        <f t="shared" si="376"/>
        <v>13720.57</v>
      </c>
      <c r="AZ529" s="2">
        <f t="shared" si="376"/>
        <v>0</v>
      </c>
      <c r="BA529" s="2">
        <f t="shared" si="376"/>
        <v>0</v>
      </c>
      <c r="BB529" s="2">
        <f t="shared" si="376"/>
        <v>0</v>
      </c>
      <c r="BC529" s="2">
        <f t="shared" si="376"/>
        <v>0</v>
      </c>
      <c r="BD529" s="2">
        <f t="shared" si="376"/>
        <v>0</v>
      </c>
      <c r="BE529" s="2">
        <f t="shared" si="376"/>
        <v>0</v>
      </c>
      <c r="BF529" s="2">
        <f t="shared" si="376"/>
        <v>0</v>
      </c>
      <c r="BG529" s="2">
        <f t="shared" si="376"/>
        <v>0</v>
      </c>
      <c r="BH529" s="2">
        <f t="shared" si="376"/>
        <v>0</v>
      </c>
      <c r="BI529" s="2">
        <f t="shared" si="376"/>
        <v>0</v>
      </c>
      <c r="BJ529" s="2">
        <f t="shared" si="376"/>
        <v>0</v>
      </c>
      <c r="BK529" s="2">
        <f t="shared" si="376"/>
        <v>0</v>
      </c>
      <c r="BL529" s="2">
        <f t="shared" si="376"/>
        <v>0</v>
      </c>
      <c r="BM529" s="2">
        <f t="shared" si="376"/>
        <v>0</v>
      </c>
      <c r="BN529" s="2">
        <f t="shared" si="376"/>
        <v>0</v>
      </c>
      <c r="BO529" s="2">
        <f t="shared" si="376"/>
        <v>0</v>
      </c>
      <c r="BP529" s="2">
        <f t="shared" si="376"/>
        <v>0</v>
      </c>
      <c r="BQ529" s="2">
        <f t="shared" si="376"/>
        <v>0</v>
      </c>
      <c r="BR529" s="2">
        <f t="shared" si="376"/>
        <v>0</v>
      </c>
      <c r="BS529" s="2">
        <f t="shared" si="376"/>
        <v>0</v>
      </c>
      <c r="BT529" s="2">
        <f t="shared" si="376"/>
        <v>0</v>
      </c>
      <c r="BU529" s="2">
        <f t="shared" si="376"/>
        <v>0</v>
      </c>
      <c r="BV529" s="2">
        <f t="shared" si="376"/>
        <v>0</v>
      </c>
      <c r="BW529" s="2">
        <f t="shared" si="376"/>
        <v>0</v>
      </c>
      <c r="BX529" s="2">
        <f t="shared" si="376"/>
        <v>0</v>
      </c>
      <c r="BY529" s="2">
        <f t="shared" si="376"/>
        <v>0</v>
      </c>
      <c r="BZ529" s="2">
        <f t="shared" si="376"/>
        <v>0</v>
      </c>
      <c r="CA529" s="2">
        <f t="shared" ref="CA529:DF529" si="377">CA541</f>
        <v>45415.02</v>
      </c>
      <c r="CB529" s="2">
        <f t="shared" si="377"/>
        <v>42.03</v>
      </c>
      <c r="CC529" s="2">
        <f t="shared" si="377"/>
        <v>45372.99</v>
      </c>
      <c r="CD529" s="2">
        <f t="shared" si="377"/>
        <v>0</v>
      </c>
      <c r="CE529" s="2">
        <f t="shared" si="377"/>
        <v>13720.57</v>
      </c>
      <c r="CF529" s="2">
        <f t="shared" si="377"/>
        <v>13720.57</v>
      </c>
      <c r="CG529" s="2">
        <f t="shared" si="377"/>
        <v>0</v>
      </c>
      <c r="CH529" s="2">
        <f t="shared" si="377"/>
        <v>13720.57</v>
      </c>
      <c r="CI529" s="2">
        <f t="shared" si="377"/>
        <v>0</v>
      </c>
      <c r="CJ529" s="2">
        <f t="shared" si="377"/>
        <v>0</v>
      </c>
      <c r="CK529" s="2">
        <f t="shared" si="377"/>
        <v>0</v>
      </c>
      <c r="CL529" s="2">
        <f t="shared" si="377"/>
        <v>0</v>
      </c>
      <c r="CM529" s="2">
        <f t="shared" si="377"/>
        <v>0</v>
      </c>
      <c r="CN529" s="2">
        <f t="shared" si="377"/>
        <v>0</v>
      </c>
      <c r="CO529" s="2">
        <f t="shared" si="377"/>
        <v>0</v>
      </c>
      <c r="CP529" s="2">
        <f t="shared" si="377"/>
        <v>0</v>
      </c>
      <c r="CQ529" s="2">
        <f t="shared" si="377"/>
        <v>0</v>
      </c>
      <c r="CR529" s="2">
        <f t="shared" si="377"/>
        <v>0</v>
      </c>
      <c r="CS529" s="2">
        <f t="shared" si="377"/>
        <v>0</v>
      </c>
      <c r="CT529" s="2">
        <f t="shared" si="377"/>
        <v>0</v>
      </c>
      <c r="CU529" s="2">
        <f t="shared" si="377"/>
        <v>0</v>
      </c>
      <c r="CV529" s="2">
        <f t="shared" si="377"/>
        <v>0</v>
      </c>
      <c r="CW529" s="2">
        <f t="shared" si="377"/>
        <v>0</v>
      </c>
      <c r="CX529" s="2">
        <f t="shared" si="377"/>
        <v>0</v>
      </c>
      <c r="CY529" s="2">
        <f t="shared" si="377"/>
        <v>0</v>
      </c>
      <c r="CZ529" s="2">
        <f t="shared" si="377"/>
        <v>0</v>
      </c>
      <c r="DA529" s="2">
        <f t="shared" si="377"/>
        <v>0</v>
      </c>
      <c r="DB529" s="2">
        <f t="shared" si="377"/>
        <v>0</v>
      </c>
      <c r="DC529" s="2">
        <f t="shared" si="377"/>
        <v>0</v>
      </c>
      <c r="DD529" s="2">
        <f t="shared" si="377"/>
        <v>0</v>
      </c>
      <c r="DE529" s="2">
        <f t="shared" si="377"/>
        <v>0</v>
      </c>
      <c r="DF529" s="2">
        <f t="shared" si="377"/>
        <v>0</v>
      </c>
      <c r="DG529" s="3">
        <f t="shared" ref="DG529:EL529" si="378">DG541</f>
        <v>0</v>
      </c>
      <c r="DH529" s="3">
        <f t="shared" si="378"/>
        <v>0</v>
      </c>
      <c r="DI529" s="3">
        <f t="shared" si="378"/>
        <v>0</v>
      </c>
      <c r="DJ529" s="3">
        <f t="shared" si="378"/>
        <v>0</v>
      </c>
      <c r="DK529" s="3">
        <f t="shared" si="378"/>
        <v>0</v>
      </c>
      <c r="DL529" s="3">
        <f t="shared" si="378"/>
        <v>0</v>
      </c>
      <c r="DM529" s="3">
        <f t="shared" si="378"/>
        <v>0</v>
      </c>
      <c r="DN529" s="3">
        <f t="shared" si="378"/>
        <v>0</v>
      </c>
      <c r="DO529" s="3">
        <f t="shared" si="378"/>
        <v>0</v>
      </c>
      <c r="DP529" s="3">
        <f t="shared" si="378"/>
        <v>0</v>
      </c>
      <c r="DQ529" s="3">
        <f t="shared" si="378"/>
        <v>0</v>
      </c>
      <c r="DR529" s="3">
        <f t="shared" si="378"/>
        <v>0</v>
      </c>
      <c r="DS529" s="3">
        <f t="shared" si="378"/>
        <v>0</v>
      </c>
      <c r="DT529" s="3">
        <f t="shared" si="378"/>
        <v>0</v>
      </c>
      <c r="DU529" s="3">
        <f t="shared" si="378"/>
        <v>0</v>
      </c>
      <c r="DV529" s="3">
        <f t="shared" si="378"/>
        <v>0</v>
      </c>
      <c r="DW529" s="3">
        <f t="shared" si="378"/>
        <v>0</v>
      </c>
      <c r="DX529" s="3">
        <f t="shared" si="378"/>
        <v>0</v>
      </c>
      <c r="DY529" s="3">
        <f t="shared" si="378"/>
        <v>0</v>
      </c>
      <c r="DZ529" s="3">
        <f t="shared" si="378"/>
        <v>0</v>
      </c>
      <c r="EA529" s="3">
        <f t="shared" si="378"/>
        <v>0</v>
      </c>
      <c r="EB529" s="3">
        <f t="shared" si="378"/>
        <v>0</v>
      </c>
      <c r="EC529" s="3">
        <f t="shared" si="378"/>
        <v>0</v>
      </c>
      <c r="ED529" s="3">
        <f t="shared" si="378"/>
        <v>0</v>
      </c>
      <c r="EE529" s="3">
        <f t="shared" si="378"/>
        <v>0</v>
      </c>
      <c r="EF529" s="3">
        <f t="shared" si="378"/>
        <v>0</v>
      </c>
      <c r="EG529" s="3">
        <f t="shared" si="378"/>
        <v>0</v>
      </c>
      <c r="EH529" s="3">
        <f t="shared" si="378"/>
        <v>0</v>
      </c>
      <c r="EI529" s="3">
        <f t="shared" si="378"/>
        <v>0</v>
      </c>
      <c r="EJ529" s="3">
        <f t="shared" si="378"/>
        <v>0</v>
      </c>
      <c r="EK529" s="3">
        <f t="shared" si="378"/>
        <v>0</v>
      </c>
      <c r="EL529" s="3">
        <f t="shared" si="378"/>
        <v>0</v>
      </c>
      <c r="EM529" s="3">
        <f t="shared" ref="EM529:FR529" si="379">EM541</f>
        <v>0</v>
      </c>
      <c r="EN529" s="3">
        <f t="shared" si="379"/>
        <v>0</v>
      </c>
      <c r="EO529" s="3">
        <f t="shared" si="379"/>
        <v>0</v>
      </c>
      <c r="EP529" s="3">
        <f t="shared" si="379"/>
        <v>0</v>
      </c>
      <c r="EQ529" s="3">
        <f t="shared" si="379"/>
        <v>0</v>
      </c>
      <c r="ER529" s="3">
        <f t="shared" si="379"/>
        <v>0</v>
      </c>
      <c r="ES529" s="3">
        <f t="shared" si="379"/>
        <v>0</v>
      </c>
      <c r="ET529" s="3">
        <f t="shared" si="379"/>
        <v>0</v>
      </c>
      <c r="EU529" s="3">
        <f t="shared" si="379"/>
        <v>0</v>
      </c>
      <c r="EV529" s="3">
        <f t="shared" si="379"/>
        <v>0</v>
      </c>
      <c r="EW529" s="3">
        <f t="shared" si="379"/>
        <v>0</v>
      </c>
      <c r="EX529" s="3">
        <f t="shared" si="379"/>
        <v>0</v>
      </c>
      <c r="EY529" s="3">
        <f t="shared" si="379"/>
        <v>0</v>
      </c>
      <c r="EZ529" s="3">
        <f t="shared" si="379"/>
        <v>0</v>
      </c>
      <c r="FA529" s="3">
        <f t="shared" si="379"/>
        <v>0</v>
      </c>
      <c r="FB529" s="3">
        <f t="shared" si="379"/>
        <v>0</v>
      </c>
      <c r="FC529" s="3">
        <f t="shared" si="379"/>
        <v>0</v>
      </c>
      <c r="FD529" s="3">
        <f t="shared" si="379"/>
        <v>0</v>
      </c>
      <c r="FE529" s="3">
        <f t="shared" si="379"/>
        <v>0</v>
      </c>
      <c r="FF529" s="3">
        <f t="shared" si="379"/>
        <v>0</v>
      </c>
      <c r="FG529" s="3">
        <f t="shared" si="379"/>
        <v>0</v>
      </c>
      <c r="FH529" s="3">
        <f t="shared" si="379"/>
        <v>0</v>
      </c>
      <c r="FI529" s="3">
        <f t="shared" si="379"/>
        <v>0</v>
      </c>
      <c r="FJ529" s="3">
        <f t="shared" si="379"/>
        <v>0</v>
      </c>
      <c r="FK529" s="3">
        <f t="shared" si="379"/>
        <v>0</v>
      </c>
      <c r="FL529" s="3">
        <f t="shared" si="379"/>
        <v>0</v>
      </c>
      <c r="FM529" s="3">
        <f t="shared" si="379"/>
        <v>0</v>
      </c>
      <c r="FN529" s="3">
        <f t="shared" si="379"/>
        <v>0</v>
      </c>
      <c r="FO529" s="3">
        <f t="shared" si="379"/>
        <v>0</v>
      </c>
      <c r="FP529" s="3">
        <f t="shared" si="379"/>
        <v>0</v>
      </c>
      <c r="FQ529" s="3">
        <f t="shared" si="379"/>
        <v>0</v>
      </c>
      <c r="FR529" s="3">
        <f t="shared" si="379"/>
        <v>0</v>
      </c>
      <c r="FS529" s="3">
        <f t="shared" ref="FS529:GX529" si="380">FS541</f>
        <v>0</v>
      </c>
      <c r="FT529" s="3">
        <f t="shared" si="380"/>
        <v>0</v>
      </c>
      <c r="FU529" s="3">
        <f t="shared" si="380"/>
        <v>0</v>
      </c>
      <c r="FV529" s="3">
        <f t="shared" si="380"/>
        <v>0</v>
      </c>
      <c r="FW529" s="3">
        <f t="shared" si="380"/>
        <v>0</v>
      </c>
      <c r="FX529" s="3">
        <f t="shared" si="380"/>
        <v>0</v>
      </c>
      <c r="FY529" s="3">
        <f t="shared" si="380"/>
        <v>0</v>
      </c>
      <c r="FZ529" s="3">
        <f t="shared" si="380"/>
        <v>0</v>
      </c>
      <c r="GA529" s="3">
        <f t="shared" si="380"/>
        <v>0</v>
      </c>
      <c r="GB529" s="3">
        <f t="shared" si="380"/>
        <v>0</v>
      </c>
      <c r="GC529" s="3">
        <f t="shared" si="380"/>
        <v>0</v>
      </c>
      <c r="GD529" s="3">
        <f t="shared" si="380"/>
        <v>0</v>
      </c>
      <c r="GE529" s="3">
        <f t="shared" si="380"/>
        <v>0</v>
      </c>
      <c r="GF529" s="3">
        <f t="shared" si="380"/>
        <v>0</v>
      </c>
      <c r="GG529" s="3">
        <f t="shared" si="380"/>
        <v>0</v>
      </c>
      <c r="GH529" s="3">
        <f t="shared" si="380"/>
        <v>0</v>
      </c>
      <c r="GI529" s="3">
        <f t="shared" si="380"/>
        <v>0</v>
      </c>
      <c r="GJ529" s="3">
        <f t="shared" si="380"/>
        <v>0</v>
      </c>
      <c r="GK529" s="3">
        <f t="shared" si="380"/>
        <v>0</v>
      </c>
      <c r="GL529" s="3">
        <f t="shared" si="380"/>
        <v>0</v>
      </c>
      <c r="GM529" s="3">
        <f t="shared" si="380"/>
        <v>0</v>
      </c>
      <c r="GN529" s="3">
        <f t="shared" si="380"/>
        <v>0</v>
      </c>
      <c r="GO529" s="3">
        <f t="shared" si="380"/>
        <v>0</v>
      </c>
      <c r="GP529" s="3">
        <f t="shared" si="380"/>
        <v>0</v>
      </c>
      <c r="GQ529" s="3">
        <f t="shared" si="380"/>
        <v>0</v>
      </c>
      <c r="GR529" s="3">
        <f t="shared" si="380"/>
        <v>0</v>
      </c>
      <c r="GS529" s="3">
        <f t="shared" si="380"/>
        <v>0</v>
      </c>
      <c r="GT529" s="3">
        <f t="shared" si="380"/>
        <v>0</v>
      </c>
      <c r="GU529" s="3">
        <f t="shared" si="380"/>
        <v>0</v>
      </c>
      <c r="GV529" s="3">
        <f t="shared" si="380"/>
        <v>0</v>
      </c>
      <c r="GW529" s="3">
        <f t="shared" si="380"/>
        <v>0</v>
      </c>
      <c r="GX529" s="3">
        <f t="shared" si="380"/>
        <v>0</v>
      </c>
    </row>
    <row r="531" spans="1:245" x14ac:dyDescent="0.2">
      <c r="A531">
        <v>17</v>
      </c>
      <c r="B531">
        <v>1</v>
      </c>
      <c r="C531">
        <f>ROW(SmtRes!A656)</f>
        <v>656</v>
      </c>
      <c r="D531">
        <f>ROW(EtalonRes!A602)</f>
        <v>602</v>
      </c>
      <c r="E531" t="s">
        <v>870</v>
      </c>
      <c r="F531" t="s">
        <v>718</v>
      </c>
      <c r="G531" t="s">
        <v>719</v>
      </c>
      <c r="H531" t="s">
        <v>46</v>
      </c>
      <c r="I531">
        <f>ROUND(56/100,9)</f>
        <v>0.56000000000000005</v>
      </c>
      <c r="J531">
        <v>0</v>
      </c>
      <c r="O531">
        <f t="shared" ref="O531:O539" si="381">ROUND(CP531,2)</f>
        <v>1667.56</v>
      </c>
      <c r="P531">
        <f t="shared" ref="P531:P539" si="382">ROUND(CQ531*I531,2)</f>
        <v>390.94</v>
      </c>
      <c r="Q531">
        <f t="shared" ref="Q531:Q539" si="383">ROUND(CR531*I531,2)</f>
        <v>17.16</v>
      </c>
      <c r="R531">
        <f t="shared" ref="R531:R539" si="384">ROUND(CS531*I531,2)</f>
        <v>2.35</v>
      </c>
      <c r="S531">
        <f t="shared" ref="S531:S539" si="385">ROUND(CT531*I531,2)</f>
        <v>1259.46</v>
      </c>
      <c r="T531">
        <f t="shared" ref="T531:T539" si="386">ROUND(CU531*I531,2)</f>
        <v>0</v>
      </c>
      <c r="U531">
        <f t="shared" ref="U531:U539" si="387">CV531*I531</f>
        <v>19.353600000000004</v>
      </c>
      <c r="V531">
        <f t="shared" ref="V531:V539" si="388">CW531*I531</f>
        <v>2.8000000000000004E-2</v>
      </c>
      <c r="W531">
        <f t="shared" ref="W531:W539" si="389">ROUND(CX531*I531,2)</f>
        <v>0</v>
      </c>
      <c r="X531">
        <f t="shared" ref="X531:X539" si="390">ROUND(CY531,2)</f>
        <v>1198.72</v>
      </c>
      <c r="Y531">
        <f t="shared" ref="Y531:Y539" si="391">ROUND(CZ531,2)</f>
        <v>820.18</v>
      </c>
      <c r="AA531">
        <v>16748969</v>
      </c>
      <c r="AB531">
        <f t="shared" ref="AB531:AB539" si="392">ROUND((AC531+AD531+AF531),2)</f>
        <v>453.93</v>
      </c>
      <c r="AC531">
        <f t="shared" ref="AC531:AC539" si="393">ROUND((ES531),2)</f>
        <v>106.42</v>
      </c>
      <c r="AD531">
        <f t="shared" ref="AD531:AD539" si="394">ROUND((((ET531)-(EU531))+AE531),2)</f>
        <v>4.67</v>
      </c>
      <c r="AE531">
        <f t="shared" ref="AE531:AE539" si="395">ROUND((EU531),2)</f>
        <v>0.64</v>
      </c>
      <c r="AF531">
        <f t="shared" ref="AF531:AF539" si="396">ROUND((EV531),2)</f>
        <v>342.84</v>
      </c>
      <c r="AG531">
        <f t="shared" ref="AG531:AG539" si="397">ROUND((AP531),2)</f>
        <v>0</v>
      </c>
      <c r="AH531">
        <f t="shared" ref="AH531:AH539" si="398">(EW531)</f>
        <v>34.56</v>
      </c>
      <c r="AI531">
        <f t="shared" ref="AI531:AI539" si="399">(EX531)</f>
        <v>0.05</v>
      </c>
      <c r="AJ531">
        <f t="shared" ref="AJ531:AJ539" si="400">ROUND((AS531),2)</f>
        <v>0</v>
      </c>
      <c r="AK531">
        <v>453.93</v>
      </c>
      <c r="AL531">
        <v>106.42</v>
      </c>
      <c r="AM531">
        <v>4.67</v>
      </c>
      <c r="AN531">
        <v>0.64</v>
      </c>
      <c r="AO531">
        <v>342.84</v>
      </c>
      <c r="AP531">
        <v>0</v>
      </c>
      <c r="AQ531">
        <v>34.56</v>
      </c>
      <c r="AR531">
        <v>0.05</v>
      </c>
      <c r="AS531">
        <v>0</v>
      </c>
      <c r="AT531">
        <v>95</v>
      </c>
      <c r="AU531">
        <v>65</v>
      </c>
      <c r="AV531">
        <v>1</v>
      </c>
      <c r="AW531">
        <v>1</v>
      </c>
      <c r="AZ531">
        <v>6.56</v>
      </c>
      <c r="BA531">
        <v>6.56</v>
      </c>
      <c r="BB531">
        <v>6.56</v>
      </c>
      <c r="BC531">
        <v>6.56</v>
      </c>
      <c r="BD531" t="s">
        <v>6</v>
      </c>
      <c r="BE531" t="s">
        <v>6</v>
      </c>
      <c r="BF531" t="s">
        <v>6</v>
      </c>
      <c r="BG531" t="s">
        <v>6</v>
      </c>
      <c r="BH531">
        <v>0</v>
      </c>
      <c r="BI531">
        <v>2</v>
      </c>
      <c r="BJ531" t="s">
        <v>720</v>
      </c>
      <c r="BM531">
        <v>108001</v>
      </c>
      <c r="BN531">
        <v>0</v>
      </c>
      <c r="BO531" t="s">
        <v>6</v>
      </c>
      <c r="BP531">
        <v>0</v>
      </c>
      <c r="BQ531">
        <v>3</v>
      </c>
      <c r="BR531">
        <v>0</v>
      </c>
      <c r="BS531">
        <v>6.56</v>
      </c>
      <c r="BT531">
        <v>1</v>
      </c>
      <c r="BU531">
        <v>1</v>
      </c>
      <c r="BV531">
        <v>1</v>
      </c>
      <c r="BW531">
        <v>1</v>
      </c>
      <c r="BX531">
        <v>1</v>
      </c>
      <c r="BY531" t="s">
        <v>6</v>
      </c>
      <c r="BZ531">
        <v>95</v>
      </c>
      <c r="CA531">
        <v>65</v>
      </c>
      <c r="CF531">
        <v>0</v>
      </c>
      <c r="CG531">
        <v>0</v>
      </c>
      <c r="CM531">
        <v>0</v>
      </c>
      <c r="CN531" t="s">
        <v>6</v>
      </c>
      <c r="CO531">
        <v>0</v>
      </c>
      <c r="CP531">
        <f t="shared" ref="CP531:CP539" si="401">(P531+Q531+S531)</f>
        <v>1667.56</v>
      </c>
      <c r="CQ531">
        <f t="shared" ref="CQ531:CQ539" si="402">AC531*BC531</f>
        <v>698.11519999999996</v>
      </c>
      <c r="CR531">
        <f t="shared" ref="CR531:CR539" si="403">AD531*BB531</f>
        <v>30.635199999999998</v>
      </c>
      <c r="CS531">
        <f t="shared" ref="CS531:CS539" si="404">AE531*BS531</f>
        <v>4.1983999999999995</v>
      </c>
      <c r="CT531">
        <f t="shared" ref="CT531:CT539" si="405">AF531*BA531</f>
        <v>2249.0303999999996</v>
      </c>
      <c r="CU531">
        <f t="shared" ref="CU531:CU539" si="406">AG531</f>
        <v>0</v>
      </c>
      <c r="CV531">
        <f t="shared" ref="CV531:CV539" si="407">AH531</f>
        <v>34.56</v>
      </c>
      <c r="CW531">
        <f t="shared" ref="CW531:CW539" si="408">AI531</f>
        <v>0.05</v>
      </c>
      <c r="CX531">
        <f t="shared" ref="CX531:CX539" si="409">AJ531</f>
        <v>0</v>
      </c>
      <c r="CY531">
        <f t="shared" ref="CY531:CY539" si="410">(((S531+R531)*AT531)/100)</f>
        <v>1198.7194999999999</v>
      </c>
      <c r="CZ531">
        <f t="shared" ref="CZ531:CZ539" si="411">(((S531+R531)*AU531)/100)</f>
        <v>820.17649999999992</v>
      </c>
      <c r="DC531" t="s">
        <v>6</v>
      </c>
      <c r="DD531" t="s">
        <v>6</v>
      </c>
      <c r="DE531" t="s">
        <v>6</v>
      </c>
      <c r="DF531" t="s">
        <v>6</v>
      </c>
      <c r="DG531" t="s">
        <v>6</v>
      </c>
      <c r="DH531" t="s">
        <v>6</v>
      </c>
      <c r="DI531" t="s">
        <v>6</v>
      </c>
      <c r="DJ531" t="s">
        <v>6</v>
      </c>
      <c r="DK531" t="s">
        <v>6</v>
      </c>
      <c r="DL531" t="s">
        <v>6</v>
      </c>
      <c r="DM531" t="s">
        <v>6</v>
      </c>
      <c r="DN531">
        <v>0</v>
      </c>
      <c r="DO531">
        <v>0</v>
      </c>
      <c r="DP531">
        <v>1</v>
      </c>
      <c r="DQ531">
        <v>1</v>
      </c>
      <c r="DU531">
        <v>1013</v>
      </c>
      <c r="DV531" t="s">
        <v>46</v>
      </c>
      <c r="DW531" t="s">
        <v>46</v>
      </c>
      <c r="DX531">
        <v>1</v>
      </c>
      <c r="EE531">
        <v>16510370</v>
      </c>
      <c r="EF531">
        <v>3</v>
      </c>
      <c r="EG531" t="s">
        <v>591</v>
      </c>
      <c r="EH531">
        <v>0</v>
      </c>
      <c r="EI531" t="s">
        <v>6</v>
      </c>
      <c r="EJ531">
        <v>2</v>
      </c>
      <c r="EK531">
        <v>108001</v>
      </c>
      <c r="EL531" t="s">
        <v>592</v>
      </c>
      <c r="EM531" t="s">
        <v>593</v>
      </c>
      <c r="EO531" t="s">
        <v>6</v>
      </c>
      <c r="EQ531">
        <v>131072</v>
      </c>
      <c r="ER531">
        <v>453.93</v>
      </c>
      <c r="ES531">
        <v>106.42</v>
      </c>
      <c r="ET531">
        <v>4.67</v>
      </c>
      <c r="EU531">
        <v>0.64</v>
      </c>
      <c r="EV531">
        <v>342.84</v>
      </c>
      <c r="EW531">
        <v>34.56</v>
      </c>
      <c r="EX531">
        <v>0.05</v>
      </c>
      <c r="EY531">
        <v>0</v>
      </c>
      <c r="FQ531">
        <v>0</v>
      </c>
      <c r="FR531">
        <f t="shared" ref="FR531:FR539" si="412">ROUND(IF(AND(BH531=3,BI531=3),P531,0),2)</f>
        <v>0</v>
      </c>
      <c r="FS531">
        <v>0</v>
      </c>
      <c r="FX531">
        <v>95</v>
      </c>
      <c r="FY531">
        <v>65</v>
      </c>
      <c r="GA531" t="s">
        <v>6</v>
      </c>
      <c r="GD531">
        <v>0</v>
      </c>
      <c r="GF531">
        <v>1188648583</v>
      </c>
      <c r="GG531">
        <v>1</v>
      </c>
      <c r="GH531">
        <v>1</v>
      </c>
      <c r="GI531">
        <v>4</v>
      </c>
      <c r="GJ531">
        <v>0</v>
      </c>
      <c r="GK531">
        <f>ROUND(R531*(R12)/100,2)</f>
        <v>0</v>
      </c>
      <c r="GL531">
        <f t="shared" ref="GL531:GL539" si="413">ROUND(IF(AND(BH531=3,BI531=3,FS531&lt;&gt;0),P531,0),2)</f>
        <v>0</v>
      </c>
      <c r="GM531">
        <f t="shared" ref="GM531:GM539" si="414">ROUND(O531+X531+Y531+GK531,2)+GX531</f>
        <v>3686.46</v>
      </c>
      <c r="GN531">
        <f t="shared" ref="GN531:GN539" si="415">IF(OR(BI531=0,BI531=1),ROUND(O531+X531+Y531+GK531,2),0)</f>
        <v>0</v>
      </c>
      <c r="GO531">
        <f t="shared" ref="GO531:GO539" si="416">IF(BI531=2,ROUND(O531+X531+Y531+GK531,2),0)</f>
        <v>3686.46</v>
      </c>
      <c r="GP531">
        <f t="shared" ref="GP531:GP539" si="417">IF(BI531=4,ROUND(O531+X531+Y531+GK531,2)+GX531,0)</f>
        <v>0</v>
      </c>
      <c r="GR531">
        <v>0</v>
      </c>
      <c r="GS531">
        <v>3</v>
      </c>
      <c r="GT531">
        <v>0</v>
      </c>
      <c r="GU531" t="s">
        <v>6</v>
      </c>
      <c r="GV531">
        <f t="shared" ref="GV531:GV539" si="418">ROUND(GT531,2)</f>
        <v>0</v>
      </c>
      <c r="GW531">
        <v>1</v>
      </c>
      <c r="GX531">
        <f t="shared" ref="GX531:GX539" si="419">ROUND(GV531*GW531*I531,2)</f>
        <v>0</v>
      </c>
      <c r="HA531">
        <v>0</v>
      </c>
      <c r="HB531">
        <v>0</v>
      </c>
      <c r="IK531">
        <v>0</v>
      </c>
    </row>
    <row r="532" spans="1:245" x14ac:dyDescent="0.2">
      <c r="A532">
        <v>18</v>
      </c>
      <c r="B532">
        <v>1</v>
      </c>
      <c r="C532">
        <v>655</v>
      </c>
      <c r="E532" t="s">
        <v>871</v>
      </c>
      <c r="F532" t="s">
        <v>722</v>
      </c>
      <c r="G532" t="s">
        <v>872</v>
      </c>
      <c r="H532" t="s">
        <v>724</v>
      </c>
      <c r="I532">
        <f>I531*J532</f>
        <v>0.56000000000000005</v>
      </c>
      <c r="J532">
        <v>1</v>
      </c>
      <c r="O532">
        <f t="shared" si="381"/>
        <v>2119.67</v>
      </c>
      <c r="P532">
        <f t="shared" si="382"/>
        <v>2119.67</v>
      </c>
      <c r="Q532">
        <f t="shared" si="383"/>
        <v>0</v>
      </c>
      <c r="R532">
        <f t="shared" si="384"/>
        <v>0</v>
      </c>
      <c r="S532">
        <f t="shared" si="385"/>
        <v>0</v>
      </c>
      <c r="T532">
        <f t="shared" si="386"/>
        <v>0</v>
      </c>
      <c r="U532">
        <f t="shared" si="387"/>
        <v>0</v>
      </c>
      <c r="V532">
        <f t="shared" si="388"/>
        <v>0</v>
      </c>
      <c r="W532">
        <f t="shared" si="389"/>
        <v>0</v>
      </c>
      <c r="X532">
        <f t="shared" si="390"/>
        <v>0</v>
      </c>
      <c r="Y532">
        <f t="shared" si="391"/>
        <v>0</v>
      </c>
      <c r="AA532">
        <v>16748969</v>
      </c>
      <c r="AB532">
        <f t="shared" si="392"/>
        <v>577</v>
      </c>
      <c r="AC532">
        <f t="shared" si="393"/>
        <v>577</v>
      </c>
      <c r="AD532">
        <f t="shared" si="394"/>
        <v>0</v>
      </c>
      <c r="AE532">
        <f t="shared" si="395"/>
        <v>0</v>
      </c>
      <c r="AF532">
        <f t="shared" si="396"/>
        <v>0</v>
      </c>
      <c r="AG532">
        <f t="shared" si="397"/>
        <v>0</v>
      </c>
      <c r="AH532">
        <f t="shared" si="398"/>
        <v>0</v>
      </c>
      <c r="AI532">
        <f t="shared" si="399"/>
        <v>0</v>
      </c>
      <c r="AJ532">
        <f t="shared" si="400"/>
        <v>0</v>
      </c>
      <c r="AK532">
        <v>577</v>
      </c>
      <c r="AL532">
        <v>577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  <c r="AS532">
        <v>0</v>
      </c>
      <c r="AT532">
        <v>95</v>
      </c>
      <c r="AU532">
        <v>65</v>
      </c>
      <c r="AV532">
        <v>1</v>
      </c>
      <c r="AW532">
        <v>1</v>
      </c>
      <c r="AZ532">
        <v>6.56</v>
      </c>
      <c r="BA532">
        <v>1</v>
      </c>
      <c r="BB532">
        <v>1</v>
      </c>
      <c r="BC532">
        <v>6.56</v>
      </c>
      <c r="BD532" t="s">
        <v>6</v>
      </c>
      <c r="BE532" t="s">
        <v>6</v>
      </c>
      <c r="BF532" t="s">
        <v>6</v>
      </c>
      <c r="BG532" t="s">
        <v>6</v>
      </c>
      <c r="BH532">
        <v>3</v>
      </c>
      <c r="BI532">
        <v>2</v>
      </c>
      <c r="BJ532" t="s">
        <v>725</v>
      </c>
      <c r="BM532">
        <v>108001</v>
      </c>
      <c r="BN532">
        <v>0</v>
      </c>
      <c r="BO532" t="s">
        <v>6</v>
      </c>
      <c r="BP532">
        <v>0</v>
      </c>
      <c r="BQ532">
        <v>3</v>
      </c>
      <c r="BR532">
        <v>0</v>
      </c>
      <c r="BS532">
        <v>1</v>
      </c>
      <c r="BT532">
        <v>1</v>
      </c>
      <c r="BU532">
        <v>1</v>
      </c>
      <c r="BV532">
        <v>1</v>
      </c>
      <c r="BW532">
        <v>1</v>
      </c>
      <c r="BX532">
        <v>1</v>
      </c>
      <c r="BY532" t="s">
        <v>6</v>
      </c>
      <c r="BZ532">
        <v>95</v>
      </c>
      <c r="CA532">
        <v>65</v>
      </c>
      <c r="CF532">
        <v>0</v>
      </c>
      <c r="CG532">
        <v>0</v>
      </c>
      <c r="CM532">
        <v>0</v>
      </c>
      <c r="CN532" t="s">
        <v>6</v>
      </c>
      <c r="CO532">
        <v>0</v>
      </c>
      <c r="CP532">
        <f t="shared" si="401"/>
        <v>2119.67</v>
      </c>
      <c r="CQ532">
        <f t="shared" si="402"/>
        <v>3785.12</v>
      </c>
      <c r="CR532">
        <f t="shared" si="403"/>
        <v>0</v>
      </c>
      <c r="CS532">
        <f t="shared" si="404"/>
        <v>0</v>
      </c>
      <c r="CT532">
        <f t="shared" si="405"/>
        <v>0</v>
      </c>
      <c r="CU532">
        <f t="shared" si="406"/>
        <v>0</v>
      </c>
      <c r="CV532">
        <f t="shared" si="407"/>
        <v>0</v>
      </c>
      <c r="CW532">
        <f t="shared" si="408"/>
        <v>0</v>
      </c>
      <c r="CX532">
        <f t="shared" si="409"/>
        <v>0</v>
      </c>
      <c r="CY532">
        <f t="shared" si="410"/>
        <v>0</v>
      </c>
      <c r="CZ532">
        <f t="shared" si="411"/>
        <v>0</v>
      </c>
      <c r="DC532" t="s">
        <v>6</v>
      </c>
      <c r="DD532" t="s">
        <v>6</v>
      </c>
      <c r="DE532" t="s">
        <v>6</v>
      </c>
      <c r="DF532" t="s">
        <v>6</v>
      </c>
      <c r="DG532" t="s">
        <v>6</v>
      </c>
      <c r="DH532" t="s">
        <v>6</v>
      </c>
      <c r="DI532" t="s">
        <v>6</v>
      </c>
      <c r="DJ532" t="s">
        <v>6</v>
      </c>
      <c r="DK532" t="s">
        <v>6</v>
      </c>
      <c r="DL532" t="s">
        <v>6</v>
      </c>
      <c r="DM532" t="s">
        <v>6</v>
      </c>
      <c r="DN532">
        <v>0</v>
      </c>
      <c r="DO532">
        <v>0</v>
      </c>
      <c r="DP532">
        <v>1</v>
      </c>
      <c r="DQ532">
        <v>1</v>
      </c>
      <c r="DU532">
        <v>1010</v>
      </c>
      <c r="DV532" t="s">
        <v>724</v>
      </c>
      <c r="DW532" t="s">
        <v>724</v>
      </c>
      <c r="DX532">
        <v>100</v>
      </c>
      <c r="EE532">
        <v>16510370</v>
      </c>
      <c r="EF532">
        <v>3</v>
      </c>
      <c r="EG532" t="s">
        <v>591</v>
      </c>
      <c r="EH532">
        <v>0</v>
      </c>
      <c r="EI532" t="s">
        <v>6</v>
      </c>
      <c r="EJ532">
        <v>2</v>
      </c>
      <c r="EK532">
        <v>108001</v>
      </c>
      <c r="EL532" t="s">
        <v>592</v>
      </c>
      <c r="EM532" t="s">
        <v>593</v>
      </c>
      <c r="EO532" t="s">
        <v>6</v>
      </c>
      <c r="EQ532">
        <v>0</v>
      </c>
      <c r="ER532">
        <v>577</v>
      </c>
      <c r="ES532">
        <v>577</v>
      </c>
      <c r="ET532">
        <v>0</v>
      </c>
      <c r="EU532">
        <v>0</v>
      </c>
      <c r="EV532">
        <v>0</v>
      </c>
      <c r="EW532">
        <v>0</v>
      </c>
      <c r="EX532">
        <v>0</v>
      </c>
      <c r="FQ532">
        <v>0</v>
      </c>
      <c r="FR532">
        <f t="shared" si="412"/>
        <v>0</v>
      </c>
      <c r="FS532">
        <v>0</v>
      </c>
      <c r="FX532">
        <v>95</v>
      </c>
      <c r="FY532">
        <v>65</v>
      </c>
      <c r="GA532" t="s">
        <v>6</v>
      </c>
      <c r="GD532">
        <v>0</v>
      </c>
      <c r="GF532">
        <v>1169296768</v>
      </c>
      <c r="GG532">
        <v>1</v>
      </c>
      <c r="GH532">
        <v>1</v>
      </c>
      <c r="GI532">
        <v>4</v>
      </c>
      <c r="GJ532">
        <v>0</v>
      </c>
      <c r="GK532">
        <f>ROUND(R532*(R12)/100,2)</f>
        <v>0</v>
      </c>
      <c r="GL532">
        <f t="shared" si="413"/>
        <v>0</v>
      </c>
      <c r="GM532">
        <f t="shared" si="414"/>
        <v>2119.67</v>
      </c>
      <c r="GN532">
        <f t="shared" si="415"/>
        <v>0</v>
      </c>
      <c r="GO532">
        <f t="shared" si="416"/>
        <v>2119.67</v>
      </c>
      <c r="GP532">
        <f t="shared" si="417"/>
        <v>0</v>
      </c>
      <c r="GR532">
        <v>0</v>
      </c>
      <c r="GS532">
        <v>3</v>
      </c>
      <c r="GT532">
        <v>0</v>
      </c>
      <c r="GU532" t="s">
        <v>6</v>
      </c>
      <c r="GV532">
        <f t="shared" si="418"/>
        <v>0</v>
      </c>
      <c r="GW532">
        <v>1</v>
      </c>
      <c r="GX532">
        <f t="shared" si="419"/>
        <v>0</v>
      </c>
      <c r="HA532">
        <v>0</v>
      </c>
      <c r="HB532">
        <v>0</v>
      </c>
      <c r="IK532">
        <v>0</v>
      </c>
    </row>
    <row r="533" spans="1:245" x14ac:dyDescent="0.2">
      <c r="A533">
        <v>17</v>
      </c>
      <c r="B533">
        <v>1</v>
      </c>
      <c r="C533">
        <f>ROW(SmtRes!A663)</f>
        <v>663</v>
      </c>
      <c r="D533">
        <f>ROW(EtalonRes!A608)</f>
        <v>608</v>
      </c>
      <c r="E533" t="s">
        <v>873</v>
      </c>
      <c r="F533" t="s">
        <v>874</v>
      </c>
      <c r="G533" t="s">
        <v>875</v>
      </c>
      <c r="H533" t="s">
        <v>34</v>
      </c>
      <c r="I533">
        <f>ROUND(1280/100,9)</f>
        <v>12.8</v>
      </c>
      <c r="J533">
        <v>0</v>
      </c>
      <c r="O533">
        <f t="shared" si="381"/>
        <v>13936.17</v>
      </c>
      <c r="P533">
        <f t="shared" si="382"/>
        <v>297.25</v>
      </c>
      <c r="Q533">
        <f t="shared" si="383"/>
        <v>3702.99</v>
      </c>
      <c r="R533">
        <f t="shared" si="384"/>
        <v>413.96</v>
      </c>
      <c r="S533">
        <f t="shared" si="385"/>
        <v>9935.93</v>
      </c>
      <c r="T533">
        <f t="shared" si="386"/>
        <v>0</v>
      </c>
      <c r="U533">
        <f t="shared" si="387"/>
        <v>157.44000000000003</v>
      </c>
      <c r="V533">
        <f t="shared" si="388"/>
        <v>6.2720000000000002</v>
      </c>
      <c r="W533">
        <f t="shared" si="389"/>
        <v>0</v>
      </c>
      <c r="X533">
        <f t="shared" si="390"/>
        <v>8279.91</v>
      </c>
      <c r="Y533">
        <f t="shared" si="391"/>
        <v>6209.93</v>
      </c>
      <c r="AA533">
        <v>16748969</v>
      </c>
      <c r="AB533">
        <f t="shared" si="392"/>
        <v>165.97</v>
      </c>
      <c r="AC533">
        <f t="shared" si="393"/>
        <v>3.54</v>
      </c>
      <c r="AD533">
        <f t="shared" si="394"/>
        <v>44.1</v>
      </c>
      <c r="AE533">
        <f t="shared" si="395"/>
        <v>4.93</v>
      </c>
      <c r="AF533">
        <f t="shared" si="396"/>
        <v>118.33</v>
      </c>
      <c r="AG533">
        <f t="shared" si="397"/>
        <v>0</v>
      </c>
      <c r="AH533">
        <f t="shared" si="398"/>
        <v>12.3</v>
      </c>
      <c r="AI533">
        <f t="shared" si="399"/>
        <v>0.49</v>
      </c>
      <c r="AJ533">
        <f t="shared" si="400"/>
        <v>0</v>
      </c>
      <c r="AK533">
        <v>165.97</v>
      </c>
      <c r="AL533">
        <v>3.54</v>
      </c>
      <c r="AM533">
        <v>44.1</v>
      </c>
      <c r="AN533">
        <v>4.93</v>
      </c>
      <c r="AO533">
        <v>118.33</v>
      </c>
      <c r="AP533">
        <v>0</v>
      </c>
      <c r="AQ533">
        <v>12.3</v>
      </c>
      <c r="AR533">
        <v>0.49</v>
      </c>
      <c r="AS533">
        <v>0</v>
      </c>
      <c r="AT533">
        <v>80</v>
      </c>
      <c r="AU533">
        <v>60</v>
      </c>
      <c r="AV533">
        <v>1</v>
      </c>
      <c r="AW533">
        <v>1</v>
      </c>
      <c r="AZ533">
        <v>6.56</v>
      </c>
      <c r="BA533">
        <v>6.56</v>
      </c>
      <c r="BB533">
        <v>6.56</v>
      </c>
      <c r="BC533">
        <v>6.56</v>
      </c>
      <c r="BD533" t="s">
        <v>6</v>
      </c>
      <c r="BE533" t="s">
        <v>6</v>
      </c>
      <c r="BF533" t="s">
        <v>6</v>
      </c>
      <c r="BG533" t="s">
        <v>6</v>
      </c>
      <c r="BH533">
        <v>0</v>
      </c>
      <c r="BI533">
        <v>2</v>
      </c>
      <c r="BJ533" t="s">
        <v>876</v>
      </c>
      <c r="BM533">
        <v>110001</v>
      </c>
      <c r="BN533">
        <v>0</v>
      </c>
      <c r="BO533" t="s">
        <v>6</v>
      </c>
      <c r="BP533">
        <v>0</v>
      </c>
      <c r="BQ533">
        <v>3</v>
      </c>
      <c r="BR533">
        <v>0</v>
      </c>
      <c r="BS533">
        <v>6.56</v>
      </c>
      <c r="BT533">
        <v>1</v>
      </c>
      <c r="BU533">
        <v>1</v>
      </c>
      <c r="BV533">
        <v>1</v>
      </c>
      <c r="BW533">
        <v>1</v>
      </c>
      <c r="BX533">
        <v>1</v>
      </c>
      <c r="BY533" t="s">
        <v>6</v>
      </c>
      <c r="BZ533">
        <v>80</v>
      </c>
      <c r="CA533">
        <v>60</v>
      </c>
      <c r="CF533">
        <v>0</v>
      </c>
      <c r="CG533">
        <v>0</v>
      </c>
      <c r="CM533">
        <v>0</v>
      </c>
      <c r="CN533" t="s">
        <v>6</v>
      </c>
      <c r="CO533">
        <v>0</v>
      </c>
      <c r="CP533">
        <f t="shared" si="401"/>
        <v>13936.17</v>
      </c>
      <c r="CQ533">
        <f t="shared" si="402"/>
        <v>23.2224</v>
      </c>
      <c r="CR533">
        <f t="shared" si="403"/>
        <v>289.29599999999999</v>
      </c>
      <c r="CS533">
        <f t="shared" si="404"/>
        <v>32.340799999999994</v>
      </c>
      <c r="CT533">
        <f t="shared" si="405"/>
        <v>776.24479999999994</v>
      </c>
      <c r="CU533">
        <f t="shared" si="406"/>
        <v>0</v>
      </c>
      <c r="CV533">
        <f t="shared" si="407"/>
        <v>12.3</v>
      </c>
      <c r="CW533">
        <f t="shared" si="408"/>
        <v>0.49</v>
      </c>
      <c r="CX533">
        <f t="shared" si="409"/>
        <v>0</v>
      </c>
      <c r="CY533">
        <f t="shared" si="410"/>
        <v>8279.9120000000003</v>
      </c>
      <c r="CZ533">
        <f t="shared" si="411"/>
        <v>6209.9339999999993</v>
      </c>
      <c r="DC533" t="s">
        <v>6</v>
      </c>
      <c r="DD533" t="s">
        <v>6</v>
      </c>
      <c r="DE533" t="s">
        <v>6</v>
      </c>
      <c r="DF533" t="s">
        <v>6</v>
      </c>
      <c r="DG533" t="s">
        <v>6</v>
      </c>
      <c r="DH533" t="s">
        <v>6</v>
      </c>
      <c r="DI533" t="s">
        <v>6</v>
      </c>
      <c r="DJ533" t="s">
        <v>6</v>
      </c>
      <c r="DK533" t="s">
        <v>6</v>
      </c>
      <c r="DL533" t="s">
        <v>6</v>
      </c>
      <c r="DM533" t="s">
        <v>6</v>
      </c>
      <c r="DN533">
        <v>0</v>
      </c>
      <c r="DO533">
        <v>0</v>
      </c>
      <c r="DP533">
        <v>1</v>
      </c>
      <c r="DQ533">
        <v>1</v>
      </c>
      <c r="DU533">
        <v>1003</v>
      </c>
      <c r="DV533" t="s">
        <v>34</v>
      </c>
      <c r="DW533" t="s">
        <v>34</v>
      </c>
      <c r="DX533">
        <v>100</v>
      </c>
      <c r="EE533">
        <v>16510373</v>
      </c>
      <c r="EF533">
        <v>3</v>
      </c>
      <c r="EG533" t="s">
        <v>591</v>
      </c>
      <c r="EH533">
        <v>0</v>
      </c>
      <c r="EI533" t="s">
        <v>6</v>
      </c>
      <c r="EJ533">
        <v>2</v>
      </c>
      <c r="EK533">
        <v>110001</v>
      </c>
      <c r="EL533" t="s">
        <v>868</v>
      </c>
      <c r="EM533" t="s">
        <v>649</v>
      </c>
      <c r="EO533" t="s">
        <v>6</v>
      </c>
      <c r="EQ533">
        <v>131072</v>
      </c>
      <c r="ER533">
        <v>165.97</v>
      </c>
      <c r="ES533">
        <v>3.54</v>
      </c>
      <c r="ET533">
        <v>44.1</v>
      </c>
      <c r="EU533">
        <v>4.93</v>
      </c>
      <c r="EV533">
        <v>118.33</v>
      </c>
      <c r="EW533">
        <v>12.3</v>
      </c>
      <c r="EX533">
        <v>0.49</v>
      </c>
      <c r="EY533">
        <v>0</v>
      </c>
      <c r="FQ533">
        <v>0</v>
      </c>
      <c r="FR533">
        <f t="shared" si="412"/>
        <v>0</v>
      </c>
      <c r="FS533">
        <v>0</v>
      </c>
      <c r="FX533">
        <v>80</v>
      </c>
      <c r="FY533">
        <v>60</v>
      </c>
      <c r="GA533" t="s">
        <v>6</v>
      </c>
      <c r="GD533">
        <v>0</v>
      </c>
      <c r="GF533">
        <v>1160083014</v>
      </c>
      <c r="GG533">
        <v>1</v>
      </c>
      <c r="GH533">
        <v>1</v>
      </c>
      <c r="GI533">
        <v>4</v>
      </c>
      <c r="GJ533">
        <v>0</v>
      </c>
      <c r="GK533">
        <f>ROUND(R533*(R12)/100,2)</f>
        <v>0</v>
      </c>
      <c r="GL533">
        <f t="shared" si="413"/>
        <v>0</v>
      </c>
      <c r="GM533">
        <f t="shared" si="414"/>
        <v>28426.01</v>
      </c>
      <c r="GN533">
        <f t="shared" si="415"/>
        <v>0</v>
      </c>
      <c r="GO533">
        <f t="shared" si="416"/>
        <v>28426.01</v>
      </c>
      <c r="GP533">
        <f t="shared" si="417"/>
        <v>0</v>
      </c>
      <c r="GR533">
        <v>0</v>
      </c>
      <c r="GS533">
        <v>3</v>
      </c>
      <c r="GT533">
        <v>0</v>
      </c>
      <c r="GU533" t="s">
        <v>6</v>
      </c>
      <c r="GV533">
        <f t="shared" si="418"/>
        <v>0</v>
      </c>
      <c r="GW533">
        <v>1</v>
      </c>
      <c r="GX533">
        <f t="shared" si="419"/>
        <v>0</v>
      </c>
      <c r="HA533">
        <v>0</v>
      </c>
      <c r="HB533">
        <v>0</v>
      </c>
      <c r="IK533">
        <v>0</v>
      </c>
    </row>
    <row r="534" spans="1:245" x14ac:dyDescent="0.2">
      <c r="A534">
        <v>18</v>
      </c>
      <c r="B534">
        <v>1</v>
      </c>
      <c r="C534">
        <v>662</v>
      </c>
      <c r="E534" t="s">
        <v>877</v>
      </c>
      <c r="F534" t="s">
        <v>878</v>
      </c>
      <c r="G534" t="s">
        <v>879</v>
      </c>
      <c r="H534" t="s">
        <v>641</v>
      </c>
      <c r="I534">
        <f>I533*J534</f>
        <v>1.28</v>
      </c>
      <c r="J534">
        <v>9.9999999999999992E-2</v>
      </c>
      <c r="O534">
        <f t="shared" si="381"/>
        <v>9657.92</v>
      </c>
      <c r="P534">
        <f t="shared" si="382"/>
        <v>9657.92</v>
      </c>
      <c r="Q534">
        <f t="shared" si="383"/>
        <v>0</v>
      </c>
      <c r="R534">
        <f t="shared" si="384"/>
        <v>0</v>
      </c>
      <c r="S534">
        <f t="shared" si="385"/>
        <v>0</v>
      </c>
      <c r="T534">
        <f t="shared" si="386"/>
        <v>0</v>
      </c>
      <c r="U534">
        <f t="shared" si="387"/>
        <v>0</v>
      </c>
      <c r="V534">
        <f t="shared" si="388"/>
        <v>0</v>
      </c>
      <c r="W534">
        <f t="shared" si="389"/>
        <v>0</v>
      </c>
      <c r="X534">
        <f t="shared" si="390"/>
        <v>0</v>
      </c>
      <c r="Y534">
        <f t="shared" si="391"/>
        <v>0</v>
      </c>
      <c r="AA534">
        <v>16748969</v>
      </c>
      <c r="AB534">
        <f t="shared" si="392"/>
        <v>1150.19</v>
      </c>
      <c r="AC534">
        <f t="shared" si="393"/>
        <v>1150.19</v>
      </c>
      <c r="AD534">
        <f t="shared" si="394"/>
        <v>0</v>
      </c>
      <c r="AE534">
        <f t="shared" si="395"/>
        <v>0</v>
      </c>
      <c r="AF534">
        <f t="shared" si="396"/>
        <v>0</v>
      </c>
      <c r="AG534">
        <f t="shared" si="397"/>
        <v>0</v>
      </c>
      <c r="AH534">
        <f t="shared" si="398"/>
        <v>0</v>
      </c>
      <c r="AI534">
        <f t="shared" si="399"/>
        <v>0</v>
      </c>
      <c r="AJ534">
        <f t="shared" si="400"/>
        <v>0</v>
      </c>
      <c r="AK534">
        <v>1150.19</v>
      </c>
      <c r="AL534">
        <v>1150.19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0</v>
      </c>
      <c r="AS534">
        <v>0</v>
      </c>
      <c r="AT534">
        <v>80</v>
      </c>
      <c r="AU534">
        <v>60</v>
      </c>
      <c r="AV534">
        <v>1</v>
      </c>
      <c r="AW534">
        <v>1</v>
      </c>
      <c r="AZ534">
        <v>6.56</v>
      </c>
      <c r="BA534">
        <v>1</v>
      </c>
      <c r="BB534">
        <v>1</v>
      </c>
      <c r="BC534">
        <v>6.56</v>
      </c>
      <c r="BD534" t="s">
        <v>6</v>
      </c>
      <c r="BE534" t="s">
        <v>6</v>
      </c>
      <c r="BF534" t="s">
        <v>6</v>
      </c>
      <c r="BG534" t="s">
        <v>6</v>
      </c>
      <c r="BH534">
        <v>3</v>
      </c>
      <c r="BI534">
        <v>2</v>
      </c>
      <c r="BJ534" t="s">
        <v>880</v>
      </c>
      <c r="BM534">
        <v>110001</v>
      </c>
      <c r="BN534">
        <v>0</v>
      </c>
      <c r="BO534" t="s">
        <v>6</v>
      </c>
      <c r="BP534">
        <v>0</v>
      </c>
      <c r="BQ534">
        <v>3</v>
      </c>
      <c r="BR534">
        <v>0</v>
      </c>
      <c r="BS534">
        <v>1</v>
      </c>
      <c r="BT534">
        <v>1</v>
      </c>
      <c r="BU534">
        <v>1</v>
      </c>
      <c r="BV534">
        <v>1</v>
      </c>
      <c r="BW534">
        <v>1</v>
      </c>
      <c r="BX534">
        <v>1</v>
      </c>
      <c r="BY534" t="s">
        <v>6</v>
      </c>
      <c r="BZ534">
        <v>80</v>
      </c>
      <c r="CA534">
        <v>60</v>
      </c>
      <c r="CF534">
        <v>0</v>
      </c>
      <c r="CG534">
        <v>0</v>
      </c>
      <c r="CM534">
        <v>0</v>
      </c>
      <c r="CN534" t="s">
        <v>6</v>
      </c>
      <c r="CO534">
        <v>0</v>
      </c>
      <c r="CP534">
        <f t="shared" si="401"/>
        <v>9657.92</v>
      </c>
      <c r="CQ534">
        <f t="shared" si="402"/>
        <v>7545.2464</v>
      </c>
      <c r="CR534">
        <f t="shared" si="403"/>
        <v>0</v>
      </c>
      <c r="CS534">
        <f t="shared" si="404"/>
        <v>0</v>
      </c>
      <c r="CT534">
        <f t="shared" si="405"/>
        <v>0</v>
      </c>
      <c r="CU534">
        <f t="shared" si="406"/>
        <v>0</v>
      </c>
      <c r="CV534">
        <f t="shared" si="407"/>
        <v>0</v>
      </c>
      <c r="CW534">
        <f t="shared" si="408"/>
        <v>0</v>
      </c>
      <c r="CX534">
        <f t="shared" si="409"/>
        <v>0</v>
      </c>
      <c r="CY534">
        <f t="shared" si="410"/>
        <v>0</v>
      </c>
      <c r="CZ534">
        <f t="shared" si="411"/>
        <v>0</v>
      </c>
      <c r="DC534" t="s">
        <v>6</v>
      </c>
      <c r="DD534" t="s">
        <v>6</v>
      </c>
      <c r="DE534" t="s">
        <v>6</v>
      </c>
      <c r="DF534" t="s">
        <v>6</v>
      </c>
      <c r="DG534" t="s">
        <v>6</v>
      </c>
      <c r="DH534" t="s">
        <v>6</v>
      </c>
      <c r="DI534" t="s">
        <v>6</v>
      </c>
      <c r="DJ534" t="s">
        <v>6</v>
      </c>
      <c r="DK534" t="s">
        <v>6</v>
      </c>
      <c r="DL534" t="s">
        <v>6</v>
      </c>
      <c r="DM534" t="s">
        <v>6</v>
      </c>
      <c r="DN534">
        <v>0</v>
      </c>
      <c r="DO534">
        <v>0</v>
      </c>
      <c r="DP534">
        <v>1</v>
      </c>
      <c r="DQ534">
        <v>1</v>
      </c>
      <c r="DU534">
        <v>1013</v>
      </c>
      <c r="DV534" t="s">
        <v>641</v>
      </c>
      <c r="DW534" t="s">
        <v>643</v>
      </c>
      <c r="DX534">
        <v>1</v>
      </c>
      <c r="EE534">
        <v>16510373</v>
      </c>
      <c r="EF534">
        <v>3</v>
      </c>
      <c r="EG534" t="s">
        <v>591</v>
      </c>
      <c r="EH534">
        <v>0</v>
      </c>
      <c r="EI534" t="s">
        <v>6</v>
      </c>
      <c r="EJ534">
        <v>2</v>
      </c>
      <c r="EK534">
        <v>110001</v>
      </c>
      <c r="EL534" t="s">
        <v>868</v>
      </c>
      <c r="EM534" t="s">
        <v>649</v>
      </c>
      <c r="EO534" t="s">
        <v>6</v>
      </c>
      <c r="EQ534">
        <v>0</v>
      </c>
      <c r="ER534">
        <v>1150.19</v>
      </c>
      <c r="ES534">
        <v>1150.19</v>
      </c>
      <c r="ET534">
        <v>0</v>
      </c>
      <c r="EU534">
        <v>0</v>
      </c>
      <c r="EV534">
        <v>0</v>
      </c>
      <c r="EW534">
        <v>0</v>
      </c>
      <c r="EX534">
        <v>0</v>
      </c>
      <c r="FQ534">
        <v>0</v>
      </c>
      <c r="FR534">
        <f t="shared" si="412"/>
        <v>0</v>
      </c>
      <c r="FS534">
        <v>0</v>
      </c>
      <c r="FX534">
        <v>80</v>
      </c>
      <c r="FY534">
        <v>60</v>
      </c>
      <c r="GA534" t="s">
        <v>6</v>
      </c>
      <c r="GD534">
        <v>0</v>
      </c>
      <c r="GF534">
        <v>1306444111</v>
      </c>
      <c r="GG534">
        <v>1</v>
      </c>
      <c r="GH534">
        <v>1</v>
      </c>
      <c r="GI534">
        <v>4</v>
      </c>
      <c r="GJ534">
        <v>0</v>
      </c>
      <c r="GK534">
        <f>ROUND(R534*(R12)/100,2)</f>
        <v>0</v>
      </c>
      <c r="GL534">
        <f t="shared" si="413"/>
        <v>0</v>
      </c>
      <c r="GM534">
        <f t="shared" si="414"/>
        <v>9657.92</v>
      </c>
      <c r="GN534">
        <f t="shared" si="415"/>
        <v>0</v>
      </c>
      <c r="GO534">
        <f t="shared" si="416"/>
        <v>9657.92</v>
      </c>
      <c r="GP534">
        <f t="shared" si="417"/>
        <v>0</v>
      </c>
      <c r="GR534">
        <v>0</v>
      </c>
      <c r="GS534">
        <v>3</v>
      </c>
      <c r="GT534">
        <v>0</v>
      </c>
      <c r="GU534" t="s">
        <v>6</v>
      </c>
      <c r="GV534">
        <f t="shared" si="418"/>
        <v>0</v>
      </c>
      <c r="GW534">
        <v>1</v>
      </c>
      <c r="GX534">
        <f t="shared" si="419"/>
        <v>0</v>
      </c>
      <c r="HA534">
        <v>0</v>
      </c>
      <c r="HB534">
        <v>0</v>
      </c>
      <c r="IK534">
        <v>0</v>
      </c>
    </row>
    <row r="535" spans="1:245" x14ac:dyDescent="0.2">
      <c r="A535">
        <v>17</v>
      </c>
      <c r="B535">
        <v>1</v>
      </c>
      <c r="C535">
        <f>ROW(SmtRes!A664)</f>
        <v>664</v>
      </c>
      <c r="D535">
        <f>ROW(EtalonRes!A610)</f>
        <v>610</v>
      </c>
      <c r="E535" t="s">
        <v>881</v>
      </c>
      <c r="F535" t="s">
        <v>655</v>
      </c>
      <c r="G535" t="s">
        <v>656</v>
      </c>
      <c r="H535" t="s">
        <v>46</v>
      </c>
      <c r="I535">
        <f>ROUND(6/100,9)</f>
        <v>0.06</v>
      </c>
      <c r="J535">
        <v>0</v>
      </c>
      <c r="O535">
        <f t="shared" si="381"/>
        <v>18.43</v>
      </c>
      <c r="P535">
        <f t="shared" si="382"/>
        <v>0</v>
      </c>
      <c r="Q535">
        <f t="shared" si="383"/>
        <v>0</v>
      </c>
      <c r="R535">
        <f t="shared" si="384"/>
        <v>0</v>
      </c>
      <c r="S535">
        <f t="shared" si="385"/>
        <v>18.43</v>
      </c>
      <c r="T535">
        <f t="shared" si="386"/>
        <v>0</v>
      </c>
      <c r="U535">
        <f t="shared" si="387"/>
        <v>0.32940000000000003</v>
      </c>
      <c r="V535">
        <f t="shared" si="388"/>
        <v>0</v>
      </c>
      <c r="W535">
        <f t="shared" si="389"/>
        <v>0</v>
      </c>
      <c r="X535">
        <f t="shared" si="390"/>
        <v>14.38</v>
      </c>
      <c r="Y535">
        <f t="shared" si="391"/>
        <v>9.2200000000000006</v>
      </c>
      <c r="AA535">
        <v>16748969</v>
      </c>
      <c r="AB535">
        <f t="shared" si="392"/>
        <v>46.83</v>
      </c>
      <c r="AC535">
        <f t="shared" si="393"/>
        <v>0</v>
      </c>
      <c r="AD535">
        <f t="shared" si="394"/>
        <v>0</v>
      </c>
      <c r="AE535">
        <f t="shared" si="395"/>
        <v>0</v>
      </c>
      <c r="AF535">
        <f t="shared" si="396"/>
        <v>46.83</v>
      </c>
      <c r="AG535">
        <f t="shared" si="397"/>
        <v>0</v>
      </c>
      <c r="AH535">
        <f t="shared" si="398"/>
        <v>5.49</v>
      </c>
      <c r="AI535">
        <f t="shared" si="399"/>
        <v>0</v>
      </c>
      <c r="AJ535">
        <f t="shared" si="400"/>
        <v>0</v>
      </c>
      <c r="AK535">
        <v>46.83</v>
      </c>
      <c r="AL535">
        <v>0</v>
      </c>
      <c r="AM535">
        <v>0</v>
      </c>
      <c r="AN535">
        <v>0</v>
      </c>
      <c r="AO535">
        <v>46.83</v>
      </c>
      <c r="AP535">
        <v>0</v>
      </c>
      <c r="AQ535">
        <v>5.49</v>
      </c>
      <c r="AR535">
        <v>0</v>
      </c>
      <c r="AS535">
        <v>0</v>
      </c>
      <c r="AT535">
        <v>78</v>
      </c>
      <c r="AU535">
        <v>50</v>
      </c>
      <c r="AV535">
        <v>1</v>
      </c>
      <c r="AW535">
        <v>1</v>
      </c>
      <c r="AZ535">
        <v>6.56</v>
      </c>
      <c r="BA535">
        <v>6.56</v>
      </c>
      <c r="BB535">
        <v>6.56</v>
      </c>
      <c r="BC535">
        <v>6.56</v>
      </c>
      <c r="BD535" t="s">
        <v>6</v>
      </c>
      <c r="BE535" t="s">
        <v>6</v>
      </c>
      <c r="BF535" t="s">
        <v>6</v>
      </c>
      <c r="BG535" t="s">
        <v>6</v>
      </c>
      <c r="BH535">
        <v>0</v>
      </c>
      <c r="BI535">
        <v>1</v>
      </c>
      <c r="BJ535" t="s">
        <v>657</v>
      </c>
      <c r="BM535">
        <v>69001</v>
      </c>
      <c r="BN535">
        <v>0</v>
      </c>
      <c r="BO535" t="s">
        <v>6</v>
      </c>
      <c r="BP535">
        <v>0</v>
      </c>
      <c r="BQ535">
        <v>6</v>
      </c>
      <c r="BR535">
        <v>0</v>
      </c>
      <c r="BS535">
        <v>6.56</v>
      </c>
      <c r="BT535">
        <v>1</v>
      </c>
      <c r="BU535">
        <v>1</v>
      </c>
      <c r="BV535">
        <v>1</v>
      </c>
      <c r="BW535">
        <v>1</v>
      </c>
      <c r="BX535">
        <v>1</v>
      </c>
      <c r="BY535" t="s">
        <v>6</v>
      </c>
      <c r="BZ535">
        <v>78</v>
      </c>
      <c r="CA535">
        <v>50</v>
      </c>
      <c r="CF535">
        <v>0</v>
      </c>
      <c r="CG535">
        <v>0</v>
      </c>
      <c r="CM535">
        <v>0</v>
      </c>
      <c r="CN535" t="s">
        <v>6</v>
      </c>
      <c r="CO535">
        <v>0</v>
      </c>
      <c r="CP535">
        <f t="shared" si="401"/>
        <v>18.43</v>
      </c>
      <c r="CQ535">
        <f t="shared" si="402"/>
        <v>0</v>
      </c>
      <c r="CR535">
        <f t="shared" si="403"/>
        <v>0</v>
      </c>
      <c r="CS535">
        <f t="shared" si="404"/>
        <v>0</v>
      </c>
      <c r="CT535">
        <f t="shared" si="405"/>
        <v>307.20479999999998</v>
      </c>
      <c r="CU535">
        <f t="shared" si="406"/>
        <v>0</v>
      </c>
      <c r="CV535">
        <f t="shared" si="407"/>
        <v>5.49</v>
      </c>
      <c r="CW535">
        <f t="shared" si="408"/>
        <v>0</v>
      </c>
      <c r="CX535">
        <f t="shared" si="409"/>
        <v>0</v>
      </c>
      <c r="CY535">
        <f t="shared" si="410"/>
        <v>14.375399999999999</v>
      </c>
      <c r="CZ535">
        <f t="shared" si="411"/>
        <v>9.2149999999999999</v>
      </c>
      <c r="DC535" t="s">
        <v>6</v>
      </c>
      <c r="DD535" t="s">
        <v>6</v>
      </c>
      <c r="DE535" t="s">
        <v>6</v>
      </c>
      <c r="DF535" t="s">
        <v>6</v>
      </c>
      <c r="DG535" t="s">
        <v>6</v>
      </c>
      <c r="DH535" t="s">
        <v>6</v>
      </c>
      <c r="DI535" t="s">
        <v>6</v>
      </c>
      <c r="DJ535" t="s">
        <v>6</v>
      </c>
      <c r="DK535" t="s">
        <v>6</v>
      </c>
      <c r="DL535" t="s">
        <v>6</v>
      </c>
      <c r="DM535" t="s">
        <v>6</v>
      </c>
      <c r="DN535">
        <v>0</v>
      </c>
      <c r="DO535">
        <v>0</v>
      </c>
      <c r="DP535">
        <v>1</v>
      </c>
      <c r="DQ535">
        <v>1</v>
      </c>
      <c r="DU535">
        <v>1013</v>
      </c>
      <c r="DV535" t="s">
        <v>46</v>
      </c>
      <c r="DW535" t="s">
        <v>46</v>
      </c>
      <c r="DX535">
        <v>1</v>
      </c>
      <c r="EE535">
        <v>16510614</v>
      </c>
      <c r="EF535">
        <v>6</v>
      </c>
      <c r="EG535" t="s">
        <v>36</v>
      </c>
      <c r="EH535">
        <v>0</v>
      </c>
      <c r="EI535" t="s">
        <v>6</v>
      </c>
      <c r="EJ535">
        <v>1</v>
      </c>
      <c r="EK535">
        <v>69001</v>
      </c>
      <c r="EL535" t="s">
        <v>553</v>
      </c>
      <c r="EM535" t="s">
        <v>554</v>
      </c>
      <c r="EO535" t="s">
        <v>6</v>
      </c>
      <c r="EQ535">
        <v>131072</v>
      </c>
      <c r="ER535">
        <v>46.83</v>
      </c>
      <c r="ES535">
        <v>0</v>
      </c>
      <c r="ET535">
        <v>0</v>
      </c>
      <c r="EU535">
        <v>0</v>
      </c>
      <c r="EV535">
        <v>46.83</v>
      </c>
      <c r="EW535">
        <v>5.49</v>
      </c>
      <c r="EX535">
        <v>0</v>
      </c>
      <c r="EY535">
        <v>0</v>
      </c>
      <c r="FQ535">
        <v>0</v>
      </c>
      <c r="FR535">
        <f t="shared" si="412"/>
        <v>0</v>
      </c>
      <c r="FS535">
        <v>0</v>
      </c>
      <c r="FX535">
        <v>78</v>
      </c>
      <c r="FY535">
        <v>50</v>
      </c>
      <c r="GA535" t="s">
        <v>6</v>
      </c>
      <c r="GD535">
        <v>0</v>
      </c>
      <c r="GF535">
        <v>-746968197</v>
      </c>
      <c r="GG535">
        <v>1</v>
      </c>
      <c r="GH535">
        <v>1</v>
      </c>
      <c r="GI535">
        <v>4</v>
      </c>
      <c r="GJ535">
        <v>0</v>
      </c>
      <c r="GK535">
        <f>ROUND(R535*(R12)/100,2)</f>
        <v>0</v>
      </c>
      <c r="GL535">
        <f t="shared" si="413"/>
        <v>0</v>
      </c>
      <c r="GM535">
        <f t="shared" si="414"/>
        <v>42.03</v>
      </c>
      <c r="GN535">
        <f t="shared" si="415"/>
        <v>42.03</v>
      </c>
      <c r="GO535">
        <f t="shared" si="416"/>
        <v>0</v>
      </c>
      <c r="GP535">
        <f t="shared" si="417"/>
        <v>0</v>
      </c>
      <c r="GR535">
        <v>0</v>
      </c>
      <c r="GS535">
        <v>3</v>
      </c>
      <c r="GT535">
        <v>0</v>
      </c>
      <c r="GU535" t="s">
        <v>6</v>
      </c>
      <c r="GV535">
        <f t="shared" si="418"/>
        <v>0</v>
      </c>
      <c r="GW535">
        <v>1</v>
      </c>
      <c r="GX535">
        <f t="shared" si="419"/>
        <v>0</v>
      </c>
      <c r="HA535">
        <v>0</v>
      </c>
      <c r="HB535">
        <v>0</v>
      </c>
      <c r="IK535">
        <v>0</v>
      </c>
    </row>
    <row r="536" spans="1:245" x14ac:dyDescent="0.2">
      <c r="A536">
        <v>17</v>
      </c>
      <c r="B536">
        <v>1</v>
      </c>
      <c r="C536">
        <f>ROW(SmtRes!A675)</f>
        <v>675</v>
      </c>
      <c r="D536">
        <f>ROW(EtalonRes!A620)</f>
        <v>620</v>
      </c>
      <c r="E536" t="s">
        <v>882</v>
      </c>
      <c r="F536" t="s">
        <v>659</v>
      </c>
      <c r="G536" t="s">
        <v>660</v>
      </c>
      <c r="H536" t="s">
        <v>34</v>
      </c>
      <c r="I536">
        <f>ROUND(3.6/100,9)</f>
        <v>3.5999999999999997E-2</v>
      </c>
      <c r="J536">
        <v>0</v>
      </c>
      <c r="O536">
        <f t="shared" si="381"/>
        <v>59.26</v>
      </c>
      <c r="P536">
        <f t="shared" si="382"/>
        <v>20.72</v>
      </c>
      <c r="Q536">
        <f t="shared" si="383"/>
        <v>4.62</v>
      </c>
      <c r="R536">
        <f t="shared" si="384"/>
        <v>0.65</v>
      </c>
      <c r="S536">
        <f t="shared" si="385"/>
        <v>33.92</v>
      </c>
      <c r="T536">
        <f t="shared" si="386"/>
        <v>0</v>
      </c>
      <c r="U536">
        <f t="shared" si="387"/>
        <v>0.5500799999999999</v>
      </c>
      <c r="V536">
        <f t="shared" si="388"/>
        <v>7.92E-3</v>
      </c>
      <c r="W536">
        <f t="shared" si="389"/>
        <v>0</v>
      </c>
      <c r="X536">
        <f t="shared" si="390"/>
        <v>32.840000000000003</v>
      </c>
      <c r="Y536">
        <f t="shared" si="391"/>
        <v>22.47</v>
      </c>
      <c r="AA536">
        <v>16748969</v>
      </c>
      <c r="AB536">
        <f t="shared" si="392"/>
        <v>250.92</v>
      </c>
      <c r="AC536">
        <f t="shared" si="393"/>
        <v>87.74</v>
      </c>
      <c r="AD536">
        <f t="shared" si="394"/>
        <v>19.55</v>
      </c>
      <c r="AE536">
        <f t="shared" si="395"/>
        <v>2.77</v>
      </c>
      <c r="AF536">
        <f t="shared" si="396"/>
        <v>143.63</v>
      </c>
      <c r="AG536">
        <f t="shared" si="397"/>
        <v>0</v>
      </c>
      <c r="AH536">
        <f t="shared" si="398"/>
        <v>15.28</v>
      </c>
      <c r="AI536">
        <f t="shared" si="399"/>
        <v>0.22</v>
      </c>
      <c r="AJ536">
        <f t="shared" si="400"/>
        <v>0</v>
      </c>
      <c r="AK536">
        <v>250.92</v>
      </c>
      <c r="AL536">
        <v>87.74</v>
      </c>
      <c r="AM536">
        <v>19.55</v>
      </c>
      <c r="AN536">
        <v>2.77</v>
      </c>
      <c r="AO536">
        <v>143.63</v>
      </c>
      <c r="AP536">
        <v>0</v>
      </c>
      <c r="AQ536">
        <v>15.28</v>
      </c>
      <c r="AR536">
        <v>0.22</v>
      </c>
      <c r="AS536">
        <v>0</v>
      </c>
      <c r="AT536">
        <v>95</v>
      </c>
      <c r="AU536">
        <v>65</v>
      </c>
      <c r="AV536">
        <v>1</v>
      </c>
      <c r="AW536">
        <v>1</v>
      </c>
      <c r="AZ536">
        <v>6.56</v>
      </c>
      <c r="BA536">
        <v>6.56</v>
      </c>
      <c r="BB536">
        <v>6.56</v>
      </c>
      <c r="BC536">
        <v>6.56</v>
      </c>
      <c r="BD536" t="s">
        <v>6</v>
      </c>
      <c r="BE536" t="s">
        <v>6</v>
      </c>
      <c r="BF536" t="s">
        <v>6</v>
      </c>
      <c r="BG536" t="s">
        <v>6</v>
      </c>
      <c r="BH536">
        <v>0</v>
      </c>
      <c r="BI536">
        <v>2</v>
      </c>
      <c r="BJ536" t="s">
        <v>661</v>
      </c>
      <c r="BM536">
        <v>108001</v>
      </c>
      <c r="BN536">
        <v>0</v>
      </c>
      <c r="BO536" t="s">
        <v>6</v>
      </c>
      <c r="BP536">
        <v>0</v>
      </c>
      <c r="BQ536">
        <v>3</v>
      </c>
      <c r="BR536">
        <v>0</v>
      </c>
      <c r="BS536">
        <v>6.56</v>
      </c>
      <c r="BT536">
        <v>1</v>
      </c>
      <c r="BU536">
        <v>1</v>
      </c>
      <c r="BV536">
        <v>1</v>
      </c>
      <c r="BW536">
        <v>1</v>
      </c>
      <c r="BX536">
        <v>1</v>
      </c>
      <c r="BY536" t="s">
        <v>6</v>
      </c>
      <c r="BZ536">
        <v>95</v>
      </c>
      <c r="CA536">
        <v>65</v>
      </c>
      <c r="CF536">
        <v>0</v>
      </c>
      <c r="CG536">
        <v>0</v>
      </c>
      <c r="CM536">
        <v>0</v>
      </c>
      <c r="CN536" t="s">
        <v>6</v>
      </c>
      <c r="CO536">
        <v>0</v>
      </c>
      <c r="CP536">
        <f t="shared" si="401"/>
        <v>59.260000000000005</v>
      </c>
      <c r="CQ536">
        <f t="shared" si="402"/>
        <v>575.57439999999997</v>
      </c>
      <c r="CR536">
        <f t="shared" si="403"/>
        <v>128.24799999999999</v>
      </c>
      <c r="CS536">
        <f t="shared" si="404"/>
        <v>18.171199999999999</v>
      </c>
      <c r="CT536">
        <f t="shared" si="405"/>
        <v>942.2127999999999</v>
      </c>
      <c r="CU536">
        <f t="shared" si="406"/>
        <v>0</v>
      </c>
      <c r="CV536">
        <f t="shared" si="407"/>
        <v>15.28</v>
      </c>
      <c r="CW536">
        <f t="shared" si="408"/>
        <v>0.22</v>
      </c>
      <c r="CX536">
        <f t="shared" si="409"/>
        <v>0</v>
      </c>
      <c r="CY536">
        <f t="shared" si="410"/>
        <v>32.841500000000003</v>
      </c>
      <c r="CZ536">
        <f t="shared" si="411"/>
        <v>22.470500000000001</v>
      </c>
      <c r="DC536" t="s">
        <v>6</v>
      </c>
      <c r="DD536" t="s">
        <v>6</v>
      </c>
      <c r="DE536" t="s">
        <v>6</v>
      </c>
      <c r="DF536" t="s">
        <v>6</v>
      </c>
      <c r="DG536" t="s">
        <v>6</v>
      </c>
      <c r="DH536" t="s">
        <v>6</v>
      </c>
      <c r="DI536" t="s">
        <v>6</v>
      </c>
      <c r="DJ536" t="s">
        <v>6</v>
      </c>
      <c r="DK536" t="s">
        <v>6</v>
      </c>
      <c r="DL536" t="s">
        <v>6</v>
      </c>
      <c r="DM536" t="s">
        <v>6</v>
      </c>
      <c r="DN536">
        <v>0</v>
      </c>
      <c r="DO536">
        <v>0</v>
      </c>
      <c r="DP536">
        <v>1</v>
      </c>
      <c r="DQ536">
        <v>1</v>
      </c>
      <c r="DU536">
        <v>1003</v>
      </c>
      <c r="DV536" t="s">
        <v>34</v>
      </c>
      <c r="DW536" t="s">
        <v>34</v>
      </c>
      <c r="DX536">
        <v>100</v>
      </c>
      <c r="EE536">
        <v>16510370</v>
      </c>
      <c r="EF536">
        <v>3</v>
      </c>
      <c r="EG536" t="s">
        <v>591</v>
      </c>
      <c r="EH536">
        <v>0</v>
      </c>
      <c r="EI536" t="s">
        <v>6</v>
      </c>
      <c r="EJ536">
        <v>2</v>
      </c>
      <c r="EK536">
        <v>108001</v>
      </c>
      <c r="EL536" t="s">
        <v>592</v>
      </c>
      <c r="EM536" t="s">
        <v>593</v>
      </c>
      <c r="EO536" t="s">
        <v>6</v>
      </c>
      <c r="EQ536">
        <v>131072</v>
      </c>
      <c r="ER536">
        <v>250.92</v>
      </c>
      <c r="ES536">
        <v>87.74</v>
      </c>
      <c r="ET536">
        <v>19.55</v>
      </c>
      <c r="EU536">
        <v>2.77</v>
      </c>
      <c r="EV536">
        <v>143.63</v>
      </c>
      <c r="EW536">
        <v>15.28</v>
      </c>
      <c r="EX536">
        <v>0.22</v>
      </c>
      <c r="EY536">
        <v>0</v>
      </c>
      <c r="FQ536">
        <v>0</v>
      </c>
      <c r="FR536">
        <f t="shared" si="412"/>
        <v>0</v>
      </c>
      <c r="FS536">
        <v>0</v>
      </c>
      <c r="FX536">
        <v>95</v>
      </c>
      <c r="FY536">
        <v>65</v>
      </c>
      <c r="GA536" t="s">
        <v>6</v>
      </c>
      <c r="GD536">
        <v>0</v>
      </c>
      <c r="GF536">
        <v>-137810929</v>
      </c>
      <c r="GG536">
        <v>1</v>
      </c>
      <c r="GH536">
        <v>1</v>
      </c>
      <c r="GI536">
        <v>4</v>
      </c>
      <c r="GJ536">
        <v>0</v>
      </c>
      <c r="GK536">
        <f>ROUND(R536*(R12)/100,2)</f>
        <v>0</v>
      </c>
      <c r="GL536">
        <f t="shared" si="413"/>
        <v>0</v>
      </c>
      <c r="GM536">
        <f t="shared" si="414"/>
        <v>114.57</v>
      </c>
      <c r="GN536">
        <f t="shared" si="415"/>
        <v>0</v>
      </c>
      <c r="GO536">
        <f t="shared" si="416"/>
        <v>114.57</v>
      </c>
      <c r="GP536">
        <f t="shared" si="417"/>
        <v>0</v>
      </c>
      <c r="GR536">
        <v>0</v>
      </c>
      <c r="GS536">
        <v>3</v>
      </c>
      <c r="GT536">
        <v>0</v>
      </c>
      <c r="GU536" t="s">
        <v>6</v>
      </c>
      <c r="GV536">
        <f t="shared" si="418"/>
        <v>0</v>
      </c>
      <c r="GW536">
        <v>1</v>
      </c>
      <c r="GX536">
        <f t="shared" si="419"/>
        <v>0</v>
      </c>
      <c r="HA536">
        <v>0</v>
      </c>
      <c r="HB536">
        <v>0</v>
      </c>
      <c r="IK536">
        <v>0</v>
      </c>
    </row>
    <row r="537" spans="1:245" x14ac:dyDescent="0.2">
      <c r="A537">
        <v>18</v>
      </c>
      <c r="B537">
        <v>1</v>
      </c>
      <c r="C537">
        <v>674</v>
      </c>
      <c r="E537" t="s">
        <v>883</v>
      </c>
      <c r="F537" t="s">
        <v>663</v>
      </c>
      <c r="G537" t="s">
        <v>664</v>
      </c>
      <c r="H537" t="s">
        <v>632</v>
      </c>
      <c r="I537">
        <f>I536*J537</f>
        <v>0.36</v>
      </c>
      <c r="J537">
        <v>10</v>
      </c>
      <c r="O537">
        <f t="shared" si="381"/>
        <v>187.68</v>
      </c>
      <c r="P537">
        <f t="shared" si="382"/>
        <v>187.68</v>
      </c>
      <c r="Q537">
        <f t="shared" si="383"/>
        <v>0</v>
      </c>
      <c r="R537">
        <f t="shared" si="384"/>
        <v>0</v>
      </c>
      <c r="S537">
        <f t="shared" si="385"/>
        <v>0</v>
      </c>
      <c r="T537">
        <f t="shared" si="386"/>
        <v>0</v>
      </c>
      <c r="U537">
        <f t="shared" si="387"/>
        <v>0</v>
      </c>
      <c r="V537">
        <f t="shared" si="388"/>
        <v>0</v>
      </c>
      <c r="W537">
        <f t="shared" si="389"/>
        <v>0</v>
      </c>
      <c r="X537">
        <f t="shared" si="390"/>
        <v>0</v>
      </c>
      <c r="Y537">
        <f t="shared" si="391"/>
        <v>0</v>
      </c>
      <c r="AA537">
        <v>16748969</v>
      </c>
      <c r="AB537">
        <f t="shared" si="392"/>
        <v>79.47</v>
      </c>
      <c r="AC537">
        <f t="shared" si="393"/>
        <v>79.47</v>
      </c>
      <c r="AD537">
        <f t="shared" si="394"/>
        <v>0</v>
      </c>
      <c r="AE537">
        <f t="shared" si="395"/>
        <v>0</v>
      </c>
      <c r="AF537">
        <f t="shared" si="396"/>
        <v>0</v>
      </c>
      <c r="AG537">
        <f t="shared" si="397"/>
        <v>0</v>
      </c>
      <c r="AH537">
        <f t="shared" si="398"/>
        <v>0</v>
      </c>
      <c r="AI537">
        <f t="shared" si="399"/>
        <v>0</v>
      </c>
      <c r="AJ537">
        <f t="shared" si="400"/>
        <v>0</v>
      </c>
      <c r="AK537">
        <v>79.47</v>
      </c>
      <c r="AL537">
        <v>79.47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  <c r="AS537">
        <v>0</v>
      </c>
      <c r="AT537">
        <v>95</v>
      </c>
      <c r="AU537">
        <v>65</v>
      </c>
      <c r="AV537">
        <v>1</v>
      </c>
      <c r="AW537">
        <v>1</v>
      </c>
      <c r="AZ537">
        <v>6.56</v>
      </c>
      <c r="BA537">
        <v>1</v>
      </c>
      <c r="BB537">
        <v>1</v>
      </c>
      <c r="BC537">
        <v>6.56</v>
      </c>
      <c r="BD537" t="s">
        <v>6</v>
      </c>
      <c r="BE537" t="s">
        <v>6</v>
      </c>
      <c r="BF537" t="s">
        <v>6</v>
      </c>
      <c r="BG537" t="s">
        <v>6</v>
      </c>
      <c r="BH537">
        <v>3</v>
      </c>
      <c r="BI537">
        <v>2</v>
      </c>
      <c r="BJ537" t="s">
        <v>665</v>
      </c>
      <c r="BM537">
        <v>108001</v>
      </c>
      <c r="BN537">
        <v>0</v>
      </c>
      <c r="BO537" t="s">
        <v>6</v>
      </c>
      <c r="BP537">
        <v>0</v>
      </c>
      <c r="BQ537">
        <v>3</v>
      </c>
      <c r="BR537">
        <v>0</v>
      </c>
      <c r="BS537">
        <v>1</v>
      </c>
      <c r="BT537">
        <v>1</v>
      </c>
      <c r="BU537">
        <v>1</v>
      </c>
      <c r="BV537">
        <v>1</v>
      </c>
      <c r="BW537">
        <v>1</v>
      </c>
      <c r="BX537">
        <v>1</v>
      </c>
      <c r="BY537" t="s">
        <v>6</v>
      </c>
      <c r="BZ537">
        <v>95</v>
      </c>
      <c r="CA537">
        <v>65</v>
      </c>
      <c r="CF537">
        <v>0</v>
      </c>
      <c r="CG537">
        <v>0</v>
      </c>
      <c r="CM537">
        <v>0</v>
      </c>
      <c r="CN537" t="s">
        <v>6</v>
      </c>
      <c r="CO537">
        <v>0</v>
      </c>
      <c r="CP537">
        <f t="shared" si="401"/>
        <v>187.68</v>
      </c>
      <c r="CQ537">
        <f t="shared" si="402"/>
        <v>521.32319999999993</v>
      </c>
      <c r="CR537">
        <f t="shared" si="403"/>
        <v>0</v>
      </c>
      <c r="CS537">
        <f t="shared" si="404"/>
        <v>0</v>
      </c>
      <c r="CT537">
        <f t="shared" si="405"/>
        <v>0</v>
      </c>
      <c r="CU537">
        <f t="shared" si="406"/>
        <v>0</v>
      </c>
      <c r="CV537">
        <f t="shared" si="407"/>
        <v>0</v>
      </c>
      <c r="CW537">
        <f t="shared" si="408"/>
        <v>0</v>
      </c>
      <c r="CX537">
        <f t="shared" si="409"/>
        <v>0</v>
      </c>
      <c r="CY537">
        <f t="shared" si="410"/>
        <v>0</v>
      </c>
      <c r="CZ537">
        <f t="shared" si="411"/>
        <v>0</v>
      </c>
      <c r="DC537" t="s">
        <v>6</v>
      </c>
      <c r="DD537" t="s">
        <v>6</v>
      </c>
      <c r="DE537" t="s">
        <v>6</v>
      </c>
      <c r="DF537" t="s">
        <v>6</v>
      </c>
      <c r="DG537" t="s">
        <v>6</v>
      </c>
      <c r="DH537" t="s">
        <v>6</v>
      </c>
      <c r="DI537" t="s">
        <v>6</v>
      </c>
      <c r="DJ537" t="s">
        <v>6</v>
      </c>
      <c r="DK537" t="s">
        <v>6</v>
      </c>
      <c r="DL537" t="s">
        <v>6</v>
      </c>
      <c r="DM537" t="s">
        <v>6</v>
      </c>
      <c r="DN537">
        <v>0</v>
      </c>
      <c r="DO537">
        <v>0</v>
      </c>
      <c r="DP537">
        <v>1</v>
      </c>
      <c r="DQ537">
        <v>1</v>
      </c>
      <c r="DU537">
        <v>1003</v>
      </c>
      <c r="DV537" t="s">
        <v>632</v>
      </c>
      <c r="DW537" t="s">
        <v>632</v>
      </c>
      <c r="DX537">
        <v>10</v>
      </c>
      <c r="EE537">
        <v>16510370</v>
      </c>
      <c r="EF537">
        <v>3</v>
      </c>
      <c r="EG537" t="s">
        <v>591</v>
      </c>
      <c r="EH537">
        <v>0</v>
      </c>
      <c r="EI537" t="s">
        <v>6</v>
      </c>
      <c r="EJ537">
        <v>2</v>
      </c>
      <c r="EK537">
        <v>108001</v>
      </c>
      <c r="EL537" t="s">
        <v>592</v>
      </c>
      <c r="EM537" t="s">
        <v>593</v>
      </c>
      <c r="EO537" t="s">
        <v>6</v>
      </c>
      <c r="EQ537">
        <v>0</v>
      </c>
      <c r="ER537">
        <v>79.47</v>
      </c>
      <c r="ES537">
        <v>79.47</v>
      </c>
      <c r="ET537">
        <v>0</v>
      </c>
      <c r="EU537">
        <v>0</v>
      </c>
      <c r="EV537">
        <v>0</v>
      </c>
      <c r="EW537">
        <v>0</v>
      </c>
      <c r="EX537">
        <v>0</v>
      </c>
      <c r="FQ537">
        <v>0</v>
      </c>
      <c r="FR537">
        <f t="shared" si="412"/>
        <v>0</v>
      </c>
      <c r="FS537">
        <v>0</v>
      </c>
      <c r="FX537">
        <v>95</v>
      </c>
      <c r="FY537">
        <v>65</v>
      </c>
      <c r="GA537" t="s">
        <v>6</v>
      </c>
      <c r="GD537">
        <v>0</v>
      </c>
      <c r="GF537">
        <v>1974421767</v>
      </c>
      <c r="GG537">
        <v>1</v>
      </c>
      <c r="GH537">
        <v>1</v>
      </c>
      <c r="GI537">
        <v>4</v>
      </c>
      <c r="GJ537">
        <v>0</v>
      </c>
      <c r="GK537">
        <f>ROUND(R537*(R12)/100,2)</f>
        <v>0</v>
      </c>
      <c r="GL537">
        <f t="shared" si="413"/>
        <v>0</v>
      </c>
      <c r="GM537">
        <f t="shared" si="414"/>
        <v>187.68</v>
      </c>
      <c r="GN537">
        <f t="shared" si="415"/>
        <v>0</v>
      </c>
      <c r="GO537">
        <f t="shared" si="416"/>
        <v>187.68</v>
      </c>
      <c r="GP537">
        <f t="shared" si="417"/>
        <v>0</v>
      </c>
      <c r="GR537">
        <v>0</v>
      </c>
      <c r="GS537">
        <v>3</v>
      </c>
      <c r="GT537">
        <v>0</v>
      </c>
      <c r="GU537" t="s">
        <v>6</v>
      </c>
      <c r="GV537">
        <f t="shared" si="418"/>
        <v>0</v>
      </c>
      <c r="GW537">
        <v>1</v>
      </c>
      <c r="GX537">
        <f t="shared" si="419"/>
        <v>0</v>
      </c>
      <c r="HA537">
        <v>0</v>
      </c>
      <c r="HB537">
        <v>0</v>
      </c>
      <c r="IK537">
        <v>0</v>
      </c>
    </row>
    <row r="538" spans="1:245" x14ac:dyDescent="0.2">
      <c r="A538">
        <v>17</v>
      </c>
      <c r="B538">
        <v>1</v>
      </c>
      <c r="C538">
        <f>ROW(SmtRes!A688)</f>
        <v>688</v>
      </c>
      <c r="D538">
        <f>ROW(EtalonRes!A632)</f>
        <v>632</v>
      </c>
      <c r="E538" t="s">
        <v>884</v>
      </c>
      <c r="F538" t="s">
        <v>693</v>
      </c>
      <c r="G538" t="s">
        <v>694</v>
      </c>
      <c r="H538" t="s">
        <v>34</v>
      </c>
      <c r="I538">
        <f>ROUND(6/100,9)</f>
        <v>0.06</v>
      </c>
      <c r="J538">
        <v>0</v>
      </c>
      <c r="O538">
        <f t="shared" si="381"/>
        <v>229.33</v>
      </c>
      <c r="P538">
        <f t="shared" si="382"/>
        <v>160.4</v>
      </c>
      <c r="Q538">
        <f t="shared" si="383"/>
        <v>37.26</v>
      </c>
      <c r="R538">
        <f t="shared" si="384"/>
        <v>9.18</v>
      </c>
      <c r="S538">
        <f t="shared" si="385"/>
        <v>31.67</v>
      </c>
      <c r="T538">
        <f t="shared" si="386"/>
        <v>0</v>
      </c>
      <c r="U538">
        <f t="shared" si="387"/>
        <v>0.51360000000000006</v>
      </c>
      <c r="V538">
        <f t="shared" si="388"/>
        <v>0.13619999999999999</v>
      </c>
      <c r="W538">
        <f t="shared" si="389"/>
        <v>0</v>
      </c>
      <c r="X538">
        <f t="shared" si="390"/>
        <v>38.81</v>
      </c>
      <c r="Y538">
        <f t="shared" si="391"/>
        <v>26.55</v>
      </c>
      <c r="AA538">
        <v>16748969</v>
      </c>
      <c r="AB538">
        <f t="shared" si="392"/>
        <v>582.66</v>
      </c>
      <c r="AC538">
        <f t="shared" si="393"/>
        <v>407.53</v>
      </c>
      <c r="AD538">
        <f t="shared" si="394"/>
        <v>94.67</v>
      </c>
      <c r="AE538">
        <f t="shared" si="395"/>
        <v>23.33</v>
      </c>
      <c r="AF538">
        <f t="shared" si="396"/>
        <v>80.459999999999994</v>
      </c>
      <c r="AG538">
        <f t="shared" si="397"/>
        <v>0</v>
      </c>
      <c r="AH538">
        <f t="shared" si="398"/>
        <v>8.56</v>
      </c>
      <c r="AI538">
        <f t="shared" si="399"/>
        <v>2.27</v>
      </c>
      <c r="AJ538">
        <f t="shared" si="400"/>
        <v>0</v>
      </c>
      <c r="AK538">
        <v>582.66</v>
      </c>
      <c r="AL538">
        <v>407.53</v>
      </c>
      <c r="AM538">
        <v>94.67</v>
      </c>
      <c r="AN538">
        <v>23.33</v>
      </c>
      <c r="AO538">
        <v>80.459999999999994</v>
      </c>
      <c r="AP538">
        <v>0</v>
      </c>
      <c r="AQ538">
        <v>8.56</v>
      </c>
      <c r="AR538">
        <v>2.27</v>
      </c>
      <c r="AS538">
        <v>0</v>
      </c>
      <c r="AT538">
        <v>95</v>
      </c>
      <c r="AU538">
        <v>65</v>
      </c>
      <c r="AV538">
        <v>1</v>
      </c>
      <c r="AW538">
        <v>1</v>
      </c>
      <c r="AZ538">
        <v>6.56</v>
      </c>
      <c r="BA538">
        <v>6.56</v>
      </c>
      <c r="BB538">
        <v>6.56</v>
      </c>
      <c r="BC538">
        <v>6.56</v>
      </c>
      <c r="BD538" t="s">
        <v>6</v>
      </c>
      <c r="BE538" t="s">
        <v>6</v>
      </c>
      <c r="BF538" t="s">
        <v>6</v>
      </c>
      <c r="BG538" t="s">
        <v>6</v>
      </c>
      <c r="BH538">
        <v>0</v>
      </c>
      <c r="BI538">
        <v>2</v>
      </c>
      <c r="BJ538" t="s">
        <v>695</v>
      </c>
      <c r="BM538">
        <v>108001</v>
      </c>
      <c r="BN538">
        <v>0</v>
      </c>
      <c r="BO538" t="s">
        <v>6</v>
      </c>
      <c r="BP538">
        <v>0</v>
      </c>
      <c r="BQ538">
        <v>3</v>
      </c>
      <c r="BR538">
        <v>0</v>
      </c>
      <c r="BS538">
        <v>6.56</v>
      </c>
      <c r="BT538">
        <v>1</v>
      </c>
      <c r="BU538">
        <v>1</v>
      </c>
      <c r="BV538">
        <v>1</v>
      </c>
      <c r="BW538">
        <v>1</v>
      </c>
      <c r="BX538">
        <v>1</v>
      </c>
      <c r="BY538" t="s">
        <v>6</v>
      </c>
      <c r="BZ538">
        <v>95</v>
      </c>
      <c r="CA538">
        <v>65</v>
      </c>
      <c r="CF538">
        <v>0</v>
      </c>
      <c r="CG538">
        <v>0</v>
      </c>
      <c r="CM538">
        <v>0</v>
      </c>
      <c r="CN538" t="s">
        <v>6</v>
      </c>
      <c r="CO538">
        <v>0</v>
      </c>
      <c r="CP538">
        <f t="shared" si="401"/>
        <v>229.32999999999998</v>
      </c>
      <c r="CQ538">
        <f t="shared" si="402"/>
        <v>2673.3967999999995</v>
      </c>
      <c r="CR538">
        <f t="shared" si="403"/>
        <v>621.03519999999992</v>
      </c>
      <c r="CS538">
        <f t="shared" si="404"/>
        <v>153.04479999999998</v>
      </c>
      <c r="CT538">
        <f t="shared" si="405"/>
        <v>527.81759999999997</v>
      </c>
      <c r="CU538">
        <f t="shared" si="406"/>
        <v>0</v>
      </c>
      <c r="CV538">
        <f t="shared" si="407"/>
        <v>8.56</v>
      </c>
      <c r="CW538">
        <f t="shared" si="408"/>
        <v>2.27</v>
      </c>
      <c r="CX538">
        <f t="shared" si="409"/>
        <v>0</v>
      </c>
      <c r="CY538">
        <f t="shared" si="410"/>
        <v>38.807499999999997</v>
      </c>
      <c r="CZ538">
        <f t="shared" si="411"/>
        <v>26.552499999999998</v>
      </c>
      <c r="DC538" t="s">
        <v>6</v>
      </c>
      <c r="DD538" t="s">
        <v>6</v>
      </c>
      <c r="DE538" t="s">
        <v>6</v>
      </c>
      <c r="DF538" t="s">
        <v>6</v>
      </c>
      <c r="DG538" t="s">
        <v>6</v>
      </c>
      <c r="DH538" t="s">
        <v>6</v>
      </c>
      <c r="DI538" t="s">
        <v>6</v>
      </c>
      <c r="DJ538" t="s">
        <v>6</v>
      </c>
      <c r="DK538" t="s">
        <v>6</v>
      </c>
      <c r="DL538" t="s">
        <v>6</v>
      </c>
      <c r="DM538" t="s">
        <v>6</v>
      </c>
      <c r="DN538">
        <v>0</v>
      </c>
      <c r="DO538">
        <v>0</v>
      </c>
      <c r="DP538">
        <v>1</v>
      </c>
      <c r="DQ538">
        <v>1</v>
      </c>
      <c r="DU538">
        <v>1003</v>
      </c>
      <c r="DV538" t="s">
        <v>34</v>
      </c>
      <c r="DW538" t="s">
        <v>34</v>
      </c>
      <c r="DX538">
        <v>100</v>
      </c>
      <c r="EE538">
        <v>16510370</v>
      </c>
      <c r="EF538">
        <v>3</v>
      </c>
      <c r="EG538" t="s">
        <v>591</v>
      </c>
      <c r="EH538">
        <v>0</v>
      </c>
      <c r="EI538" t="s">
        <v>6</v>
      </c>
      <c r="EJ538">
        <v>2</v>
      </c>
      <c r="EK538">
        <v>108001</v>
      </c>
      <c r="EL538" t="s">
        <v>592</v>
      </c>
      <c r="EM538" t="s">
        <v>593</v>
      </c>
      <c r="EO538" t="s">
        <v>6</v>
      </c>
      <c r="EQ538">
        <v>131072</v>
      </c>
      <c r="ER538">
        <v>582.66</v>
      </c>
      <c r="ES538">
        <v>407.53</v>
      </c>
      <c r="ET538">
        <v>94.67</v>
      </c>
      <c r="EU538">
        <v>23.33</v>
      </c>
      <c r="EV538">
        <v>80.459999999999994</v>
      </c>
      <c r="EW538">
        <v>8.56</v>
      </c>
      <c r="EX538">
        <v>2.27</v>
      </c>
      <c r="EY538">
        <v>0</v>
      </c>
      <c r="FQ538">
        <v>0</v>
      </c>
      <c r="FR538">
        <f t="shared" si="412"/>
        <v>0</v>
      </c>
      <c r="FS538">
        <v>0</v>
      </c>
      <c r="FX538">
        <v>95</v>
      </c>
      <c r="FY538">
        <v>65</v>
      </c>
      <c r="GA538" t="s">
        <v>6</v>
      </c>
      <c r="GD538">
        <v>0</v>
      </c>
      <c r="GF538">
        <v>-1279751464</v>
      </c>
      <c r="GG538">
        <v>1</v>
      </c>
      <c r="GH538">
        <v>1</v>
      </c>
      <c r="GI538">
        <v>4</v>
      </c>
      <c r="GJ538">
        <v>0</v>
      </c>
      <c r="GK538">
        <f>ROUND(R538*(R12)/100,2)</f>
        <v>0</v>
      </c>
      <c r="GL538">
        <f t="shared" si="413"/>
        <v>0</v>
      </c>
      <c r="GM538">
        <f t="shared" si="414"/>
        <v>294.69</v>
      </c>
      <c r="GN538">
        <f t="shared" si="415"/>
        <v>0</v>
      </c>
      <c r="GO538">
        <f t="shared" si="416"/>
        <v>294.69</v>
      </c>
      <c r="GP538">
        <f t="shared" si="417"/>
        <v>0</v>
      </c>
      <c r="GR538">
        <v>0</v>
      </c>
      <c r="GS538">
        <v>3</v>
      </c>
      <c r="GT538">
        <v>0</v>
      </c>
      <c r="GU538" t="s">
        <v>6</v>
      </c>
      <c r="GV538">
        <f t="shared" si="418"/>
        <v>0</v>
      </c>
      <c r="GW538">
        <v>1</v>
      </c>
      <c r="GX538">
        <f t="shared" si="419"/>
        <v>0</v>
      </c>
      <c r="HA538">
        <v>0</v>
      </c>
      <c r="HB538">
        <v>0</v>
      </c>
      <c r="IK538">
        <v>0</v>
      </c>
    </row>
    <row r="539" spans="1:245" x14ac:dyDescent="0.2">
      <c r="A539">
        <v>18</v>
      </c>
      <c r="B539">
        <v>1</v>
      </c>
      <c r="C539">
        <v>686</v>
      </c>
      <c r="E539" t="s">
        <v>885</v>
      </c>
      <c r="F539" t="s">
        <v>886</v>
      </c>
      <c r="G539" t="s">
        <v>887</v>
      </c>
      <c r="H539" t="s">
        <v>206</v>
      </c>
      <c r="I539">
        <f>I538*J539</f>
        <v>6</v>
      </c>
      <c r="J539">
        <v>100</v>
      </c>
      <c r="O539">
        <f t="shared" si="381"/>
        <v>885.99</v>
      </c>
      <c r="P539">
        <f t="shared" si="382"/>
        <v>885.99</v>
      </c>
      <c r="Q539">
        <f t="shared" si="383"/>
        <v>0</v>
      </c>
      <c r="R539">
        <f t="shared" si="384"/>
        <v>0</v>
      </c>
      <c r="S539">
        <f t="shared" si="385"/>
        <v>0</v>
      </c>
      <c r="T539">
        <f t="shared" si="386"/>
        <v>0</v>
      </c>
      <c r="U539">
        <f t="shared" si="387"/>
        <v>0</v>
      </c>
      <c r="V539">
        <f t="shared" si="388"/>
        <v>0</v>
      </c>
      <c r="W539">
        <f t="shared" si="389"/>
        <v>0</v>
      </c>
      <c r="X539">
        <f t="shared" si="390"/>
        <v>0</v>
      </c>
      <c r="Y539">
        <f t="shared" si="391"/>
        <v>0</v>
      </c>
      <c r="AA539">
        <v>16748969</v>
      </c>
      <c r="AB539">
        <f t="shared" si="392"/>
        <v>22.51</v>
      </c>
      <c r="AC539">
        <f t="shared" si="393"/>
        <v>22.51</v>
      </c>
      <c r="AD539">
        <f t="shared" si="394"/>
        <v>0</v>
      </c>
      <c r="AE539">
        <f t="shared" si="395"/>
        <v>0</v>
      </c>
      <c r="AF539">
        <f t="shared" si="396"/>
        <v>0</v>
      </c>
      <c r="AG539">
        <f t="shared" si="397"/>
        <v>0</v>
      </c>
      <c r="AH539">
        <f t="shared" si="398"/>
        <v>0</v>
      </c>
      <c r="AI539">
        <f t="shared" si="399"/>
        <v>0</v>
      </c>
      <c r="AJ539">
        <f t="shared" si="400"/>
        <v>0</v>
      </c>
      <c r="AK539">
        <v>22.51</v>
      </c>
      <c r="AL539">
        <v>22.51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  <c r="AS539">
        <v>0</v>
      </c>
      <c r="AT539">
        <v>95</v>
      </c>
      <c r="AU539">
        <v>65</v>
      </c>
      <c r="AV539">
        <v>1</v>
      </c>
      <c r="AW539">
        <v>1</v>
      </c>
      <c r="AZ539">
        <v>6.56</v>
      </c>
      <c r="BA539">
        <v>1</v>
      </c>
      <c r="BB539">
        <v>1</v>
      </c>
      <c r="BC539">
        <v>6.56</v>
      </c>
      <c r="BD539" t="s">
        <v>6</v>
      </c>
      <c r="BE539" t="s">
        <v>6</v>
      </c>
      <c r="BF539" t="s">
        <v>6</v>
      </c>
      <c r="BG539" t="s">
        <v>6</v>
      </c>
      <c r="BH539">
        <v>3</v>
      </c>
      <c r="BI539">
        <v>2</v>
      </c>
      <c r="BJ539" t="s">
        <v>888</v>
      </c>
      <c r="BM539">
        <v>108001</v>
      </c>
      <c r="BN539">
        <v>0</v>
      </c>
      <c r="BO539" t="s">
        <v>6</v>
      </c>
      <c r="BP539">
        <v>0</v>
      </c>
      <c r="BQ539">
        <v>3</v>
      </c>
      <c r="BR539">
        <v>0</v>
      </c>
      <c r="BS539">
        <v>1</v>
      </c>
      <c r="BT539">
        <v>1</v>
      </c>
      <c r="BU539">
        <v>1</v>
      </c>
      <c r="BV539">
        <v>1</v>
      </c>
      <c r="BW539">
        <v>1</v>
      </c>
      <c r="BX539">
        <v>1</v>
      </c>
      <c r="BY539" t="s">
        <v>6</v>
      </c>
      <c r="BZ539">
        <v>95</v>
      </c>
      <c r="CA539">
        <v>65</v>
      </c>
      <c r="CF539">
        <v>0</v>
      </c>
      <c r="CG539">
        <v>0</v>
      </c>
      <c r="CM539">
        <v>0</v>
      </c>
      <c r="CN539" t="s">
        <v>6</v>
      </c>
      <c r="CO539">
        <v>0</v>
      </c>
      <c r="CP539">
        <f t="shared" si="401"/>
        <v>885.99</v>
      </c>
      <c r="CQ539">
        <f t="shared" si="402"/>
        <v>147.66560000000001</v>
      </c>
      <c r="CR539">
        <f t="shared" si="403"/>
        <v>0</v>
      </c>
      <c r="CS539">
        <f t="shared" si="404"/>
        <v>0</v>
      </c>
      <c r="CT539">
        <f t="shared" si="405"/>
        <v>0</v>
      </c>
      <c r="CU539">
        <f t="shared" si="406"/>
        <v>0</v>
      </c>
      <c r="CV539">
        <f t="shared" si="407"/>
        <v>0</v>
      </c>
      <c r="CW539">
        <f t="shared" si="408"/>
        <v>0</v>
      </c>
      <c r="CX539">
        <f t="shared" si="409"/>
        <v>0</v>
      </c>
      <c r="CY539">
        <f t="shared" si="410"/>
        <v>0</v>
      </c>
      <c r="CZ539">
        <f t="shared" si="411"/>
        <v>0</v>
      </c>
      <c r="DC539" t="s">
        <v>6</v>
      </c>
      <c r="DD539" t="s">
        <v>6</v>
      </c>
      <c r="DE539" t="s">
        <v>6</v>
      </c>
      <c r="DF539" t="s">
        <v>6</v>
      </c>
      <c r="DG539" t="s">
        <v>6</v>
      </c>
      <c r="DH539" t="s">
        <v>6</v>
      </c>
      <c r="DI539" t="s">
        <v>6</v>
      </c>
      <c r="DJ539" t="s">
        <v>6</v>
      </c>
      <c r="DK539" t="s">
        <v>6</v>
      </c>
      <c r="DL539" t="s">
        <v>6</v>
      </c>
      <c r="DM539" t="s">
        <v>6</v>
      </c>
      <c r="DN539">
        <v>0</v>
      </c>
      <c r="DO539">
        <v>0</v>
      </c>
      <c r="DP539">
        <v>1</v>
      </c>
      <c r="DQ539">
        <v>1</v>
      </c>
      <c r="DU539">
        <v>1003</v>
      </c>
      <c r="DV539" t="s">
        <v>206</v>
      </c>
      <c r="DW539" t="s">
        <v>206</v>
      </c>
      <c r="DX539">
        <v>1</v>
      </c>
      <c r="EE539">
        <v>16510370</v>
      </c>
      <c r="EF539">
        <v>3</v>
      </c>
      <c r="EG539" t="s">
        <v>591</v>
      </c>
      <c r="EH539">
        <v>0</v>
      </c>
      <c r="EI539" t="s">
        <v>6</v>
      </c>
      <c r="EJ539">
        <v>2</v>
      </c>
      <c r="EK539">
        <v>108001</v>
      </c>
      <c r="EL539" t="s">
        <v>592</v>
      </c>
      <c r="EM539" t="s">
        <v>593</v>
      </c>
      <c r="EO539" t="s">
        <v>6</v>
      </c>
      <c r="EQ539">
        <v>0</v>
      </c>
      <c r="ER539">
        <v>22.51</v>
      </c>
      <c r="ES539">
        <v>22.51</v>
      </c>
      <c r="ET539">
        <v>0</v>
      </c>
      <c r="EU539">
        <v>0</v>
      </c>
      <c r="EV539">
        <v>0</v>
      </c>
      <c r="EW539">
        <v>0</v>
      </c>
      <c r="EX539">
        <v>0</v>
      </c>
      <c r="FQ539">
        <v>0</v>
      </c>
      <c r="FR539">
        <f t="shared" si="412"/>
        <v>0</v>
      </c>
      <c r="FS539">
        <v>0</v>
      </c>
      <c r="FX539">
        <v>95</v>
      </c>
      <c r="FY539">
        <v>65</v>
      </c>
      <c r="GA539" t="s">
        <v>6</v>
      </c>
      <c r="GD539">
        <v>0</v>
      </c>
      <c r="GF539">
        <v>-45038658</v>
      </c>
      <c r="GG539">
        <v>1</v>
      </c>
      <c r="GH539">
        <v>1</v>
      </c>
      <c r="GI539">
        <v>4</v>
      </c>
      <c r="GJ539">
        <v>0</v>
      </c>
      <c r="GK539">
        <f>ROUND(R539*(R12)/100,2)</f>
        <v>0</v>
      </c>
      <c r="GL539">
        <f t="shared" si="413"/>
        <v>0</v>
      </c>
      <c r="GM539">
        <f t="shared" si="414"/>
        <v>885.99</v>
      </c>
      <c r="GN539">
        <f t="shared" si="415"/>
        <v>0</v>
      </c>
      <c r="GO539">
        <f t="shared" si="416"/>
        <v>885.99</v>
      </c>
      <c r="GP539">
        <f t="shared" si="417"/>
        <v>0</v>
      </c>
      <c r="GR539">
        <v>0</v>
      </c>
      <c r="GS539">
        <v>3</v>
      </c>
      <c r="GT539">
        <v>0</v>
      </c>
      <c r="GU539" t="s">
        <v>6</v>
      </c>
      <c r="GV539">
        <f t="shared" si="418"/>
        <v>0</v>
      </c>
      <c r="GW539">
        <v>1</v>
      </c>
      <c r="GX539">
        <f t="shared" si="419"/>
        <v>0</v>
      </c>
      <c r="HA539">
        <v>0</v>
      </c>
      <c r="HB539">
        <v>0</v>
      </c>
      <c r="IK539">
        <v>0</v>
      </c>
    </row>
    <row r="541" spans="1:245" x14ac:dyDescent="0.2">
      <c r="A541" s="2">
        <v>51</v>
      </c>
      <c r="B541" s="2">
        <f>B527</f>
        <v>1</v>
      </c>
      <c r="C541" s="2">
        <f>A527</f>
        <v>4</v>
      </c>
      <c r="D541" s="2">
        <f>ROW(A527)</f>
        <v>527</v>
      </c>
      <c r="E541" s="2"/>
      <c r="F541" s="2" t="str">
        <f>IF(F527&lt;&gt;"",F527,"")</f>
        <v>Новый раздел</v>
      </c>
      <c r="G541" s="2" t="str">
        <f>IF(G527&lt;&gt;"",G527,"")</f>
        <v>5 Сети СКС</v>
      </c>
      <c r="H541" s="2">
        <v>0</v>
      </c>
      <c r="I541" s="2"/>
      <c r="J541" s="2"/>
      <c r="K541" s="2"/>
      <c r="L541" s="2"/>
      <c r="M541" s="2"/>
      <c r="N541" s="2"/>
      <c r="O541" s="2">
        <f t="shared" ref="O541:T541" si="420">ROUND(AB541,2)</f>
        <v>28762.01</v>
      </c>
      <c r="P541" s="2">
        <f t="shared" si="420"/>
        <v>13720.57</v>
      </c>
      <c r="Q541" s="2">
        <f t="shared" si="420"/>
        <v>3762.03</v>
      </c>
      <c r="R541" s="2">
        <f t="shared" si="420"/>
        <v>426.14</v>
      </c>
      <c r="S541" s="2">
        <f t="shared" si="420"/>
        <v>11279.41</v>
      </c>
      <c r="T541" s="2">
        <f t="shared" si="420"/>
        <v>0</v>
      </c>
      <c r="U541" s="2">
        <f>AH541</f>
        <v>178.18668000000002</v>
      </c>
      <c r="V541" s="2">
        <f>AI541</f>
        <v>6.4441199999999998</v>
      </c>
      <c r="W541" s="2">
        <f>ROUND(AJ541,2)</f>
        <v>0</v>
      </c>
      <c r="X541" s="2">
        <f>ROUND(AK541,2)</f>
        <v>9564.66</v>
      </c>
      <c r="Y541" s="2">
        <f>ROUND(AL541,2)</f>
        <v>7088.35</v>
      </c>
      <c r="Z541" s="2"/>
      <c r="AA541" s="2"/>
      <c r="AB541" s="2">
        <f>ROUND(SUMIF(AA531:AA539,"=16748969",O531:O539),2)</f>
        <v>28762.01</v>
      </c>
      <c r="AC541" s="2">
        <f>ROUND(SUMIF(AA531:AA539,"=16748969",P531:P539),2)</f>
        <v>13720.57</v>
      </c>
      <c r="AD541" s="2">
        <f>ROUND(SUMIF(AA531:AA539,"=16748969",Q531:Q539),2)</f>
        <v>3762.03</v>
      </c>
      <c r="AE541" s="2">
        <f>ROUND(SUMIF(AA531:AA539,"=16748969",R531:R539),2)</f>
        <v>426.14</v>
      </c>
      <c r="AF541" s="2">
        <f>ROUND(SUMIF(AA531:AA539,"=16748969",S531:S539),2)</f>
        <v>11279.41</v>
      </c>
      <c r="AG541" s="2">
        <f>ROUND(SUMIF(AA531:AA539,"=16748969",T531:T539),2)</f>
        <v>0</v>
      </c>
      <c r="AH541" s="2">
        <f>SUMIF(AA531:AA539,"=16748969",U531:U539)</f>
        <v>178.18668000000002</v>
      </c>
      <c r="AI541" s="2">
        <f>SUMIF(AA531:AA539,"=16748969",V531:V539)</f>
        <v>6.4441199999999998</v>
      </c>
      <c r="AJ541" s="2">
        <f>ROUND(SUMIF(AA531:AA539,"=16748969",W531:W539),2)</f>
        <v>0</v>
      </c>
      <c r="AK541" s="2">
        <f>ROUND(SUMIF(AA531:AA539,"=16748969",X531:X539),2)</f>
        <v>9564.66</v>
      </c>
      <c r="AL541" s="2">
        <f>ROUND(SUMIF(AA531:AA539,"=16748969",Y531:Y539),2)</f>
        <v>7088.35</v>
      </c>
      <c r="AM541" s="2"/>
      <c r="AN541" s="2"/>
      <c r="AO541" s="2">
        <f t="shared" ref="AO541:BC541" si="421">ROUND(BX541,2)</f>
        <v>0</v>
      </c>
      <c r="AP541" s="2">
        <f t="shared" si="421"/>
        <v>0</v>
      </c>
      <c r="AQ541" s="2">
        <f t="shared" si="421"/>
        <v>0</v>
      </c>
      <c r="AR541" s="2">
        <f t="shared" si="421"/>
        <v>45415.02</v>
      </c>
      <c r="AS541" s="2">
        <f t="shared" si="421"/>
        <v>42.03</v>
      </c>
      <c r="AT541" s="2">
        <f t="shared" si="421"/>
        <v>45372.99</v>
      </c>
      <c r="AU541" s="2">
        <f t="shared" si="421"/>
        <v>0</v>
      </c>
      <c r="AV541" s="2">
        <f t="shared" si="421"/>
        <v>13720.57</v>
      </c>
      <c r="AW541" s="2">
        <f t="shared" si="421"/>
        <v>13720.57</v>
      </c>
      <c r="AX541" s="2">
        <f t="shared" si="421"/>
        <v>0</v>
      </c>
      <c r="AY541" s="2">
        <f t="shared" si="421"/>
        <v>13720.57</v>
      </c>
      <c r="AZ541" s="2">
        <f t="shared" si="421"/>
        <v>0</v>
      </c>
      <c r="BA541" s="2">
        <f t="shared" si="421"/>
        <v>0</v>
      </c>
      <c r="BB541" s="2">
        <f t="shared" si="421"/>
        <v>0</v>
      </c>
      <c r="BC541" s="2">
        <f t="shared" si="421"/>
        <v>0</v>
      </c>
      <c r="BD541" s="2"/>
      <c r="BE541" s="2"/>
      <c r="BF541" s="2"/>
      <c r="BG541" s="2"/>
      <c r="BH541" s="2"/>
      <c r="BI541" s="2"/>
      <c r="BJ541" s="2"/>
      <c r="BK541" s="2"/>
      <c r="BL541" s="2"/>
      <c r="BM541" s="2"/>
      <c r="BN541" s="2"/>
      <c r="BO541" s="2"/>
      <c r="BP541" s="2"/>
      <c r="BQ541" s="2"/>
      <c r="BR541" s="2"/>
      <c r="BS541" s="2"/>
      <c r="BT541" s="2"/>
      <c r="BU541" s="2"/>
      <c r="BV541" s="2"/>
      <c r="BW541" s="2"/>
      <c r="BX541" s="2">
        <f>ROUND(SUMIF(AA531:AA539,"=16748969",FQ531:FQ539),2)</f>
        <v>0</v>
      </c>
      <c r="BY541" s="2">
        <f>ROUND(SUMIF(AA531:AA539,"=16748969",FR531:FR539),2)</f>
        <v>0</v>
      </c>
      <c r="BZ541" s="2">
        <f>ROUND(SUMIF(AA531:AA539,"=16748969",GL531:GL539),2)</f>
        <v>0</v>
      </c>
      <c r="CA541" s="2">
        <f>ROUND(SUMIF(AA531:AA539,"=16748969",GM531:GM539),2)</f>
        <v>45415.02</v>
      </c>
      <c r="CB541" s="2">
        <f>ROUND(SUMIF(AA531:AA539,"=16748969",GN531:GN539),2)</f>
        <v>42.03</v>
      </c>
      <c r="CC541" s="2">
        <f>ROUND(SUMIF(AA531:AA539,"=16748969",GO531:GO539),2)</f>
        <v>45372.99</v>
      </c>
      <c r="CD541" s="2">
        <f>ROUND(SUMIF(AA531:AA539,"=16748969",GP531:GP539),2)</f>
        <v>0</v>
      </c>
      <c r="CE541" s="2">
        <f>AC541-BX541</f>
        <v>13720.57</v>
      </c>
      <c r="CF541" s="2">
        <f>AC541-BY541</f>
        <v>13720.57</v>
      </c>
      <c r="CG541" s="2">
        <f>BX541-BZ541</f>
        <v>0</v>
      </c>
      <c r="CH541" s="2">
        <f>AC541-BX541-BY541+BZ541</f>
        <v>13720.57</v>
      </c>
      <c r="CI541" s="2">
        <f>BY541-BZ541</f>
        <v>0</v>
      </c>
      <c r="CJ541" s="2">
        <f>ROUND(SUMIF(AA531:AA539,"=16748969",GX531:GX539),2)</f>
        <v>0</v>
      </c>
      <c r="CK541" s="2">
        <f>ROUND(SUMIF(AA531:AA539,"=16748969",GY531:GY539),2)</f>
        <v>0</v>
      </c>
      <c r="CL541" s="2">
        <f>ROUND(SUMIF(AA531:AA539,"=16748969",GZ531:GZ539),2)</f>
        <v>0</v>
      </c>
      <c r="CM541" s="2"/>
      <c r="CN541" s="2"/>
      <c r="CO541" s="2"/>
      <c r="CP541" s="2"/>
      <c r="CQ541" s="2"/>
      <c r="CR541" s="2"/>
      <c r="CS541" s="2"/>
      <c r="CT541" s="2"/>
      <c r="CU541" s="2"/>
      <c r="CV541" s="2"/>
      <c r="CW541" s="2"/>
      <c r="CX541" s="2"/>
      <c r="CY541" s="2"/>
      <c r="CZ541" s="2"/>
      <c r="DA541" s="2"/>
      <c r="DB541" s="2"/>
      <c r="DC541" s="2"/>
      <c r="DD541" s="2"/>
      <c r="DE541" s="2"/>
      <c r="DF541" s="2"/>
      <c r="DG541" s="3"/>
      <c r="DH541" s="3"/>
      <c r="DI541" s="3"/>
      <c r="DJ541" s="3"/>
      <c r="DK541" s="3"/>
      <c r="DL541" s="3"/>
      <c r="DM541" s="3"/>
      <c r="DN541" s="3"/>
      <c r="DO541" s="3"/>
      <c r="DP541" s="3"/>
      <c r="DQ541" s="3"/>
      <c r="DR541" s="3"/>
      <c r="DS541" s="3"/>
      <c r="DT541" s="3"/>
      <c r="DU541" s="3"/>
      <c r="DV541" s="3"/>
      <c r="DW541" s="3"/>
      <c r="DX541" s="3"/>
      <c r="DY541" s="3"/>
      <c r="DZ541" s="3"/>
      <c r="EA541" s="3"/>
      <c r="EB541" s="3"/>
      <c r="EC541" s="3"/>
      <c r="ED541" s="3"/>
      <c r="EE541" s="3"/>
      <c r="EF541" s="3"/>
      <c r="EG541" s="3"/>
      <c r="EH541" s="3"/>
      <c r="EI541" s="3"/>
      <c r="EJ541" s="3"/>
      <c r="EK541" s="3"/>
      <c r="EL541" s="3"/>
      <c r="EM541" s="3"/>
      <c r="EN541" s="3"/>
      <c r="EO541" s="3"/>
      <c r="EP541" s="3"/>
      <c r="EQ541" s="3"/>
      <c r="ER541" s="3"/>
      <c r="ES541" s="3"/>
      <c r="ET541" s="3"/>
      <c r="EU541" s="3"/>
      <c r="EV541" s="3"/>
      <c r="EW541" s="3"/>
      <c r="EX541" s="3"/>
      <c r="EY541" s="3"/>
      <c r="EZ541" s="3"/>
      <c r="FA541" s="3"/>
      <c r="FB541" s="3"/>
      <c r="FC541" s="3"/>
      <c r="FD541" s="3"/>
      <c r="FE541" s="3"/>
      <c r="FF541" s="3"/>
      <c r="FG541" s="3"/>
      <c r="FH541" s="3"/>
      <c r="FI541" s="3"/>
      <c r="FJ541" s="3"/>
      <c r="FK541" s="3"/>
      <c r="FL541" s="3"/>
      <c r="FM541" s="3"/>
      <c r="FN541" s="3"/>
      <c r="FO541" s="3"/>
      <c r="FP541" s="3"/>
      <c r="FQ541" s="3"/>
      <c r="FR541" s="3"/>
      <c r="FS541" s="3"/>
      <c r="FT541" s="3"/>
      <c r="FU541" s="3"/>
      <c r="FV541" s="3"/>
      <c r="FW541" s="3"/>
      <c r="FX541" s="3"/>
      <c r="FY541" s="3"/>
      <c r="FZ541" s="3"/>
      <c r="GA541" s="3"/>
      <c r="GB541" s="3"/>
      <c r="GC541" s="3"/>
      <c r="GD541" s="3"/>
      <c r="GE541" s="3"/>
      <c r="GF541" s="3"/>
      <c r="GG541" s="3"/>
      <c r="GH541" s="3"/>
      <c r="GI541" s="3"/>
      <c r="GJ541" s="3"/>
      <c r="GK541" s="3"/>
      <c r="GL541" s="3"/>
      <c r="GM541" s="3"/>
      <c r="GN541" s="3"/>
      <c r="GO541" s="3"/>
      <c r="GP541" s="3"/>
      <c r="GQ541" s="3"/>
      <c r="GR541" s="3"/>
      <c r="GS541" s="3"/>
      <c r="GT541" s="3"/>
      <c r="GU541" s="3"/>
      <c r="GV541" s="3"/>
      <c r="GW541" s="3"/>
      <c r="GX541" s="3">
        <v>0</v>
      </c>
    </row>
    <row r="543" spans="1:245" x14ac:dyDescent="0.2">
      <c r="A543" s="4">
        <v>50</v>
      </c>
      <c r="B543" s="4">
        <v>0</v>
      </c>
      <c r="C543" s="4">
        <v>0</v>
      </c>
      <c r="D543" s="4">
        <v>1</v>
      </c>
      <c r="E543" s="4">
        <v>201</v>
      </c>
      <c r="F543" s="4">
        <f>ROUND(Source!O541,O543)</f>
        <v>28762.01</v>
      </c>
      <c r="G543" s="4" t="s">
        <v>115</v>
      </c>
      <c r="H543" s="4" t="s">
        <v>116</v>
      </c>
      <c r="I543" s="4"/>
      <c r="J543" s="4"/>
      <c r="K543" s="4">
        <v>201</v>
      </c>
      <c r="L543" s="4">
        <v>1</v>
      </c>
      <c r="M543" s="4">
        <v>3</v>
      </c>
      <c r="N543" s="4" t="s">
        <v>6</v>
      </c>
      <c r="O543" s="4">
        <v>2</v>
      </c>
      <c r="P543" s="4"/>
      <c r="Q543" s="4"/>
      <c r="R543" s="4"/>
      <c r="S543" s="4"/>
      <c r="T543" s="4"/>
      <c r="U543" s="4"/>
      <c r="V543" s="4"/>
      <c r="W543" s="4"/>
    </row>
    <row r="544" spans="1:245" x14ac:dyDescent="0.2">
      <c r="A544" s="4">
        <v>50</v>
      </c>
      <c r="B544" s="4">
        <v>0</v>
      </c>
      <c r="C544" s="4">
        <v>0</v>
      </c>
      <c r="D544" s="4">
        <v>1</v>
      </c>
      <c r="E544" s="4">
        <v>202</v>
      </c>
      <c r="F544" s="4">
        <f>ROUND(Source!P541,O544)</f>
        <v>13720.57</v>
      </c>
      <c r="G544" s="4" t="s">
        <v>117</v>
      </c>
      <c r="H544" s="4" t="s">
        <v>118</v>
      </c>
      <c r="I544" s="4"/>
      <c r="J544" s="4"/>
      <c r="K544" s="4">
        <v>202</v>
      </c>
      <c r="L544" s="4">
        <v>2</v>
      </c>
      <c r="M544" s="4">
        <v>3</v>
      </c>
      <c r="N544" s="4" t="s">
        <v>6</v>
      </c>
      <c r="O544" s="4">
        <v>2</v>
      </c>
      <c r="P544" s="4"/>
      <c r="Q544" s="4"/>
      <c r="R544" s="4"/>
      <c r="S544" s="4"/>
      <c r="T544" s="4"/>
      <c r="U544" s="4"/>
      <c r="V544" s="4"/>
      <c r="W544" s="4"/>
    </row>
    <row r="545" spans="1:23" x14ac:dyDescent="0.2">
      <c r="A545" s="4">
        <v>50</v>
      </c>
      <c r="B545" s="4">
        <v>0</v>
      </c>
      <c r="C545" s="4">
        <v>0</v>
      </c>
      <c r="D545" s="4">
        <v>1</v>
      </c>
      <c r="E545" s="4">
        <v>222</v>
      </c>
      <c r="F545" s="4">
        <f>ROUND(Source!AO541,O545)</f>
        <v>0</v>
      </c>
      <c r="G545" s="4" t="s">
        <v>119</v>
      </c>
      <c r="H545" s="4" t="s">
        <v>120</v>
      </c>
      <c r="I545" s="4"/>
      <c r="J545" s="4"/>
      <c r="K545" s="4">
        <v>222</v>
      </c>
      <c r="L545" s="4">
        <v>3</v>
      </c>
      <c r="M545" s="4">
        <v>3</v>
      </c>
      <c r="N545" s="4" t="s">
        <v>6</v>
      </c>
      <c r="O545" s="4">
        <v>2</v>
      </c>
      <c r="P545" s="4"/>
      <c r="Q545" s="4"/>
      <c r="R545" s="4"/>
      <c r="S545" s="4"/>
      <c r="T545" s="4"/>
      <c r="U545" s="4"/>
      <c r="V545" s="4"/>
      <c r="W545" s="4"/>
    </row>
    <row r="546" spans="1:23" x14ac:dyDescent="0.2">
      <c r="A546" s="4">
        <v>50</v>
      </c>
      <c r="B546" s="4">
        <v>0</v>
      </c>
      <c r="C546" s="4">
        <v>0</v>
      </c>
      <c r="D546" s="4">
        <v>1</v>
      </c>
      <c r="E546" s="4">
        <v>225</v>
      </c>
      <c r="F546" s="4">
        <f>ROUND(Source!AV541,O546)</f>
        <v>13720.57</v>
      </c>
      <c r="G546" s="4" t="s">
        <v>121</v>
      </c>
      <c r="H546" s="4" t="s">
        <v>122</v>
      </c>
      <c r="I546" s="4"/>
      <c r="J546" s="4"/>
      <c r="K546" s="4">
        <v>225</v>
      </c>
      <c r="L546" s="4">
        <v>4</v>
      </c>
      <c r="M546" s="4">
        <v>3</v>
      </c>
      <c r="N546" s="4" t="s">
        <v>6</v>
      </c>
      <c r="O546" s="4">
        <v>2</v>
      </c>
      <c r="P546" s="4"/>
      <c r="Q546" s="4"/>
      <c r="R546" s="4"/>
      <c r="S546" s="4"/>
      <c r="T546" s="4"/>
      <c r="U546" s="4"/>
      <c r="V546" s="4"/>
      <c r="W546" s="4"/>
    </row>
    <row r="547" spans="1:23" x14ac:dyDescent="0.2">
      <c r="A547" s="4">
        <v>50</v>
      </c>
      <c r="B547" s="4">
        <v>0</v>
      </c>
      <c r="C547" s="4">
        <v>0</v>
      </c>
      <c r="D547" s="4">
        <v>1</v>
      </c>
      <c r="E547" s="4">
        <v>226</v>
      </c>
      <c r="F547" s="4">
        <f>ROUND(Source!AW541,O547)</f>
        <v>13720.57</v>
      </c>
      <c r="G547" s="4" t="s">
        <v>123</v>
      </c>
      <c r="H547" s="4" t="s">
        <v>124</v>
      </c>
      <c r="I547" s="4"/>
      <c r="J547" s="4"/>
      <c r="K547" s="4">
        <v>226</v>
      </c>
      <c r="L547" s="4">
        <v>5</v>
      </c>
      <c r="M547" s="4">
        <v>3</v>
      </c>
      <c r="N547" s="4" t="s">
        <v>6</v>
      </c>
      <c r="O547" s="4">
        <v>2</v>
      </c>
      <c r="P547" s="4"/>
      <c r="Q547" s="4"/>
      <c r="R547" s="4"/>
      <c r="S547" s="4"/>
      <c r="T547" s="4"/>
      <c r="U547" s="4"/>
      <c r="V547" s="4"/>
      <c r="W547" s="4"/>
    </row>
    <row r="548" spans="1:23" x14ac:dyDescent="0.2">
      <c r="A548" s="4">
        <v>50</v>
      </c>
      <c r="B548" s="4">
        <v>0</v>
      </c>
      <c r="C548" s="4">
        <v>0</v>
      </c>
      <c r="D548" s="4">
        <v>1</v>
      </c>
      <c r="E548" s="4">
        <v>227</v>
      </c>
      <c r="F548" s="4">
        <f>ROUND(Source!AX541,O548)</f>
        <v>0</v>
      </c>
      <c r="G548" s="4" t="s">
        <v>125</v>
      </c>
      <c r="H548" s="4" t="s">
        <v>126</v>
      </c>
      <c r="I548" s="4"/>
      <c r="J548" s="4"/>
      <c r="K548" s="4">
        <v>227</v>
      </c>
      <c r="L548" s="4">
        <v>6</v>
      </c>
      <c r="M548" s="4">
        <v>3</v>
      </c>
      <c r="N548" s="4" t="s">
        <v>6</v>
      </c>
      <c r="O548" s="4">
        <v>2</v>
      </c>
      <c r="P548" s="4"/>
      <c r="Q548" s="4"/>
      <c r="R548" s="4"/>
      <c r="S548" s="4"/>
      <c r="T548" s="4"/>
      <c r="U548" s="4"/>
      <c r="V548" s="4"/>
      <c r="W548" s="4"/>
    </row>
    <row r="549" spans="1:23" x14ac:dyDescent="0.2">
      <c r="A549" s="4">
        <v>50</v>
      </c>
      <c r="B549" s="4">
        <v>0</v>
      </c>
      <c r="C549" s="4">
        <v>0</v>
      </c>
      <c r="D549" s="4">
        <v>1</v>
      </c>
      <c r="E549" s="4">
        <v>228</v>
      </c>
      <c r="F549" s="4">
        <f>ROUND(Source!AY541,O549)</f>
        <v>13720.57</v>
      </c>
      <c r="G549" s="4" t="s">
        <v>127</v>
      </c>
      <c r="H549" s="4" t="s">
        <v>128</v>
      </c>
      <c r="I549" s="4"/>
      <c r="J549" s="4"/>
      <c r="K549" s="4">
        <v>228</v>
      </c>
      <c r="L549" s="4">
        <v>7</v>
      </c>
      <c r="M549" s="4">
        <v>3</v>
      </c>
      <c r="N549" s="4" t="s">
        <v>6</v>
      </c>
      <c r="O549" s="4">
        <v>2</v>
      </c>
      <c r="P549" s="4"/>
      <c r="Q549" s="4"/>
      <c r="R549" s="4"/>
      <c r="S549" s="4"/>
      <c r="T549" s="4"/>
      <c r="U549" s="4"/>
      <c r="V549" s="4"/>
      <c r="W549" s="4"/>
    </row>
    <row r="550" spans="1:23" x14ac:dyDescent="0.2">
      <c r="A550" s="4">
        <v>50</v>
      </c>
      <c r="B550" s="4">
        <v>0</v>
      </c>
      <c r="C550" s="4">
        <v>0</v>
      </c>
      <c r="D550" s="4">
        <v>1</v>
      </c>
      <c r="E550" s="4">
        <v>216</v>
      </c>
      <c r="F550" s="4">
        <f>ROUND(Source!AP541,O550)</f>
        <v>0</v>
      </c>
      <c r="G550" s="4" t="s">
        <v>129</v>
      </c>
      <c r="H550" s="4" t="s">
        <v>130</v>
      </c>
      <c r="I550" s="4"/>
      <c r="J550" s="4"/>
      <c r="K550" s="4">
        <v>216</v>
      </c>
      <c r="L550" s="4">
        <v>8</v>
      </c>
      <c r="M550" s="4">
        <v>3</v>
      </c>
      <c r="N550" s="4" t="s">
        <v>6</v>
      </c>
      <c r="O550" s="4">
        <v>2</v>
      </c>
      <c r="P550" s="4"/>
      <c r="Q550" s="4"/>
      <c r="R550" s="4"/>
      <c r="S550" s="4"/>
      <c r="T550" s="4"/>
      <c r="U550" s="4"/>
      <c r="V550" s="4"/>
      <c r="W550" s="4"/>
    </row>
    <row r="551" spans="1:23" x14ac:dyDescent="0.2">
      <c r="A551" s="4">
        <v>50</v>
      </c>
      <c r="B551" s="4">
        <v>0</v>
      </c>
      <c r="C551" s="4">
        <v>0</v>
      </c>
      <c r="D551" s="4">
        <v>1</v>
      </c>
      <c r="E551" s="4">
        <v>223</v>
      </c>
      <c r="F551" s="4">
        <f>ROUND(Source!AQ541,O551)</f>
        <v>0</v>
      </c>
      <c r="G551" s="4" t="s">
        <v>131</v>
      </c>
      <c r="H551" s="4" t="s">
        <v>132</v>
      </c>
      <c r="I551" s="4"/>
      <c r="J551" s="4"/>
      <c r="K551" s="4">
        <v>223</v>
      </c>
      <c r="L551" s="4">
        <v>9</v>
      </c>
      <c r="M551" s="4">
        <v>3</v>
      </c>
      <c r="N551" s="4" t="s">
        <v>6</v>
      </c>
      <c r="O551" s="4">
        <v>2</v>
      </c>
      <c r="P551" s="4"/>
      <c r="Q551" s="4"/>
      <c r="R551" s="4"/>
      <c r="S551" s="4"/>
      <c r="T551" s="4"/>
      <c r="U551" s="4"/>
      <c r="V551" s="4"/>
      <c r="W551" s="4"/>
    </row>
    <row r="552" spans="1:23" x14ac:dyDescent="0.2">
      <c r="A552" s="4">
        <v>50</v>
      </c>
      <c r="B552" s="4">
        <v>0</v>
      </c>
      <c r="C552" s="4">
        <v>0</v>
      </c>
      <c r="D552" s="4">
        <v>1</v>
      </c>
      <c r="E552" s="4">
        <v>229</v>
      </c>
      <c r="F552" s="4">
        <f>ROUND(Source!AZ541,O552)</f>
        <v>0</v>
      </c>
      <c r="G552" s="4" t="s">
        <v>133</v>
      </c>
      <c r="H552" s="4" t="s">
        <v>134</v>
      </c>
      <c r="I552" s="4"/>
      <c r="J552" s="4"/>
      <c r="K552" s="4">
        <v>229</v>
      </c>
      <c r="L552" s="4">
        <v>10</v>
      </c>
      <c r="M552" s="4">
        <v>3</v>
      </c>
      <c r="N552" s="4" t="s">
        <v>6</v>
      </c>
      <c r="O552" s="4">
        <v>2</v>
      </c>
      <c r="P552" s="4"/>
      <c r="Q552" s="4"/>
      <c r="R552" s="4"/>
      <c r="S552" s="4"/>
      <c r="T552" s="4"/>
      <c r="U552" s="4"/>
      <c r="V552" s="4"/>
      <c r="W552" s="4"/>
    </row>
    <row r="553" spans="1:23" x14ac:dyDescent="0.2">
      <c r="A553" s="4">
        <v>50</v>
      </c>
      <c r="B553" s="4">
        <v>0</v>
      </c>
      <c r="C553" s="4">
        <v>0</v>
      </c>
      <c r="D553" s="4">
        <v>1</v>
      </c>
      <c r="E553" s="4">
        <v>203</v>
      </c>
      <c r="F553" s="4">
        <f>ROUND(Source!Q541,O553)</f>
        <v>3762.03</v>
      </c>
      <c r="G553" s="4" t="s">
        <v>135</v>
      </c>
      <c r="H553" s="4" t="s">
        <v>136</v>
      </c>
      <c r="I553" s="4"/>
      <c r="J553" s="4"/>
      <c r="K553" s="4">
        <v>203</v>
      </c>
      <c r="L553" s="4">
        <v>11</v>
      </c>
      <c r="M553" s="4">
        <v>3</v>
      </c>
      <c r="N553" s="4" t="s">
        <v>6</v>
      </c>
      <c r="O553" s="4">
        <v>2</v>
      </c>
      <c r="P553" s="4"/>
      <c r="Q553" s="4"/>
      <c r="R553" s="4"/>
      <c r="S553" s="4"/>
      <c r="T553" s="4"/>
      <c r="U553" s="4"/>
      <c r="V553" s="4"/>
      <c r="W553" s="4"/>
    </row>
    <row r="554" spans="1:23" x14ac:dyDescent="0.2">
      <c r="A554" s="4">
        <v>50</v>
      </c>
      <c r="B554" s="4">
        <v>0</v>
      </c>
      <c r="C554" s="4">
        <v>0</v>
      </c>
      <c r="D554" s="4">
        <v>1</v>
      </c>
      <c r="E554" s="4">
        <v>231</v>
      </c>
      <c r="F554" s="4">
        <f>ROUND(Source!BB541,O554)</f>
        <v>0</v>
      </c>
      <c r="G554" s="4" t="s">
        <v>137</v>
      </c>
      <c r="H554" s="4" t="s">
        <v>138</v>
      </c>
      <c r="I554" s="4"/>
      <c r="J554" s="4"/>
      <c r="K554" s="4">
        <v>231</v>
      </c>
      <c r="L554" s="4">
        <v>12</v>
      </c>
      <c r="M554" s="4">
        <v>3</v>
      </c>
      <c r="N554" s="4" t="s">
        <v>6</v>
      </c>
      <c r="O554" s="4">
        <v>2</v>
      </c>
      <c r="P554" s="4"/>
      <c r="Q554" s="4"/>
      <c r="R554" s="4"/>
      <c r="S554" s="4"/>
      <c r="T554" s="4"/>
      <c r="U554" s="4"/>
      <c r="V554" s="4"/>
      <c r="W554" s="4"/>
    </row>
    <row r="555" spans="1:23" x14ac:dyDescent="0.2">
      <c r="A555" s="4">
        <v>50</v>
      </c>
      <c r="B555" s="4">
        <v>0</v>
      </c>
      <c r="C555" s="4">
        <v>0</v>
      </c>
      <c r="D555" s="4">
        <v>1</v>
      </c>
      <c r="E555" s="4">
        <v>204</v>
      </c>
      <c r="F555" s="4">
        <f>ROUND(Source!R541,O555)</f>
        <v>426.14</v>
      </c>
      <c r="G555" s="4" t="s">
        <v>139</v>
      </c>
      <c r="H555" s="4" t="s">
        <v>140</v>
      </c>
      <c r="I555" s="4"/>
      <c r="J555" s="4"/>
      <c r="K555" s="4">
        <v>204</v>
      </c>
      <c r="L555" s="4">
        <v>13</v>
      </c>
      <c r="M555" s="4">
        <v>3</v>
      </c>
      <c r="N555" s="4" t="s">
        <v>6</v>
      </c>
      <c r="O555" s="4">
        <v>2</v>
      </c>
      <c r="P555" s="4"/>
      <c r="Q555" s="4"/>
      <c r="R555" s="4"/>
      <c r="S555" s="4"/>
      <c r="T555" s="4"/>
      <c r="U555" s="4"/>
      <c r="V555" s="4"/>
      <c r="W555" s="4"/>
    </row>
    <row r="556" spans="1:23" x14ac:dyDescent="0.2">
      <c r="A556" s="4">
        <v>50</v>
      </c>
      <c r="B556" s="4">
        <v>0</v>
      </c>
      <c r="C556" s="4">
        <v>0</v>
      </c>
      <c r="D556" s="4">
        <v>1</v>
      </c>
      <c r="E556" s="4">
        <v>205</v>
      </c>
      <c r="F556" s="4">
        <f>ROUND(Source!S541,O556)</f>
        <v>11279.41</v>
      </c>
      <c r="G556" s="4" t="s">
        <v>141</v>
      </c>
      <c r="H556" s="4" t="s">
        <v>142</v>
      </c>
      <c r="I556" s="4"/>
      <c r="J556" s="4"/>
      <c r="K556" s="4">
        <v>205</v>
      </c>
      <c r="L556" s="4">
        <v>14</v>
      </c>
      <c r="M556" s="4">
        <v>3</v>
      </c>
      <c r="N556" s="4" t="s">
        <v>6</v>
      </c>
      <c r="O556" s="4">
        <v>2</v>
      </c>
      <c r="P556" s="4"/>
      <c r="Q556" s="4"/>
      <c r="R556" s="4"/>
      <c r="S556" s="4"/>
      <c r="T556" s="4"/>
      <c r="U556" s="4"/>
      <c r="V556" s="4"/>
      <c r="W556" s="4"/>
    </row>
    <row r="557" spans="1:23" x14ac:dyDescent="0.2">
      <c r="A557" s="4">
        <v>50</v>
      </c>
      <c r="B557" s="4">
        <v>0</v>
      </c>
      <c r="C557" s="4">
        <v>0</v>
      </c>
      <c r="D557" s="4">
        <v>1</v>
      </c>
      <c r="E557" s="4">
        <v>232</v>
      </c>
      <c r="F557" s="4">
        <f>ROUND(Source!BC541,O557)</f>
        <v>0</v>
      </c>
      <c r="G557" s="4" t="s">
        <v>143</v>
      </c>
      <c r="H557" s="4" t="s">
        <v>144</v>
      </c>
      <c r="I557" s="4"/>
      <c r="J557" s="4"/>
      <c r="K557" s="4">
        <v>232</v>
      </c>
      <c r="L557" s="4">
        <v>15</v>
      </c>
      <c r="M557" s="4">
        <v>3</v>
      </c>
      <c r="N557" s="4" t="s">
        <v>6</v>
      </c>
      <c r="O557" s="4">
        <v>2</v>
      </c>
      <c r="P557" s="4"/>
      <c r="Q557" s="4"/>
      <c r="R557" s="4"/>
      <c r="S557" s="4"/>
      <c r="T557" s="4"/>
      <c r="U557" s="4"/>
      <c r="V557" s="4"/>
      <c r="W557" s="4"/>
    </row>
    <row r="558" spans="1:23" x14ac:dyDescent="0.2">
      <c r="A558" s="4">
        <v>50</v>
      </c>
      <c r="B558" s="4">
        <v>0</v>
      </c>
      <c r="C558" s="4">
        <v>0</v>
      </c>
      <c r="D558" s="4">
        <v>1</v>
      </c>
      <c r="E558" s="4">
        <v>214</v>
      </c>
      <c r="F558" s="4">
        <f>ROUND(Source!AS541,O558)</f>
        <v>42.03</v>
      </c>
      <c r="G558" s="4" t="s">
        <v>145</v>
      </c>
      <c r="H558" s="4" t="s">
        <v>146</v>
      </c>
      <c r="I558" s="4"/>
      <c r="J558" s="4"/>
      <c r="K558" s="4">
        <v>214</v>
      </c>
      <c r="L558" s="4">
        <v>16</v>
      </c>
      <c r="M558" s="4">
        <v>3</v>
      </c>
      <c r="N558" s="4" t="s">
        <v>6</v>
      </c>
      <c r="O558" s="4">
        <v>2</v>
      </c>
      <c r="P558" s="4"/>
      <c r="Q558" s="4"/>
      <c r="R558" s="4"/>
      <c r="S558" s="4"/>
      <c r="T558" s="4"/>
      <c r="U558" s="4"/>
      <c r="V558" s="4"/>
      <c r="W558" s="4"/>
    </row>
    <row r="559" spans="1:23" x14ac:dyDescent="0.2">
      <c r="A559" s="4">
        <v>50</v>
      </c>
      <c r="B559" s="4">
        <v>0</v>
      </c>
      <c r="C559" s="4">
        <v>0</v>
      </c>
      <c r="D559" s="4">
        <v>1</v>
      </c>
      <c r="E559" s="4">
        <v>215</v>
      </c>
      <c r="F559" s="4">
        <f>ROUND(Source!AT541,O559)</f>
        <v>45372.99</v>
      </c>
      <c r="G559" s="4" t="s">
        <v>147</v>
      </c>
      <c r="H559" s="4" t="s">
        <v>148</v>
      </c>
      <c r="I559" s="4"/>
      <c r="J559" s="4"/>
      <c r="K559" s="4">
        <v>215</v>
      </c>
      <c r="L559" s="4">
        <v>17</v>
      </c>
      <c r="M559" s="4">
        <v>3</v>
      </c>
      <c r="N559" s="4" t="s">
        <v>6</v>
      </c>
      <c r="O559" s="4">
        <v>2</v>
      </c>
      <c r="P559" s="4"/>
      <c r="Q559" s="4"/>
      <c r="R559" s="4"/>
      <c r="S559" s="4"/>
      <c r="T559" s="4"/>
      <c r="U559" s="4"/>
      <c r="V559" s="4"/>
      <c r="W559" s="4"/>
    </row>
    <row r="560" spans="1:23" x14ac:dyDescent="0.2">
      <c r="A560" s="4">
        <v>50</v>
      </c>
      <c r="B560" s="4">
        <v>0</v>
      </c>
      <c r="C560" s="4">
        <v>0</v>
      </c>
      <c r="D560" s="4">
        <v>1</v>
      </c>
      <c r="E560" s="4">
        <v>217</v>
      </c>
      <c r="F560" s="4">
        <f>ROUND(Source!AU541,O560)</f>
        <v>0</v>
      </c>
      <c r="G560" s="4" t="s">
        <v>149</v>
      </c>
      <c r="H560" s="4" t="s">
        <v>150</v>
      </c>
      <c r="I560" s="4"/>
      <c r="J560" s="4"/>
      <c r="K560" s="4">
        <v>217</v>
      </c>
      <c r="L560" s="4">
        <v>18</v>
      </c>
      <c r="M560" s="4">
        <v>3</v>
      </c>
      <c r="N560" s="4" t="s">
        <v>6</v>
      </c>
      <c r="O560" s="4">
        <v>2</v>
      </c>
      <c r="P560" s="4"/>
      <c r="Q560" s="4"/>
      <c r="R560" s="4"/>
      <c r="S560" s="4"/>
      <c r="T560" s="4"/>
      <c r="U560" s="4"/>
      <c r="V560" s="4"/>
      <c r="W560" s="4"/>
    </row>
    <row r="561" spans="1:245" x14ac:dyDescent="0.2">
      <c r="A561" s="4">
        <v>50</v>
      </c>
      <c r="B561" s="4">
        <v>0</v>
      </c>
      <c r="C561" s="4">
        <v>0</v>
      </c>
      <c r="D561" s="4">
        <v>1</v>
      </c>
      <c r="E561" s="4">
        <v>230</v>
      </c>
      <c r="F561" s="4">
        <f>ROUND(Source!BA541,O561)</f>
        <v>0</v>
      </c>
      <c r="G561" s="4" t="s">
        <v>151</v>
      </c>
      <c r="H561" s="4" t="s">
        <v>152</v>
      </c>
      <c r="I561" s="4"/>
      <c r="J561" s="4"/>
      <c r="K561" s="4">
        <v>230</v>
      </c>
      <c r="L561" s="4">
        <v>19</v>
      </c>
      <c r="M561" s="4">
        <v>3</v>
      </c>
      <c r="N561" s="4" t="s">
        <v>6</v>
      </c>
      <c r="O561" s="4">
        <v>2</v>
      </c>
      <c r="P561" s="4"/>
      <c r="Q561" s="4"/>
      <c r="R561" s="4"/>
      <c r="S561" s="4"/>
      <c r="T561" s="4"/>
      <c r="U561" s="4"/>
      <c r="V561" s="4"/>
      <c r="W561" s="4"/>
    </row>
    <row r="562" spans="1:245" x14ac:dyDescent="0.2">
      <c r="A562" s="4">
        <v>50</v>
      </c>
      <c r="B562" s="4">
        <v>0</v>
      </c>
      <c r="C562" s="4">
        <v>0</v>
      </c>
      <c r="D562" s="4">
        <v>1</v>
      </c>
      <c r="E562" s="4">
        <v>206</v>
      </c>
      <c r="F562" s="4">
        <f>ROUND(Source!T541,O562)</f>
        <v>0</v>
      </c>
      <c r="G562" s="4" t="s">
        <v>153</v>
      </c>
      <c r="H562" s="4" t="s">
        <v>154</v>
      </c>
      <c r="I562" s="4"/>
      <c r="J562" s="4"/>
      <c r="K562" s="4">
        <v>206</v>
      </c>
      <c r="L562" s="4">
        <v>20</v>
      </c>
      <c r="M562" s="4">
        <v>3</v>
      </c>
      <c r="N562" s="4" t="s">
        <v>6</v>
      </c>
      <c r="O562" s="4">
        <v>2</v>
      </c>
      <c r="P562" s="4"/>
      <c r="Q562" s="4"/>
      <c r="R562" s="4"/>
      <c r="S562" s="4"/>
      <c r="T562" s="4"/>
      <c r="U562" s="4"/>
      <c r="V562" s="4"/>
      <c r="W562" s="4"/>
    </row>
    <row r="563" spans="1:245" x14ac:dyDescent="0.2">
      <c r="A563" s="4">
        <v>50</v>
      </c>
      <c r="B563" s="4">
        <v>0</v>
      </c>
      <c r="C563" s="4">
        <v>0</v>
      </c>
      <c r="D563" s="4">
        <v>1</v>
      </c>
      <c r="E563" s="4">
        <v>207</v>
      </c>
      <c r="F563" s="4">
        <f>Source!U541</f>
        <v>178.18668000000002</v>
      </c>
      <c r="G563" s="4" t="s">
        <v>155</v>
      </c>
      <c r="H563" s="4" t="s">
        <v>156</v>
      </c>
      <c r="I563" s="4"/>
      <c r="J563" s="4"/>
      <c r="K563" s="4">
        <v>207</v>
      </c>
      <c r="L563" s="4">
        <v>21</v>
      </c>
      <c r="M563" s="4">
        <v>3</v>
      </c>
      <c r="N563" s="4" t="s">
        <v>6</v>
      </c>
      <c r="O563" s="4">
        <v>-1</v>
      </c>
      <c r="P563" s="4"/>
      <c r="Q563" s="4"/>
      <c r="R563" s="4"/>
      <c r="S563" s="4"/>
      <c r="T563" s="4"/>
      <c r="U563" s="4"/>
      <c r="V563" s="4"/>
      <c r="W563" s="4"/>
    </row>
    <row r="564" spans="1:245" x14ac:dyDescent="0.2">
      <c r="A564" s="4">
        <v>50</v>
      </c>
      <c r="B564" s="4">
        <v>0</v>
      </c>
      <c r="C564" s="4">
        <v>0</v>
      </c>
      <c r="D564" s="4">
        <v>1</v>
      </c>
      <c r="E564" s="4">
        <v>208</v>
      </c>
      <c r="F564" s="4">
        <f>Source!V541</f>
        <v>6.4441199999999998</v>
      </c>
      <c r="G564" s="4" t="s">
        <v>157</v>
      </c>
      <c r="H564" s="4" t="s">
        <v>158</v>
      </c>
      <c r="I564" s="4"/>
      <c r="J564" s="4"/>
      <c r="K564" s="4">
        <v>208</v>
      </c>
      <c r="L564" s="4">
        <v>22</v>
      </c>
      <c r="M564" s="4">
        <v>3</v>
      </c>
      <c r="N564" s="4" t="s">
        <v>6</v>
      </c>
      <c r="O564" s="4">
        <v>-1</v>
      </c>
      <c r="P564" s="4"/>
      <c r="Q564" s="4"/>
      <c r="R564" s="4"/>
      <c r="S564" s="4"/>
      <c r="T564" s="4"/>
      <c r="U564" s="4"/>
      <c r="V564" s="4"/>
      <c r="W564" s="4"/>
    </row>
    <row r="565" spans="1:245" x14ac:dyDescent="0.2">
      <c r="A565" s="4">
        <v>50</v>
      </c>
      <c r="B565" s="4">
        <v>0</v>
      </c>
      <c r="C565" s="4">
        <v>0</v>
      </c>
      <c r="D565" s="4">
        <v>1</v>
      </c>
      <c r="E565" s="4">
        <v>209</v>
      </c>
      <c r="F565" s="4">
        <f>ROUND(Source!W541,O565)</f>
        <v>0</v>
      </c>
      <c r="G565" s="4" t="s">
        <v>159</v>
      </c>
      <c r="H565" s="4" t="s">
        <v>160</v>
      </c>
      <c r="I565" s="4"/>
      <c r="J565" s="4"/>
      <c r="K565" s="4">
        <v>209</v>
      </c>
      <c r="L565" s="4">
        <v>23</v>
      </c>
      <c r="M565" s="4">
        <v>3</v>
      </c>
      <c r="N565" s="4" t="s">
        <v>6</v>
      </c>
      <c r="O565" s="4">
        <v>2</v>
      </c>
      <c r="P565" s="4"/>
      <c r="Q565" s="4"/>
      <c r="R565" s="4"/>
      <c r="S565" s="4"/>
      <c r="T565" s="4"/>
      <c r="U565" s="4"/>
      <c r="V565" s="4"/>
      <c r="W565" s="4"/>
    </row>
    <row r="566" spans="1:245" x14ac:dyDescent="0.2">
      <c r="A566" s="4">
        <v>50</v>
      </c>
      <c r="B566" s="4">
        <v>0</v>
      </c>
      <c r="C566" s="4">
        <v>0</v>
      </c>
      <c r="D566" s="4">
        <v>1</v>
      </c>
      <c r="E566" s="4">
        <v>210</v>
      </c>
      <c r="F566" s="4">
        <f>ROUND(Source!X541,O566)</f>
        <v>9564.66</v>
      </c>
      <c r="G566" s="4" t="s">
        <v>161</v>
      </c>
      <c r="H566" s="4" t="s">
        <v>162</v>
      </c>
      <c r="I566" s="4"/>
      <c r="J566" s="4"/>
      <c r="K566" s="4">
        <v>210</v>
      </c>
      <c r="L566" s="4">
        <v>24</v>
      </c>
      <c r="M566" s="4">
        <v>3</v>
      </c>
      <c r="N566" s="4" t="s">
        <v>6</v>
      </c>
      <c r="O566" s="4">
        <v>2</v>
      </c>
      <c r="P566" s="4"/>
      <c r="Q566" s="4"/>
      <c r="R566" s="4"/>
      <c r="S566" s="4"/>
      <c r="T566" s="4"/>
      <c r="U566" s="4"/>
      <c r="V566" s="4"/>
      <c r="W566" s="4"/>
    </row>
    <row r="567" spans="1:245" x14ac:dyDescent="0.2">
      <c r="A567" s="4">
        <v>50</v>
      </c>
      <c r="B567" s="4">
        <v>0</v>
      </c>
      <c r="C567" s="4">
        <v>0</v>
      </c>
      <c r="D567" s="4">
        <v>1</v>
      </c>
      <c r="E567" s="4">
        <v>211</v>
      </c>
      <c r="F567" s="4">
        <f>ROUND(Source!Y541,O567)</f>
        <v>7088.35</v>
      </c>
      <c r="G567" s="4" t="s">
        <v>163</v>
      </c>
      <c r="H567" s="4" t="s">
        <v>164</v>
      </c>
      <c r="I567" s="4"/>
      <c r="J567" s="4"/>
      <c r="K567" s="4">
        <v>211</v>
      </c>
      <c r="L567" s="4">
        <v>25</v>
      </c>
      <c r="M567" s="4">
        <v>3</v>
      </c>
      <c r="N567" s="4" t="s">
        <v>6</v>
      </c>
      <c r="O567" s="4">
        <v>2</v>
      </c>
      <c r="P567" s="4"/>
      <c r="Q567" s="4"/>
      <c r="R567" s="4"/>
      <c r="S567" s="4"/>
      <c r="T567" s="4"/>
      <c r="U567" s="4"/>
      <c r="V567" s="4"/>
      <c r="W567" s="4"/>
    </row>
    <row r="568" spans="1:245" x14ac:dyDescent="0.2">
      <c r="A568" s="4">
        <v>50</v>
      </c>
      <c r="B568" s="4">
        <v>0</v>
      </c>
      <c r="C568" s="4">
        <v>0</v>
      </c>
      <c r="D568" s="4">
        <v>1</v>
      </c>
      <c r="E568" s="4">
        <v>224</v>
      </c>
      <c r="F568" s="4">
        <f>ROUND(Source!AR541,O568)</f>
        <v>45415.02</v>
      </c>
      <c r="G568" s="4" t="s">
        <v>165</v>
      </c>
      <c r="H568" s="4" t="s">
        <v>166</v>
      </c>
      <c r="I568" s="4"/>
      <c r="J568" s="4"/>
      <c r="K568" s="4">
        <v>224</v>
      </c>
      <c r="L568" s="4">
        <v>26</v>
      </c>
      <c r="M568" s="4">
        <v>3</v>
      </c>
      <c r="N568" s="4" t="s">
        <v>6</v>
      </c>
      <c r="O568" s="4">
        <v>2</v>
      </c>
      <c r="P568" s="4"/>
      <c r="Q568" s="4"/>
      <c r="R568" s="4"/>
      <c r="S568" s="4"/>
      <c r="T568" s="4"/>
      <c r="U568" s="4"/>
      <c r="V568" s="4"/>
      <c r="W568" s="4"/>
    </row>
    <row r="570" spans="1:245" x14ac:dyDescent="0.2">
      <c r="A570" s="1">
        <v>4</v>
      </c>
      <c r="B570" s="1">
        <v>1</v>
      </c>
      <c r="C570" s="1"/>
      <c r="D570" s="1">
        <f>ROW(A580)</f>
        <v>580</v>
      </c>
      <c r="E570" s="1"/>
      <c r="F570" s="1" t="s">
        <v>13</v>
      </c>
      <c r="G570" s="1" t="s">
        <v>889</v>
      </c>
      <c r="H570" s="1" t="s">
        <v>6</v>
      </c>
      <c r="I570" s="1">
        <v>0</v>
      </c>
      <c r="J570" s="1"/>
      <c r="K570" s="1">
        <v>0</v>
      </c>
      <c r="L570" s="1"/>
      <c r="M570" s="1"/>
      <c r="N570" s="1"/>
      <c r="O570" s="1"/>
      <c r="P570" s="1"/>
      <c r="Q570" s="1"/>
      <c r="R570" s="1"/>
      <c r="S570" s="1"/>
      <c r="T570" s="1"/>
      <c r="U570" s="1" t="s">
        <v>6</v>
      </c>
      <c r="V570" s="1">
        <v>0</v>
      </c>
      <c r="W570" s="1"/>
      <c r="X570" s="1"/>
      <c r="Y570" s="1"/>
      <c r="Z570" s="1"/>
      <c r="AA570" s="1"/>
      <c r="AB570" s="1" t="s">
        <v>6</v>
      </c>
      <c r="AC570" s="1" t="s">
        <v>6</v>
      </c>
      <c r="AD570" s="1" t="s">
        <v>6</v>
      </c>
      <c r="AE570" s="1" t="s">
        <v>6</v>
      </c>
      <c r="AF570" s="1" t="s">
        <v>6</v>
      </c>
      <c r="AG570" s="1" t="s">
        <v>6</v>
      </c>
      <c r="AH570" s="1"/>
      <c r="AI570" s="1"/>
      <c r="AJ570" s="1"/>
      <c r="AK570" s="1"/>
      <c r="AL570" s="1"/>
      <c r="AM570" s="1"/>
      <c r="AN570" s="1"/>
      <c r="AO570" s="1"/>
      <c r="AP570" s="1" t="s">
        <v>6</v>
      </c>
      <c r="AQ570" s="1" t="s">
        <v>6</v>
      </c>
      <c r="AR570" s="1" t="s">
        <v>6</v>
      </c>
      <c r="AS570" s="1"/>
      <c r="AT570" s="1"/>
      <c r="AU570" s="1"/>
      <c r="AV570" s="1"/>
      <c r="AW570" s="1"/>
      <c r="AX570" s="1"/>
      <c r="AY570" s="1"/>
      <c r="AZ570" s="1" t="s">
        <v>6</v>
      </c>
      <c r="BA570" s="1"/>
      <c r="BB570" s="1" t="s">
        <v>6</v>
      </c>
      <c r="BC570" s="1" t="s">
        <v>6</v>
      </c>
      <c r="BD570" s="1" t="s">
        <v>6</v>
      </c>
      <c r="BE570" s="1" t="s">
        <v>6</v>
      </c>
      <c r="BF570" s="1" t="s">
        <v>6</v>
      </c>
      <c r="BG570" s="1" t="s">
        <v>6</v>
      </c>
      <c r="BH570" s="1" t="s">
        <v>6</v>
      </c>
      <c r="BI570" s="1" t="s">
        <v>6</v>
      </c>
      <c r="BJ570" s="1" t="s">
        <v>6</v>
      </c>
      <c r="BK570" s="1" t="s">
        <v>6</v>
      </c>
      <c r="BL570" s="1" t="s">
        <v>6</v>
      </c>
      <c r="BM570" s="1" t="s">
        <v>6</v>
      </c>
      <c r="BN570" s="1" t="s">
        <v>6</v>
      </c>
      <c r="BO570" s="1" t="s">
        <v>6</v>
      </c>
      <c r="BP570" s="1" t="s">
        <v>6</v>
      </c>
      <c r="BQ570" s="1"/>
      <c r="BR570" s="1"/>
      <c r="BS570" s="1"/>
      <c r="BT570" s="1"/>
      <c r="BU570" s="1"/>
      <c r="BV570" s="1"/>
      <c r="BW570" s="1"/>
      <c r="BX570" s="1">
        <v>0</v>
      </c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>
        <v>0</v>
      </c>
    </row>
    <row r="572" spans="1:245" x14ac:dyDescent="0.2">
      <c r="A572" s="2">
        <v>52</v>
      </c>
      <c r="B572" s="2">
        <f t="shared" ref="B572:G572" si="422">B580</f>
        <v>1</v>
      </c>
      <c r="C572" s="2">
        <f t="shared" si="422"/>
        <v>4</v>
      </c>
      <c r="D572" s="2">
        <f t="shared" si="422"/>
        <v>570</v>
      </c>
      <c r="E572" s="2">
        <f t="shared" si="422"/>
        <v>0</v>
      </c>
      <c r="F572" s="2" t="str">
        <f t="shared" si="422"/>
        <v>Новый раздел</v>
      </c>
      <c r="G572" s="2" t="str">
        <f t="shared" si="422"/>
        <v>6 Отопление</v>
      </c>
      <c r="H572" s="2"/>
      <c r="I572" s="2"/>
      <c r="J572" s="2"/>
      <c r="K572" s="2"/>
      <c r="L572" s="2"/>
      <c r="M572" s="2"/>
      <c r="N572" s="2"/>
      <c r="O572" s="2">
        <f t="shared" ref="O572:AT572" si="423">O580</f>
        <v>73530.3</v>
      </c>
      <c r="P572" s="2">
        <f t="shared" si="423"/>
        <v>70220.88</v>
      </c>
      <c r="Q572" s="2">
        <f t="shared" si="423"/>
        <v>787.79</v>
      </c>
      <c r="R572" s="2">
        <f t="shared" si="423"/>
        <v>165.94</v>
      </c>
      <c r="S572" s="2">
        <f t="shared" si="423"/>
        <v>2521.63</v>
      </c>
      <c r="T572" s="2">
        <f t="shared" si="423"/>
        <v>0</v>
      </c>
      <c r="U572" s="2">
        <f t="shared" si="423"/>
        <v>43.798039999999993</v>
      </c>
      <c r="V572" s="2">
        <f t="shared" si="423"/>
        <v>2.0289312499999999</v>
      </c>
      <c r="W572" s="2">
        <f t="shared" si="423"/>
        <v>0</v>
      </c>
      <c r="X572" s="2">
        <f t="shared" si="423"/>
        <v>2922.02</v>
      </c>
      <c r="Y572" s="2">
        <f t="shared" si="423"/>
        <v>1821.78</v>
      </c>
      <c r="Z572" s="2">
        <f t="shared" si="423"/>
        <v>0</v>
      </c>
      <c r="AA572" s="2">
        <f t="shared" si="423"/>
        <v>0</v>
      </c>
      <c r="AB572" s="2">
        <f t="shared" si="423"/>
        <v>73530.3</v>
      </c>
      <c r="AC572" s="2">
        <f t="shared" si="423"/>
        <v>70220.88</v>
      </c>
      <c r="AD572" s="2">
        <f t="shared" si="423"/>
        <v>787.79</v>
      </c>
      <c r="AE572" s="2">
        <f t="shared" si="423"/>
        <v>165.94</v>
      </c>
      <c r="AF572" s="2">
        <f t="shared" si="423"/>
        <v>2521.63</v>
      </c>
      <c r="AG572" s="2">
        <f t="shared" si="423"/>
        <v>0</v>
      </c>
      <c r="AH572" s="2">
        <f t="shared" si="423"/>
        <v>43.798039999999993</v>
      </c>
      <c r="AI572" s="2">
        <f t="shared" si="423"/>
        <v>2.0289312499999999</v>
      </c>
      <c r="AJ572" s="2">
        <f t="shared" si="423"/>
        <v>0</v>
      </c>
      <c r="AK572" s="2">
        <f t="shared" si="423"/>
        <v>2922.02</v>
      </c>
      <c r="AL572" s="2">
        <f t="shared" si="423"/>
        <v>1821.78</v>
      </c>
      <c r="AM572" s="2">
        <f t="shared" si="423"/>
        <v>0</v>
      </c>
      <c r="AN572" s="2">
        <f t="shared" si="423"/>
        <v>0</v>
      </c>
      <c r="AO572" s="2">
        <f t="shared" si="423"/>
        <v>0</v>
      </c>
      <c r="AP572" s="2">
        <f t="shared" si="423"/>
        <v>0</v>
      </c>
      <c r="AQ572" s="2">
        <f t="shared" si="423"/>
        <v>0</v>
      </c>
      <c r="AR572" s="2">
        <f t="shared" si="423"/>
        <v>78274.100000000006</v>
      </c>
      <c r="AS572" s="2">
        <f t="shared" si="423"/>
        <v>78274.100000000006</v>
      </c>
      <c r="AT572" s="2">
        <f t="shared" si="423"/>
        <v>0</v>
      </c>
      <c r="AU572" s="2">
        <f t="shared" ref="AU572:BZ572" si="424">AU580</f>
        <v>0</v>
      </c>
      <c r="AV572" s="2">
        <f t="shared" si="424"/>
        <v>70220.88</v>
      </c>
      <c r="AW572" s="2">
        <f t="shared" si="424"/>
        <v>70220.88</v>
      </c>
      <c r="AX572" s="2">
        <f t="shared" si="424"/>
        <v>0</v>
      </c>
      <c r="AY572" s="2">
        <f t="shared" si="424"/>
        <v>70220.88</v>
      </c>
      <c r="AZ572" s="2">
        <f t="shared" si="424"/>
        <v>0</v>
      </c>
      <c r="BA572" s="2">
        <f t="shared" si="424"/>
        <v>0</v>
      </c>
      <c r="BB572" s="2">
        <f t="shared" si="424"/>
        <v>0</v>
      </c>
      <c r="BC572" s="2">
        <f t="shared" si="424"/>
        <v>0</v>
      </c>
      <c r="BD572" s="2">
        <f t="shared" si="424"/>
        <v>0</v>
      </c>
      <c r="BE572" s="2">
        <f t="shared" si="424"/>
        <v>0</v>
      </c>
      <c r="BF572" s="2">
        <f t="shared" si="424"/>
        <v>0</v>
      </c>
      <c r="BG572" s="2">
        <f t="shared" si="424"/>
        <v>0</v>
      </c>
      <c r="BH572" s="2">
        <f t="shared" si="424"/>
        <v>0</v>
      </c>
      <c r="BI572" s="2">
        <f t="shared" si="424"/>
        <v>0</v>
      </c>
      <c r="BJ572" s="2">
        <f t="shared" si="424"/>
        <v>0</v>
      </c>
      <c r="BK572" s="2">
        <f t="shared" si="424"/>
        <v>0</v>
      </c>
      <c r="BL572" s="2">
        <f t="shared" si="424"/>
        <v>0</v>
      </c>
      <c r="BM572" s="2">
        <f t="shared" si="424"/>
        <v>0</v>
      </c>
      <c r="BN572" s="2">
        <f t="shared" si="424"/>
        <v>0</v>
      </c>
      <c r="BO572" s="2">
        <f t="shared" si="424"/>
        <v>0</v>
      </c>
      <c r="BP572" s="2">
        <f t="shared" si="424"/>
        <v>0</v>
      </c>
      <c r="BQ572" s="2">
        <f t="shared" si="424"/>
        <v>0</v>
      </c>
      <c r="BR572" s="2">
        <f t="shared" si="424"/>
        <v>0</v>
      </c>
      <c r="BS572" s="2">
        <f t="shared" si="424"/>
        <v>0</v>
      </c>
      <c r="BT572" s="2">
        <f t="shared" si="424"/>
        <v>0</v>
      </c>
      <c r="BU572" s="2">
        <f t="shared" si="424"/>
        <v>0</v>
      </c>
      <c r="BV572" s="2">
        <f t="shared" si="424"/>
        <v>0</v>
      </c>
      <c r="BW572" s="2">
        <f t="shared" si="424"/>
        <v>0</v>
      </c>
      <c r="BX572" s="2">
        <f t="shared" si="424"/>
        <v>0</v>
      </c>
      <c r="BY572" s="2">
        <f t="shared" si="424"/>
        <v>0</v>
      </c>
      <c r="BZ572" s="2">
        <f t="shared" si="424"/>
        <v>0</v>
      </c>
      <c r="CA572" s="2">
        <f t="shared" ref="CA572:DF572" si="425">CA580</f>
        <v>78274.100000000006</v>
      </c>
      <c r="CB572" s="2">
        <f t="shared" si="425"/>
        <v>78274.100000000006</v>
      </c>
      <c r="CC572" s="2">
        <f t="shared" si="425"/>
        <v>0</v>
      </c>
      <c r="CD572" s="2">
        <f t="shared" si="425"/>
        <v>0</v>
      </c>
      <c r="CE572" s="2">
        <f t="shared" si="425"/>
        <v>70220.88</v>
      </c>
      <c r="CF572" s="2">
        <f t="shared" si="425"/>
        <v>70220.88</v>
      </c>
      <c r="CG572" s="2">
        <f t="shared" si="425"/>
        <v>0</v>
      </c>
      <c r="CH572" s="2">
        <f t="shared" si="425"/>
        <v>70220.88</v>
      </c>
      <c r="CI572" s="2">
        <f t="shared" si="425"/>
        <v>0</v>
      </c>
      <c r="CJ572" s="2">
        <f t="shared" si="425"/>
        <v>0</v>
      </c>
      <c r="CK572" s="2">
        <f t="shared" si="425"/>
        <v>0</v>
      </c>
      <c r="CL572" s="2">
        <f t="shared" si="425"/>
        <v>0</v>
      </c>
      <c r="CM572" s="2">
        <f t="shared" si="425"/>
        <v>0</v>
      </c>
      <c r="CN572" s="2">
        <f t="shared" si="425"/>
        <v>0</v>
      </c>
      <c r="CO572" s="2">
        <f t="shared" si="425"/>
        <v>0</v>
      </c>
      <c r="CP572" s="2">
        <f t="shared" si="425"/>
        <v>0</v>
      </c>
      <c r="CQ572" s="2">
        <f t="shared" si="425"/>
        <v>0</v>
      </c>
      <c r="CR572" s="2">
        <f t="shared" si="425"/>
        <v>0</v>
      </c>
      <c r="CS572" s="2">
        <f t="shared" si="425"/>
        <v>0</v>
      </c>
      <c r="CT572" s="2">
        <f t="shared" si="425"/>
        <v>0</v>
      </c>
      <c r="CU572" s="2">
        <f t="shared" si="425"/>
        <v>0</v>
      </c>
      <c r="CV572" s="2">
        <f t="shared" si="425"/>
        <v>0</v>
      </c>
      <c r="CW572" s="2">
        <f t="shared" si="425"/>
        <v>0</v>
      </c>
      <c r="CX572" s="2">
        <f t="shared" si="425"/>
        <v>0</v>
      </c>
      <c r="CY572" s="2">
        <f t="shared" si="425"/>
        <v>0</v>
      </c>
      <c r="CZ572" s="2">
        <f t="shared" si="425"/>
        <v>0</v>
      </c>
      <c r="DA572" s="2">
        <f t="shared" si="425"/>
        <v>0</v>
      </c>
      <c r="DB572" s="2">
        <f t="shared" si="425"/>
        <v>0</v>
      </c>
      <c r="DC572" s="2">
        <f t="shared" si="425"/>
        <v>0</v>
      </c>
      <c r="DD572" s="2">
        <f t="shared" si="425"/>
        <v>0</v>
      </c>
      <c r="DE572" s="2">
        <f t="shared" si="425"/>
        <v>0</v>
      </c>
      <c r="DF572" s="2">
        <f t="shared" si="425"/>
        <v>0</v>
      </c>
      <c r="DG572" s="3">
        <f t="shared" ref="DG572:EL572" si="426">DG580</f>
        <v>0</v>
      </c>
      <c r="DH572" s="3">
        <f t="shared" si="426"/>
        <v>0</v>
      </c>
      <c r="DI572" s="3">
        <f t="shared" si="426"/>
        <v>0</v>
      </c>
      <c r="DJ572" s="3">
        <f t="shared" si="426"/>
        <v>0</v>
      </c>
      <c r="DK572" s="3">
        <f t="shared" si="426"/>
        <v>0</v>
      </c>
      <c r="DL572" s="3">
        <f t="shared" si="426"/>
        <v>0</v>
      </c>
      <c r="DM572" s="3">
        <f t="shared" si="426"/>
        <v>0</v>
      </c>
      <c r="DN572" s="3">
        <f t="shared" si="426"/>
        <v>0</v>
      </c>
      <c r="DO572" s="3">
        <f t="shared" si="426"/>
        <v>0</v>
      </c>
      <c r="DP572" s="3">
        <f t="shared" si="426"/>
        <v>0</v>
      </c>
      <c r="DQ572" s="3">
        <f t="shared" si="426"/>
        <v>0</v>
      </c>
      <c r="DR572" s="3">
        <f t="shared" si="426"/>
        <v>0</v>
      </c>
      <c r="DS572" s="3">
        <f t="shared" si="426"/>
        <v>0</v>
      </c>
      <c r="DT572" s="3">
        <f t="shared" si="426"/>
        <v>0</v>
      </c>
      <c r="DU572" s="3">
        <f t="shared" si="426"/>
        <v>0</v>
      </c>
      <c r="DV572" s="3">
        <f t="shared" si="426"/>
        <v>0</v>
      </c>
      <c r="DW572" s="3">
        <f t="shared" si="426"/>
        <v>0</v>
      </c>
      <c r="DX572" s="3">
        <f t="shared" si="426"/>
        <v>0</v>
      </c>
      <c r="DY572" s="3">
        <f t="shared" si="426"/>
        <v>0</v>
      </c>
      <c r="DZ572" s="3">
        <f t="shared" si="426"/>
        <v>0</v>
      </c>
      <c r="EA572" s="3">
        <f t="shared" si="426"/>
        <v>0</v>
      </c>
      <c r="EB572" s="3">
        <f t="shared" si="426"/>
        <v>0</v>
      </c>
      <c r="EC572" s="3">
        <f t="shared" si="426"/>
        <v>0</v>
      </c>
      <c r="ED572" s="3">
        <f t="shared" si="426"/>
        <v>0</v>
      </c>
      <c r="EE572" s="3">
        <f t="shared" si="426"/>
        <v>0</v>
      </c>
      <c r="EF572" s="3">
        <f t="shared" si="426"/>
        <v>0</v>
      </c>
      <c r="EG572" s="3">
        <f t="shared" si="426"/>
        <v>0</v>
      </c>
      <c r="EH572" s="3">
        <f t="shared" si="426"/>
        <v>0</v>
      </c>
      <c r="EI572" s="3">
        <f t="shared" si="426"/>
        <v>0</v>
      </c>
      <c r="EJ572" s="3">
        <f t="shared" si="426"/>
        <v>0</v>
      </c>
      <c r="EK572" s="3">
        <f t="shared" si="426"/>
        <v>0</v>
      </c>
      <c r="EL572" s="3">
        <f t="shared" si="426"/>
        <v>0</v>
      </c>
      <c r="EM572" s="3">
        <f t="shared" ref="EM572:FR572" si="427">EM580</f>
        <v>0</v>
      </c>
      <c r="EN572" s="3">
        <f t="shared" si="427"/>
        <v>0</v>
      </c>
      <c r="EO572" s="3">
        <f t="shared" si="427"/>
        <v>0</v>
      </c>
      <c r="EP572" s="3">
        <f t="shared" si="427"/>
        <v>0</v>
      </c>
      <c r="EQ572" s="3">
        <f t="shared" si="427"/>
        <v>0</v>
      </c>
      <c r="ER572" s="3">
        <f t="shared" si="427"/>
        <v>0</v>
      </c>
      <c r="ES572" s="3">
        <f t="shared" si="427"/>
        <v>0</v>
      </c>
      <c r="ET572" s="3">
        <f t="shared" si="427"/>
        <v>0</v>
      </c>
      <c r="EU572" s="3">
        <f t="shared" si="427"/>
        <v>0</v>
      </c>
      <c r="EV572" s="3">
        <f t="shared" si="427"/>
        <v>0</v>
      </c>
      <c r="EW572" s="3">
        <f t="shared" si="427"/>
        <v>0</v>
      </c>
      <c r="EX572" s="3">
        <f t="shared" si="427"/>
        <v>0</v>
      </c>
      <c r="EY572" s="3">
        <f t="shared" si="427"/>
        <v>0</v>
      </c>
      <c r="EZ572" s="3">
        <f t="shared" si="427"/>
        <v>0</v>
      </c>
      <c r="FA572" s="3">
        <f t="shared" si="427"/>
        <v>0</v>
      </c>
      <c r="FB572" s="3">
        <f t="shared" si="427"/>
        <v>0</v>
      </c>
      <c r="FC572" s="3">
        <f t="shared" si="427"/>
        <v>0</v>
      </c>
      <c r="FD572" s="3">
        <f t="shared" si="427"/>
        <v>0</v>
      </c>
      <c r="FE572" s="3">
        <f t="shared" si="427"/>
        <v>0</v>
      </c>
      <c r="FF572" s="3">
        <f t="shared" si="427"/>
        <v>0</v>
      </c>
      <c r="FG572" s="3">
        <f t="shared" si="427"/>
        <v>0</v>
      </c>
      <c r="FH572" s="3">
        <f t="shared" si="427"/>
        <v>0</v>
      </c>
      <c r="FI572" s="3">
        <f t="shared" si="427"/>
        <v>0</v>
      </c>
      <c r="FJ572" s="3">
        <f t="shared" si="427"/>
        <v>0</v>
      </c>
      <c r="FK572" s="3">
        <f t="shared" si="427"/>
        <v>0</v>
      </c>
      <c r="FL572" s="3">
        <f t="shared" si="427"/>
        <v>0</v>
      </c>
      <c r="FM572" s="3">
        <f t="shared" si="427"/>
        <v>0</v>
      </c>
      <c r="FN572" s="3">
        <f t="shared" si="427"/>
        <v>0</v>
      </c>
      <c r="FO572" s="3">
        <f t="shared" si="427"/>
        <v>0</v>
      </c>
      <c r="FP572" s="3">
        <f t="shared" si="427"/>
        <v>0</v>
      </c>
      <c r="FQ572" s="3">
        <f t="shared" si="427"/>
        <v>0</v>
      </c>
      <c r="FR572" s="3">
        <f t="shared" si="427"/>
        <v>0</v>
      </c>
      <c r="FS572" s="3">
        <f t="shared" ref="FS572:GX572" si="428">FS580</f>
        <v>0</v>
      </c>
      <c r="FT572" s="3">
        <f t="shared" si="428"/>
        <v>0</v>
      </c>
      <c r="FU572" s="3">
        <f t="shared" si="428"/>
        <v>0</v>
      </c>
      <c r="FV572" s="3">
        <f t="shared" si="428"/>
        <v>0</v>
      </c>
      <c r="FW572" s="3">
        <f t="shared" si="428"/>
        <v>0</v>
      </c>
      <c r="FX572" s="3">
        <f t="shared" si="428"/>
        <v>0</v>
      </c>
      <c r="FY572" s="3">
        <f t="shared" si="428"/>
        <v>0</v>
      </c>
      <c r="FZ572" s="3">
        <f t="shared" si="428"/>
        <v>0</v>
      </c>
      <c r="GA572" s="3">
        <f t="shared" si="428"/>
        <v>0</v>
      </c>
      <c r="GB572" s="3">
        <f t="shared" si="428"/>
        <v>0</v>
      </c>
      <c r="GC572" s="3">
        <f t="shared" si="428"/>
        <v>0</v>
      </c>
      <c r="GD572" s="3">
        <f t="shared" si="428"/>
        <v>0</v>
      </c>
      <c r="GE572" s="3">
        <f t="shared" si="428"/>
        <v>0</v>
      </c>
      <c r="GF572" s="3">
        <f t="shared" si="428"/>
        <v>0</v>
      </c>
      <c r="GG572" s="3">
        <f t="shared" si="428"/>
        <v>0</v>
      </c>
      <c r="GH572" s="3">
        <f t="shared" si="428"/>
        <v>0</v>
      </c>
      <c r="GI572" s="3">
        <f t="shared" si="428"/>
        <v>0</v>
      </c>
      <c r="GJ572" s="3">
        <f t="shared" si="428"/>
        <v>0</v>
      </c>
      <c r="GK572" s="3">
        <f t="shared" si="428"/>
        <v>0</v>
      </c>
      <c r="GL572" s="3">
        <f t="shared" si="428"/>
        <v>0</v>
      </c>
      <c r="GM572" s="3">
        <f t="shared" si="428"/>
        <v>0</v>
      </c>
      <c r="GN572" s="3">
        <f t="shared" si="428"/>
        <v>0</v>
      </c>
      <c r="GO572" s="3">
        <f t="shared" si="428"/>
        <v>0</v>
      </c>
      <c r="GP572" s="3">
        <f t="shared" si="428"/>
        <v>0</v>
      </c>
      <c r="GQ572" s="3">
        <f t="shared" si="428"/>
        <v>0</v>
      </c>
      <c r="GR572" s="3">
        <f t="shared" si="428"/>
        <v>0</v>
      </c>
      <c r="GS572" s="3">
        <f t="shared" si="428"/>
        <v>0</v>
      </c>
      <c r="GT572" s="3">
        <f t="shared" si="428"/>
        <v>0</v>
      </c>
      <c r="GU572" s="3">
        <f t="shared" si="428"/>
        <v>0</v>
      </c>
      <c r="GV572" s="3">
        <f t="shared" si="428"/>
        <v>0</v>
      </c>
      <c r="GW572" s="3">
        <f t="shared" si="428"/>
        <v>0</v>
      </c>
      <c r="GX572" s="3">
        <f t="shared" si="428"/>
        <v>0</v>
      </c>
    </row>
    <row r="574" spans="1:245" x14ac:dyDescent="0.2">
      <c r="A574">
        <v>17</v>
      </c>
      <c r="B574">
        <v>1</v>
      </c>
      <c r="C574">
        <f>ROW(SmtRes!A691)</f>
        <v>691</v>
      </c>
      <c r="D574">
        <f>ROW(EtalonRes!A635)</f>
        <v>635</v>
      </c>
      <c r="E574" t="s">
        <v>890</v>
      </c>
      <c r="F574" t="s">
        <v>891</v>
      </c>
      <c r="G574" t="s">
        <v>892</v>
      </c>
      <c r="H574" t="s">
        <v>46</v>
      </c>
      <c r="I574">
        <f>ROUND(7/100,9)</f>
        <v>7.0000000000000007E-2</v>
      </c>
      <c r="J574">
        <v>0</v>
      </c>
      <c r="O574">
        <f>ROUND(CP574,2)</f>
        <v>429.68</v>
      </c>
      <c r="P574">
        <f>ROUND(CQ574*I574,2)</f>
        <v>0</v>
      </c>
      <c r="Q574">
        <f>ROUND(CR574*I574,2)</f>
        <v>32.15</v>
      </c>
      <c r="R574">
        <f>ROUND(CS574*I574,2)</f>
        <v>13.89</v>
      </c>
      <c r="S574">
        <f>ROUND(CT574*I574,2)</f>
        <v>397.53</v>
      </c>
      <c r="T574">
        <f>ROUND(CU574*I574,2)</f>
        <v>0</v>
      </c>
      <c r="U574">
        <f>CV574*I574</f>
        <v>7.7000000000000011</v>
      </c>
      <c r="V574">
        <f>CW574*I574</f>
        <v>0.15680000000000002</v>
      </c>
      <c r="W574">
        <f>ROUND(CX574*I574,2)</f>
        <v>0</v>
      </c>
      <c r="X574">
        <f t="shared" ref="X574:Y578" si="429">ROUND(CY574,2)</f>
        <v>304.45</v>
      </c>
      <c r="Y574">
        <f t="shared" si="429"/>
        <v>205.71</v>
      </c>
      <c r="AA574">
        <v>16748969</v>
      </c>
      <c r="AB574">
        <f>ROUND((AC574+AD574+AF574),2)</f>
        <v>935.72</v>
      </c>
      <c r="AC574">
        <f>ROUND((ES574),2)</f>
        <v>0</v>
      </c>
      <c r="AD574">
        <f>ROUND((((ET574)-(EU574))+AE574),2)</f>
        <v>70.02</v>
      </c>
      <c r="AE574">
        <f>ROUND((EU574),2)</f>
        <v>30.24</v>
      </c>
      <c r="AF574">
        <f>ROUND((EV574),2)</f>
        <v>865.7</v>
      </c>
      <c r="AG574">
        <f>ROUND((AP574),2)</f>
        <v>0</v>
      </c>
      <c r="AH574">
        <f>(EW574)</f>
        <v>110</v>
      </c>
      <c r="AI574">
        <f>(EX574)</f>
        <v>2.2400000000000002</v>
      </c>
      <c r="AJ574">
        <f>ROUND((AS574),2)</f>
        <v>0</v>
      </c>
      <c r="AK574">
        <v>935.72</v>
      </c>
      <c r="AL574">
        <v>0</v>
      </c>
      <c r="AM574">
        <v>70.02</v>
      </c>
      <c r="AN574">
        <v>30.24</v>
      </c>
      <c r="AO574">
        <v>865.7</v>
      </c>
      <c r="AP574">
        <v>0</v>
      </c>
      <c r="AQ574">
        <v>110</v>
      </c>
      <c r="AR574">
        <v>2.2400000000000002</v>
      </c>
      <c r="AS574">
        <v>0</v>
      </c>
      <c r="AT574">
        <v>74</v>
      </c>
      <c r="AU574">
        <v>50</v>
      </c>
      <c r="AV574">
        <v>1</v>
      </c>
      <c r="AW574">
        <v>1</v>
      </c>
      <c r="AZ574">
        <v>6.56</v>
      </c>
      <c r="BA574">
        <v>6.56</v>
      </c>
      <c r="BB574">
        <v>6.56</v>
      </c>
      <c r="BC574">
        <v>6.56</v>
      </c>
      <c r="BD574" t="s">
        <v>6</v>
      </c>
      <c r="BE574" t="s">
        <v>6</v>
      </c>
      <c r="BF574" t="s">
        <v>6</v>
      </c>
      <c r="BG574" t="s">
        <v>6</v>
      </c>
      <c r="BH574">
        <v>0</v>
      </c>
      <c r="BI574">
        <v>1</v>
      </c>
      <c r="BJ574" t="s">
        <v>893</v>
      </c>
      <c r="BM574">
        <v>65003</v>
      </c>
      <c r="BN574">
        <v>0</v>
      </c>
      <c r="BO574" t="s">
        <v>6</v>
      </c>
      <c r="BP574">
        <v>0</v>
      </c>
      <c r="BQ574">
        <v>6</v>
      </c>
      <c r="BR574">
        <v>0</v>
      </c>
      <c r="BS574">
        <v>6.56</v>
      </c>
      <c r="BT574">
        <v>1</v>
      </c>
      <c r="BU574">
        <v>1</v>
      </c>
      <c r="BV574">
        <v>1</v>
      </c>
      <c r="BW574">
        <v>1</v>
      </c>
      <c r="BX574">
        <v>1</v>
      </c>
      <c r="BY574" t="s">
        <v>6</v>
      </c>
      <c r="BZ574">
        <v>74</v>
      </c>
      <c r="CA574">
        <v>50</v>
      </c>
      <c r="CF574">
        <v>0</v>
      </c>
      <c r="CG574">
        <v>0</v>
      </c>
      <c r="CM574">
        <v>0</v>
      </c>
      <c r="CN574" t="s">
        <v>6</v>
      </c>
      <c r="CO574">
        <v>0</v>
      </c>
      <c r="CP574">
        <f>(P574+Q574+S574)</f>
        <v>429.67999999999995</v>
      </c>
      <c r="CQ574">
        <f>AC574*BC574</f>
        <v>0</v>
      </c>
      <c r="CR574">
        <f>AD574*BB574</f>
        <v>459.33119999999997</v>
      </c>
      <c r="CS574">
        <f>AE574*BS574</f>
        <v>198.37439999999998</v>
      </c>
      <c r="CT574">
        <f>AF574*BA574</f>
        <v>5678.9920000000002</v>
      </c>
      <c r="CU574">
        <f t="shared" ref="CU574:CX578" si="430">AG574</f>
        <v>0</v>
      </c>
      <c r="CV574">
        <f t="shared" si="430"/>
        <v>110</v>
      </c>
      <c r="CW574">
        <f t="shared" si="430"/>
        <v>2.2400000000000002</v>
      </c>
      <c r="CX574">
        <f t="shared" si="430"/>
        <v>0</v>
      </c>
      <c r="CY574">
        <f>(((S574+R574)*AT574)/100)</f>
        <v>304.45079999999996</v>
      </c>
      <c r="CZ574">
        <f>(((S574+R574)*AU574)/100)</f>
        <v>205.70999999999995</v>
      </c>
      <c r="DC574" t="s">
        <v>6</v>
      </c>
      <c r="DD574" t="s">
        <v>6</v>
      </c>
      <c r="DE574" t="s">
        <v>6</v>
      </c>
      <c r="DF574" t="s">
        <v>6</v>
      </c>
      <c r="DG574" t="s">
        <v>6</v>
      </c>
      <c r="DH574" t="s">
        <v>6</v>
      </c>
      <c r="DI574" t="s">
        <v>6</v>
      </c>
      <c r="DJ574" t="s">
        <v>6</v>
      </c>
      <c r="DK574" t="s">
        <v>6</v>
      </c>
      <c r="DL574" t="s">
        <v>6</v>
      </c>
      <c r="DM574" t="s">
        <v>6</v>
      </c>
      <c r="DN574">
        <v>0</v>
      </c>
      <c r="DO574">
        <v>0</v>
      </c>
      <c r="DP574">
        <v>1</v>
      </c>
      <c r="DQ574">
        <v>1</v>
      </c>
      <c r="DU574">
        <v>1013</v>
      </c>
      <c r="DV574" t="s">
        <v>46</v>
      </c>
      <c r="DW574" t="s">
        <v>46</v>
      </c>
      <c r="DX574">
        <v>1</v>
      </c>
      <c r="EE574">
        <v>16510578</v>
      </c>
      <c r="EF574">
        <v>6</v>
      </c>
      <c r="EG574" t="s">
        <v>36</v>
      </c>
      <c r="EH574">
        <v>0</v>
      </c>
      <c r="EI574" t="s">
        <v>6</v>
      </c>
      <c r="EJ574">
        <v>1</v>
      </c>
      <c r="EK574">
        <v>65003</v>
      </c>
      <c r="EL574" t="s">
        <v>101</v>
      </c>
      <c r="EM574" t="s">
        <v>49</v>
      </c>
      <c r="EO574" t="s">
        <v>6</v>
      </c>
      <c r="EQ574">
        <v>131072</v>
      </c>
      <c r="ER574">
        <v>935.72</v>
      </c>
      <c r="ES574">
        <v>0</v>
      </c>
      <c r="ET574">
        <v>70.02</v>
      </c>
      <c r="EU574">
        <v>30.24</v>
      </c>
      <c r="EV574">
        <v>865.7</v>
      </c>
      <c r="EW574">
        <v>110</v>
      </c>
      <c r="EX574">
        <v>2.2400000000000002</v>
      </c>
      <c r="EY574">
        <v>0</v>
      </c>
      <c r="FQ574">
        <v>0</v>
      </c>
      <c r="FR574">
        <f>ROUND(IF(AND(BH574=3,BI574=3),P574,0),2)</f>
        <v>0</v>
      </c>
      <c r="FS574">
        <v>0</v>
      </c>
      <c r="FX574">
        <v>74</v>
      </c>
      <c r="FY574">
        <v>50</v>
      </c>
      <c r="GA574" t="s">
        <v>6</v>
      </c>
      <c r="GD574">
        <v>0</v>
      </c>
      <c r="GF574">
        <v>-808117515</v>
      </c>
      <c r="GG574">
        <v>1</v>
      </c>
      <c r="GH574">
        <v>1</v>
      </c>
      <c r="GI574">
        <v>4</v>
      </c>
      <c r="GJ574">
        <v>0</v>
      </c>
      <c r="GK574">
        <f>ROUND(R574*(R12)/100,2)</f>
        <v>0</v>
      </c>
      <c r="GL574">
        <f>ROUND(IF(AND(BH574=3,BI574=3,FS574&lt;&gt;0),P574,0),2)</f>
        <v>0</v>
      </c>
      <c r="GM574">
        <f>ROUND(O574+X574+Y574+GK574,2)+GX574</f>
        <v>939.84</v>
      </c>
      <c r="GN574">
        <f>IF(OR(BI574=0,BI574=1),ROUND(O574+X574+Y574+GK574,2),0)</f>
        <v>939.84</v>
      </c>
      <c r="GO574">
        <f>IF(BI574=2,ROUND(O574+X574+Y574+GK574,2),0)</f>
        <v>0</v>
      </c>
      <c r="GP574">
        <f>IF(BI574=4,ROUND(O574+X574+Y574+GK574,2)+GX574,0)</f>
        <v>0</v>
      </c>
      <c r="GR574">
        <v>0</v>
      </c>
      <c r="GS574">
        <v>3</v>
      </c>
      <c r="GT574">
        <v>0</v>
      </c>
      <c r="GU574" t="s">
        <v>6</v>
      </c>
      <c r="GV574">
        <f>ROUND(GT574,2)</f>
        <v>0</v>
      </c>
      <c r="GW574">
        <v>1</v>
      </c>
      <c r="GX574">
        <f>ROUND(GV574*GW574*I574,2)</f>
        <v>0</v>
      </c>
      <c r="HA574">
        <v>0</v>
      </c>
      <c r="HB574">
        <v>0</v>
      </c>
      <c r="IK574">
        <v>0</v>
      </c>
    </row>
    <row r="575" spans="1:245" x14ac:dyDescent="0.2">
      <c r="A575">
        <v>17</v>
      </c>
      <c r="B575">
        <v>1</v>
      </c>
      <c r="C575">
        <f>ROW(SmtRes!A703)</f>
        <v>703</v>
      </c>
      <c r="D575">
        <f>ROW(EtalonRes!A647)</f>
        <v>647</v>
      </c>
      <c r="E575" t="s">
        <v>894</v>
      </c>
      <c r="F575" t="s">
        <v>895</v>
      </c>
      <c r="G575" t="s">
        <v>896</v>
      </c>
      <c r="H575" t="s">
        <v>897</v>
      </c>
      <c r="I575">
        <f>ROUND(47.85/100,9)</f>
        <v>0.47849999999999998</v>
      </c>
      <c r="J575">
        <v>0</v>
      </c>
      <c r="O575">
        <f>ROUND(CP575,2)</f>
        <v>6524.89</v>
      </c>
      <c r="P575">
        <f>ROUND(CQ575*I575,2)</f>
        <v>3645.15</v>
      </c>
      <c r="Q575">
        <f>ROUND(CR575*I575,2)</f>
        <v>755.64</v>
      </c>
      <c r="R575">
        <f>ROUND(CS575*I575,2)</f>
        <v>152.05000000000001</v>
      </c>
      <c r="S575">
        <f>ROUND(CT575*I575,2)</f>
        <v>2124.1</v>
      </c>
      <c r="T575">
        <f>ROUND(CU575*I575,2)</f>
        <v>0</v>
      </c>
      <c r="U575">
        <f>CV575*I575</f>
        <v>36.09803999999999</v>
      </c>
      <c r="V575">
        <f>CW575*I575</f>
        <v>1.8721312499999998</v>
      </c>
      <c r="W575">
        <f>ROUND(CX575*I575,2)</f>
        <v>0</v>
      </c>
      <c r="X575">
        <f t="shared" si="429"/>
        <v>2617.5700000000002</v>
      </c>
      <c r="Y575">
        <f t="shared" si="429"/>
        <v>1616.07</v>
      </c>
      <c r="AA575">
        <v>16748969</v>
      </c>
      <c r="AB575">
        <f>ROUND((AC575+AD575+AF575),2)</f>
        <v>2078.6799999999998</v>
      </c>
      <c r="AC575">
        <f>ROUND((ES575),2)</f>
        <v>1161.26</v>
      </c>
      <c r="AD575">
        <f>ROUND(((((ET575*1.25))-((EU575*1.25)))+AE575),2)</f>
        <v>240.73</v>
      </c>
      <c r="AE575">
        <f>ROUND(((EU575*1.25)),2)</f>
        <v>48.44</v>
      </c>
      <c r="AF575">
        <f>ROUND(((EV575*1.15)),2)</f>
        <v>676.69</v>
      </c>
      <c r="AG575">
        <f>ROUND((AP575),2)</f>
        <v>0</v>
      </c>
      <c r="AH575">
        <f>((EW575*1.15))</f>
        <v>75.439999999999984</v>
      </c>
      <c r="AI575">
        <f>((EX575*1.25))</f>
        <v>3.9124999999999996</v>
      </c>
      <c r="AJ575">
        <f>ROUND((AS575),2)</f>
        <v>0</v>
      </c>
      <c r="AK575">
        <v>1942.27</v>
      </c>
      <c r="AL575">
        <v>1161.26</v>
      </c>
      <c r="AM575">
        <v>192.58</v>
      </c>
      <c r="AN575">
        <v>38.75</v>
      </c>
      <c r="AO575">
        <v>588.42999999999995</v>
      </c>
      <c r="AP575">
        <v>0</v>
      </c>
      <c r="AQ575">
        <v>65.599999999999994</v>
      </c>
      <c r="AR575">
        <v>3.13</v>
      </c>
      <c r="AS575">
        <v>0</v>
      </c>
      <c r="AT575">
        <v>115</v>
      </c>
      <c r="AU575">
        <v>71</v>
      </c>
      <c r="AV575">
        <v>1</v>
      </c>
      <c r="AW575">
        <v>1</v>
      </c>
      <c r="AZ575">
        <v>6.56</v>
      </c>
      <c r="BA575">
        <v>6.56</v>
      </c>
      <c r="BB575">
        <v>6.56</v>
      </c>
      <c r="BC575">
        <v>6.56</v>
      </c>
      <c r="BD575" t="s">
        <v>6</v>
      </c>
      <c r="BE575" t="s">
        <v>6</v>
      </c>
      <c r="BF575" t="s">
        <v>6</v>
      </c>
      <c r="BG575" t="s">
        <v>6</v>
      </c>
      <c r="BH575">
        <v>0</v>
      </c>
      <c r="BI575">
        <v>1</v>
      </c>
      <c r="BJ575" t="s">
        <v>898</v>
      </c>
      <c r="BM575">
        <v>18001</v>
      </c>
      <c r="BN575">
        <v>0</v>
      </c>
      <c r="BO575" t="s">
        <v>6</v>
      </c>
      <c r="BP575">
        <v>0</v>
      </c>
      <c r="BQ575">
        <v>2</v>
      </c>
      <c r="BR575">
        <v>0</v>
      </c>
      <c r="BS575">
        <v>6.56</v>
      </c>
      <c r="BT575">
        <v>1</v>
      </c>
      <c r="BU575">
        <v>1</v>
      </c>
      <c r="BV575">
        <v>1</v>
      </c>
      <c r="BW575">
        <v>1</v>
      </c>
      <c r="BX575">
        <v>1</v>
      </c>
      <c r="BY575" t="s">
        <v>6</v>
      </c>
      <c r="BZ575">
        <v>128</v>
      </c>
      <c r="CA575">
        <v>83</v>
      </c>
      <c r="CF575">
        <v>0</v>
      </c>
      <c r="CG575">
        <v>0</v>
      </c>
      <c r="CM575">
        <v>0</v>
      </c>
      <c r="CN575" t="s">
        <v>1609</v>
      </c>
      <c r="CO575">
        <v>0</v>
      </c>
      <c r="CP575">
        <f>(P575+Q575+S575)</f>
        <v>6524.8899999999994</v>
      </c>
      <c r="CQ575">
        <f>AC575*BC575</f>
        <v>7617.8655999999992</v>
      </c>
      <c r="CR575">
        <f>AD575*BB575</f>
        <v>1579.1887999999999</v>
      </c>
      <c r="CS575">
        <f>AE575*BS575</f>
        <v>317.76639999999998</v>
      </c>
      <c r="CT575">
        <f>AF575*BA575</f>
        <v>4439.0864000000001</v>
      </c>
      <c r="CU575">
        <f t="shared" si="430"/>
        <v>0</v>
      </c>
      <c r="CV575">
        <f t="shared" si="430"/>
        <v>75.439999999999984</v>
      </c>
      <c r="CW575">
        <f t="shared" si="430"/>
        <v>3.9124999999999996</v>
      </c>
      <c r="CX575">
        <f t="shared" si="430"/>
        <v>0</v>
      </c>
      <c r="CY575">
        <f>(((S575+R575)*AT575)/100)</f>
        <v>2617.5725000000002</v>
      </c>
      <c r="CZ575">
        <f>(((S575+R575)*AU575)/100)</f>
        <v>1616.0664999999999</v>
      </c>
      <c r="DC575" t="s">
        <v>6</v>
      </c>
      <c r="DD575" t="s">
        <v>6</v>
      </c>
      <c r="DE575" t="s">
        <v>172</v>
      </c>
      <c r="DF575" t="s">
        <v>172</v>
      </c>
      <c r="DG575" t="s">
        <v>173</v>
      </c>
      <c r="DH575" t="s">
        <v>6</v>
      </c>
      <c r="DI575" t="s">
        <v>173</v>
      </c>
      <c r="DJ575" t="s">
        <v>172</v>
      </c>
      <c r="DK575" t="s">
        <v>6</v>
      </c>
      <c r="DL575" t="s">
        <v>6</v>
      </c>
      <c r="DM575" t="s">
        <v>6</v>
      </c>
      <c r="DN575">
        <v>0</v>
      </c>
      <c r="DO575">
        <v>0</v>
      </c>
      <c r="DP575">
        <v>1</v>
      </c>
      <c r="DQ575">
        <v>1</v>
      </c>
      <c r="DU575">
        <v>1013</v>
      </c>
      <c r="DV575" t="s">
        <v>897</v>
      </c>
      <c r="DW575" t="s">
        <v>897</v>
      </c>
      <c r="DX575">
        <v>1</v>
      </c>
      <c r="EE575">
        <v>16510516</v>
      </c>
      <c r="EF575">
        <v>2</v>
      </c>
      <c r="EG575" t="s">
        <v>22</v>
      </c>
      <c r="EH575">
        <v>0</v>
      </c>
      <c r="EI575" t="s">
        <v>6</v>
      </c>
      <c r="EJ575">
        <v>1</v>
      </c>
      <c r="EK575">
        <v>18001</v>
      </c>
      <c r="EL575" t="s">
        <v>899</v>
      </c>
      <c r="EM575" t="s">
        <v>900</v>
      </c>
      <c r="EO575" t="s">
        <v>176</v>
      </c>
      <c r="EQ575">
        <v>131072</v>
      </c>
      <c r="ER575">
        <v>1942.27</v>
      </c>
      <c r="ES575">
        <v>1161.26</v>
      </c>
      <c r="ET575">
        <v>192.58</v>
      </c>
      <c r="EU575">
        <v>38.75</v>
      </c>
      <c r="EV575">
        <v>588.42999999999995</v>
      </c>
      <c r="EW575">
        <v>65.599999999999994</v>
      </c>
      <c r="EX575">
        <v>3.13</v>
      </c>
      <c r="EY575">
        <v>0</v>
      </c>
      <c r="FQ575">
        <v>0</v>
      </c>
      <c r="FR575">
        <f>ROUND(IF(AND(BH575=3,BI575=3),P575,0),2)</f>
        <v>0</v>
      </c>
      <c r="FS575">
        <v>0</v>
      </c>
      <c r="FT575" t="s">
        <v>25</v>
      </c>
      <c r="FU575" t="s">
        <v>26</v>
      </c>
      <c r="FX575">
        <v>115.2</v>
      </c>
      <c r="FY575">
        <v>70.55</v>
      </c>
      <c r="GA575" t="s">
        <v>6</v>
      </c>
      <c r="GD575">
        <v>0</v>
      </c>
      <c r="GF575">
        <v>-243626587</v>
      </c>
      <c r="GG575">
        <v>1</v>
      </c>
      <c r="GH575">
        <v>1</v>
      </c>
      <c r="GI575">
        <v>4</v>
      </c>
      <c r="GJ575">
        <v>0</v>
      </c>
      <c r="GK575">
        <f>ROUND(R575*(R12)/100,2)</f>
        <v>0</v>
      </c>
      <c r="GL575">
        <f>ROUND(IF(AND(BH575=3,BI575=3,FS575&lt;&gt;0),P575,0),2)</f>
        <v>0</v>
      </c>
      <c r="GM575">
        <f>ROUND(O575+X575+Y575+GK575,2)+GX575</f>
        <v>10758.53</v>
      </c>
      <c r="GN575">
        <f>IF(OR(BI575=0,BI575=1),ROUND(O575+X575+Y575+GK575,2),0)</f>
        <v>10758.53</v>
      </c>
      <c r="GO575">
        <f>IF(BI575=2,ROUND(O575+X575+Y575+GK575,2),0)</f>
        <v>0</v>
      </c>
      <c r="GP575">
        <f>IF(BI575=4,ROUND(O575+X575+Y575+GK575,2)+GX575,0)</f>
        <v>0</v>
      </c>
      <c r="GR575">
        <v>0</v>
      </c>
      <c r="GS575">
        <v>3</v>
      </c>
      <c r="GT575">
        <v>0</v>
      </c>
      <c r="GU575" t="s">
        <v>6</v>
      </c>
      <c r="GV575">
        <f>ROUND(GT575,2)</f>
        <v>0</v>
      </c>
      <c r="GW575">
        <v>1</v>
      </c>
      <c r="GX575">
        <f>ROUND(GV575*GW575*I575,2)</f>
        <v>0</v>
      </c>
      <c r="HA575">
        <v>0</v>
      </c>
      <c r="HB575">
        <v>0</v>
      </c>
      <c r="IK575">
        <v>0</v>
      </c>
    </row>
    <row r="576" spans="1:245" x14ac:dyDescent="0.2">
      <c r="A576">
        <v>18</v>
      </c>
      <c r="B576">
        <v>1</v>
      </c>
      <c r="C576">
        <v>702</v>
      </c>
      <c r="E576" t="s">
        <v>901</v>
      </c>
      <c r="F576" t="s">
        <v>902</v>
      </c>
      <c r="G576" t="s">
        <v>903</v>
      </c>
      <c r="H576" t="s">
        <v>53</v>
      </c>
      <c r="I576">
        <f>I575*J576</f>
        <v>7</v>
      </c>
      <c r="J576">
        <v>14.629049111807733</v>
      </c>
      <c r="O576">
        <f>ROUND(CP576,2)</f>
        <v>62772.639999999999</v>
      </c>
      <c r="P576">
        <f>ROUND(CQ576*I576,2)</f>
        <v>62772.639999999999</v>
      </c>
      <c r="Q576">
        <f>ROUND(CR576*I576,2)</f>
        <v>0</v>
      </c>
      <c r="R576">
        <f>ROUND(CS576*I576,2)</f>
        <v>0</v>
      </c>
      <c r="S576">
        <f>ROUND(CT576*I576,2)</f>
        <v>0</v>
      </c>
      <c r="T576">
        <f>ROUND(CU576*I576,2)</f>
        <v>0</v>
      </c>
      <c r="U576">
        <f>CV576*I576</f>
        <v>0</v>
      </c>
      <c r="V576">
        <f>CW576*I576</f>
        <v>0</v>
      </c>
      <c r="W576">
        <f>ROUND(CX576*I576,2)</f>
        <v>0</v>
      </c>
      <c r="X576">
        <f t="shared" si="429"/>
        <v>0</v>
      </c>
      <c r="Y576">
        <f t="shared" si="429"/>
        <v>0</v>
      </c>
      <c r="AA576">
        <v>16748969</v>
      </c>
      <c r="AB576">
        <f>ROUND((AC576+AD576+AF576),2)</f>
        <v>1367</v>
      </c>
      <c r="AC576">
        <f>ROUND((ES576),2)</f>
        <v>1367</v>
      </c>
      <c r="AD576">
        <f>ROUND((((ET576)-(EU576))+AE576),2)</f>
        <v>0</v>
      </c>
      <c r="AE576">
        <f t="shared" ref="AE576:AF578" si="431">ROUND((EU576),2)</f>
        <v>0</v>
      </c>
      <c r="AF576">
        <f t="shared" si="431"/>
        <v>0</v>
      </c>
      <c r="AG576">
        <f>ROUND((AP576),2)</f>
        <v>0</v>
      </c>
      <c r="AH576">
        <f t="shared" ref="AH576:AI578" si="432">(EW576)</f>
        <v>0</v>
      </c>
      <c r="AI576">
        <f t="shared" si="432"/>
        <v>0</v>
      </c>
      <c r="AJ576">
        <f>ROUND((AS576),2)</f>
        <v>0</v>
      </c>
      <c r="AK576">
        <v>1367</v>
      </c>
      <c r="AL576">
        <v>1367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0</v>
      </c>
      <c r="AS576">
        <v>0</v>
      </c>
      <c r="AT576">
        <v>115</v>
      </c>
      <c r="AU576">
        <v>71</v>
      </c>
      <c r="AV576">
        <v>1</v>
      </c>
      <c r="AW576">
        <v>1</v>
      </c>
      <c r="AZ576">
        <v>6.56</v>
      </c>
      <c r="BA576">
        <v>1</v>
      </c>
      <c r="BB576">
        <v>1</v>
      </c>
      <c r="BC576">
        <v>6.56</v>
      </c>
      <c r="BD576" t="s">
        <v>6</v>
      </c>
      <c r="BE576" t="s">
        <v>6</v>
      </c>
      <c r="BF576" t="s">
        <v>6</v>
      </c>
      <c r="BG576" t="s">
        <v>6</v>
      </c>
      <c r="BH576">
        <v>3</v>
      </c>
      <c r="BI576">
        <v>1</v>
      </c>
      <c r="BJ576" t="s">
        <v>904</v>
      </c>
      <c r="BM576">
        <v>18001</v>
      </c>
      <c r="BN576">
        <v>0</v>
      </c>
      <c r="BO576" t="s">
        <v>6</v>
      </c>
      <c r="BP576">
        <v>0</v>
      </c>
      <c r="BQ576">
        <v>2</v>
      </c>
      <c r="BR576">
        <v>0</v>
      </c>
      <c r="BS576">
        <v>1</v>
      </c>
      <c r="BT576">
        <v>1</v>
      </c>
      <c r="BU576">
        <v>1</v>
      </c>
      <c r="BV576">
        <v>1</v>
      </c>
      <c r="BW576">
        <v>1</v>
      </c>
      <c r="BX576">
        <v>1</v>
      </c>
      <c r="BY576" t="s">
        <v>6</v>
      </c>
      <c r="BZ576">
        <v>128</v>
      </c>
      <c r="CA576">
        <v>83</v>
      </c>
      <c r="CF576">
        <v>0</v>
      </c>
      <c r="CG576">
        <v>0</v>
      </c>
      <c r="CM576">
        <v>0</v>
      </c>
      <c r="CN576" t="s">
        <v>6</v>
      </c>
      <c r="CO576">
        <v>0</v>
      </c>
      <c r="CP576">
        <f>(P576+Q576+S576)</f>
        <v>62772.639999999999</v>
      </c>
      <c r="CQ576">
        <f>AC576*BC576</f>
        <v>8967.5199999999986</v>
      </c>
      <c r="CR576">
        <f>AD576*BB576</f>
        <v>0</v>
      </c>
      <c r="CS576">
        <f>AE576*BS576</f>
        <v>0</v>
      </c>
      <c r="CT576">
        <f>AF576*BA576</f>
        <v>0</v>
      </c>
      <c r="CU576">
        <f t="shared" si="430"/>
        <v>0</v>
      </c>
      <c r="CV576">
        <f t="shared" si="430"/>
        <v>0</v>
      </c>
      <c r="CW576">
        <f t="shared" si="430"/>
        <v>0</v>
      </c>
      <c r="CX576">
        <f t="shared" si="430"/>
        <v>0</v>
      </c>
      <c r="CY576">
        <f>(((S576+R576)*AT576)/100)</f>
        <v>0</v>
      </c>
      <c r="CZ576">
        <f>(((S576+R576)*AU576)/100)</f>
        <v>0</v>
      </c>
      <c r="DC576" t="s">
        <v>6</v>
      </c>
      <c r="DD576" t="s">
        <v>6</v>
      </c>
      <c r="DE576" t="s">
        <v>6</v>
      </c>
      <c r="DF576" t="s">
        <v>6</v>
      </c>
      <c r="DG576" t="s">
        <v>6</v>
      </c>
      <c r="DH576" t="s">
        <v>6</v>
      </c>
      <c r="DI576" t="s">
        <v>6</v>
      </c>
      <c r="DJ576" t="s">
        <v>6</v>
      </c>
      <c r="DK576" t="s">
        <v>6</v>
      </c>
      <c r="DL576" t="s">
        <v>6</v>
      </c>
      <c r="DM576" t="s">
        <v>6</v>
      </c>
      <c r="DN576">
        <v>0</v>
      </c>
      <c r="DO576">
        <v>0</v>
      </c>
      <c r="DP576">
        <v>1</v>
      </c>
      <c r="DQ576">
        <v>1</v>
      </c>
      <c r="DU576">
        <v>1010</v>
      </c>
      <c r="DV576" t="s">
        <v>53</v>
      </c>
      <c r="DW576" t="s">
        <v>53</v>
      </c>
      <c r="DX576">
        <v>1</v>
      </c>
      <c r="EE576">
        <v>16510516</v>
      </c>
      <c r="EF576">
        <v>2</v>
      </c>
      <c r="EG576" t="s">
        <v>22</v>
      </c>
      <c r="EH576">
        <v>0</v>
      </c>
      <c r="EI576" t="s">
        <v>6</v>
      </c>
      <c r="EJ576">
        <v>1</v>
      </c>
      <c r="EK576">
        <v>18001</v>
      </c>
      <c r="EL576" t="s">
        <v>899</v>
      </c>
      <c r="EM576" t="s">
        <v>900</v>
      </c>
      <c r="EO576" t="s">
        <v>6</v>
      </c>
      <c r="EQ576">
        <v>0</v>
      </c>
      <c r="ER576">
        <v>1367</v>
      </c>
      <c r="ES576">
        <v>1367</v>
      </c>
      <c r="ET576">
        <v>0</v>
      </c>
      <c r="EU576">
        <v>0</v>
      </c>
      <c r="EV576">
        <v>0</v>
      </c>
      <c r="EW576">
        <v>0</v>
      </c>
      <c r="EX576">
        <v>0</v>
      </c>
      <c r="FQ576">
        <v>0</v>
      </c>
      <c r="FR576">
        <f>ROUND(IF(AND(BH576=3,BI576=3),P576,0),2)</f>
        <v>0</v>
      </c>
      <c r="FS576">
        <v>0</v>
      </c>
      <c r="FT576" t="s">
        <v>25</v>
      </c>
      <c r="FU576" t="s">
        <v>26</v>
      </c>
      <c r="FX576">
        <v>115.2</v>
      </c>
      <c r="FY576">
        <v>70.55</v>
      </c>
      <c r="GA576" t="s">
        <v>6</v>
      </c>
      <c r="GD576">
        <v>0</v>
      </c>
      <c r="GF576">
        <v>821608564</v>
      </c>
      <c r="GG576">
        <v>1</v>
      </c>
      <c r="GH576">
        <v>1</v>
      </c>
      <c r="GI576">
        <v>4</v>
      </c>
      <c r="GJ576">
        <v>0</v>
      </c>
      <c r="GK576">
        <f>ROUND(R576*(R12)/100,2)</f>
        <v>0</v>
      </c>
      <c r="GL576">
        <f>ROUND(IF(AND(BH576=3,BI576=3,FS576&lt;&gt;0),P576,0),2)</f>
        <v>0</v>
      </c>
      <c r="GM576">
        <f>ROUND(O576+X576+Y576+GK576,2)+GX576</f>
        <v>62772.639999999999</v>
      </c>
      <c r="GN576">
        <f>IF(OR(BI576=0,BI576=1),ROUND(O576+X576+Y576+GK576,2),0)</f>
        <v>62772.639999999999</v>
      </c>
      <c r="GO576">
        <f>IF(BI576=2,ROUND(O576+X576+Y576+GK576,2),0)</f>
        <v>0</v>
      </c>
      <c r="GP576">
        <f>IF(BI576=4,ROUND(O576+X576+Y576+GK576,2)+GX576,0)</f>
        <v>0</v>
      </c>
      <c r="GR576">
        <v>0</v>
      </c>
      <c r="GS576">
        <v>3</v>
      </c>
      <c r="GT576">
        <v>0</v>
      </c>
      <c r="GU576" t="s">
        <v>6</v>
      </c>
      <c r="GV576">
        <f>ROUND(GT576,2)</f>
        <v>0</v>
      </c>
      <c r="GW576">
        <v>1</v>
      </c>
      <c r="GX576">
        <f>ROUND(GV576*GW576*I576,2)</f>
        <v>0</v>
      </c>
      <c r="HA576">
        <v>0</v>
      </c>
      <c r="HB576">
        <v>0</v>
      </c>
      <c r="IK576">
        <v>0</v>
      </c>
    </row>
    <row r="577" spans="1:245" x14ac:dyDescent="0.2">
      <c r="A577">
        <v>18</v>
      </c>
      <c r="B577">
        <v>1</v>
      </c>
      <c r="C577">
        <v>700</v>
      </c>
      <c r="E577" t="s">
        <v>905</v>
      </c>
      <c r="F577" t="s">
        <v>906</v>
      </c>
      <c r="G577" t="s">
        <v>907</v>
      </c>
      <c r="H577" t="s">
        <v>53</v>
      </c>
      <c r="I577">
        <f>I575*J577</f>
        <v>14</v>
      </c>
      <c r="J577">
        <v>29.258098223615466</v>
      </c>
      <c r="O577">
        <f>ROUND(CP577,2)</f>
        <v>3803.09</v>
      </c>
      <c r="P577">
        <f>ROUND(CQ577*I577,2)</f>
        <v>3803.09</v>
      </c>
      <c r="Q577">
        <f>ROUND(CR577*I577,2)</f>
        <v>0</v>
      </c>
      <c r="R577">
        <f>ROUND(CS577*I577,2)</f>
        <v>0</v>
      </c>
      <c r="S577">
        <f>ROUND(CT577*I577,2)</f>
        <v>0</v>
      </c>
      <c r="T577">
        <f>ROUND(CU577*I577,2)</f>
        <v>0</v>
      </c>
      <c r="U577">
        <f>CV577*I577</f>
        <v>0</v>
      </c>
      <c r="V577">
        <f>CW577*I577</f>
        <v>0</v>
      </c>
      <c r="W577">
        <f>ROUND(CX577*I577,2)</f>
        <v>0</v>
      </c>
      <c r="X577">
        <f t="shared" si="429"/>
        <v>0</v>
      </c>
      <c r="Y577">
        <f t="shared" si="429"/>
        <v>0</v>
      </c>
      <c r="AA577">
        <v>16748969</v>
      </c>
      <c r="AB577">
        <f>ROUND((AC577+AD577+AF577),2)</f>
        <v>41.41</v>
      </c>
      <c r="AC577">
        <f>ROUND((ES577),2)</f>
        <v>41.41</v>
      </c>
      <c r="AD577">
        <f>ROUND((((ET577)-(EU577))+AE577),2)</f>
        <v>0</v>
      </c>
      <c r="AE577">
        <f t="shared" si="431"/>
        <v>0</v>
      </c>
      <c r="AF577">
        <f t="shared" si="431"/>
        <v>0</v>
      </c>
      <c r="AG577">
        <f>ROUND((AP577),2)</f>
        <v>0</v>
      </c>
      <c r="AH577">
        <f t="shared" si="432"/>
        <v>0</v>
      </c>
      <c r="AI577">
        <f t="shared" si="432"/>
        <v>0</v>
      </c>
      <c r="AJ577">
        <f>ROUND((AS577),2)</f>
        <v>0</v>
      </c>
      <c r="AK577">
        <v>41.41</v>
      </c>
      <c r="AL577">
        <v>41.41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0</v>
      </c>
      <c r="AS577">
        <v>0</v>
      </c>
      <c r="AT577">
        <v>115</v>
      </c>
      <c r="AU577">
        <v>71</v>
      </c>
      <c r="AV577">
        <v>1</v>
      </c>
      <c r="AW577">
        <v>1</v>
      </c>
      <c r="AZ577">
        <v>6.56</v>
      </c>
      <c r="BA577">
        <v>1</v>
      </c>
      <c r="BB577">
        <v>1</v>
      </c>
      <c r="BC577">
        <v>6.56</v>
      </c>
      <c r="BD577" t="s">
        <v>6</v>
      </c>
      <c r="BE577" t="s">
        <v>6</v>
      </c>
      <c r="BF577" t="s">
        <v>6</v>
      </c>
      <c r="BG577" t="s">
        <v>6</v>
      </c>
      <c r="BH577">
        <v>3</v>
      </c>
      <c r="BI577">
        <v>1</v>
      </c>
      <c r="BJ577" t="s">
        <v>908</v>
      </c>
      <c r="BM577">
        <v>16001</v>
      </c>
      <c r="BN577">
        <v>0</v>
      </c>
      <c r="BO577" t="s">
        <v>6</v>
      </c>
      <c r="BP577">
        <v>0</v>
      </c>
      <c r="BQ577">
        <v>2</v>
      </c>
      <c r="BR577">
        <v>0</v>
      </c>
      <c r="BS577">
        <v>1</v>
      </c>
      <c r="BT577">
        <v>1</v>
      </c>
      <c r="BU577">
        <v>1</v>
      </c>
      <c r="BV577">
        <v>1</v>
      </c>
      <c r="BW577">
        <v>1</v>
      </c>
      <c r="BX577">
        <v>1</v>
      </c>
      <c r="BY577" t="s">
        <v>6</v>
      </c>
      <c r="BZ577">
        <v>128</v>
      </c>
      <c r="CA577">
        <v>83</v>
      </c>
      <c r="CF577">
        <v>0</v>
      </c>
      <c r="CG577">
        <v>0</v>
      </c>
      <c r="CM577">
        <v>0</v>
      </c>
      <c r="CN577" t="s">
        <v>6</v>
      </c>
      <c r="CO577">
        <v>0</v>
      </c>
      <c r="CP577">
        <f>(P577+Q577+S577)</f>
        <v>3803.09</v>
      </c>
      <c r="CQ577">
        <f>AC577*BC577</f>
        <v>271.64959999999996</v>
      </c>
      <c r="CR577">
        <f>AD577*BB577</f>
        <v>0</v>
      </c>
      <c r="CS577">
        <f>AE577*BS577</f>
        <v>0</v>
      </c>
      <c r="CT577">
        <f>AF577*BA577</f>
        <v>0</v>
      </c>
      <c r="CU577">
        <f t="shared" si="430"/>
        <v>0</v>
      </c>
      <c r="CV577">
        <f t="shared" si="430"/>
        <v>0</v>
      </c>
      <c r="CW577">
        <f t="shared" si="430"/>
        <v>0</v>
      </c>
      <c r="CX577">
        <f t="shared" si="430"/>
        <v>0</v>
      </c>
      <c r="CY577">
        <f>(((S577+R577)*AT577)/100)</f>
        <v>0</v>
      </c>
      <c r="CZ577">
        <f>(((S577+R577)*AU577)/100)</f>
        <v>0</v>
      </c>
      <c r="DC577" t="s">
        <v>6</v>
      </c>
      <c r="DD577" t="s">
        <v>6</v>
      </c>
      <c r="DE577" t="s">
        <v>6</v>
      </c>
      <c r="DF577" t="s">
        <v>6</v>
      </c>
      <c r="DG577" t="s">
        <v>6</v>
      </c>
      <c r="DH577" t="s">
        <v>6</v>
      </c>
      <c r="DI577" t="s">
        <v>6</v>
      </c>
      <c r="DJ577" t="s">
        <v>6</v>
      </c>
      <c r="DK577" t="s">
        <v>6</v>
      </c>
      <c r="DL577" t="s">
        <v>6</v>
      </c>
      <c r="DM577" t="s">
        <v>6</v>
      </c>
      <c r="DN577">
        <v>0</v>
      </c>
      <c r="DO577">
        <v>0</v>
      </c>
      <c r="DP577">
        <v>1</v>
      </c>
      <c r="DQ577">
        <v>1</v>
      </c>
      <c r="DU577">
        <v>1010</v>
      </c>
      <c r="DV577" t="s">
        <v>53</v>
      </c>
      <c r="DW577" t="s">
        <v>53</v>
      </c>
      <c r="DX577">
        <v>1</v>
      </c>
      <c r="EE577">
        <v>16510514</v>
      </c>
      <c r="EF577">
        <v>2</v>
      </c>
      <c r="EG577" t="s">
        <v>22</v>
      </c>
      <c r="EH577">
        <v>0</v>
      </c>
      <c r="EI577" t="s">
        <v>6</v>
      </c>
      <c r="EJ577">
        <v>1</v>
      </c>
      <c r="EK577">
        <v>16001</v>
      </c>
      <c r="EL577" t="s">
        <v>909</v>
      </c>
      <c r="EM577" t="s">
        <v>910</v>
      </c>
      <c r="EO577" t="s">
        <v>6</v>
      </c>
      <c r="EQ577">
        <v>0</v>
      </c>
      <c r="ER577">
        <v>41.41</v>
      </c>
      <c r="ES577">
        <v>41.41</v>
      </c>
      <c r="ET577">
        <v>0</v>
      </c>
      <c r="EU577">
        <v>0</v>
      </c>
      <c r="EV577">
        <v>0</v>
      </c>
      <c r="EW577">
        <v>0</v>
      </c>
      <c r="EX577">
        <v>0</v>
      </c>
      <c r="FQ577">
        <v>0</v>
      </c>
      <c r="FR577">
        <f>ROUND(IF(AND(BH577=3,BI577=3),P577,0),2)</f>
        <v>0</v>
      </c>
      <c r="FS577">
        <v>0</v>
      </c>
      <c r="FT577" t="s">
        <v>25</v>
      </c>
      <c r="FU577" t="s">
        <v>26</v>
      </c>
      <c r="FX577">
        <v>115.2</v>
      </c>
      <c r="FY577">
        <v>70.55</v>
      </c>
      <c r="GA577" t="s">
        <v>6</v>
      </c>
      <c r="GD577">
        <v>0</v>
      </c>
      <c r="GF577">
        <v>458687168</v>
      </c>
      <c r="GG577">
        <v>1</v>
      </c>
      <c r="GH577">
        <v>1</v>
      </c>
      <c r="GI577">
        <v>4</v>
      </c>
      <c r="GJ577">
        <v>0</v>
      </c>
      <c r="GK577">
        <f>ROUND(R577*(R12)/100,2)</f>
        <v>0</v>
      </c>
      <c r="GL577">
        <f>ROUND(IF(AND(BH577=3,BI577=3,FS577&lt;&gt;0),P577,0),2)</f>
        <v>0</v>
      </c>
      <c r="GM577">
        <f>ROUND(O577+X577+Y577+GK577,2)+GX577</f>
        <v>3803.09</v>
      </c>
      <c r="GN577">
        <f>IF(OR(BI577=0,BI577=1),ROUND(O577+X577+Y577+GK577,2),0)</f>
        <v>3803.09</v>
      </c>
      <c r="GO577">
        <f>IF(BI577=2,ROUND(O577+X577+Y577+GK577,2),0)</f>
        <v>0</v>
      </c>
      <c r="GP577">
        <f>IF(BI577=4,ROUND(O577+X577+Y577+GK577,2)+GX577,0)</f>
        <v>0</v>
      </c>
      <c r="GR577">
        <v>0</v>
      </c>
      <c r="GS577">
        <v>3</v>
      </c>
      <c r="GT577">
        <v>0</v>
      </c>
      <c r="GU577" t="s">
        <v>6</v>
      </c>
      <c r="GV577">
        <f>ROUND(GT577,2)</f>
        <v>0</v>
      </c>
      <c r="GW577">
        <v>1</v>
      </c>
      <c r="GX577">
        <f>ROUND(GV577*GW577*I577,2)</f>
        <v>0</v>
      </c>
      <c r="HA577">
        <v>0</v>
      </c>
      <c r="HB577">
        <v>0</v>
      </c>
      <c r="IK577">
        <v>0</v>
      </c>
    </row>
    <row r="578" spans="1:245" x14ac:dyDescent="0.2">
      <c r="A578">
        <v>18</v>
      </c>
      <c r="B578">
        <v>1</v>
      </c>
      <c r="C578">
        <v>703</v>
      </c>
      <c r="E578" t="s">
        <v>911</v>
      </c>
      <c r="F578" t="s">
        <v>912</v>
      </c>
      <c r="G578" t="s">
        <v>913</v>
      </c>
      <c r="H578" t="s">
        <v>914</v>
      </c>
      <c r="I578">
        <f>I575*J578</f>
        <v>47.85</v>
      </c>
      <c r="J578">
        <v>100</v>
      </c>
      <c r="O578">
        <f>ROUND(CP578,2)</f>
        <v>0</v>
      </c>
      <c r="P578">
        <f>ROUND(CQ578*I578,2)</f>
        <v>0</v>
      </c>
      <c r="Q578">
        <f>ROUND(CR578*I578,2)</f>
        <v>0</v>
      </c>
      <c r="R578">
        <f>ROUND(CS578*I578,2)</f>
        <v>0</v>
      </c>
      <c r="S578">
        <f>ROUND(CT578*I578,2)</f>
        <v>0</v>
      </c>
      <c r="T578">
        <f>ROUND(CU578*I578,2)</f>
        <v>0</v>
      </c>
      <c r="U578">
        <f>CV578*I578</f>
        <v>0</v>
      </c>
      <c r="V578">
        <f>CW578*I578</f>
        <v>0</v>
      </c>
      <c r="W578">
        <f>ROUND(CX578*I578,2)</f>
        <v>0</v>
      </c>
      <c r="X578">
        <f t="shared" si="429"/>
        <v>0</v>
      </c>
      <c r="Y578">
        <f t="shared" si="429"/>
        <v>0</v>
      </c>
      <c r="AA578">
        <v>16748969</v>
      </c>
      <c r="AB578">
        <f>ROUND((AC578+AD578+AF578),2)</f>
        <v>0</v>
      </c>
      <c r="AC578">
        <f>ROUND((ES578),2)</f>
        <v>0</v>
      </c>
      <c r="AD578">
        <f>ROUND((((ET578)-(EU578))+AE578),2)</f>
        <v>0</v>
      </c>
      <c r="AE578">
        <f t="shared" si="431"/>
        <v>0</v>
      </c>
      <c r="AF578">
        <f t="shared" si="431"/>
        <v>0</v>
      </c>
      <c r="AG578">
        <f>ROUND((AP578),2)</f>
        <v>0</v>
      </c>
      <c r="AH578">
        <f t="shared" si="432"/>
        <v>0</v>
      </c>
      <c r="AI578">
        <f t="shared" si="432"/>
        <v>0</v>
      </c>
      <c r="AJ578">
        <f>ROUND((AS578),2)</f>
        <v>0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0</v>
      </c>
      <c r="AS578">
        <v>0</v>
      </c>
      <c r="AT578">
        <v>115</v>
      </c>
      <c r="AU578">
        <v>71</v>
      </c>
      <c r="AV578">
        <v>1</v>
      </c>
      <c r="AW578">
        <v>1</v>
      </c>
      <c r="AZ578">
        <v>6.56</v>
      </c>
      <c r="BA578">
        <v>1</v>
      </c>
      <c r="BB578">
        <v>1</v>
      </c>
      <c r="BC578">
        <v>6.56</v>
      </c>
      <c r="BD578" t="s">
        <v>6</v>
      </c>
      <c r="BE578" t="s">
        <v>6</v>
      </c>
      <c r="BF578" t="s">
        <v>6</v>
      </c>
      <c r="BG578" t="s">
        <v>6</v>
      </c>
      <c r="BH578">
        <v>3</v>
      </c>
      <c r="BI578">
        <v>1</v>
      </c>
      <c r="BJ578" t="s">
        <v>6</v>
      </c>
      <c r="BM578">
        <v>18001</v>
      </c>
      <c r="BN578">
        <v>0</v>
      </c>
      <c r="BO578" t="s">
        <v>6</v>
      </c>
      <c r="BP578">
        <v>0</v>
      </c>
      <c r="BQ578">
        <v>2</v>
      </c>
      <c r="BR578">
        <v>0</v>
      </c>
      <c r="BS578">
        <v>1</v>
      </c>
      <c r="BT578">
        <v>1</v>
      </c>
      <c r="BU578">
        <v>1</v>
      </c>
      <c r="BV578">
        <v>1</v>
      </c>
      <c r="BW578">
        <v>1</v>
      </c>
      <c r="BX578">
        <v>1</v>
      </c>
      <c r="BY578" t="s">
        <v>6</v>
      </c>
      <c r="BZ578">
        <v>128</v>
      </c>
      <c r="CA578">
        <v>83</v>
      </c>
      <c r="CF578">
        <v>0</v>
      </c>
      <c r="CG578">
        <v>0</v>
      </c>
      <c r="CM578">
        <v>0</v>
      </c>
      <c r="CN578" t="s">
        <v>6</v>
      </c>
      <c r="CO578">
        <v>0</v>
      </c>
      <c r="CP578">
        <f>(P578+Q578+S578)</f>
        <v>0</v>
      </c>
      <c r="CQ578">
        <f>AC578*BC578</f>
        <v>0</v>
      </c>
      <c r="CR578">
        <f>AD578*BB578</f>
        <v>0</v>
      </c>
      <c r="CS578">
        <f>AE578*BS578</f>
        <v>0</v>
      </c>
      <c r="CT578">
        <f>AF578*BA578</f>
        <v>0</v>
      </c>
      <c r="CU578">
        <f t="shared" si="430"/>
        <v>0</v>
      </c>
      <c r="CV578">
        <f t="shared" si="430"/>
        <v>0</v>
      </c>
      <c r="CW578">
        <f t="shared" si="430"/>
        <v>0</v>
      </c>
      <c r="CX578">
        <f t="shared" si="430"/>
        <v>0</v>
      </c>
      <c r="CY578">
        <f>(((S578+R578)*AT578)/100)</f>
        <v>0</v>
      </c>
      <c r="CZ578">
        <f>(((S578+R578)*AU578)/100)</f>
        <v>0</v>
      </c>
      <c r="DC578" t="s">
        <v>6</v>
      </c>
      <c r="DD578" t="s">
        <v>6</v>
      </c>
      <c r="DE578" t="s">
        <v>6</v>
      </c>
      <c r="DF578" t="s">
        <v>6</v>
      </c>
      <c r="DG578" t="s">
        <v>6</v>
      </c>
      <c r="DH578" t="s">
        <v>6</v>
      </c>
      <c r="DI578" t="s">
        <v>6</v>
      </c>
      <c r="DJ578" t="s">
        <v>6</v>
      </c>
      <c r="DK578" t="s">
        <v>6</v>
      </c>
      <c r="DL578" t="s">
        <v>6</v>
      </c>
      <c r="DM578" t="s">
        <v>6</v>
      </c>
      <c r="DN578">
        <v>0</v>
      </c>
      <c r="DO578">
        <v>0</v>
      </c>
      <c r="DP578">
        <v>1</v>
      </c>
      <c r="DQ578">
        <v>1</v>
      </c>
      <c r="DU578">
        <v>1013</v>
      </c>
      <c r="DV578" t="s">
        <v>914</v>
      </c>
      <c r="DW578" t="s">
        <v>914</v>
      </c>
      <c r="DX578">
        <v>1</v>
      </c>
      <c r="EE578">
        <v>16510516</v>
      </c>
      <c r="EF578">
        <v>2</v>
      </c>
      <c r="EG578" t="s">
        <v>22</v>
      </c>
      <c r="EH578">
        <v>0</v>
      </c>
      <c r="EI578" t="s">
        <v>6</v>
      </c>
      <c r="EJ578">
        <v>1</v>
      </c>
      <c r="EK578">
        <v>18001</v>
      </c>
      <c r="EL578" t="s">
        <v>899</v>
      </c>
      <c r="EM578" t="s">
        <v>900</v>
      </c>
      <c r="EO578" t="s">
        <v>6</v>
      </c>
      <c r="EQ578">
        <v>0</v>
      </c>
      <c r="ER578">
        <v>0</v>
      </c>
      <c r="ES578">
        <v>0</v>
      </c>
      <c r="ET578">
        <v>0</v>
      </c>
      <c r="EU578">
        <v>0</v>
      </c>
      <c r="EV578">
        <v>0</v>
      </c>
      <c r="EW578">
        <v>0</v>
      </c>
      <c r="EX578">
        <v>0</v>
      </c>
      <c r="FQ578">
        <v>0</v>
      </c>
      <c r="FR578">
        <f>ROUND(IF(AND(BH578=3,BI578=3),P578,0),2)</f>
        <v>0</v>
      </c>
      <c r="FS578">
        <v>0</v>
      </c>
      <c r="FT578" t="s">
        <v>25</v>
      </c>
      <c r="FU578" t="s">
        <v>26</v>
      </c>
      <c r="FX578">
        <v>115.2</v>
      </c>
      <c r="FY578">
        <v>70.55</v>
      </c>
      <c r="GA578" t="s">
        <v>6</v>
      </c>
      <c r="GD578">
        <v>0</v>
      </c>
      <c r="GF578">
        <v>704408924</v>
      </c>
      <c r="GG578">
        <v>1</v>
      </c>
      <c r="GH578">
        <v>1</v>
      </c>
      <c r="GI578">
        <v>4</v>
      </c>
      <c r="GJ578">
        <v>0</v>
      </c>
      <c r="GK578">
        <f>ROUND(R578*(R12)/100,2)</f>
        <v>0</v>
      </c>
      <c r="GL578">
        <f>ROUND(IF(AND(BH578=3,BI578=3,FS578&lt;&gt;0),P578,0),2)</f>
        <v>0</v>
      </c>
      <c r="GM578">
        <f>ROUND(O578+X578+Y578+GK578,2)+GX578</f>
        <v>0</v>
      </c>
      <c r="GN578">
        <f>IF(OR(BI578=0,BI578=1),ROUND(O578+X578+Y578+GK578,2),0)</f>
        <v>0</v>
      </c>
      <c r="GO578">
        <f>IF(BI578=2,ROUND(O578+X578+Y578+GK578,2),0)</f>
        <v>0</v>
      </c>
      <c r="GP578">
        <f>IF(BI578=4,ROUND(O578+X578+Y578+GK578,2)+GX578,0)</f>
        <v>0</v>
      </c>
      <c r="GR578">
        <v>0</v>
      </c>
      <c r="GS578">
        <v>3</v>
      </c>
      <c r="GT578">
        <v>0</v>
      </c>
      <c r="GU578" t="s">
        <v>6</v>
      </c>
      <c r="GV578">
        <f>ROUND(GT578,2)</f>
        <v>0</v>
      </c>
      <c r="GW578">
        <v>1</v>
      </c>
      <c r="GX578">
        <f>ROUND(GV578*GW578*I578,2)</f>
        <v>0</v>
      </c>
      <c r="HA578">
        <v>0</v>
      </c>
      <c r="HB578">
        <v>0</v>
      </c>
      <c r="IK578">
        <v>0</v>
      </c>
    </row>
    <row r="580" spans="1:245" x14ac:dyDescent="0.2">
      <c r="A580" s="2">
        <v>51</v>
      </c>
      <c r="B580" s="2">
        <f>B570</f>
        <v>1</v>
      </c>
      <c r="C580" s="2">
        <f>A570</f>
        <v>4</v>
      </c>
      <c r="D580" s="2">
        <f>ROW(A570)</f>
        <v>570</v>
      </c>
      <c r="E580" s="2"/>
      <c r="F580" s="2" t="str">
        <f>IF(F570&lt;&gt;"",F570,"")</f>
        <v>Новый раздел</v>
      </c>
      <c r="G580" s="2" t="str">
        <f>IF(G570&lt;&gt;"",G570,"")</f>
        <v>6 Отопление</v>
      </c>
      <c r="H580" s="2">
        <v>0</v>
      </c>
      <c r="I580" s="2"/>
      <c r="J580" s="2"/>
      <c r="K580" s="2"/>
      <c r="L580" s="2"/>
      <c r="M580" s="2"/>
      <c r="N580" s="2"/>
      <c r="O580" s="2">
        <f t="shared" ref="O580:T580" si="433">ROUND(AB580,2)</f>
        <v>73530.3</v>
      </c>
      <c r="P580" s="2">
        <f t="shared" si="433"/>
        <v>70220.88</v>
      </c>
      <c r="Q580" s="2">
        <f t="shared" si="433"/>
        <v>787.79</v>
      </c>
      <c r="R580" s="2">
        <f t="shared" si="433"/>
        <v>165.94</v>
      </c>
      <c r="S580" s="2">
        <f t="shared" si="433"/>
        <v>2521.63</v>
      </c>
      <c r="T580" s="2">
        <f t="shared" si="433"/>
        <v>0</v>
      </c>
      <c r="U580" s="2">
        <f>AH580</f>
        <v>43.798039999999993</v>
      </c>
      <c r="V580" s="2">
        <f>AI580</f>
        <v>2.0289312499999999</v>
      </c>
      <c r="W580" s="2">
        <f>ROUND(AJ580,2)</f>
        <v>0</v>
      </c>
      <c r="X580" s="2">
        <f>ROUND(AK580,2)</f>
        <v>2922.02</v>
      </c>
      <c r="Y580" s="2">
        <f>ROUND(AL580,2)</f>
        <v>1821.78</v>
      </c>
      <c r="Z580" s="2"/>
      <c r="AA580" s="2"/>
      <c r="AB580" s="2">
        <f>ROUND(SUMIF(AA574:AA578,"=16748969",O574:O578),2)</f>
        <v>73530.3</v>
      </c>
      <c r="AC580" s="2">
        <f>ROUND(SUMIF(AA574:AA578,"=16748969",P574:P578),2)</f>
        <v>70220.88</v>
      </c>
      <c r="AD580" s="2">
        <f>ROUND(SUMIF(AA574:AA578,"=16748969",Q574:Q578),2)</f>
        <v>787.79</v>
      </c>
      <c r="AE580" s="2">
        <f>ROUND(SUMIF(AA574:AA578,"=16748969",R574:R578),2)</f>
        <v>165.94</v>
      </c>
      <c r="AF580" s="2">
        <f>ROUND(SUMIF(AA574:AA578,"=16748969",S574:S578),2)</f>
        <v>2521.63</v>
      </c>
      <c r="AG580" s="2">
        <f>ROUND(SUMIF(AA574:AA578,"=16748969",T574:T578),2)</f>
        <v>0</v>
      </c>
      <c r="AH580" s="2">
        <f>SUMIF(AA574:AA578,"=16748969",U574:U578)</f>
        <v>43.798039999999993</v>
      </c>
      <c r="AI580" s="2">
        <f>SUMIF(AA574:AA578,"=16748969",V574:V578)</f>
        <v>2.0289312499999999</v>
      </c>
      <c r="AJ580" s="2">
        <f>ROUND(SUMIF(AA574:AA578,"=16748969",W574:W578),2)</f>
        <v>0</v>
      </c>
      <c r="AK580" s="2">
        <f>ROUND(SUMIF(AA574:AA578,"=16748969",X574:X578),2)</f>
        <v>2922.02</v>
      </c>
      <c r="AL580" s="2">
        <f>ROUND(SUMIF(AA574:AA578,"=16748969",Y574:Y578),2)</f>
        <v>1821.78</v>
      </c>
      <c r="AM580" s="2"/>
      <c r="AN580" s="2"/>
      <c r="AO580" s="2">
        <f t="shared" ref="AO580:BC580" si="434">ROUND(BX580,2)</f>
        <v>0</v>
      </c>
      <c r="AP580" s="2">
        <f t="shared" si="434"/>
        <v>0</v>
      </c>
      <c r="AQ580" s="2">
        <f t="shared" si="434"/>
        <v>0</v>
      </c>
      <c r="AR580" s="2">
        <f t="shared" si="434"/>
        <v>78274.100000000006</v>
      </c>
      <c r="AS580" s="2">
        <f t="shared" si="434"/>
        <v>78274.100000000006</v>
      </c>
      <c r="AT580" s="2">
        <f t="shared" si="434"/>
        <v>0</v>
      </c>
      <c r="AU580" s="2">
        <f t="shared" si="434"/>
        <v>0</v>
      </c>
      <c r="AV580" s="2">
        <f t="shared" si="434"/>
        <v>70220.88</v>
      </c>
      <c r="AW580" s="2">
        <f t="shared" si="434"/>
        <v>70220.88</v>
      </c>
      <c r="AX580" s="2">
        <f t="shared" si="434"/>
        <v>0</v>
      </c>
      <c r="AY580" s="2">
        <f t="shared" si="434"/>
        <v>70220.88</v>
      </c>
      <c r="AZ580" s="2">
        <f t="shared" si="434"/>
        <v>0</v>
      </c>
      <c r="BA580" s="2">
        <f t="shared" si="434"/>
        <v>0</v>
      </c>
      <c r="BB580" s="2">
        <f t="shared" si="434"/>
        <v>0</v>
      </c>
      <c r="BC580" s="2">
        <f t="shared" si="434"/>
        <v>0</v>
      </c>
      <c r="BD580" s="2"/>
      <c r="BE580" s="2"/>
      <c r="BF580" s="2"/>
      <c r="BG580" s="2"/>
      <c r="BH580" s="2"/>
      <c r="BI580" s="2"/>
      <c r="BJ580" s="2"/>
      <c r="BK580" s="2"/>
      <c r="BL580" s="2"/>
      <c r="BM580" s="2"/>
      <c r="BN580" s="2"/>
      <c r="BO580" s="2"/>
      <c r="BP580" s="2"/>
      <c r="BQ580" s="2"/>
      <c r="BR580" s="2"/>
      <c r="BS580" s="2"/>
      <c r="BT580" s="2"/>
      <c r="BU580" s="2"/>
      <c r="BV580" s="2"/>
      <c r="BW580" s="2"/>
      <c r="BX580" s="2">
        <f>ROUND(SUMIF(AA574:AA578,"=16748969",FQ574:FQ578),2)</f>
        <v>0</v>
      </c>
      <c r="BY580" s="2">
        <f>ROUND(SUMIF(AA574:AA578,"=16748969",FR574:FR578),2)</f>
        <v>0</v>
      </c>
      <c r="BZ580" s="2">
        <f>ROUND(SUMIF(AA574:AA578,"=16748969",GL574:GL578),2)</f>
        <v>0</v>
      </c>
      <c r="CA580" s="2">
        <f>ROUND(SUMIF(AA574:AA578,"=16748969",GM574:GM578),2)</f>
        <v>78274.100000000006</v>
      </c>
      <c r="CB580" s="2">
        <f>ROUND(SUMIF(AA574:AA578,"=16748969",GN574:GN578),2)</f>
        <v>78274.100000000006</v>
      </c>
      <c r="CC580" s="2">
        <f>ROUND(SUMIF(AA574:AA578,"=16748969",GO574:GO578),2)</f>
        <v>0</v>
      </c>
      <c r="CD580" s="2">
        <f>ROUND(SUMIF(AA574:AA578,"=16748969",GP574:GP578),2)</f>
        <v>0</v>
      </c>
      <c r="CE580" s="2">
        <f>AC580-BX580</f>
        <v>70220.88</v>
      </c>
      <c r="CF580" s="2">
        <f>AC580-BY580</f>
        <v>70220.88</v>
      </c>
      <c r="CG580" s="2">
        <f>BX580-BZ580</f>
        <v>0</v>
      </c>
      <c r="CH580" s="2">
        <f>AC580-BX580-BY580+BZ580</f>
        <v>70220.88</v>
      </c>
      <c r="CI580" s="2">
        <f>BY580-BZ580</f>
        <v>0</v>
      </c>
      <c r="CJ580" s="2">
        <f>ROUND(SUMIF(AA574:AA578,"=16748969",GX574:GX578),2)</f>
        <v>0</v>
      </c>
      <c r="CK580" s="2">
        <f>ROUND(SUMIF(AA574:AA578,"=16748969",GY574:GY578),2)</f>
        <v>0</v>
      </c>
      <c r="CL580" s="2">
        <f>ROUND(SUMIF(AA574:AA578,"=16748969",GZ574:GZ578),2)</f>
        <v>0</v>
      </c>
      <c r="CM580" s="2"/>
      <c r="CN580" s="2"/>
      <c r="CO580" s="2"/>
      <c r="CP580" s="2"/>
      <c r="CQ580" s="2"/>
      <c r="CR580" s="2"/>
      <c r="CS580" s="2"/>
      <c r="CT580" s="2"/>
      <c r="CU580" s="2"/>
      <c r="CV580" s="2"/>
      <c r="CW580" s="2"/>
      <c r="CX580" s="2"/>
      <c r="CY580" s="2"/>
      <c r="CZ580" s="2"/>
      <c r="DA580" s="2"/>
      <c r="DB580" s="2"/>
      <c r="DC580" s="2"/>
      <c r="DD580" s="2"/>
      <c r="DE580" s="2"/>
      <c r="DF580" s="2"/>
      <c r="DG580" s="3"/>
      <c r="DH580" s="3"/>
      <c r="DI580" s="3"/>
      <c r="DJ580" s="3"/>
      <c r="DK580" s="3"/>
      <c r="DL580" s="3"/>
      <c r="DM580" s="3"/>
      <c r="DN580" s="3"/>
      <c r="DO580" s="3"/>
      <c r="DP580" s="3"/>
      <c r="DQ580" s="3"/>
      <c r="DR580" s="3"/>
      <c r="DS580" s="3"/>
      <c r="DT580" s="3"/>
      <c r="DU580" s="3"/>
      <c r="DV580" s="3"/>
      <c r="DW580" s="3"/>
      <c r="DX580" s="3"/>
      <c r="DY580" s="3"/>
      <c r="DZ580" s="3"/>
      <c r="EA580" s="3"/>
      <c r="EB580" s="3"/>
      <c r="EC580" s="3"/>
      <c r="ED580" s="3"/>
      <c r="EE580" s="3"/>
      <c r="EF580" s="3"/>
      <c r="EG580" s="3"/>
      <c r="EH580" s="3"/>
      <c r="EI580" s="3"/>
      <c r="EJ580" s="3"/>
      <c r="EK580" s="3"/>
      <c r="EL580" s="3"/>
      <c r="EM580" s="3"/>
      <c r="EN580" s="3"/>
      <c r="EO580" s="3"/>
      <c r="EP580" s="3"/>
      <c r="EQ580" s="3"/>
      <c r="ER580" s="3"/>
      <c r="ES580" s="3"/>
      <c r="ET580" s="3"/>
      <c r="EU580" s="3"/>
      <c r="EV580" s="3"/>
      <c r="EW580" s="3"/>
      <c r="EX580" s="3"/>
      <c r="EY580" s="3"/>
      <c r="EZ580" s="3"/>
      <c r="FA580" s="3"/>
      <c r="FB580" s="3"/>
      <c r="FC580" s="3"/>
      <c r="FD580" s="3"/>
      <c r="FE580" s="3"/>
      <c r="FF580" s="3"/>
      <c r="FG580" s="3"/>
      <c r="FH580" s="3"/>
      <c r="FI580" s="3"/>
      <c r="FJ580" s="3"/>
      <c r="FK580" s="3"/>
      <c r="FL580" s="3"/>
      <c r="FM580" s="3"/>
      <c r="FN580" s="3"/>
      <c r="FO580" s="3"/>
      <c r="FP580" s="3"/>
      <c r="FQ580" s="3"/>
      <c r="FR580" s="3"/>
      <c r="FS580" s="3"/>
      <c r="FT580" s="3"/>
      <c r="FU580" s="3"/>
      <c r="FV580" s="3"/>
      <c r="FW580" s="3"/>
      <c r="FX580" s="3"/>
      <c r="FY580" s="3"/>
      <c r="FZ580" s="3"/>
      <c r="GA580" s="3"/>
      <c r="GB580" s="3"/>
      <c r="GC580" s="3"/>
      <c r="GD580" s="3"/>
      <c r="GE580" s="3"/>
      <c r="GF580" s="3"/>
      <c r="GG580" s="3"/>
      <c r="GH580" s="3"/>
      <c r="GI580" s="3"/>
      <c r="GJ580" s="3"/>
      <c r="GK580" s="3"/>
      <c r="GL580" s="3"/>
      <c r="GM580" s="3"/>
      <c r="GN580" s="3"/>
      <c r="GO580" s="3"/>
      <c r="GP580" s="3"/>
      <c r="GQ580" s="3"/>
      <c r="GR580" s="3"/>
      <c r="GS580" s="3"/>
      <c r="GT580" s="3"/>
      <c r="GU580" s="3"/>
      <c r="GV580" s="3"/>
      <c r="GW580" s="3"/>
      <c r="GX580" s="3">
        <v>0</v>
      </c>
    </row>
    <row r="582" spans="1:245" x14ac:dyDescent="0.2">
      <c r="A582" s="4">
        <v>50</v>
      </c>
      <c r="B582" s="4">
        <v>0</v>
      </c>
      <c r="C582" s="4">
        <v>0</v>
      </c>
      <c r="D582" s="4">
        <v>1</v>
      </c>
      <c r="E582" s="4">
        <v>201</v>
      </c>
      <c r="F582" s="4">
        <f>ROUND(Source!O580,O582)</f>
        <v>73530.3</v>
      </c>
      <c r="G582" s="4" t="s">
        <v>115</v>
      </c>
      <c r="H582" s="4" t="s">
        <v>116</v>
      </c>
      <c r="I582" s="4"/>
      <c r="J582" s="4"/>
      <c r="K582" s="4">
        <v>201</v>
      </c>
      <c r="L582" s="4">
        <v>1</v>
      </c>
      <c r="M582" s="4">
        <v>3</v>
      </c>
      <c r="N582" s="4" t="s">
        <v>6</v>
      </c>
      <c r="O582" s="4">
        <v>2</v>
      </c>
      <c r="P582" s="4"/>
      <c r="Q582" s="4"/>
      <c r="R582" s="4"/>
      <c r="S582" s="4"/>
      <c r="T582" s="4"/>
      <c r="U582" s="4"/>
      <c r="V582" s="4"/>
      <c r="W582" s="4"/>
    </row>
    <row r="583" spans="1:245" x14ac:dyDescent="0.2">
      <c r="A583" s="4">
        <v>50</v>
      </c>
      <c r="B583" s="4">
        <v>0</v>
      </c>
      <c r="C583" s="4">
        <v>0</v>
      </c>
      <c r="D583" s="4">
        <v>1</v>
      </c>
      <c r="E583" s="4">
        <v>202</v>
      </c>
      <c r="F583" s="4">
        <f>ROUND(Source!P580,O583)</f>
        <v>70220.88</v>
      </c>
      <c r="G583" s="4" t="s">
        <v>117</v>
      </c>
      <c r="H583" s="4" t="s">
        <v>118</v>
      </c>
      <c r="I583" s="4"/>
      <c r="J583" s="4"/>
      <c r="K583" s="4">
        <v>202</v>
      </c>
      <c r="L583" s="4">
        <v>2</v>
      </c>
      <c r="M583" s="4">
        <v>3</v>
      </c>
      <c r="N583" s="4" t="s">
        <v>6</v>
      </c>
      <c r="O583" s="4">
        <v>2</v>
      </c>
      <c r="P583" s="4"/>
      <c r="Q583" s="4"/>
      <c r="R583" s="4"/>
      <c r="S583" s="4"/>
      <c r="T583" s="4"/>
      <c r="U583" s="4"/>
      <c r="V583" s="4"/>
      <c r="W583" s="4"/>
    </row>
    <row r="584" spans="1:245" x14ac:dyDescent="0.2">
      <c r="A584" s="4">
        <v>50</v>
      </c>
      <c r="B584" s="4">
        <v>0</v>
      </c>
      <c r="C584" s="4">
        <v>0</v>
      </c>
      <c r="D584" s="4">
        <v>1</v>
      </c>
      <c r="E584" s="4">
        <v>222</v>
      </c>
      <c r="F584" s="4">
        <f>ROUND(Source!AO580,O584)</f>
        <v>0</v>
      </c>
      <c r="G584" s="4" t="s">
        <v>119</v>
      </c>
      <c r="H584" s="4" t="s">
        <v>120</v>
      </c>
      <c r="I584" s="4"/>
      <c r="J584" s="4"/>
      <c r="K584" s="4">
        <v>222</v>
      </c>
      <c r="L584" s="4">
        <v>3</v>
      </c>
      <c r="M584" s="4">
        <v>3</v>
      </c>
      <c r="N584" s="4" t="s">
        <v>6</v>
      </c>
      <c r="O584" s="4">
        <v>2</v>
      </c>
      <c r="P584" s="4"/>
      <c r="Q584" s="4"/>
      <c r="R584" s="4"/>
      <c r="S584" s="4"/>
      <c r="T584" s="4"/>
      <c r="U584" s="4"/>
      <c r="V584" s="4"/>
      <c r="W584" s="4"/>
    </row>
    <row r="585" spans="1:245" x14ac:dyDescent="0.2">
      <c r="A585" s="4">
        <v>50</v>
      </c>
      <c r="B585" s="4">
        <v>0</v>
      </c>
      <c r="C585" s="4">
        <v>0</v>
      </c>
      <c r="D585" s="4">
        <v>1</v>
      </c>
      <c r="E585" s="4">
        <v>225</v>
      </c>
      <c r="F585" s="4">
        <f>ROUND(Source!AV580,O585)</f>
        <v>70220.88</v>
      </c>
      <c r="G585" s="4" t="s">
        <v>121</v>
      </c>
      <c r="H585" s="4" t="s">
        <v>122</v>
      </c>
      <c r="I585" s="4"/>
      <c r="J585" s="4"/>
      <c r="K585" s="4">
        <v>225</v>
      </c>
      <c r="L585" s="4">
        <v>4</v>
      </c>
      <c r="M585" s="4">
        <v>3</v>
      </c>
      <c r="N585" s="4" t="s">
        <v>6</v>
      </c>
      <c r="O585" s="4">
        <v>2</v>
      </c>
      <c r="P585" s="4"/>
      <c r="Q585" s="4"/>
      <c r="R585" s="4"/>
      <c r="S585" s="4"/>
      <c r="T585" s="4"/>
      <c r="U585" s="4"/>
      <c r="V585" s="4"/>
      <c r="W585" s="4"/>
    </row>
    <row r="586" spans="1:245" x14ac:dyDescent="0.2">
      <c r="A586" s="4">
        <v>50</v>
      </c>
      <c r="B586" s="4">
        <v>0</v>
      </c>
      <c r="C586" s="4">
        <v>0</v>
      </c>
      <c r="D586" s="4">
        <v>1</v>
      </c>
      <c r="E586" s="4">
        <v>226</v>
      </c>
      <c r="F586" s="4">
        <f>ROUND(Source!AW580,O586)</f>
        <v>70220.88</v>
      </c>
      <c r="G586" s="4" t="s">
        <v>123</v>
      </c>
      <c r="H586" s="4" t="s">
        <v>124</v>
      </c>
      <c r="I586" s="4"/>
      <c r="J586" s="4"/>
      <c r="K586" s="4">
        <v>226</v>
      </c>
      <c r="L586" s="4">
        <v>5</v>
      </c>
      <c r="M586" s="4">
        <v>3</v>
      </c>
      <c r="N586" s="4" t="s">
        <v>6</v>
      </c>
      <c r="O586" s="4">
        <v>2</v>
      </c>
      <c r="P586" s="4"/>
      <c r="Q586" s="4"/>
      <c r="R586" s="4"/>
      <c r="S586" s="4"/>
      <c r="T586" s="4"/>
      <c r="U586" s="4"/>
      <c r="V586" s="4"/>
      <c r="W586" s="4"/>
    </row>
    <row r="587" spans="1:245" x14ac:dyDescent="0.2">
      <c r="A587" s="4">
        <v>50</v>
      </c>
      <c r="B587" s="4">
        <v>0</v>
      </c>
      <c r="C587" s="4">
        <v>0</v>
      </c>
      <c r="D587" s="4">
        <v>1</v>
      </c>
      <c r="E587" s="4">
        <v>227</v>
      </c>
      <c r="F587" s="4">
        <f>ROUND(Source!AX580,O587)</f>
        <v>0</v>
      </c>
      <c r="G587" s="4" t="s">
        <v>125</v>
      </c>
      <c r="H587" s="4" t="s">
        <v>126</v>
      </c>
      <c r="I587" s="4"/>
      <c r="J587" s="4"/>
      <c r="K587" s="4">
        <v>227</v>
      </c>
      <c r="L587" s="4">
        <v>6</v>
      </c>
      <c r="M587" s="4">
        <v>3</v>
      </c>
      <c r="N587" s="4" t="s">
        <v>6</v>
      </c>
      <c r="O587" s="4">
        <v>2</v>
      </c>
      <c r="P587" s="4"/>
      <c r="Q587" s="4"/>
      <c r="R587" s="4"/>
      <c r="S587" s="4"/>
      <c r="T587" s="4"/>
      <c r="U587" s="4"/>
      <c r="V587" s="4"/>
      <c r="W587" s="4"/>
    </row>
    <row r="588" spans="1:245" x14ac:dyDescent="0.2">
      <c r="A588" s="4">
        <v>50</v>
      </c>
      <c r="B588" s="4">
        <v>0</v>
      </c>
      <c r="C588" s="4">
        <v>0</v>
      </c>
      <c r="D588" s="4">
        <v>1</v>
      </c>
      <c r="E588" s="4">
        <v>228</v>
      </c>
      <c r="F588" s="4">
        <f>ROUND(Source!AY580,O588)</f>
        <v>70220.88</v>
      </c>
      <c r="G588" s="4" t="s">
        <v>127</v>
      </c>
      <c r="H588" s="4" t="s">
        <v>128</v>
      </c>
      <c r="I588" s="4"/>
      <c r="J588" s="4"/>
      <c r="K588" s="4">
        <v>228</v>
      </c>
      <c r="L588" s="4">
        <v>7</v>
      </c>
      <c r="M588" s="4">
        <v>3</v>
      </c>
      <c r="N588" s="4" t="s">
        <v>6</v>
      </c>
      <c r="O588" s="4">
        <v>2</v>
      </c>
      <c r="P588" s="4"/>
      <c r="Q588" s="4"/>
      <c r="R588" s="4"/>
      <c r="S588" s="4"/>
      <c r="T588" s="4"/>
      <c r="U588" s="4"/>
      <c r="V588" s="4"/>
      <c r="W588" s="4"/>
    </row>
    <row r="589" spans="1:245" x14ac:dyDescent="0.2">
      <c r="A589" s="4">
        <v>50</v>
      </c>
      <c r="B589" s="4">
        <v>0</v>
      </c>
      <c r="C589" s="4">
        <v>0</v>
      </c>
      <c r="D589" s="4">
        <v>1</v>
      </c>
      <c r="E589" s="4">
        <v>216</v>
      </c>
      <c r="F589" s="4">
        <f>ROUND(Source!AP580,O589)</f>
        <v>0</v>
      </c>
      <c r="G589" s="4" t="s">
        <v>129</v>
      </c>
      <c r="H589" s="4" t="s">
        <v>130</v>
      </c>
      <c r="I589" s="4"/>
      <c r="J589" s="4"/>
      <c r="K589" s="4">
        <v>216</v>
      </c>
      <c r="L589" s="4">
        <v>8</v>
      </c>
      <c r="M589" s="4">
        <v>3</v>
      </c>
      <c r="N589" s="4" t="s">
        <v>6</v>
      </c>
      <c r="O589" s="4">
        <v>2</v>
      </c>
      <c r="P589" s="4"/>
      <c r="Q589" s="4"/>
      <c r="R589" s="4"/>
      <c r="S589" s="4"/>
      <c r="T589" s="4"/>
      <c r="U589" s="4"/>
      <c r="V589" s="4"/>
      <c r="W589" s="4"/>
    </row>
    <row r="590" spans="1:245" x14ac:dyDescent="0.2">
      <c r="A590" s="4">
        <v>50</v>
      </c>
      <c r="B590" s="4">
        <v>0</v>
      </c>
      <c r="C590" s="4">
        <v>0</v>
      </c>
      <c r="D590" s="4">
        <v>1</v>
      </c>
      <c r="E590" s="4">
        <v>223</v>
      </c>
      <c r="F590" s="4">
        <f>ROUND(Source!AQ580,O590)</f>
        <v>0</v>
      </c>
      <c r="G590" s="4" t="s">
        <v>131</v>
      </c>
      <c r="H590" s="4" t="s">
        <v>132</v>
      </c>
      <c r="I590" s="4"/>
      <c r="J590" s="4"/>
      <c r="K590" s="4">
        <v>223</v>
      </c>
      <c r="L590" s="4">
        <v>9</v>
      </c>
      <c r="M590" s="4">
        <v>3</v>
      </c>
      <c r="N590" s="4" t="s">
        <v>6</v>
      </c>
      <c r="O590" s="4">
        <v>2</v>
      </c>
      <c r="P590" s="4"/>
      <c r="Q590" s="4"/>
      <c r="R590" s="4"/>
      <c r="S590" s="4"/>
      <c r="T590" s="4"/>
      <c r="U590" s="4"/>
      <c r="V590" s="4"/>
      <c r="W590" s="4"/>
    </row>
    <row r="591" spans="1:245" x14ac:dyDescent="0.2">
      <c r="A591" s="4">
        <v>50</v>
      </c>
      <c r="B591" s="4">
        <v>0</v>
      </c>
      <c r="C591" s="4">
        <v>0</v>
      </c>
      <c r="D591" s="4">
        <v>1</v>
      </c>
      <c r="E591" s="4">
        <v>229</v>
      </c>
      <c r="F591" s="4">
        <f>ROUND(Source!AZ580,O591)</f>
        <v>0</v>
      </c>
      <c r="G591" s="4" t="s">
        <v>133</v>
      </c>
      <c r="H591" s="4" t="s">
        <v>134</v>
      </c>
      <c r="I591" s="4"/>
      <c r="J591" s="4"/>
      <c r="K591" s="4">
        <v>229</v>
      </c>
      <c r="L591" s="4">
        <v>10</v>
      </c>
      <c r="M591" s="4">
        <v>3</v>
      </c>
      <c r="N591" s="4" t="s">
        <v>6</v>
      </c>
      <c r="O591" s="4">
        <v>2</v>
      </c>
      <c r="P591" s="4"/>
      <c r="Q591" s="4"/>
      <c r="R591" s="4"/>
      <c r="S591" s="4"/>
      <c r="T591" s="4"/>
      <c r="U591" s="4"/>
      <c r="V591" s="4"/>
      <c r="W591" s="4"/>
    </row>
    <row r="592" spans="1:245" x14ac:dyDescent="0.2">
      <c r="A592" s="4">
        <v>50</v>
      </c>
      <c r="B592" s="4">
        <v>0</v>
      </c>
      <c r="C592" s="4">
        <v>0</v>
      </c>
      <c r="D592" s="4">
        <v>1</v>
      </c>
      <c r="E592" s="4">
        <v>203</v>
      </c>
      <c r="F592" s="4">
        <f>ROUND(Source!Q580,O592)</f>
        <v>787.79</v>
      </c>
      <c r="G592" s="4" t="s">
        <v>135</v>
      </c>
      <c r="H592" s="4" t="s">
        <v>136</v>
      </c>
      <c r="I592" s="4"/>
      <c r="J592" s="4"/>
      <c r="K592" s="4">
        <v>203</v>
      </c>
      <c r="L592" s="4">
        <v>11</v>
      </c>
      <c r="M592" s="4">
        <v>3</v>
      </c>
      <c r="N592" s="4" t="s">
        <v>6</v>
      </c>
      <c r="O592" s="4">
        <v>2</v>
      </c>
      <c r="P592" s="4"/>
      <c r="Q592" s="4"/>
      <c r="R592" s="4"/>
      <c r="S592" s="4"/>
      <c r="T592" s="4"/>
      <c r="U592" s="4"/>
      <c r="V592" s="4"/>
      <c r="W592" s="4"/>
    </row>
    <row r="593" spans="1:23" x14ac:dyDescent="0.2">
      <c r="A593" s="4">
        <v>50</v>
      </c>
      <c r="B593" s="4">
        <v>0</v>
      </c>
      <c r="C593" s="4">
        <v>0</v>
      </c>
      <c r="D593" s="4">
        <v>1</v>
      </c>
      <c r="E593" s="4">
        <v>231</v>
      </c>
      <c r="F593" s="4">
        <f>ROUND(Source!BB580,O593)</f>
        <v>0</v>
      </c>
      <c r="G593" s="4" t="s">
        <v>137</v>
      </c>
      <c r="H593" s="4" t="s">
        <v>138</v>
      </c>
      <c r="I593" s="4"/>
      <c r="J593" s="4"/>
      <c r="K593" s="4">
        <v>231</v>
      </c>
      <c r="L593" s="4">
        <v>12</v>
      </c>
      <c r="M593" s="4">
        <v>3</v>
      </c>
      <c r="N593" s="4" t="s">
        <v>6</v>
      </c>
      <c r="O593" s="4">
        <v>2</v>
      </c>
      <c r="P593" s="4"/>
      <c r="Q593" s="4"/>
      <c r="R593" s="4"/>
      <c r="S593" s="4"/>
      <c r="T593" s="4"/>
      <c r="U593" s="4"/>
      <c r="V593" s="4"/>
      <c r="W593" s="4"/>
    </row>
    <row r="594" spans="1:23" x14ac:dyDescent="0.2">
      <c r="A594" s="4">
        <v>50</v>
      </c>
      <c r="B594" s="4">
        <v>0</v>
      </c>
      <c r="C594" s="4">
        <v>0</v>
      </c>
      <c r="D594" s="4">
        <v>1</v>
      </c>
      <c r="E594" s="4">
        <v>204</v>
      </c>
      <c r="F594" s="4">
        <f>ROUND(Source!R580,O594)</f>
        <v>165.94</v>
      </c>
      <c r="G594" s="4" t="s">
        <v>139</v>
      </c>
      <c r="H594" s="4" t="s">
        <v>140</v>
      </c>
      <c r="I594" s="4"/>
      <c r="J594" s="4"/>
      <c r="K594" s="4">
        <v>204</v>
      </c>
      <c r="L594" s="4">
        <v>13</v>
      </c>
      <c r="M594" s="4">
        <v>3</v>
      </c>
      <c r="N594" s="4" t="s">
        <v>6</v>
      </c>
      <c r="O594" s="4">
        <v>2</v>
      </c>
      <c r="P594" s="4"/>
      <c r="Q594" s="4"/>
      <c r="R594" s="4"/>
      <c r="S594" s="4"/>
      <c r="T594" s="4"/>
      <c r="U594" s="4"/>
      <c r="V594" s="4"/>
      <c r="W594" s="4"/>
    </row>
    <row r="595" spans="1:23" x14ac:dyDescent="0.2">
      <c r="A595" s="4">
        <v>50</v>
      </c>
      <c r="B595" s="4">
        <v>0</v>
      </c>
      <c r="C595" s="4">
        <v>0</v>
      </c>
      <c r="D595" s="4">
        <v>1</v>
      </c>
      <c r="E595" s="4">
        <v>205</v>
      </c>
      <c r="F595" s="4">
        <f>ROUND(Source!S580,O595)</f>
        <v>2521.63</v>
      </c>
      <c r="G595" s="4" t="s">
        <v>141</v>
      </c>
      <c r="H595" s="4" t="s">
        <v>142</v>
      </c>
      <c r="I595" s="4"/>
      <c r="J595" s="4"/>
      <c r="K595" s="4">
        <v>205</v>
      </c>
      <c r="L595" s="4">
        <v>14</v>
      </c>
      <c r="M595" s="4">
        <v>3</v>
      </c>
      <c r="N595" s="4" t="s">
        <v>6</v>
      </c>
      <c r="O595" s="4">
        <v>2</v>
      </c>
      <c r="P595" s="4"/>
      <c r="Q595" s="4"/>
      <c r="R595" s="4"/>
      <c r="S595" s="4"/>
      <c r="T595" s="4"/>
      <c r="U595" s="4"/>
      <c r="V595" s="4"/>
      <c r="W595" s="4"/>
    </row>
    <row r="596" spans="1:23" x14ac:dyDescent="0.2">
      <c r="A596" s="4">
        <v>50</v>
      </c>
      <c r="B596" s="4">
        <v>0</v>
      </c>
      <c r="C596" s="4">
        <v>0</v>
      </c>
      <c r="D596" s="4">
        <v>1</v>
      </c>
      <c r="E596" s="4">
        <v>232</v>
      </c>
      <c r="F596" s="4">
        <f>ROUND(Source!BC580,O596)</f>
        <v>0</v>
      </c>
      <c r="G596" s="4" t="s">
        <v>143</v>
      </c>
      <c r="H596" s="4" t="s">
        <v>144</v>
      </c>
      <c r="I596" s="4"/>
      <c r="J596" s="4"/>
      <c r="K596" s="4">
        <v>232</v>
      </c>
      <c r="L596" s="4">
        <v>15</v>
      </c>
      <c r="M596" s="4">
        <v>3</v>
      </c>
      <c r="N596" s="4" t="s">
        <v>6</v>
      </c>
      <c r="O596" s="4">
        <v>2</v>
      </c>
      <c r="P596" s="4"/>
      <c r="Q596" s="4"/>
      <c r="R596" s="4"/>
      <c r="S596" s="4"/>
      <c r="T596" s="4"/>
      <c r="U596" s="4"/>
      <c r="V596" s="4"/>
      <c r="W596" s="4"/>
    </row>
    <row r="597" spans="1:23" x14ac:dyDescent="0.2">
      <c r="A597" s="4">
        <v>50</v>
      </c>
      <c r="B597" s="4">
        <v>0</v>
      </c>
      <c r="C597" s="4">
        <v>0</v>
      </c>
      <c r="D597" s="4">
        <v>1</v>
      </c>
      <c r="E597" s="4">
        <v>214</v>
      </c>
      <c r="F597" s="4">
        <f>ROUND(Source!AS580,O597)</f>
        <v>78274.100000000006</v>
      </c>
      <c r="G597" s="4" t="s">
        <v>145</v>
      </c>
      <c r="H597" s="4" t="s">
        <v>146</v>
      </c>
      <c r="I597" s="4"/>
      <c r="J597" s="4"/>
      <c r="K597" s="4">
        <v>214</v>
      </c>
      <c r="L597" s="4">
        <v>16</v>
      </c>
      <c r="M597" s="4">
        <v>3</v>
      </c>
      <c r="N597" s="4" t="s">
        <v>6</v>
      </c>
      <c r="O597" s="4">
        <v>2</v>
      </c>
      <c r="P597" s="4"/>
      <c r="Q597" s="4"/>
      <c r="R597" s="4"/>
      <c r="S597" s="4"/>
      <c r="T597" s="4"/>
      <c r="U597" s="4"/>
      <c r="V597" s="4"/>
      <c r="W597" s="4"/>
    </row>
    <row r="598" spans="1:23" x14ac:dyDescent="0.2">
      <c r="A598" s="4">
        <v>50</v>
      </c>
      <c r="B598" s="4">
        <v>0</v>
      </c>
      <c r="C598" s="4">
        <v>0</v>
      </c>
      <c r="D598" s="4">
        <v>1</v>
      </c>
      <c r="E598" s="4">
        <v>215</v>
      </c>
      <c r="F598" s="4">
        <f>ROUND(Source!AT580,O598)</f>
        <v>0</v>
      </c>
      <c r="G598" s="4" t="s">
        <v>147</v>
      </c>
      <c r="H598" s="4" t="s">
        <v>148</v>
      </c>
      <c r="I598" s="4"/>
      <c r="J598" s="4"/>
      <c r="K598" s="4">
        <v>215</v>
      </c>
      <c r="L598" s="4">
        <v>17</v>
      </c>
      <c r="M598" s="4">
        <v>3</v>
      </c>
      <c r="N598" s="4" t="s">
        <v>6</v>
      </c>
      <c r="O598" s="4">
        <v>2</v>
      </c>
      <c r="P598" s="4"/>
      <c r="Q598" s="4"/>
      <c r="R598" s="4"/>
      <c r="S598" s="4"/>
      <c r="T598" s="4"/>
      <c r="U598" s="4"/>
      <c r="V598" s="4"/>
      <c r="W598" s="4"/>
    </row>
    <row r="599" spans="1:23" x14ac:dyDescent="0.2">
      <c r="A599" s="4">
        <v>50</v>
      </c>
      <c r="B599" s="4">
        <v>0</v>
      </c>
      <c r="C599" s="4">
        <v>0</v>
      </c>
      <c r="D599" s="4">
        <v>1</v>
      </c>
      <c r="E599" s="4">
        <v>217</v>
      </c>
      <c r="F599" s="4">
        <f>ROUND(Source!AU580,O599)</f>
        <v>0</v>
      </c>
      <c r="G599" s="4" t="s">
        <v>149</v>
      </c>
      <c r="H599" s="4" t="s">
        <v>150</v>
      </c>
      <c r="I599" s="4"/>
      <c r="J599" s="4"/>
      <c r="K599" s="4">
        <v>217</v>
      </c>
      <c r="L599" s="4">
        <v>18</v>
      </c>
      <c r="M599" s="4">
        <v>3</v>
      </c>
      <c r="N599" s="4" t="s">
        <v>6</v>
      </c>
      <c r="O599" s="4">
        <v>2</v>
      </c>
      <c r="P599" s="4"/>
      <c r="Q599" s="4"/>
      <c r="R599" s="4"/>
      <c r="S599" s="4"/>
      <c r="T599" s="4"/>
      <c r="U599" s="4"/>
      <c r="V599" s="4"/>
      <c r="W599" s="4"/>
    </row>
    <row r="600" spans="1:23" x14ac:dyDescent="0.2">
      <c r="A600" s="4">
        <v>50</v>
      </c>
      <c r="B600" s="4">
        <v>0</v>
      </c>
      <c r="C600" s="4">
        <v>0</v>
      </c>
      <c r="D600" s="4">
        <v>1</v>
      </c>
      <c r="E600" s="4">
        <v>230</v>
      </c>
      <c r="F600" s="4">
        <f>ROUND(Source!BA580,O600)</f>
        <v>0</v>
      </c>
      <c r="G600" s="4" t="s">
        <v>151</v>
      </c>
      <c r="H600" s="4" t="s">
        <v>152</v>
      </c>
      <c r="I600" s="4"/>
      <c r="J600" s="4"/>
      <c r="K600" s="4">
        <v>230</v>
      </c>
      <c r="L600" s="4">
        <v>19</v>
      </c>
      <c r="M600" s="4">
        <v>3</v>
      </c>
      <c r="N600" s="4" t="s">
        <v>6</v>
      </c>
      <c r="O600" s="4">
        <v>2</v>
      </c>
      <c r="P600" s="4"/>
      <c r="Q600" s="4"/>
      <c r="R600" s="4"/>
      <c r="S600" s="4"/>
      <c r="T600" s="4"/>
      <c r="U600" s="4"/>
      <c r="V600" s="4"/>
      <c r="W600" s="4"/>
    </row>
    <row r="601" spans="1:23" x14ac:dyDescent="0.2">
      <c r="A601" s="4">
        <v>50</v>
      </c>
      <c r="B601" s="4">
        <v>0</v>
      </c>
      <c r="C601" s="4">
        <v>0</v>
      </c>
      <c r="D601" s="4">
        <v>1</v>
      </c>
      <c r="E601" s="4">
        <v>206</v>
      </c>
      <c r="F601" s="4">
        <f>ROUND(Source!T580,O601)</f>
        <v>0</v>
      </c>
      <c r="G601" s="4" t="s">
        <v>153</v>
      </c>
      <c r="H601" s="4" t="s">
        <v>154</v>
      </c>
      <c r="I601" s="4"/>
      <c r="J601" s="4"/>
      <c r="K601" s="4">
        <v>206</v>
      </c>
      <c r="L601" s="4">
        <v>20</v>
      </c>
      <c r="M601" s="4">
        <v>3</v>
      </c>
      <c r="N601" s="4" t="s">
        <v>6</v>
      </c>
      <c r="O601" s="4">
        <v>2</v>
      </c>
      <c r="P601" s="4"/>
      <c r="Q601" s="4"/>
      <c r="R601" s="4"/>
      <c r="S601" s="4"/>
      <c r="T601" s="4"/>
      <c r="U601" s="4"/>
      <c r="V601" s="4"/>
      <c r="W601" s="4"/>
    </row>
    <row r="602" spans="1:23" x14ac:dyDescent="0.2">
      <c r="A602" s="4">
        <v>50</v>
      </c>
      <c r="B602" s="4">
        <v>0</v>
      </c>
      <c r="C602" s="4">
        <v>0</v>
      </c>
      <c r="D602" s="4">
        <v>1</v>
      </c>
      <c r="E602" s="4">
        <v>207</v>
      </c>
      <c r="F602" s="4">
        <f>Source!U580</f>
        <v>43.798039999999993</v>
      </c>
      <c r="G602" s="4" t="s">
        <v>155</v>
      </c>
      <c r="H602" s="4" t="s">
        <v>156</v>
      </c>
      <c r="I602" s="4"/>
      <c r="J602" s="4"/>
      <c r="K602" s="4">
        <v>207</v>
      </c>
      <c r="L602" s="4">
        <v>21</v>
      </c>
      <c r="M602" s="4">
        <v>3</v>
      </c>
      <c r="N602" s="4" t="s">
        <v>6</v>
      </c>
      <c r="O602" s="4">
        <v>-1</v>
      </c>
      <c r="P602" s="4"/>
      <c r="Q602" s="4"/>
      <c r="R602" s="4"/>
      <c r="S602" s="4"/>
      <c r="T602" s="4"/>
      <c r="U602" s="4"/>
      <c r="V602" s="4"/>
      <c r="W602" s="4"/>
    </row>
    <row r="603" spans="1:23" x14ac:dyDescent="0.2">
      <c r="A603" s="4">
        <v>50</v>
      </c>
      <c r="B603" s="4">
        <v>0</v>
      </c>
      <c r="C603" s="4">
        <v>0</v>
      </c>
      <c r="D603" s="4">
        <v>1</v>
      </c>
      <c r="E603" s="4">
        <v>208</v>
      </c>
      <c r="F603" s="4">
        <f>Source!V580</f>
        <v>2.0289312499999999</v>
      </c>
      <c r="G603" s="4" t="s">
        <v>157</v>
      </c>
      <c r="H603" s="4" t="s">
        <v>158</v>
      </c>
      <c r="I603" s="4"/>
      <c r="J603" s="4"/>
      <c r="K603" s="4">
        <v>208</v>
      </c>
      <c r="L603" s="4">
        <v>22</v>
      </c>
      <c r="M603" s="4">
        <v>3</v>
      </c>
      <c r="N603" s="4" t="s">
        <v>6</v>
      </c>
      <c r="O603" s="4">
        <v>-1</v>
      </c>
      <c r="P603" s="4"/>
      <c r="Q603" s="4"/>
      <c r="R603" s="4"/>
      <c r="S603" s="4"/>
      <c r="T603" s="4"/>
      <c r="U603" s="4"/>
      <c r="V603" s="4"/>
      <c r="W603" s="4"/>
    </row>
    <row r="604" spans="1:23" x14ac:dyDescent="0.2">
      <c r="A604" s="4">
        <v>50</v>
      </c>
      <c r="B604" s="4">
        <v>0</v>
      </c>
      <c r="C604" s="4">
        <v>0</v>
      </c>
      <c r="D604" s="4">
        <v>1</v>
      </c>
      <c r="E604" s="4">
        <v>209</v>
      </c>
      <c r="F604" s="4">
        <f>ROUND(Source!W580,O604)</f>
        <v>0</v>
      </c>
      <c r="G604" s="4" t="s">
        <v>159</v>
      </c>
      <c r="H604" s="4" t="s">
        <v>160</v>
      </c>
      <c r="I604" s="4"/>
      <c r="J604" s="4"/>
      <c r="K604" s="4">
        <v>209</v>
      </c>
      <c r="L604" s="4">
        <v>23</v>
      </c>
      <c r="M604" s="4">
        <v>3</v>
      </c>
      <c r="N604" s="4" t="s">
        <v>6</v>
      </c>
      <c r="O604" s="4">
        <v>2</v>
      </c>
      <c r="P604" s="4"/>
      <c r="Q604" s="4"/>
      <c r="R604" s="4"/>
      <c r="S604" s="4"/>
      <c r="T604" s="4"/>
      <c r="U604" s="4"/>
      <c r="V604" s="4"/>
      <c r="W604" s="4"/>
    </row>
    <row r="605" spans="1:23" x14ac:dyDescent="0.2">
      <c r="A605" s="4">
        <v>50</v>
      </c>
      <c r="B605" s="4">
        <v>0</v>
      </c>
      <c r="C605" s="4">
        <v>0</v>
      </c>
      <c r="D605" s="4">
        <v>1</v>
      </c>
      <c r="E605" s="4">
        <v>210</v>
      </c>
      <c r="F605" s="4">
        <f>ROUND(Source!X580,O605)</f>
        <v>2922.02</v>
      </c>
      <c r="G605" s="4" t="s">
        <v>161</v>
      </c>
      <c r="H605" s="4" t="s">
        <v>162</v>
      </c>
      <c r="I605" s="4"/>
      <c r="J605" s="4"/>
      <c r="K605" s="4">
        <v>210</v>
      </c>
      <c r="L605" s="4">
        <v>24</v>
      </c>
      <c r="M605" s="4">
        <v>3</v>
      </c>
      <c r="N605" s="4" t="s">
        <v>6</v>
      </c>
      <c r="O605" s="4">
        <v>2</v>
      </c>
      <c r="P605" s="4"/>
      <c r="Q605" s="4"/>
      <c r="R605" s="4"/>
      <c r="S605" s="4"/>
      <c r="T605" s="4"/>
      <c r="U605" s="4"/>
      <c r="V605" s="4"/>
      <c r="W605" s="4"/>
    </row>
    <row r="606" spans="1:23" x14ac:dyDescent="0.2">
      <c r="A606" s="4">
        <v>50</v>
      </c>
      <c r="B606" s="4">
        <v>0</v>
      </c>
      <c r="C606" s="4">
        <v>0</v>
      </c>
      <c r="D606" s="4">
        <v>1</v>
      </c>
      <c r="E606" s="4">
        <v>211</v>
      </c>
      <c r="F606" s="4">
        <f>ROUND(Source!Y580,O606)</f>
        <v>1821.78</v>
      </c>
      <c r="G606" s="4" t="s">
        <v>163</v>
      </c>
      <c r="H606" s="4" t="s">
        <v>164</v>
      </c>
      <c r="I606" s="4"/>
      <c r="J606" s="4"/>
      <c r="K606" s="4">
        <v>211</v>
      </c>
      <c r="L606" s="4">
        <v>25</v>
      </c>
      <c r="M606" s="4">
        <v>3</v>
      </c>
      <c r="N606" s="4" t="s">
        <v>6</v>
      </c>
      <c r="O606" s="4">
        <v>2</v>
      </c>
      <c r="P606" s="4"/>
      <c r="Q606" s="4"/>
      <c r="R606" s="4"/>
      <c r="S606" s="4"/>
      <c r="T606" s="4"/>
      <c r="U606" s="4"/>
      <c r="V606" s="4"/>
      <c r="W606" s="4"/>
    </row>
    <row r="607" spans="1:23" x14ac:dyDescent="0.2">
      <c r="A607" s="4">
        <v>50</v>
      </c>
      <c r="B607" s="4">
        <v>0</v>
      </c>
      <c r="C607" s="4">
        <v>0</v>
      </c>
      <c r="D607" s="4">
        <v>1</v>
      </c>
      <c r="E607" s="4">
        <v>224</v>
      </c>
      <c r="F607" s="4">
        <f>ROUND(Source!AR580,O607)</f>
        <v>78274.100000000006</v>
      </c>
      <c r="G607" s="4" t="s">
        <v>165</v>
      </c>
      <c r="H607" s="4" t="s">
        <v>166</v>
      </c>
      <c r="I607" s="4"/>
      <c r="J607" s="4"/>
      <c r="K607" s="4">
        <v>224</v>
      </c>
      <c r="L607" s="4">
        <v>26</v>
      </c>
      <c r="M607" s="4">
        <v>3</v>
      </c>
      <c r="N607" s="4" t="s">
        <v>6</v>
      </c>
      <c r="O607" s="4">
        <v>2</v>
      </c>
      <c r="P607" s="4"/>
      <c r="Q607" s="4"/>
      <c r="R607" s="4"/>
      <c r="S607" s="4"/>
      <c r="T607" s="4"/>
      <c r="U607" s="4"/>
      <c r="V607" s="4"/>
      <c r="W607" s="4"/>
    </row>
    <row r="609" spans="1:245" x14ac:dyDescent="0.2">
      <c r="A609" s="1">
        <v>4</v>
      </c>
      <c r="B609" s="1">
        <v>1</v>
      </c>
      <c r="C609" s="1"/>
      <c r="D609" s="1">
        <f>ROW(A622)</f>
        <v>622</v>
      </c>
      <c r="E609" s="1"/>
      <c r="F609" s="1" t="s">
        <v>13</v>
      </c>
      <c r="G609" s="1" t="s">
        <v>915</v>
      </c>
      <c r="H609" s="1" t="s">
        <v>6</v>
      </c>
      <c r="I609" s="1">
        <v>0</v>
      </c>
      <c r="J609" s="1"/>
      <c r="K609" s="1">
        <v>0</v>
      </c>
      <c r="L609" s="1"/>
      <c r="M609" s="1"/>
      <c r="N609" s="1"/>
      <c r="O609" s="1"/>
      <c r="P609" s="1"/>
      <c r="Q609" s="1"/>
      <c r="R609" s="1"/>
      <c r="S609" s="1"/>
      <c r="T609" s="1"/>
      <c r="U609" s="1" t="s">
        <v>6</v>
      </c>
      <c r="V609" s="1">
        <v>0</v>
      </c>
      <c r="W609" s="1"/>
      <c r="X609" s="1"/>
      <c r="Y609" s="1"/>
      <c r="Z609" s="1"/>
      <c r="AA609" s="1"/>
      <c r="AB609" s="1" t="s">
        <v>6</v>
      </c>
      <c r="AC609" s="1" t="s">
        <v>6</v>
      </c>
      <c r="AD609" s="1" t="s">
        <v>6</v>
      </c>
      <c r="AE609" s="1" t="s">
        <v>6</v>
      </c>
      <c r="AF609" s="1" t="s">
        <v>6</v>
      </c>
      <c r="AG609" s="1" t="s">
        <v>6</v>
      </c>
      <c r="AH609" s="1"/>
      <c r="AI609" s="1"/>
      <c r="AJ609" s="1"/>
      <c r="AK609" s="1"/>
      <c r="AL609" s="1"/>
      <c r="AM609" s="1"/>
      <c r="AN609" s="1"/>
      <c r="AO609" s="1"/>
      <c r="AP609" s="1" t="s">
        <v>6</v>
      </c>
      <c r="AQ609" s="1" t="s">
        <v>6</v>
      </c>
      <c r="AR609" s="1" t="s">
        <v>6</v>
      </c>
      <c r="AS609" s="1"/>
      <c r="AT609" s="1"/>
      <c r="AU609" s="1"/>
      <c r="AV609" s="1"/>
      <c r="AW609" s="1"/>
      <c r="AX609" s="1"/>
      <c r="AY609" s="1"/>
      <c r="AZ609" s="1" t="s">
        <v>6</v>
      </c>
      <c r="BA609" s="1"/>
      <c r="BB609" s="1" t="s">
        <v>6</v>
      </c>
      <c r="BC609" s="1" t="s">
        <v>6</v>
      </c>
      <c r="BD609" s="1" t="s">
        <v>6</v>
      </c>
      <c r="BE609" s="1" t="s">
        <v>6</v>
      </c>
      <c r="BF609" s="1" t="s">
        <v>6</v>
      </c>
      <c r="BG609" s="1" t="s">
        <v>6</v>
      </c>
      <c r="BH609" s="1" t="s">
        <v>6</v>
      </c>
      <c r="BI609" s="1" t="s">
        <v>6</v>
      </c>
      <c r="BJ609" s="1" t="s">
        <v>6</v>
      </c>
      <c r="BK609" s="1" t="s">
        <v>6</v>
      </c>
      <c r="BL609" s="1" t="s">
        <v>6</v>
      </c>
      <c r="BM609" s="1" t="s">
        <v>6</v>
      </c>
      <c r="BN609" s="1" t="s">
        <v>6</v>
      </c>
      <c r="BO609" s="1" t="s">
        <v>6</v>
      </c>
      <c r="BP609" s="1" t="s">
        <v>6</v>
      </c>
      <c r="BQ609" s="1"/>
      <c r="BR609" s="1"/>
      <c r="BS609" s="1"/>
      <c r="BT609" s="1"/>
      <c r="BU609" s="1"/>
      <c r="BV609" s="1"/>
      <c r="BW609" s="1"/>
      <c r="BX609" s="1">
        <v>0</v>
      </c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>
        <v>0</v>
      </c>
    </row>
    <row r="611" spans="1:245" x14ac:dyDescent="0.2">
      <c r="A611" s="2">
        <v>52</v>
      </c>
      <c r="B611" s="2">
        <f t="shared" ref="B611:G611" si="435">B622</f>
        <v>1</v>
      </c>
      <c r="C611" s="2">
        <f t="shared" si="435"/>
        <v>4</v>
      </c>
      <c r="D611" s="2">
        <f t="shared" si="435"/>
        <v>609</v>
      </c>
      <c r="E611" s="2">
        <f t="shared" si="435"/>
        <v>0</v>
      </c>
      <c r="F611" s="2" t="str">
        <f t="shared" si="435"/>
        <v>Новый раздел</v>
      </c>
      <c r="G611" s="2" t="str">
        <f t="shared" si="435"/>
        <v>7 Система горячего и холодного водоснабжения</v>
      </c>
      <c r="H611" s="2"/>
      <c r="I611" s="2"/>
      <c r="J611" s="2"/>
      <c r="K611" s="2"/>
      <c r="L611" s="2"/>
      <c r="M611" s="2"/>
      <c r="N611" s="2"/>
      <c r="O611" s="2">
        <f t="shared" ref="O611:AT611" si="436">O622</f>
        <v>9711.48</v>
      </c>
      <c r="P611" s="2">
        <f t="shared" si="436"/>
        <v>8879.4599999999991</v>
      </c>
      <c r="Q611" s="2">
        <f t="shared" si="436"/>
        <v>134.01</v>
      </c>
      <c r="R611" s="2">
        <f t="shared" si="436"/>
        <v>8.3800000000000008</v>
      </c>
      <c r="S611" s="2">
        <f t="shared" si="436"/>
        <v>698.01</v>
      </c>
      <c r="T611" s="2">
        <f t="shared" si="436"/>
        <v>0</v>
      </c>
      <c r="U611" s="2">
        <f t="shared" si="436"/>
        <v>11.540699999999999</v>
      </c>
      <c r="V611" s="2">
        <f t="shared" si="436"/>
        <v>0.1051</v>
      </c>
      <c r="W611" s="2">
        <f t="shared" si="436"/>
        <v>0</v>
      </c>
      <c r="X611" s="2">
        <f t="shared" si="436"/>
        <v>800.48</v>
      </c>
      <c r="Y611" s="2">
        <f t="shared" si="436"/>
        <v>495.46</v>
      </c>
      <c r="Z611" s="2">
        <f t="shared" si="436"/>
        <v>0</v>
      </c>
      <c r="AA611" s="2">
        <f t="shared" si="436"/>
        <v>0</v>
      </c>
      <c r="AB611" s="2">
        <f t="shared" si="436"/>
        <v>9711.48</v>
      </c>
      <c r="AC611" s="2">
        <f t="shared" si="436"/>
        <v>8879.4599999999991</v>
      </c>
      <c r="AD611" s="2">
        <f t="shared" si="436"/>
        <v>134.01</v>
      </c>
      <c r="AE611" s="2">
        <f t="shared" si="436"/>
        <v>8.3800000000000008</v>
      </c>
      <c r="AF611" s="2">
        <f t="shared" si="436"/>
        <v>698.01</v>
      </c>
      <c r="AG611" s="2">
        <f t="shared" si="436"/>
        <v>0</v>
      </c>
      <c r="AH611" s="2">
        <f t="shared" si="436"/>
        <v>11.540699999999999</v>
      </c>
      <c r="AI611" s="2">
        <f t="shared" si="436"/>
        <v>0.1051</v>
      </c>
      <c r="AJ611" s="2">
        <f t="shared" si="436"/>
        <v>0</v>
      </c>
      <c r="AK611" s="2">
        <f t="shared" si="436"/>
        <v>800.48</v>
      </c>
      <c r="AL611" s="2">
        <f t="shared" si="436"/>
        <v>495.46</v>
      </c>
      <c r="AM611" s="2">
        <f t="shared" si="436"/>
        <v>0</v>
      </c>
      <c r="AN611" s="2">
        <f t="shared" si="436"/>
        <v>0</v>
      </c>
      <c r="AO611" s="2">
        <f t="shared" si="436"/>
        <v>0</v>
      </c>
      <c r="AP611" s="2">
        <f t="shared" si="436"/>
        <v>0</v>
      </c>
      <c r="AQ611" s="2">
        <f t="shared" si="436"/>
        <v>0</v>
      </c>
      <c r="AR611" s="2">
        <f t="shared" si="436"/>
        <v>11007.42</v>
      </c>
      <c r="AS611" s="2">
        <f t="shared" si="436"/>
        <v>11007.42</v>
      </c>
      <c r="AT611" s="2">
        <f t="shared" si="436"/>
        <v>0</v>
      </c>
      <c r="AU611" s="2">
        <f t="shared" ref="AU611:BZ611" si="437">AU622</f>
        <v>0</v>
      </c>
      <c r="AV611" s="2">
        <f t="shared" si="437"/>
        <v>8879.4599999999991</v>
      </c>
      <c r="AW611" s="2">
        <f t="shared" si="437"/>
        <v>8879.4599999999991</v>
      </c>
      <c r="AX611" s="2">
        <f t="shared" si="437"/>
        <v>0</v>
      </c>
      <c r="AY611" s="2">
        <f t="shared" si="437"/>
        <v>8879.4599999999991</v>
      </c>
      <c r="AZ611" s="2">
        <f t="shared" si="437"/>
        <v>0</v>
      </c>
      <c r="BA611" s="2">
        <f t="shared" si="437"/>
        <v>0</v>
      </c>
      <c r="BB611" s="2">
        <f t="shared" si="437"/>
        <v>0</v>
      </c>
      <c r="BC611" s="2">
        <f t="shared" si="437"/>
        <v>0</v>
      </c>
      <c r="BD611" s="2">
        <f t="shared" si="437"/>
        <v>0</v>
      </c>
      <c r="BE611" s="2">
        <f t="shared" si="437"/>
        <v>0</v>
      </c>
      <c r="BF611" s="2">
        <f t="shared" si="437"/>
        <v>0</v>
      </c>
      <c r="BG611" s="2">
        <f t="shared" si="437"/>
        <v>0</v>
      </c>
      <c r="BH611" s="2">
        <f t="shared" si="437"/>
        <v>0</v>
      </c>
      <c r="BI611" s="2">
        <f t="shared" si="437"/>
        <v>0</v>
      </c>
      <c r="BJ611" s="2">
        <f t="shared" si="437"/>
        <v>0</v>
      </c>
      <c r="BK611" s="2">
        <f t="shared" si="437"/>
        <v>0</v>
      </c>
      <c r="BL611" s="2">
        <f t="shared" si="437"/>
        <v>0</v>
      </c>
      <c r="BM611" s="2">
        <f t="shared" si="437"/>
        <v>0</v>
      </c>
      <c r="BN611" s="2">
        <f t="shared" si="437"/>
        <v>0</v>
      </c>
      <c r="BO611" s="2">
        <f t="shared" si="437"/>
        <v>0</v>
      </c>
      <c r="BP611" s="2">
        <f t="shared" si="437"/>
        <v>0</v>
      </c>
      <c r="BQ611" s="2">
        <f t="shared" si="437"/>
        <v>0</v>
      </c>
      <c r="BR611" s="2">
        <f t="shared" si="437"/>
        <v>0</v>
      </c>
      <c r="BS611" s="2">
        <f t="shared" si="437"/>
        <v>0</v>
      </c>
      <c r="BT611" s="2">
        <f t="shared" si="437"/>
        <v>0</v>
      </c>
      <c r="BU611" s="2">
        <f t="shared" si="437"/>
        <v>0</v>
      </c>
      <c r="BV611" s="2">
        <f t="shared" si="437"/>
        <v>0</v>
      </c>
      <c r="BW611" s="2">
        <f t="shared" si="437"/>
        <v>0</v>
      </c>
      <c r="BX611" s="2">
        <f t="shared" si="437"/>
        <v>0</v>
      </c>
      <c r="BY611" s="2">
        <f t="shared" si="437"/>
        <v>0</v>
      </c>
      <c r="BZ611" s="2">
        <f t="shared" si="437"/>
        <v>0</v>
      </c>
      <c r="CA611" s="2">
        <f t="shared" ref="CA611:DF611" si="438">CA622</f>
        <v>11007.42</v>
      </c>
      <c r="CB611" s="2">
        <f t="shared" si="438"/>
        <v>11007.42</v>
      </c>
      <c r="CC611" s="2">
        <f t="shared" si="438"/>
        <v>0</v>
      </c>
      <c r="CD611" s="2">
        <f t="shared" si="438"/>
        <v>0</v>
      </c>
      <c r="CE611" s="2">
        <f t="shared" si="438"/>
        <v>8879.4599999999991</v>
      </c>
      <c r="CF611" s="2">
        <f t="shared" si="438"/>
        <v>8879.4599999999991</v>
      </c>
      <c r="CG611" s="2">
        <f t="shared" si="438"/>
        <v>0</v>
      </c>
      <c r="CH611" s="2">
        <f t="shared" si="438"/>
        <v>8879.4599999999991</v>
      </c>
      <c r="CI611" s="2">
        <f t="shared" si="438"/>
        <v>0</v>
      </c>
      <c r="CJ611" s="2">
        <f t="shared" si="438"/>
        <v>0</v>
      </c>
      <c r="CK611" s="2">
        <f t="shared" si="438"/>
        <v>0</v>
      </c>
      <c r="CL611" s="2">
        <f t="shared" si="438"/>
        <v>0</v>
      </c>
      <c r="CM611" s="2">
        <f t="shared" si="438"/>
        <v>0</v>
      </c>
      <c r="CN611" s="2">
        <f t="shared" si="438"/>
        <v>0</v>
      </c>
      <c r="CO611" s="2">
        <f t="shared" si="438"/>
        <v>0</v>
      </c>
      <c r="CP611" s="2">
        <f t="shared" si="438"/>
        <v>0</v>
      </c>
      <c r="CQ611" s="2">
        <f t="shared" si="438"/>
        <v>0</v>
      </c>
      <c r="CR611" s="2">
        <f t="shared" si="438"/>
        <v>0</v>
      </c>
      <c r="CS611" s="2">
        <f t="shared" si="438"/>
        <v>0</v>
      </c>
      <c r="CT611" s="2">
        <f t="shared" si="438"/>
        <v>0</v>
      </c>
      <c r="CU611" s="2">
        <f t="shared" si="438"/>
        <v>0</v>
      </c>
      <c r="CV611" s="2">
        <f t="shared" si="438"/>
        <v>0</v>
      </c>
      <c r="CW611" s="2">
        <f t="shared" si="438"/>
        <v>0</v>
      </c>
      <c r="CX611" s="2">
        <f t="shared" si="438"/>
        <v>0</v>
      </c>
      <c r="CY611" s="2">
        <f t="shared" si="438"/>
        <v>0</v>
      </c>
      <c r="CZ611" s="2">
        <f t="shared" si="438"/>
        <v>0</v>
      </c>
      <c r="DA611" s="2">
        <f t="shared" si="438"/>
        <v>0</v>
      </c>
      <c r="DB611" s="2">
        <f t="shared" si="438"/>
        <v>0</v>
      </c>
      <c r="DC611" s="2">
        <f t="shared" si="438"/>
        <v>0</v>
      </c>
      <c r="DD611" s="2">
        <f t="shared" si="438"/>
        <v>0</v>
      </c>
      <c r="DE611" s="2">
        <f t="shared" si="438"/>
        <v>0</v>
      </c>
      <c r="DF611" s="2">
        <f t="shared" si="438"/>
        <v>0</v>
      </c>
      <c r="DG611" s="3">
        <f t="shared" ref="DG611:EL611" si="439">DG622</f>
        <v>0</v>
      </c>
      <c r="DH611" s="3">
        <f t="shared" si="439"/>
        <v>0</v>
      </c>
      <c r="DI611" s="3">
        <f t="shared" si="439"/>
        <v>0</v>
      </c>
      <c r="DJ611" s="3">
        <f t="shared" si="439"/>
        <v>0</v>
      </c>
      <c r="DK611" s="3">
        <f t="shared" si="439"/>
        <v>0</v>
      </c>
      <c r="DL611" s="3">
        <f t="shared" si="439"/>
        <v>0</v>
      </c>
      <c r="DM611" s="3">
        <f t="shared" si="439"/>
        <v>0</v>
      </c>
      <c r="DN611" s="3">
        <f t="shared" si="439"/>
        <v>0</v>
      </c>
      <c r="DO611" s="3">
        <f t="shared" si="439"/>
        <v>0</v>
      </c>
      <c r="DP611" s="3">
        <f t="shared" si="439"/>
        <v>0</v>
      </c>
      <c r="DQ611" s="3">
        <f t="shared" si="439"/>
        <v>0</v>
      </c>
      <c r="DR611" s="3">
        <f t="shared" si="439"/>
        <v>0</v>
      </c>
      <c r="DS611" s="3">
        <f t="shared" si="439"/>
        <v>0</v>
      </c>
      <c r="DT611" s="3">
        <f t="shared" si="439"/>
        <v>0</v>
      </c>
      <c r="DU611" s="3">
        <f t="shared" si="439"/>
        <v>0</v>
      </c>
      <c r="DV611" s="3">
        <f t="shared" si="439"/>
        <v>0</v>
      </c>
      <c r="DW611" s="3">
        <f t="shared" si="439"/>
        <v>0</v>
      </c>
      <c r="DX611" s="3">
        <f t="shared" si="439"/>
        <v>0</v>
      </c>
      <c r="DY611" s="3">
        <f t="shared" si="439"/>
        <v>0</v>
      </c>
      <c r="DZ611" s="3">
        <f t="shared" si="439"/>
        <v>0</v>
      </c>
      <c r="EA611" s="3">
        <f t="shared" si="439"/>
        <v>0</v>
      </c>
      <c r="EB611" s="3">
        <f t="shared" si="439"/>
        <v>0</v>
      </c>
      <c r="EC611" s="3">
        <f t="shared" si="439"/>
        <v>0</v>
      </c>
      <c r="ED611" s="3">
        <f t="shared" si="439"/>
        <v>0</v>
      </c>
      <c r="EE611" s="3">
        <f t="shared" si="439"/>
        <v>0</v>
      </c>
      <c r="EF611" s="3">
        <f t="shared" si="439"/>
        <v>0</v>
      </c>
      <c r="EG611" s="3">
        <f t="shared" si="439"/>
        <v>0</v>
      </c>
      <c r="EH611" s="3">
        <f t="shared" si="439"/>
        <v>0</v>
      </c>
      <c r="EI611" s="3">
        <f t="shared" si="439"/>
        <v>0</v>
      </c>
      <c r="EJ611" s="3">
        <f t="shared" si="439"/>
        <v>0</v>
      </c>
      <c r="EK611" s="3">
        <f t="shared" si="439"/>
        <v>0</v>
      </c>
      <c r="EL611" s="3">
        <f t="shared" si="439"/>
        <v>0</v>
      </c>
      <c r="EM611" s="3">
        <f t="shared" ref="EM611:FR611" si="440">EM622</f>
        <v>0</v>
      </c>
      <c r="EN611" s="3">
        <f t="shared" si="440"/>
        <v>0</v>
      </c>
      <c r="EO611" s="3">
        <f t="shared" si="440"/>
        <v>0</v>
      </c>
      <c r="EP611" s="3">
        <f t="shared" si="440"/>
        <v>0</v>
      </c>
      <c r="EQ611" s="3">
        <f t="shared" si="440"/>
        <v>0</v>
      </c>
      <c r="ER611" s="3">
        <f t="shared" si="440"/>
        <v>0</v>
      </c>
      <c r="ES611" s="3">
        <f t="shared" si="440"/>
        <v>0</v>
      </c>
      <c r="ET611" s="3">
        <f t="shared" si="440"/>
        <v>0</v>
      </c>
      <c r="EU611" s="3">
        <f t="shared" si="440"/>
        <v>0</v>
      </c>
      <c r="EV611" s="3">
        <f t="shared" si="440"/>
        <v>0</v>
      </c>
      <c r="EW611" s="3">
        <f t="shared" si="440"/>
        <v>0</v>
      </c>
      <c r="EX611" s="3">
        <f t="shared" si="440"/>
        <v>0</v>
      </c>
      <c r="EY611" s="3">
        <f t="shared" si="440"/>
        <v>0</v>
      </c>
      <c r="EZ611" s="3">
        <f t="shared" si="440"/>
        <v>0</v>
      </c>
      <c r="FA611" s="3">
        <f t="shared" si="440"/>
        <v>0</v>
      </c>
      <c r="FB611" s="3">
        <f t="shared" si="440"/>
        <v>0</v>
      </c>
      <c r="FC611" s="3">
        <f t="shared" si="440"/>
        <v>0</v>
      </c>
      <c r="FD611" s="3">
        <f t="shared" si="440"/>
        <v>0</v>
      </c>
      <c r="FE611" s="3">
        <f t="shared" si="440"/>
        <v>0</v>
      </c>
      <c r="FF611" s="3">
        <f t="shared" si="440"/>
        <v>0</v>
      </c>
      <c r="FG611" s="3">
        <f t="shared" si="440"/>
        <v>0</v>
      </c>
      <c r="FH611" s="3">
        <f t="shared" si="440"/>
        <v>0</v>
      </c>
      <c r="FI611" s="3">
        <f t="shared" si="440"/>
        <v>0</v>
      </c>
      <c r="FJ611" s="3">
        <f t="shared" si="440"/>
        <v>0</v>
      </c>
      <c r="FK611" s="3">
        <f t="shared" si="440"/>
        <v>0</v>
      </c>
      <c r="FL611" s="3">
        <f t="shared" si="440"/>
        <v>0</v>
      </c>
      <c r="FM611" s="3">
        <f t="shared" si="440"/>
        <v>0</v>
      </c>
      <c r="FN611" s="3">
        <f t="shared" si="440"/>
        <v>0</v>
      </c>
      <c r="FO611" s="3">
        <f t="shared" si="440"/>
        <v>0</v>
      </c>
      <c r="FP611" s="3">
        <f t="shared" si="440"/>
        <v>0</v>
      </c>
      <c r="FQ611" s="3">
        <f t="shared" si="440"/>
        <v>0</v>
      </c>
      <c r="FR611" s="3">
        <f t="shared" si="440"/>
        <v>0</v>
      </c>
      <c r="FS611" s="3">
        <f t="shared" ref="FS611:GX611" si="441">FS622</f>
        <v>0</v>
      </c>
      <c r="FT611" s="3">
        <f t="shared" si="441"/>
        <v>0</v>
      </c>
      <c r="FU611" s="3">
        <f t="shared" si="441"/>
        <v>0</v>
      </c>
      <c r="FV611" s="3">
        <f t="shared" si="441"/>
        <v>0</v>
      </c>
      <c r="FW611" s="3">
        <f t="shared" si="441"/>
        <v>0</v>
      </c>
      <c r="FX611" s="3">
        <f t="shared" si="441"/>
        <v>0</v>
      </c>
      <c r="FY611" s="3">
        <f t="shared" si="441"/>
        <v>0</v>
      </c>
      <c r="FZ611" s="3">
        <f t="shared" si="441"/>
        <v>0</v>
      </c>
      <c r="GA611" s="3">
        <f t="shared" si="441"/>
        <v>0</v>
      </c>
      <c r="GB611" s="3">
        <f t="shared" si="441"/>
        <v>0</v>
      </c>
      <c r="GC611" s="3">
        <f t="shared" si="441"/>
        <v>0</v>
      </c>
      <c r="GD611" s="3">
        <f t="shared" si="441"/>
        <v>0</v>
      </c>
      <c r="GE611" s="3">
        <f t="shared" si="441"/>
        <v>0</v>
      </c>
      <c r="GF611" s="3">
        <f t="shared" si="441"/>
        <v>0</v>
      </c>
      <c r="GG611" s="3">
        <f t="shared" si="441"/>
        <v>0</v>
      </c>
      <c r="GH611" s="3">
        <f t="shared" si="441"/>
        <v>0</v>
      </c>
      <c r="GI611" s="3">
        <f t="shared" si="441"/>
        <v>0</v>
      </c>
      <c r="GJ611" s="3">
        <f t="shared" si="441"/>
        <v>0</v>
      </c>
      <c r="GK611" s="3">
        <f t="shared" si="441"/>
        <v>0</v>
      </c>
      <c r="GL611" s="3">
        <f t="shared" si="441"/>
        <v>0</v>
      </c>
      <c r="GM611" s="3">
        <f t="shared" si="441"/>
        <v>0</v>
      </c>
      <c r="GN611" s="3">
        <f t="shared" si="441"/>
        <v>0</v>
      </c>
      <c r="GO611" s="3">
        <f t="shared" si="441"/>
        <v>0</v>
      </c>
      <c r="GP611" s="3">
        <f t="shared" si="441"/>
        <v>0</v>
      </c>
      <c r="GQ611" s="3">
        <f t="shared" si="441"/>
        <v>0</v>
      </c>
      <c r="GR611" s="3">
        <f t="shared" si="441"/>
        <v>0</v>
      </c>
      <c r="GS611" s="3">
        <f t="shared" si="441"/>
        <v>0</v>
      </c>
      <c r="GT611" s="3">
        <f t="shared" si="441"/>
        <v>0</v>
      </c>
      <c r="GU611" s="3">
        <f t="shared" si="441"/>
        <v>0</v>
      </c>
      <c r="GV611" s="3">
        <f t="shared" si="441"/>
        <v>0</v>
      </c>
      <c r="GW611" s="3">
        <f t="shared" si="441"/>
        <v>0</v>
      </c>
      <c r="GX611" s="3">
        <f t="shared" si="441"/>
        <v>0</v>
      </c>
    </row>
    <row r="613" spans="1:245" x14ac:dyDescent="0.2">
      <c r="A613">
        <v>17</v>
      </c>
      <c r="B613">
        <v>1</v>
      </c>
      <c r="C613">
        <f>ROW(SmtRes!A706)</f>
        <v>706</v>
      </c>
      <c r="D613">
        <f>ROW(EtalonRes!A651)</f>
        <v>651</v>
      </c>
      <c r="E613" t="s">
        <v>916</v>
      </c>
      <c r="F613" t="s">
        <v>917</v>
      </c>
      <c r="G613" t="s">
        <v>918</v>
      </c>
      <c r="H613" t="s">
        <v>46</v>
      </c>
      <c r="I613">
        <f>ROUND(1/100,9)</f>
        <v>0.01</v>
      </c>
      <c r="J613">
        <v>0</v>
      </c>
      <c r="O613">
        <f t="shared" ref="O613:O620" si="442">ROUND(CP613,2)</f>
        <v>29.24</v>
      </c>
      <c r="P613">
        <f t="shared" ref="P613:P620" si="443">ROUND(CQ613*I613,2)</f>
        <v>0</v>
      </c>
      <c r="Q613">
        <f t="shared" ref="Q613:Q620" si="444">ROUND(CR613*I613,2)</f>
        <v>0.53</v>
      </c>
      <c r="R613">
        <f t="shared" ref="R613:R620" si="445">ROUND(CS613*I613,2)</f>
        <v>0.23</v>
      </c>
      <c r="S613">
        <f t="shared" ref="S613:S620" si="446">ROUND(CT613*I613,2)</f>
        <v>28.71</v>
      </c>
      <c r="T613">
        <f t="shared" ref="T613:T620" si="447">ROUND(CU613*I613,2)</f>
        <v>0</v>
      </c>
      <c r="U613">
        <f t="shared" ref="U613:U620" si="448">CV613*I613</f>
        <v>0.51300000000000001</v>
      </c>
      <c r="V613">
        <f t="shared" ref="V613:V620" si="449">CW613*I613</f>
        <v>2.6000000000000003E-3</v>
      </c>
      <c r="W613">
        <f t="shared" ref="W613:W620" si="450">ROUND(CX613*I613,2)</f>
        <v>0</v>
      </c>
      <c r="X613">
        <f t="shared" ref="X613:Y620" si="451">ROUND(CY613,2)</f>
        <v>21.42</v>
      </c>
      <c r="Y613">
        <f t="shared" si="451"/>
        <v>14.47</v>
      </c>
      <c r="AA613">
        <v>16748969</v>
      </c>
      <c r="AB613">
        <f t="shared" ref="AB613:AB620" si="452">ROUND((AC613+AD613+AF613),2)</f>
        <v>445.72</v>
      </c>
      <c r="AC613">
        <f t="shared" ref="AC613:AC620" si="453">ROUND((ES613),2)</f>
        <v>0</v>
      </c>
      <c r="AD613">
        <f>ROUND((((ET613)-(EU613))+AE613),2)</f>
        <v>8.1300000000000008</v>
      </c>
      <c r="AE613">
        <f t="shared" ref="AE613:AF615" si="454">ROUND((EU613),2)</f>
        <v>3.51</v>
      </c>
      <c r="AF613">
        <f t="shared" si="454"/>
        <v>437.59</v>
      </c>
      <c r="AG613">
        <f t="shared" ref="AG613:AG620" si="455">ROUND((AP613),2)</f>
        <v>0</v>
      </c>
      <c r="AH613">
        <f t="shared" ref="AH613:AI615" si="456">(EW613)</f>
        <v>51.3</v>
      </c>
      <c r="AI613">
        <f t="shared" si="456"/>
        <v>0.26</v>
      </c>
      <c r="AJ613">
        <f t="shared" ref="AJ613:AJ620" si="457">ROUND((AS613),2)</f>
        <v>0</v>
      </c>
      <c r="AK613">
        <v>445.72</v>
      </c>
      <c r="AL613">
        <v>0</v>
      </c>
      <c r="AM613">
        <v>8.1300000000000008</v>
      </c>
      <c r="AN613">
        <v>3.51</v>
      </c>
      <c r="AO613">
        <v>437.59</v>
      </c>
      <c r="AP613">
        <v>0</v>
      </c>
      <c r="AQ613">
        <v>51.3</v>
      </c>
      <c r="AR613">
        <v>0.26</v>
      </c>
      <c r="AS613">
        <v>0</v>
      </c>
      <c r="AT613">
        <v>74</v>
      </c>
      <c r="AU613">
        <v>50</v>
      </c>
      <c r="AV613">
        <v>1</v>
      </c>
      <c r="AW613">
        <v>1</v>
      </c>
      <c r="AZ613">
        <v>6.56</v>
      </c>
      <c r="BA613">
        <v>6.56</v>
      </c>
      <c r="BB613">
        <v>6.56</v>
      </c>
      <c r="BC613">
        <v>6.56</v>
      </c>
      <c r="BD613" t="s">
        <v>6</v>
      </c>
      <c r="BE613" t="s">
        <v>6</v>
      </c>
      <c r="BF613" t="s">
        <v>6</v>
      </c>
      <c r="BG613" t="s">
        <v>6</v>
      </c>
      <c r="BH613">
        <v>0</v>
      </c>
      <c r="BI613">
        <v>1</v>
      </c>
      <c r="BJ613" t="s">
        <v>919</v>
      </c>
      <c r="BM613">
        <v>65001</v>
      </c>
      <c r="BN613">
        <v>0</v>
      </c>
      <c r="BO613" t="s">
        <v>6</v>
      </c>
      <c r="BP613">
        <v>0</v>
      </c>
      <c r="BQ613">
        <v>6</v>
      </c>
      <c r="BR613">
        <v>0</v>
      </c>
      <c r="BS613">
        <v>6.56</v>
      </c>
      <c r="BT613">
        <v>1</v>
      </c>
      <c r="BU613">
        <v>1</v>
      </c>
      <c r="BV613">
        <v>1</v>
      </c>
      <c r="BW613">
        <v>1</v>
      </c>
      <c r="BX613">
        <v>1</v>
      </c>
      <c r="BY613" t="s">
        <v>6</v>
      </c>
      <c r="BZ613">
        <v>74</v>
      </c>
      <c r="CA613">
        <v>50</v>
      </c>
      <c r="CF613">
        <v>0</v>
      </c>
      <c r="CG613">
        <v>0</v>
      </c>
      <c r="CM613">
        <v>0</v>
      </c>
      <c r="CN613" t="s">
        <v>6</v>
      </c>
      <c r="CO613">
        <v>0</v>
      </c>
      <c r="CP613">
        <f t="shared" ref="CP613:CP620" si="458">(P613+Q613+S613)</f>
        <v>29.240000000000002</v>
      </c>
      <c r="CQ613">
        <f t="shared" ref="CQ613:CQ620" si="459">AC613*BC613</f>
        <v>0</v>
      </c>
      <c r="CR613">
        <f t="shared" ref="CR613:CR620" si="460">AD613*BB613</f>
        <v>53.332799999999999</v>
      </c>
      <c r="CS613">
        <f t="shared" ref="CS613:CS620" si="461">AE613*BS613</f>
        <v>23.025599999999997</v>
      </c>
      <c r="CT613">
        <f t="shared" ref="CT613:CT620" si="462">AF613*BA613</f>
        <v>2870.5903999999996</v>
      </c>
      <c r="CU613">
        <f t="shared" ref="CU613:CX620" si="463">AG613</f>
        <v>0</v>
      </c>
      <c r="CV613">
        <f t="shared" si="463"/>
        <v>51.3</v>
      </c>
      <c r="CW613">
        <f t="shared" si="463"/>
        <v>0.26</v>
      </c>
      <c r="CX613">
        <f t="shared" si="463"/>
        <v>0</v>
      </c>
      <c r="CY613">
        <f t="shared" ref="CY613:CY620" si="464">(((S613+R613)*AT613)/100)</f>
        <v>21.415599999999998</v>
      </c>
      <c r="CZ613">
        <f t="shared" ref="CZ613:CZ620" si="465">(((S613+R613)*AU613)/100)</f>
        <v>14.47</v>
      </c>
      <c r="DC613" t="s">
        <v>6</v>
      </c>
      <c r="DD613" t="s">
        <v>6</v>
      </c>
      <c r="DE613" t="s">
        <v>6</v>
      </c>
      <c r="DF613" t="s">
        <v>6</v>
      </c>
      <c r="DG613" t="s">
        <v>6</v>
      </c>
      <c r="DH613" t="s">
        <v>6</v>
      </c>
      <c r="DI613" t="s">
        <v>6</v>
      </c>
      <c r="DJ613" t="s">
        <v>6</v>
      </c>
      <c r="DK613" t="s">
        <v>6</v>
      </c>
      <c r="DL613" t="s">
        <v>6</v>
      </c>
      <c r="DM613" t="s">
        <v>6</v>
      </c>
      <c r="DN613">
        <v>0</v>
      </c>
      <c r="DO613">
        <v>0</v>
      </c>
      <c r="DP613">
        <v>1</v>
      </c>
      <c r="DQ613">
        <v>1</v>
      </c>
      <c r="DU613">
        <v>1013</v>
      </c>
      <c r="DV613" t="s">
        <v>46</v>
      </c>
      <c r="DW613" t="s">
        <v>46</v>
      </c>
      <c r="DX613">
        <v>1</v>
      </c>
      <c r="EE613">
        <v>16510574</v>
      </c>
      <c r="EF613">
        <v>6</v>
      </c>
      <c r="EG613" t="s">
        <v>36</v>
      </c>
      <c r="EH613">
        <v>0</v>
      </c>
      <c r="EI613" t="s">
        <v>6</v>
      </c>
      <c r="EJ613">
        <v>1</v>
      </c>
      <c r="EK613">
        <v>65001</v>
      </c>
      <c r="EL613" t="s">
        <v>101</v>
      </c>
      <c r="EM613" t="s">
        <v>49</v>
      </c>
      <c r="EO613" t="s">
        <v>6</v>
      </c>
      <c r="EQ613">
        <v>131072</v>
      </c>
      <c r="ER613">
        <v>445.72</v>
      </c>
      <c r="ES613">
        <v>0</v>
      </c>
      <c r="ET613">
        <v>8.1300000000000008</v>
      </c>
      <c r="EU613">
        <v>3.51</v>
      </c>
      <c r="EV613">
        <v>437.59</v>
      </c>
      <c r="EW613">
        <v>51.3</v>
      </c>
      <c r="EX613">
        <v>0.26</v>
      </c>
      <c r="EY613">
        <v>0</v>
      </c>
      <c r="FQ613">
        <v>0</v>
      </c>
      <c r="FR613">
        <f t="shared" ref="FR613:FR620" si="466">ROUND(IF(AND(BH613=3,BI613=3),P613,0),2)</f>
        <v>0</v>
      </c>
      <c r="FS613">
        <v>0</v>
      </c>
      <c r="FX613">
        <v>74</v>
      </c>
      <c r="FY613">
        <v>50</v>
      </c>
      <c r="GA613" t="s">
        <v>6</v>
      </c>
      <c r="GD613">
        <v>0</v>
      </c>
      <c r="GF613">
        <v>-869396583</v>
      </c>
      <c r="GG613">
        <v>1</v>
      </c>
      <c r="GH613">
        <v>1</v>
      </c>
      <c r="GI613">
        <v>4</v>
      </c>
      <c r="GJ613">
        <v>0</v>
      </c>
      <c r="GK613">
        <f>ROUND(R613*(R12)/100,2)</f>
        <v>0</v>
      </c>
      <c r="GL613">
        <f t="shared" ref="GL613:GL620" si="467">ROUND(IF(AND(BH613=3,BI613=3,FS613&lt;&gt;0),P613,0),2)</f>
        <v>0</v>
      </c>
      <c r="GM613">
        <f t="shared" ref="GM613:GM620" si="468">ROUND(O613+X613+Y613+GK613,2)+GX613</f>
        <v>65.13</v>
      </c>
      <c r="GN613">
        <f t="shared" ref="GN613:GN620" si="469">IF(OR(BI613=0,BI613=1),ROUND(O613+X613+Y613+GK613,2),0)</f>
        <v>65.13</v>
      </c>
      <c r="GO613">
        <f t="shared" ref="GO613:GO620" si="470">IF(BI613=2,ROUND(O613+X613+Y613+GK613,2),0)</f>
        <v>0</v>
      </c>
      <c r="GP613">
        <f t="shared" ref="GP613:GP620" si="471">IF(BI613=4,ROUND(O613+X613+Y613+GK613,2)+GX613,0)</f>
        <v>0</v>
      </c>
      <c r="GR613">
        <v>0</v>
      </c>
      <c r="GS613">
        <v>3</v>
      </c>
      <c r="GT613">
        <v>0</v>
      </c>
      <c r="GU613" t="s">
        <v>6</v>
      </c>
      <c r="GV613">
        <f t="shared" ref="GV613:GV620" si="472">ROUND(GT613,2)</f>
        <v>0</v>
      </c>
      <c r="GW613">
        <v>1</v>
      </c>
      <c r="GX613">
        <f t="shared" ref="GX613:GX620" si="473">ROUND(GV613*GW613*I613,2)</f>
        <v>0</v>
      </c>
      <c r="HA613">
        <v>0</v>
      </c>
      <c r="HB613">
        <v>0</v>
      </c>
      <c r="IK613">
        <v>0</v>
      </c>
    </row>
    <row r="614" spans="1:245" x14ac:dyDescent="0.2">
      <c r="A614">
        <v>17</v>
      </c>
      <c r="B614">
        <v>1</v>
      </c>
      <c r="C614">
        <f>ROW(SmtRes!A714)</f>
        <v>714</v>
      </c>
      <c r="D614">
        <f>ROW(EtalonRes!A660)</f>
        <v>660</v>
      </c>
      <c r="E614" t="s">
        <v>920</v>
      </c>
      <c r="F614" t="s">
        <v>921</v>
      </c>
      <c r="G614" t="s">
        <v>922</v>
      </c>
      <c r="H614" t="s">
        <v>242</v>
      </c>
      <c r="I614">
        <v>5</v>
      </c>
      <c r="J614">
        <v>0</v>
      </c>
      <c r="O614">
        <f t="shared" si="442"/>
        <v>1378.91</v>
      </c>
      <c r="P614">
        <f t="shared" si="443"/>
        <v>826.89</v>
      </c>
      <c r="Q614">
        <f t="shared" si="444"/>
        <v>114.8</v>
      </c>
      <c r="R614">
        <f t="shared" si="445"/>
        <v>3.94</v>
      </c>
      <c r="S614">
        <f t="shared" si="446"/>
        <v>437.22</v>
      </c>
      <c r="T614">
        <f t="shared" si="447"/>
        <v>0</v>
      </c>
      <c r="U614">
        <f t="shared" si="448"/>
        <v>7.35</v>
      </c>
      <c r="V614">
        <f t="shared" si="449"/>
        <v>0.05</v>
      </c>
      <c r="W614">
        <f t="shared" si="450"/>
        <v>0</v>
      </c>
      <c r="X614">
        <f t="shared" si="451"/>
        <v>507.33</v>
      </c>
      <c r="Y614">
        <f t="shared" si="451"/>
        <v>313.22000000000003</v>
      </c>
      <c r="AA614">
        <v>16748969</v>
      </c>
      <c r="AB614">
        <f t="shared" si="452"/>
        <v>42.04</v>
      </c>
      <c r="AC614">
        <f t="shared" si="453"/>
        <v>25.21</v>
      </c>
      <c r="AD614">
        <f>ROUND((((ET614)-(EU614))+AE614),2)</f>
        <v>3.5</v>
      </c>
      <c r="AE614">
        <f t="shared" si="454"/>
        <v>0.12</v>
      </c>
      <c r="AF614">
        <f t="shared" si="454"/>
        <v>13.33</v>
      </c>
      <c r="AG614">
        <f t="shared" si="455"/>
        <v>0</v>
      </c>
      <c r="AH614">
        <f t="shared" si="456"/>
        <v>1.47</v>
      </c>
      <c r="AI614">
        <f t="shared" si="456"/>
        <v>0.01</v>
      </c>
      <c r="AJ614">
        <f t="shared" si="457"/>
        <v>0</v>
      </c>
      <c r="AK614">
        <v>42.04</v>
      </c>
      <c r="AL614">
        <v>25.21</v>
      </c>
      <c r="AM614">
        <v>3.5</v>
      </c>
      <c r="AN614">
        <v>0.12</v>
      </c>
      <c r="AO614">
        <v>13.33</v>
      </c>
      <c r="AP614">
        <v>0</v>
      </c>
      <c r="AQ614">
        <v>1.47</v>
      </c>
      <c r="AR614">
        <v>0.01</v>
      </c>
      <c r="AS614">
        <v>0</v>
      </c>
      <c r="AT614">
        <v>115</v>
      </c>
      <c r="AU614">
        <v>71</v>
      </c>
      <c r="AV614">
        <v>1</v>
      </c>
      <c r="AW614">
        <v>1</v>
      </c>
      <c r="AZ614">
        <v>6.56</v>
      </c>
      <c r="BA614">
        <v>6.56</v>
      </c>
      <c r="BB614">
        <v>6.56</v>
      </c>
      <c r="BC614">
        <v>6.56</v>
      </c>
      <c r="BD614" t="s">
        <v>6</v>
      </c>
      <c r="BE614" t="s">
        <v>6</v>
      </c>
      <c r="BF614" t="s">
        <v>6</v>
      </c>
      <c r="BG614" t="s">
        <v>6</v>
      </c>
      <c r="BH614">
        <v>0</v>
      </c>
      <c r="BI614">
        <v>1</v>
      </c>
      <c r="BJ614" t="s">
        <v>923</v>
      </c>
      <c r="BM614">
        <v>16001</v>
      </c>
      <c r="BN614">
        <v>0</v>
      </c>
      <c r="BO614" t="s">
        <v>6</v>
      </c>
      <c r="BP614">
        <v>0</v>
      </c>
      <c r="BQ614">
        <v>2</v>
      </c>
      <c r="BR614">
        <v>0</v>
      </c>
      <c r="BS614">
        <v>6.56</v>
      </c>
      <c r="BT614">
        <v>1</v>
      </c>
      <c r="BU614">
        <v>1</v>
      </c>
      <c r="BV614">
        <v>1</v>
      </c>
      <c r="BW614">
        <v>1</v>
      </c>
      <c r="BX614">
        <v>1</v>
      </c>
      <c r="BY614" t="s">
        <v>6</v>
      </c>
      <c r="BZ614">
        <v>128</v>
      </c>
      <c r="CA614">
        <v>83</v>
      </c>
      <c r="CF614">
        <v>0</v>
      </c>
      <c r="CG614">
        <v>0</v>
      </c>
      <c r="CM614">
        <v>0</v>
      </c>
      <c r="CN614" t="s">
        <v>6</v>
      </c>
      <c r="CO614">
        <v>0</v>
      </c>
      <c r="CP614">
        <f t="shared" si="458"/>
        <v>1378.9099999999999</v>
      </c>
      <c r="CQ614">
        <f t="shared" si="459"/>
        <v>165.3776</v>
      </c>
      <c r="CR614">
        <f t="shared" si="460"/>
        <v>22.959999999999997</v>
      </c>
      <c r="CS614">
        <f t="shared" si="461"/>
        <v>0.7871999999999999</v>
      </c>
      <c r="CT614">
        <f t="shared" si="462"/>
        <v>87.444800000000001</v>
      </c>
      <c r="CU614">
        <f t="shared" si="463"/>
        <v>0</v>
      </c>
      <c r="CV614">
        <f t="shared" si="463"/>
        <v>1.47</v>
      </c>
      <c r="CW614">
        <f t="shared" si="463"/>
        <v>0.01</v>
      </c>
      <c r="CX614">
        <f t="shared" si="463"/>
        <v>0</v>
      </c>
      <c r="CY614">
        <f t="shared" si="464"/>
        <v>507.334</v>
      </c>
      <c r="CZ614">
        <f t="shared" si="465"/>
        <v>313.22360000000003</v>
      </c>
      <c r="DC614" t="s">
        <v>6</v>
      </c>
      <c r="DD614" t="s">
        <v>6</v>
      </c>
      <c r="DE614" t="s">
        <v>6</v>
      </c>
      <c r="DF614" t="s">
        <v>6</v>
      </c>
      <c r="DG614" t="s">
        <v>6</v>
      </c>
      <c r="DH614" t="s">
        <v>6</v>
      </c>
      <c r="DI614" t="s">
        <v>6</v>
      </c>
      <c r="DJ614" t="s">
        <v>6</v>
      </c>
      <c r="DK614" t="s">
        <v>6</v>
      </c>
      <c r="DL614" t="s">
        <v>6</v>
      </c>
      <c r="DM614" t="s">
        <v>6</v>
      </c>
      <c r="DN614">
        <v>0</v>
      </c>
      <c r="DO614">
        <v>0</v>
      </c>
      <c r="DP614">
        <v>1</v>
      </c>
      <c r="DQ614">
        <v>1</v>
      </c>
      <c r="DU614">
        <v>1013</v>
      </c>
      <c r="DV614" t="s">
        <v>242</v>
      </c>
      <c r="DW614" t="s">
        <v>242</v>
      </c>
      <c r="DX614">
        <v>1</v>
      </c>
      <c r="EE614">
        <v>16510514</v>
      </c>
      <c r="EF614">
        <v>2</v>
      </c>
      <c r="EG614" t="s">
        <v>22</v>
      </c>
      <c r="EH614">
        <v>0</v>
      </c>
      <c r="EI614" t="s">
        <v>6</v>
      </c>
      <c r="EJ614">
        <v>1</v>
      </c>
      <c r="EK614">
        <v>16001</v>
      </c>
      <c r="EL614" t="s">
        <v>909</v>
      </c>
      <c r="EM614" t="s">
        <v>910</v>
      </c>
      <c r="EO614" t="s">
        <v>6</v>
      </c>
      <c r="EQ614">
        <v>0</v>
      </c>
      <c r="ER614">
        <v>42.04</v>
      </c>
      <c r="ES614">
        <v>25.21</v>
      </c>
      <c r="ET614">
        <v>3.5</v>
      </c>
      <c r="EU614">
        <v>0.12</v>
      </c>
      <c r="EV614">
        <v>13.33</v>
      </c>
      <c r="EW614">
        <v>1.47</v>
      </c>
      <c r="EX614">
        <v>0.01</v>
      </c>
      <c r="EY614">
        <v>0</v>
      </c>
      <c r="FQ614">
        <v>0</v>
      </c>
      <c r="FR614">
        <f t="shared" si="466"/>
        <v>0</v>
      </c>
      <c r="FS614">
        <v>0</v>
      </c>
      <c r="FT614" t="s">
        <v>25</v>
      </c>
      <c r="FU614" t="s">
        <v>26</v>
      </c>
      <c r="FX614">
        <v>115.2</v>
      </c>
      <c r="FY614">
        <v>70.55</v>
      </c>
      <c r="GA614" t="s">
        <v>6</v>
      </c>
      <c r="GD614">
        <v>0</v>
      </c>
      <c r="GF614">
        <v>1420229388</v>
      </c>
      <c r="GG614">
        <v>1</v>
      </c>
      <c r="GH614">
        <v>1</v>
      </c>
      <c r="GI614">
        <v>4</v>
      </c>
      <c r="GJ614">
        <v>0</v>
      </c>
      <c r="GK614">
        <f>ROUND(R614*(R12)/100,2)</f>
        <v>0</v>
      </c>
      <c r="GL614">
        <f t="shared" si="467"/>
        <v>0</v>
      </c>
      <c r="GM614">
        <f t="shared" si="468"/>
        <v>2199.46</v>
      </c>
      <c r="GN614">
        <f t="shared" si="469"/>
        <v>2199.46</v>
      </c>
      <c r="GO614">
        <f t="shared" si="470"/>
        <v>0</v>
      </c>
      <c r="GP614">
        <f t="shared" si="471"/>
        <v>0</v>
      </c>
      <c r="GR614">
        <v>0</v>
      </c>
      <c r="GS614">
        <v>3</v>
      </c>
      <c r="GT614">
        <v>0</v>
      </c>
      <c r="GU614" t="s">
        <v>6</v>
      </c>
      <c r="GV614">
        <f t="shared" si="472"/>
        <v>0</v>
      </c>
      <c r="GW614">
        <v>1</v>
      </c>
      <c r="GX614">
        <f t="shared" si="473"/>
        <v>0</v>
      </c>
      <c r="HA614">
        <v>0</v>
      </c>
      <c r="HB614">
        <v>0</v>
      </c>
      <c r="IK614">
        <v>0</v>
      </c>
    </row>
    <row r="615" spans="1:245" x14ac:dyDescent="0.2">
      <c r="A615">
        <v>18</v>
      </c>
      <c r="B615">
        <v>1</v>
      </c>
      <c r="C615">
        <v>714</v>
      </c>
      <c r="E615" t="s">
        <v>924</v>
      </c>
      <c r="F615" t="s">
        <v>906</v>
      </c>
      <c r="G615" t="s">
        <v>925</v>
      </c>
      <c r="H615" t="s">
        <v>53</v>
      </c>
      <c r="I615">
        <f>I614*J615</f>
        <v>5</v>
      </c>
      <c r="J615">
        <v>1</v>
      </c>
      <c r="O615">
        <f t="shared" si="442"/>
        <v>1358.25</v>
      </c>
      <c r="P615">
        <f t="shared" si="443"/>
        <v>1358.25</v>
      </c>
      <c r="Q615">
        <f t="shared" si="444"/>
        <v>0</v>
      </c>
      <c r="R615">
        <f t="shared" si="445"/>
        <v>0</v>
      </c>
      <c r="S615">
        <f t="shared" si="446"/>
        <v>0</v>
      </c>
      <c r="T615">
        <f t="shared" si="447"/>
        <v>0</v>
      </c>
      <c r="U615">
        <f t="shared" si="448"/>
        <v>0</v>
      </c>
      <c r="V615">
        <f t="shared" si="449"/>
        <v>0</v>
      </c>
      <c r="W615">
        <f t="shared" si="450"/>
        <v>0</v>
      </c>
      <c r="X615">
        <f t="shared" si="451"/>
        <v>0</v>
      </c>
      <c r="Y615">
        <f t="shared" si="451"/>
        <v>0</v>
      </c>
      <c r="AA615">
        <v>16748969</v>
      </c>
      <c r="AB615">
        <f t="shared" si="452"/>
        <v>41.41</v>
      </c>
      <c r="AC615">
        <f t="shared" si="453"/>
        <v>41.41</v>
      </c>
      <c r="AD615">
        <f>ROUND((((ET615)-(EU615))+AE615),2)</f>
        <v>0</v>
      </c>
      <c r="AE615">
        <f t="shared" si="454"/>
        <v>0</v>
      </c>
      <c r="AF615">
        <f t="shared" si="454"/>
        <v>0</v>
      </c>
      <c r="AG615">
        <f t="shared" si="455"/>
        <v>0</v>
      </c>
      <c r="AH615">
        <f t="shared" si="456"/>
        <v>0</v>
      </c>
      <c r="AI615">
        <f t="shared" si="456"/>
        <v>0</v>
      </c>
      <c r="AJ615">
        <f t="shared" si="457"/>
        <v>0</v>
      </c>
      <c r="AK615">
        <v>41.41</v>
      </c>
      <c r="AL615">
        <v>41.41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  <c r="AS615">
        <v>0</v>
      </c>
      <c r="AT615">
        <v>115</v>
      </c>
      <c r="AU615">
        <v>71</v>
      </c>
      <c r="AV615">
        <v>1</v>
      </c>
      <c r="AW615">
        <v>1</v>
      </c>
      <c r="AZ615">
        <v>6.56</v>
      </c>
      <c r="BA615">
        <v>1</v>
      </c>
      <c r="BB615">
        <v>1</v>
      </c>
      <c r="BC615">
        <v>6.56</v>
      </c>
      <c r="BD615" t="s">
        <v>6</v>
      </c>
      <c r="BE615" t="s">
        <v>6</v>
      </c>
      <c r="BF615" t="s">
        <v>6</v>
      </c>
      <c r="BG615" t="s">
        <v>6</v>
      </c>
      <c r="BH615">
        <v>3</v>
      </c>
      <c r="BI615">
        <v>1</v>
      </c>
      <c r="BJ615" t="s">
        <v>908</v>
      </c>
      <c r="BM615">
        <v>16001</v>
      </c>
      <c r="BN615">
        <v>0</v>
      </c>
      <c r="BO615" t="s">
        <v>6</v>
      </c>
      <c r="BP615">
        <v>0</v>
      </c>
      <c r="BQ615">
        <v>2</v>
      </c>
      <c r="BR615">
        <v>0</v>
      </c>
      <c r="BS615">
        <v>1</v>
      </c>
      <c r="BT615">
        <v>1</v>
      </c>
      <c r="BU615">
        <v>1</v>
      </c>
      <c r="BV615">
        <v>1</v>
      </c>
      <c r="BW615">
        <v>1</v>
      </c>
      <c r="BX615">
        <v>1</v>
      </c>
      <c r="BY615" t="s">
        <v>6</v>
      </c>
      <c r="BZ615">
        <v>128</v>
      </c>
      <c r="CA615">
        <v>83</v>
      </c>
      <c r="CF615">
        <v>0</v>
      </c>
      <c r="CG615">
        <v>0</v>
      </c>
      <c r="CM615">
        <v>0</v>
      </c>
      <c r="CN615" t="s">
        <v>6</v>
      </c>
      <c r="CO615">
        <v>0</v>
      </c>
      <c r="CP615">
        <f t="shared" si="458"/>
        <v>1358.25</v>
      </c>
      <c r="CQ615">
        <f t="shared" si="459"/>
        <v>271.64959999999996</v>
      </c>
      <c r="CR615">
        <f t="shared" si="460"/>
        <v>0</v>
      </c>
      <c r="CS615">
        <f t="shared" si="461"/>
        <v>0</v>
      </c>
      <c r="CT615">
        <f t="shared" si="462"/>
        <v>0</v>
      </c>
      <c r="CU615">
        <f t="shared" si="463"/>
        <v>0</v>
      </c>
      <c r="CV615">
        <f t="shared" si="463"/>
        <v>0</v>
      </c>
      <c r="CW615">
        <f t="shared" si="463"/>
        <v>0</v>
      </c>
      <c r="CX615">
        <f t="shared" si="463"/>
        <v>0</v>
      </c>
      <c r="CY615">
        <f t="shared" si="464"/>
        <v>0</v>
      </c>
      <c r="CZ615">
        <f t="shared" si="465"/>
        <v>0</v>
      </c>
      <c r="DC615" t="s">
        <v>6</v>
      </c>
      <c r="DD615" t="s">
        <v>6</v>
      </c>
      <c r="DE615" t="s">
        <v>6</v>
      </c>
      <c r="DF615" t="s">
        <v>6</v>
      </c>
      <c r="DG615" t="s">
        <v>6</v>
      </c>
      <c r="DH615" t="s">
        <v>6</v>
      </c>
      <c r="DI615" t="s">
        <v>6</v>
      </c>
      <c r="DJ615" t="s">
        <v>6</v>
      </c>
      <c r="DK615" t="s">
        <v>6</v>
      </c>
      <c r="DL615" t="s">
        <v>6</v>
      </c>
      <c r="DM615" t="s">
        <v>6</v>
      </c>
      <c r="DN615">
        <v>0</v>
      </c>
      <c r="DO615">
        <v>0</v>
      </c>
      <c r="DP615">
        <v>1</v>
      </c>
      <c r="DQ615">
        <v>1</v>
      </c>
      <c r="DU615">
        <v>1010</v>
      </c>
      <c r="DV615" t="s">
        <v>53</v>
      </c>
      <c r="DW615" t="s">
        <v>53</v>
      </c>
      <c r="DX615">
        <v>1</v>
      </c>
      <c r="EE615">
        <v>16510514</v>
      </c>
      <c r="EF615">
        <v>2</v>
      </c>
      <c r="EG615" t="s">
        <v>22</v>
      </c>
      <c r="EH615">
        <v>0</v>
      </c>
      <c r="EI615" t="s">
        <v>6</v>
      </c>
      <c r="EJ615">
        <v>1</v>
      </c>
      <c r="EK615">
        <v>16001</v>
      </c>
      <c r="EL615" t="s">
        <v>909</v>
      </c>
      <c r="EM615" t="s">
        <v>910</v>
      </c>
      <c r="EO615" t="s">
        <v>6</v>
      </c>
      <c r="EQ615">
        <v>0</v>
      </c>
      <c r="ER615">
        <v>41.41</v>
      </c>
      <c r="ES615">
        <v>41.41</v>
      </c>
      <c r="ET615">
        <v>0</v>
      </c>
      <c r="EU615">
        <v>0</v>
      </c>
      <c r="EV615">
        <v>0</v>
      </c>
      <c r="EW615">
        <v>0</v>
      </c>
      <c r="EX615">
        <v>0</v>
      </c>
      <c r="FQ615">
        <v>0</v>
      </c>
      <c r="FR615">
        <f t="shared" si="466"/>
        <v>0</v>
      </c>
      <c r="FS615">
        <v>0</v>
      </c>
      <c r="FT615" t="s">
        <v>25</v>
      </c>
      <c r="FU615" t="s">
        <v>26</v>
      </c>
      <c r="FX615">
        <v>115.2</v>
      </c>
      <c r="FY615">
        <v>70.55</v>
      </c>
      <c r="GA615" t="s">
        <v>6</v>
      </c>
      <c r="GD615">
        <v>0</v>
      </c>
      <c r="GF615">
        <v>-1182410368</v>
      </c>
      <c r="GG615">
        <v>1</v>
      </c>
      <c r="GH615">
        <v>1</v>
      </c>
      <c r="GI615">
        <v>4</v>
      </c>
      <c r="GJ615">
        <v>0</v>
      </c>
      <c r="GK615">
        <f>ROUND(R615*(R12)/100,2)</f>
        <v>0</v>
      </c>
      <c r="GL615">
        <f t="shared" si="467"/>
        <v>0</v>
      </c>
      <c r="GM615">
        <f t="shared" si="468"/>
        <v>1358.25</v>
      </c>
      <c r="GN615">
        <f t="shared" si="469"/>
        <v>1358.25</v>
      </c>
      <c r="GO615">
        <f t="shared" si="470"/>
        <v>0</v>
      </c>
      <c r="GP615">
        <f t="shared" si="471"/>
        <v>0</v>
      </c>
      <c r="GR615">
        <v>0</v>
      </c>
      <c r="GS615">
        <v>3</v>
      </c>
      <c r="GT615">
        <v>0</v>
      </c>
      <c r="GU615" t="s">
        <v>6</v>
      </c>
      <c r="GV615">
        <f t="shared" si="472"/>
        <v>0</v>
      </c>
      <c r="GW615">
        <v>1</v>
      </c>
      <c r="GX615">
        <f t="shared" si="473"/>
        <v>0</v>
      </c>
      <c r="HA615">
        <v>0</v>
      </c>
      <c r="HB615">
        <v>0</v>
      </c>
      <c r="IK615">
        <v>0</v>
      </c>
    </row>
    <row r="616" spans="1:245" x14ac:dyDescent="0.2">
      <c r="A616">
        <v>17</v>
      </c>
      <c r="B616">
        <v>1</v>
      </c>
      <c r="C616">
        <f>ROW(SmtRes!A726)</f>
        <v>726</v>
      </c>
      <c r="D616">
        <f>ROW(EtalonRes!A673)</f>
        <v>673</v>
      </c>
      <c r="E616" t="s">
        <v>926</v>
      </c>
      <c r="F616" t="s">
        <v>927</v>
      </c>
      <c r="G616" t="s">
        <v>928</v>
      </c>
      <c r="H616" t="s">
        <v>929</v>
      </c>
      <c r="I616">
        <f>ROUND(2/10,9)</f>
        <v>0.2</v>
      </c>
      <c r="J616">
        <v>0</v>
      </c>
      <c r="O616">
        <f t="shared" si="442"/>
        <v>222.5</v>
      </c>
      <c r="P616">
        <f t="shared" si="443"/>
        <v>73.34</v>
      </c>
      <c r="Q616">
        <f t="shared" si="444"/>
        <v>18.68</v>
      </c>
      <c r="R616">
        <f t="shared" si="445"/>
        <v>4.21</v>
      </c>
      <c r="S616">
        <f t="shared" si="446"/>
        <v>130.47999999999999</v>
      </c>
      <c r="T616">
        <f t="shared" si="447"/>
        <v>0</v>
      </c>
      <c r="U616">
        <f t="shared" si="448"/>
        <v>2.0676999999999999</v>
      </c>
      <c r="V616">
        <f t="shared" si="449"/>
        <v>5.2500000000000005E-2</v>
      </c>
      <c r="W616">
        <f t="shared" si="450"/>
        <v>0</v>
      </c>
      <c r="X616">
        <f t="shared" si="451"/>
        <v>154.88999999999999</v>
      </c>
      <c r="Y616">
        <f t="shared" si="451"/>
        <v>95.63</v>
      </c>
      <c r="AA616">
        <v>16748969</v>
      </c>
      <c r="AB616">
        <f t="shared" si="452"/>
        <v>169.59</v>
      </c>
      <c r="AC616">
        <f t="shared" si="453"/>
        <v>55.9</v>
      </c>
      <c r="AD616">
        <f>ROUND(((((ET616*1.25))-((EU616*1.25)))+AE616),2)</f>
        <v>14.24</v>
      </c>
      <c r="AE616">
        <f>ROUND(((EU616*1.25)),2)</f>
        <v>3.21</v>
      </c>
      <c r="AF616">
        <f>ROUND(((EV616*1.15)),2)</f>
        <v>99.45</v>
      </c>
      <c r="AG616">
        <f t="shared" si="455"/>
        <v>0</v>
      </c>
      <c r="AH616">
        <f>((EW616*1.15))</f>
        <v>10.3385</v>
      </c>
      <c r="AI616">
        <f>((EX616*1.25))</f>
        <v>0.26250000000000001</v>
      </c>
      <c r="AJ616">
        <f t="shared" si="457"/>
        <v>0</v>
      </c>
      <c r="AK616">
        <v>153.77000000000001</v>
      </c>
      <c r="AL616">
        <v>55.9</v>
      </c>
      <c r="AM616">
        <v>11.39</v>
      </c>
      <c r="AN616">
        <v>2.57</v>
      </c>
      <c r="AO616">
        <v>86.48</v>
      </c>
      <c r="AP616">
        <v>0</v>
      </c>
      <c r="AQ616">
        <v>8.99</v>
      </c>
      <c r="AR616">
        <v>0.21</v>
      </c>
      <c r="AS616">
        <v>0</v>
      </c>
      <c r="AT616">
        <v>115</v>
      </c>
      <c r="AU616">
        <v>71</v>
      </c>
      <c r="AV616">
        <v>1</v>
      </c>
      <c r="AW616">
        <v>1</v>
      </c>
      <c r="AZ616">
        <v>6.56</v>
      </c>
      <c r="BA616">
        <v>6.56</v>
      </c>
      <c r="BB616">
        <v>6.56</v>
      </c>
      <c r="BC616">
        <v>6.56</v>
      </c>
      <c r="BD616" t="s">
        <v>6</v>
      </c>
      <c r="BE616" t="s">
        <v>6</v>
      </c>
      <c r="BF616" t="s">
        <v>6</v>
      </c>
      <c r="BG616" t="s">
        <v>6</v>
      </c>
      <c r="BH616">
        <v>0</v>
      </c>
      <c r="BI616">
        <v>1</v>
      </c>
      <c r="BJ616" t="s">
        <v>930</v>
      </c>
      <c r="BM616">
        <v>17001</v>
      </c>
      <c r="BN616">
        <v>0</v>
      </c>
      <c r="BO616" t="s">
        <v>6</v>
      </c>
      <c r="BP616">
        <v>0</v>
      </c>
      <c r="BQ616">
        <v>2</v>
      </c>
      <c r="BR616">
        <v>0</v>
      </c>
      <c r="BS616">
        <v>6.56</v>
      </c>
      <c r="BT616">
        <v>1</v>
      </c>
      <c r="BU616">
        <v>1</v>
      </c>
      <c r="BV616">
        <v>1</v>
      </c>
      <c r="BW616">
        <v>1</v>
      </c>
      <c r="BX616">
        <v>1</v>
      </c>
      <c r="BY616" t="s">
        <v>6</v>
      </c>
      <c r="BZ616">
        <v>128</v>
      </c>
      <c r="CA616">
        <v>83</v>
      </c>
      <c r="CF616">
        <v>0</v>
      </c>
      <c r="CG616">
        <v>0</v>
      </c>
      <c r="CM616">
        <v>0</v>
      </c>
      <c r="CN616" t="s">
        <v>1609</v>
      </c>
      <c r="CO616">
        <v>0</v>
      </c>
      <c r="CP616">
        <f t="shared" si="458"/>
        <v>222.5</v>
      </c>
      <c r="CQ616">
        <f t="shared" si="459"/>
        <v>366.70399999999995</v>
      </c>
      <c r="CR616">
        <f t="shared" si="460"/>
        <v>93.414400000000001</v>
      </c>
      <c r="CS616">
        <f t="shared" si="461"/>
        <v>21.057599999999997</v>
      </c>
      <c r="CT616">
        <f t="shared" si="462"/>
        <v>652.39199999999994</v>
      </c>
      <c r="CU616">
        <f t="shared" si="463"/>
        <v>0</v>
      </c>
      <c r="CV616">
        <f t="shared" si="463"/>
        <v>10.3385</v>
      </c>
      <c r="CW616">
        <f t="shared" si="463"/>
        <v>0.26250000000000001</v>
      </c>
      <c r="CX616">
        <f t="shared" si="463"/>
        <v>0</v>
      </c>
      <c r="CY616">
        <f t="shared" si="464"/>
        <v>154.89350000000002</v>
      </c>
      <c r="CZ616">
        <f t="shared" si="465"/>
        <v>95.629899999999992</v>
      </c>
      <c r="DC616" t="s">
        <v>6</v>
      </c>
      <c r="DD616" t="s">
        <v>6</v>
      </c>
      <c r="DE616" t="s">
        <v>172</v>
      </c>
      <c r="DF616" t="s">
        <v>172</v>
      </c>
      <c r="DG616" t="s">
        <v>173</v>
      </c>
      <c r="DH616" t="s">
        <v>6</v>
      </c>
      <c r="DI616" t="s">
        <v>173</v>
      </c>
      <c r="DJ616" t="s">
        <v>172</v>
      </c>
      <c r="DK616" t="s">
        <v>6</v>
      </c>
      <c r="DL616" t="s">
        <v>6</v>
      </c>
      <c r="DM616" t="s">
        <v>6</v>
      </c>
      <c r="DN616">
        <v>0</v>
      </c>
      <c r="DO616">
        <v>0</v>
      </c>
      <c r="DP616">
        <v>1</v>
      </c>
      <c r="DQ616">
        <v>1</v>
      </c>
      <c r="DU616">
        <v>1013</v>
      </c>
      <c r="DV616" t="s">
        <v>929</v>
      </c>
      <c r="DW616" t="s">
        <v>929</v>
      </c>
      <c r="DX616">
        <v>1</v>
      </c>
      <c r="EE616">
        <v>16510515</v>
      </c>
      <c r="EF616">
        <v>2</v>
      </c>
      <c r="EG616" t="s">
        <v>22</v>
      </c>
      <c r="EH616">
        <v>0</v>
      </c>
      <c r="EI616" t="s">
        <v>6</v>
      </c>
      <c r="EJ616">
        <v>1</v>
      </c>
      <c r="EK616">
        <v>17001</v>
      </c>
      <c r="EL616" t="s">
        <v>931</v>
      </c>
      <c r="EM616" t="s">
        <v>932</v>
      </c>
      <c r="EO616" t="s">
        <v>176</v>
      </c>
      <c r="EQ616">
        <v>131072</v>
      </c>
      <c r="ER616">
        <v>153.77000000000001</v>
      </c>
      <c r="ES616">
        <v>55.9</v>
      </c>
      <c r="ET616">
        <v>11.39</v>
      </c>
      <c r="EU616">
        <v>2.57</v>
      </c>
      <c r="EV616">
        <v>86.48</v>
      </c>
      <c r="EW616">
        <v>8.99</v>
      </c>
      <c r="EX616">
        <v>0.21</v>
      </c>
      <c r="EY616">
        <v>0</v>
      </c>
      <c r="FQ616">
        <v>0</v>
      </c>
      <c r="FR616">
        <f t="shared" si="466"/>
        <v>0</v>
      </c>
      <c r="FS616">
        <v>0</v>
      </c>
      <c r="FT616" t="s">
        <v>25</v>
      </c>
      <c r="FU616" t="s">
        <v>26</v>
      </c>
      <c r="FX616">
        <v>115.2</v>
      </c>
      <c r="FY616">
        <v>70.55</v>
      </c>
      <c r="GA616" t="s">
        <v>6</v>
      </c>
      <c r="GD616">
        <v>0</v>
      </c>
      <c r="GF616">
        <v>-480512061</v>
      </c>
      <c r="GG616">
        <v>1</v>
      </c>
      <c r="GH616">
        <v>1</v>
      </c>
      <c r="GI616">
        <v>4</v>
      </c>
      <c r="GJ616">
        <v>0</v>
      </c>
      <c r="GK616">
        <f>ROUND(R616*(R12)/100,2)</f>
        <v>0</v>
      </c>
      <c r="GL616">
        <f t="shared" si="467"/>
        <v>0</v>
      </c>
      <c r="GM616">
        <f t="shared" si="468"/>
        <v>473.02</v>
      </c>
      <c r="GN616">
        <f t="shared" si="469"/>
        <v>473.02</v>
      </c>
      <c r="GO616">
        <f t="shared" si="470"/>
        <v>0</v>
      </c>
      <c r="GP616">
        <f t="shared" si="471"/>
        <v>0</v>
      </c>
      <c r="GR616">
        <v>0</v>
      </c>
      <c r="GS616">
        <v>3</v>
      </c>
      <c r="GT616">
        <v>0</v>
      </c>
      <c r="GU616" t="s">
        <v>6</v>
      </c>
      <c r="GV616">
        <f t="shared" si="472"/>
        <v>0</v>
      </c>
      <c r="GW616">
        <v>1</v>
      </c>
      <c r="GX616">
        <f t="shared" si="473"/>
        <v>0</v>
      </c>
      <c r="HA616">
        <v>0</v>
      </c>
      <c r="HB616">
        <v>0</v>
      </c>
      <c r="IK616">
        <v>0</v>
      </c>
    </row>
    <row r="617" spans="1:245" x14ac:dyDescent="0.2">
      <c r="A617">
        <v>18</v>
      </c>
      <c r="B617">
        <v>1</v>
      </c>
      <c r="C617">
        <v>726</v>
      </c>
      <c r="E617" t="s">
        <v>933</v>
      </c>
      <c r="F617" t="s">
        <v>934</v>
      </c>
      <c r="G617" t="s">
        <v>935</v>
      </c>
      <c r="H617" t="s">
        <v>53</v>
      </c>
      <c r="I617">
        <f>I616*J617</f>
        <v>2</v>
      </c>
      <c r="J617">
        <v>10</v>
      </c>
      <c r="O617">
        <f t="shared" si="442"/>
        <v>1712.55</v>
      </c>
      <c r="P617">
        <f t="shared" si="443"/>
        <v>1712.55</v>
      </c>
      <c r="Q617">
        <f t="shared" si="444"/>
        <v>0</v>
      </c>
      <c r="R617">
        <f t="shared" si="445"/>
        <v>0</v>
      </c>
      <c r="S617">
        <f t="shared" si="446"/>
        <v>0</v>
      </c>
      <c r="T617">
        <f t="shared" si="447"/>
        <v>0</v>
      </c>
      <c r="U617">
        <f t="shared" si="448"/>
        <v>0</v>
      </c>
      <c r="V617">
        <f t="shared" si="449"/>
        <v>0</v>
      </c>
      <c r="W617">
        <f t="shared" si="450"/>
        <v>0</v>
      </c>
      <c r="X617">
        <f t="shared" si="451"/>
        <v>0</v>
      </c>
      <c r="Y617">
        <f t="shared" si="451"/>
        <v>0</v>
      </c>
      <c r="AA617">
        <v>16748969</v>
      </c>
      <c r="AB617">
        <f t="shared" si="452"/>
        <v>130.53</v>
      </c>
      <c r="AC617">
        <f t="shared" si="453"/>
        <v>130.53</v>
      </c>
      <c r="AD617">
        <f>ROUND((((ET617)-(EU617))+AE617),2)</f>
        <v>0</v>
      </c>
      <c r="AE617">
        <f t="shared" ref="AE617:AF619" si="474">ROUND((EU617),2)</f>
        <v>0</v>
      </c>
      <c r="AF617">
        <f t="shared" si="474"/>
        <v>0</v>
      </c>
      <c r="AG617">
        <f t="shared" si="455"/>
        <v>0</v>
      </c>
      <c r="AH617">
        <f t="shared" ref="AH617:AI619" si="475">(EW617)</f>
        <v>0</v>
      </c>
      <c r="AI617">
        <f t="shared" si="475"/>
        <v>0</v>
      </c>
      <c r="AJ617">
        <f t="shared" si="457"/>
        <v>0</v>
      </c>
      <c r="AK617">
        <v>130.53</v>
      </c>
      <c r="AL617">
        <v>130.53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0</v>
      </c>
      <c r="AS617">
        <v>0</v>
      </c>
      <c r="AT617">
        <v>115</v>
      </c>
      <c r="AU617">
        <v>71</v>
      </c>
      <c r="AV617">
        <v>1</v>
      </c>
      <c r="AW617">
        <v>1</v>
      </c>
      <c r="AZ617">
        <v>6.56</v>
      </c>
      <c r="BA617">
        <v>1</v>
      </c>
      <c r="BB617">
        <v>1</v>
      </c>
      <c r="BC617">
        <v>6.56</v>
      </c>
      <c r="BD617" t="s">
        <v>6</v>
      </c>
      <c r="BE617" t="s">
        <v>6</v>
      </c>
      <c r="BF617" t="s">
        <v>6</v>
      </c>
      <c r="BG617" t="s">
        <v>6</v>
      </c>
      <c r="BH617">
        <v>3</v>
      </c>
      <c r="BI617">
        <v>1</v>
      </c>
      <c r="BJ617" t="s">
        <v>936</v>
      </c>
      <c r="BM617">
        <v>17001</v>
      </c>
      <c r="BN617">
        <v>0</v>
      </c>
      <c r="BO617" t="s">
        <v>6</v>
      </c>
      <c r="BP617">
        <v>0</v>
      </c>
      <c r="BQ617">
        <v>2</v>
      </c>
      <c r="BR617">
        <v>0</v>
      </c>
      <c r="BS617">
        <v>1</v>
      </c>
      <c r="BT617">
        <v>1</v>
      </c>
      <c r="BU617">
        <v>1</v>
      </c>
      <c r="BV617">
        <v>1</v>
      </c>
      <c r="BW617">
        <v>1</v>
      </c>
      <c r="BX617">
        <v>1</v>
      </c>
      <c r="BY617" t="s">
        <v>6</v>
      </c>
      <c r="BZ617">
        <v>128</v>
      </c>
      <c r="CA617">
        <v>83</v>
      </c>
      <c r="CF617">
        <v>0</v>
      </c>
      <c r="CG617">
        <v>0</v>
      </c>
      <c r="CM617">
        <v>0</v>
      </c>
      <c r="CN617" t="s">
        <v>6</v>
      </c>
      <c r="CO617">
        <v>0</v>
      </c>
      <c r="CP617">
        <f t="shared" si="458"/>
        <v>1712.55</v>
      </c>
      <c r="CQ617">
        <f t="shared" si="459"/>
        <v>856.27679999999998</v>
      </c>
      <c r="CR617">
        <f t="shared" si="460"/>
        <v>0</v>
      </c>
      <c r="CS617">
        <f t="shared" si="461"/>
        <v>0</v>
      </c>
      <c r="CT617">
        <f t="shared" si="462"/>
        <v>0</v>
      </c>
      <c r="CU617">
        <f t="shared" si="463"/>
        <v>0</v>
      </c>
      <c r="CV617">
        <f t="shared" si="463"/>
        <v>0</v>
      </c>
      <c r="CW617">
        <f t="shared" si="463"/>
        <v>0</v>
      </c>
      <c r="CX617">
        <f t="shared" si="463"/>
        <v>0</v>
      </c>
      <c r="CY617">
        <f t="shared" si="464"/>
        <v>0</v>
      </c>
      <c r="CZ617">
        <f t="shared" si="465"/>
        <v>0</v>
      </c>
      <c r="DC617" t="s">
        <v>6</v>
      </c>
      <c r="DD617" t="s">
        <v>6</v>
      </c>
      <c r="DE617" t="s">
        <v>6</v>
      </c>
      <c r="DF617" t="s">
        <v>6</v>
      </c>
      <c r="DG617" t="s">
        <v>6</v>
      </c>
      <c r="DH617" t="s">
        <v>6</v>
      </c>
      <c r="DI617" t="s">
        <v>6</v>
      </c>
      <c r="DJ617" t="s">
        <v>6</v>
      </c>
      <c r="DK617" t="s">
        <v>6</v>
      </c>
      <c r="DL617" t="s">
        <v>6</v>
      </c>
      <c r="DM617" t="s">
        <v>6</v>
      </c>
      <c r="DN617">
        <v>0</v>
      </c>
      <c r="DO617">
        <v>0</v>
      </c>
      <c r="DP617">
        <v>1</v>
      </c>
      <c r="DQ617">
        <v>1</v>
      </c>
      <c r="DU617">
        <v>1010</v>
      </c>
      <c r="DV617" t="s">
        <v>53</v>
      </c>
      <c r="DW617" t="s">
        <v>53</v>
      </c>
      <c r="DX617">
        <v>1</v>
      </c>
      <c r="EE617">
        <v>16510515</v>
      </c>
      <c r="EF617">
        <v>2</v>
      </c>
      <c r="EG617" t="s">
        <v>22</v>
      </c>
      <c r="EH617">
        <v>0</v>
      </c>
      <c r="EI617" t="s">
        <v>6</v>
      </c>
      <c r="EJ617">
        <v>1</v>
      </c>
      <c r="EK617">
        <v>17001</v>
      </c>
      <c r="EL617" t="s">
        <v>931</v>
      </c>
      <c r="EM617" t="s">
        <v>932</v>
      </c>
      <c r="EO617" t="s">
        <v>6</v>
      </c>
      <c r="EQ617">
        <v>0</v>
      </c>
      <c r="ER617">
        <v>130.53</v>
      </c>
      <c r="ES617">
        <v>130.53</v>
      </c>
      <c r="ET617">
        <v>0</v>
      </c>
      <c r="EU617">
        <v>0</v>
      </c>
      <c r="EV617">
        <v>0</v>
      </c>
      <c r="EW617">
        <v>0</v>
      </c>
      <c r="EX617">
        <v>0</v>
      </c>
      <c r="FQ617">
        <v>0</v>
      </c>
      <c r="FR617">
        <f t="shared" si="466"/>
        <v>0</v>
      </c>
      <c r="FS617">
        <v>0</v>
      </c>
      <c r="FT617" t="s">
        <v>25</v>
      </c>
      <c r="FU617" t="s">
        <v>26</v>
      </c>
      <c r="FX617">
        <v>115.2</v>
      </c>
      <c r="FY617">
        <v>70.55</v>
      </c>
      <c r="GA617" t="s">
        <v>6</v>
      </c>
      <c r="GD617">
        <v>0</v>
      </c>
      <c r="GF617">
        <v>1658146140</v>
      </c>
      <c r="GG617">
        <v>1</v>
      </c>
      <c r="GH617">
        <v>1</v>
      </c>
      <c r="GI617">
        <v>4</v>
      </c>
      <c r="GJ617">
        <v>0</v>
      </c>
      <c r="GK617">
        <f>ROUND(R617*(R12)/100,2)</f>
        <v>0</v>
      </c>
      <c r="GL617">
        <f t="shared" si="467"/>
        <v>0</v>
      </c>
      <c r="GM617">
        <f t="shared" si="468"/>
        <v>1712.55</v>
      </c>
      <c r="GN617">
        <f t="shared" si="469"/>
        <v>1712.55</v>
      </c>
      <c r="GO617">
        <f t="shared" si="470"/>
        <v>0</v>
      </c>
      <c r="GP617">
        <f t="shared" si="471"/>
        <v>0</v>
      </c>
      <c r="GR617">
        <v>0</v>
      </c>
      <c r="GS617">
        <v>3</v>
      </c>
      <c r="GT617">
        <v>0</v>
      </c>
      <c r="GU617" t="s">
        <v>6</v>
      </c>
      <c r="GV617">
        <f t="shared" si="472"/>
        <v>0</v>
      </c>
      <c r="GW617">
        <v>1</v>
      </c>
      <c r="GX617">
        <f t="shared" si="473"/>
        <v>0</v>
      </c>
      <c r="HA617">
        <v>0</v>
      </c>
      <c r="HB617">
        <v>0</v>
      </c>
      <c r="IK617">
        <v>0</v>
      </c>
    </row>
    <row r="618" spans="1:245" x14ac:dyDescent="0.2">
      <c r="A618">
        <v>18</v>
      </c>
      <c r="B618">
        <v>1</v>
      </c>
      <c r="C618">
        <v>724</v>
      </c>
      <c r="E618" t="s">
        <v>937</v>
      </c>
      <c r="F618" t="s">
        <v>938</v>
      </c>
      <c r="G618" t="s">
        <v>939</v>
      </c>
      <c r="H618" t="s">
        <v>230</v>
      </c>
      <c r="I618">
        <f>I616*J618</f>
        <v>2</v>
      </c>
      <c r="J618">
        <v>10</v>
      </c>
      <c r="O618">
        <f t="shared" si="442"/>
        <v>4683.84</v>
      </c>
      <c r="P618">
        <f t="shared" si="443"/>
        <v>4683.84</v>
      </c>
      <c r="Q618">
        <f t="shared" si="444"/>
        <v>0</v>
      </c>
      <c r="R618">
        <f t="shared" si="445"/>
        <v>0</v>
      </c>
      <c r="S618">
        <f t="shared" si="446"/>
        <v>0</v>
      </c>
      <c r="T618">
        <f t="shared" si="447"/>
        <v>0</v>
      </c>
      <c r="U618">
        <f t="shared" si="448"/>
        <v>0</v>
      </c>
      <c r="V618">
        <f t="shared" si="449"/>
        <v>0</v>
      </c>
      <c r="W618">
        <f t="shared" si="450"/>
        <v>0</v>
      </c>
      <c r="X618">
        <f t="shared" si="451"/>
        <v>0</v>
      </c>
      <c r="Y618">
        <f t="shared" si="451"/>
        <v>0</v>
      </c>
      <c r="AA618">
        <v>16748969</v>
      </c>
      <c r="AB618">
        <f t="shared" si="452"/>
        <v>357</v>
      </c>
      <c r="AC618">
        <f t="shared" si="453"/>
        <v>357</v>
      </c>
      <c r="AD618">
        <f>ROUND((((ET618)-(EU618))+AE618),2)</f>
        <v>0</v>
      </c>
      <c r="AE618">
        <f t="shared" si="474"/>
        <v>0</v>
      </c>
      <c r="AF618">
        <f t="shared" si="474"/>
        <v>0</v>
      </c>
      <c r="AG618">
        <f t="shared" si="455"/>
        <v>0</v>
      </c>
      <c r="AH618">
        <f t="shared" si="475"/>
        <v>0</v>
      </c>
      <c r="AI618">
        <f t="shared" si="475"/>
        <v>0</v>
      </c>
      <c r="AJ618">
        <f t="shared" si="457"/>
        <v>0</v>
      </c>
      <c r="AK618">
        <v>357</v>
      </c>
      <c r="AL618">
        <v>357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0</v>
      </c>
      <c r="AS618">
        <v>0</v>
      </c>
      <c r="AT618">
        <v>115</v>
      </c>
      <c r="AU618">
        <v>71</v>
      </c>
      <c r="AV618">
        <v>1</v>
      </c>
      <c r="AW618">
        <v>1</v>
      </c>
      <c r="AZ618">
        <v>6.56</v>
      </c>
      <c r="BA618">
        <v>1</v>
      </c>
      <c r="BB618">
        <v>1</v>
      </c>
      <c r="BC618">
        <v>6.56</v>
      </c>
      <c r="BD618" t="s">
        <v>6</v>
      </c>
      <c r="BE618" t="s">
        <v>6</v>
      </c>
      <c r="BF618" t="s">
        <v>6</v>
      </c>
      <c r="BG618" t="s">
        <v>6</v>
      </c>
      <c r="BH618">
        <v>3</v>
      </c>
      <c r="BI618">
        <v>1</v>
      </c>
      <c r="BJ618" t="s">
        <v>940</v>
      </c>
      <c r="BM618">
        <v>17001</v>
      </c>
      <c r="BN618">
        <v>0</v>
      </c>
      <c r="BO618" t="s">
        <v>6</v>
      </c>
      <c r="BP618">
        <v>0</v>
      </c>
      <c r="BQ618">
        <v>2</v>
      </c>
      <c r="BR618">
        <v>0</v>
      </c>
      <c r="BS618">
        <v>1</v>
      </c>
      <c r="BT618">
        <v>1</v>
      </c>
      <c r="BU618">
        <v>1</v>
      </c>
      <c r="BV618">
        <v>1</v>
      </c>
      <c r="BW618">
        <v>1</v>
      </c>
      <c r="BX618">
        <v>1</v>
      </c>
      <c r="BY618" t="s">
        <v>6</v>
      </c>
      <c r="BZ618">
        <v>128</v>
      </c>
      <c r="CA618">
        <v>83</v>
      </c>
      <c r="CF618">
        <v>0</v>
      </c>
      <c r="CG618">
        <v>0</v>
      </c>
      <c r="CM618">
        <v>0</v>
      </c>
      <c r="CN618" t="s">
        <v>6</v>
      </c>
      <c r="CO618">
        <v>0</v>
      </c>
      <c r="CP618">
        <f t="shared" si="458"/>
        <v>4683.84</v>
      </c>
      <c r="CQ618">
        <f t="shared" si="459"/>
        <v>2341.92</v>
      </c>
      <c r="CR618">
        <f t="shared" si="460"/>
        <v>0</v>
      </c>
      <c r="CS618">
        <f t="shared" si="461"/>
        <v>0</v>
      </c>
      <c r="CT618">
        <f t="shared" si="462"/>
        <v>0</v>
      </c>
      <c r="CU618">
        <f t="shared" si="463"/>
        <v>0</v>
      </c>
      <c r="CV618">
        <f t="shared" si="463"/>
        <v>0</v>
      </c>
      <c r="CW618">
        <f t="shared" si="463"/>
        <v>0</v>
      </c>
      <c r="CX618">
        <f t="shared" si="463"/>
        <v>0</v>
      </c>
      <c r="CY618">
        <f t="shared" si="464"/>
        <v>0</v>
      </c>
      <c r="CZ618">
        <f t="shared" si="465"/>
        <v>0</v>
      </c>
      <c r="DC618" t="s">
        <v>6</v>
      </c>
      <c r="DD618" t="s">
        <v>6</v>
      </c>
      <c r="DE618" t="s">
        <v>6</v>
      </c>
      <c r="DF618" t="s">
        <v>6</v>
      </c>
      <c r="DG618" t="s">
        <v>6</v>
      </c>
      <c r="DH618" t="s">
        <v>6</v>
      </c>
      <c r="DI618" t="s">
        <v>6</v>
      </c>
      <c r="DJ618" t="s">
        <v>6</v>
      </c>
      <c r="DK618" t="s">
        <v>6</v>
      </c>
      <c r="DL618" t="s">
        <v>6</v>
      </c>
      <c r="DM618" t="s">
        <v>6</v>
      </c>
      <c r="DN618">
        <v>0</v>
      </c>
      <c r="DO618">
        <v>0</v>
      </c>
      <c r="DP618">
        <v>1</v>
      </c>
      <c r="DQ618">
        <v>1</v>
      </c>
      <c r="DU618">
        <v>1013</v>
      </c>
      <c r="DV618" t="s">
        <v>230</v>
      </c>
      <c r="DW618" t="s">
        <v>230</v>
      </c>
      <c r="DX618">
        <v>1</v>
      </c>
      <c r="EE618">
        <v>16510515</v>
      </c>
      <c r="EF618">
        <v>2</v>
      </c>
      <c r="EG618" t="s">
        <v>22</v>
      </c>
      <c r="EH618">
        <v>0</v>
      </c>
      <c r="EI618" t="s">
        <v>6</v>
      </c>
      <c r="EJ618">
        <v>1</v>
      </c>
      <c r="EK618">
        <v>17001</v>
      </c>
      <c r="EL618" t="s">
        <v>931</v>
      </c>
      <c r="EM618" t="s">
        <v>932</v>
      </c>
      <c r="EO618" t="s">
        <v>6</v>
      </c>
      <c r="EQ618">
        <v>0</v>
      </c>
      <c r="ER618">
        <v>357</v>
      </c>
      <c r="ES618">
        <v>357</v>
      </c>
      <c r="ET618">
        <v>0</v>
      </c>
      <c r="EU618">
        <v>0</v>
      </c>
      <c r="EV618">
        <v>0</v>
      </c>
      <c r="EW618">
        <v>0</v>
      </c>
      <c r="EX618">
        <v>0</v>
      </c>
      <c r="FQ618">
        <v>0</v>
      </c>
      <c r="FR618">
        <f t="shared" si="466"/>
        <v>0</v>
      </c>
      <c r="FS618">
        <v>0</v>
      </c>
      <c r="FT618" t="s">
        <v>25</v>
      </c>
      <c r="FU618" t="s">
        <v>26</v>
      </c>
      <c r="FX618">
        <v>115.2</v>
      </c>
      <c r="FY618">
        <v>70.55</v>
      </c>
      <c r="GA618" t="s">
        <v>6</v>
      </c>
      <c r="GD618">
        <v>0</v>
      </c>
      <c r="GF618">
        <v>311523077</v>
      </c>
      <c r="GG618">
        <v>1</v>
      </c>
      <c r="GH618">
        <v>1</v>
      </c>
      <c r="GI618">
        <v>4</v>
      </c>
      <c r="GJ618">
        <v>0</v>
      </c>
      <c r="GK618">
        <f>ROUND(R618*(R12)/100,2)</f>
        <v>0</v>
      </c>
      <c r="GL618">
        <f t="shared" si="467"/>
        <v>0</v>
      </c>
      <c r="GM618">
        <f t="shared" si="468"/>
        <v>4683.84</v>
      </c>
      <c r="GN618">
        <f t="shared" si="469"/>
        <v>4683.84</v>
      </c>
      <c r="GO618">
        <f t="shared" si="470"/>
        <v>0</v>
      </c>
      <c r="GP618">
        <f t="shared" si="471"/>
        <v>0</v>
      </c>
      <c r="GR618">
        <v>0</v>
      </c>
      <c r="GS618">
        <v>3</v>
      </c>
      <c r="GT618">
        <v>0</v>
      </c>
      <c r="GU618" t="s">
        <v>6</v>
      </c>
      <c r="GV618">
        <f t="shared" si="472"/>
        <v>0</v>
      </c>
      <c r="GW618">
        <v>1</v>
      </c>
      <c r="GX618">
        <f t="shared" si="473"/>
        <v>0</v>
      </c>
      <c r="HA618">
        <v>0</v>
      </c>
      <c r="HB618">
        <v>0</v>
      </c>
      <c r="IK618">
        <v>0</v>
      </c>
    </row>
    <row r="619" spans="1:245" x14ac:dyDescent="0.2">
      <c r="A619">
        <v>18</v>
      </c>
      <c r="B619">
        <v>1</v>
      </c>
      <c r="C619">
        <v>725</v>
      </c>
      <c r="E619" t="s">
        <v>941</v>
      </c>
      <c r="F619" t="s">
        <v>942</v>
      </c>
      <c r="G619" t="s">
        <v>943</v>
      </c>
      <c r="H619" t="s">
        <v>615</v>
      </c>
      <c r="I619">
        <f>I616*J619</f>
        <v>0.2</v>
      </c>
      <c r="J619">
        <v>1</v>
      </c>
      <c r="O619">
        <f t="shared" si="442"/>
        <v>210.18</v>
      </c>
      <c r="P619">
        <f t="shared" si="443"/>
        <v>210.18</v>
      </c>
      <c r="Q619">
        <f t="shared" si="444"/>
        <v>0</v>
      </c>
      <c r="R619">
        <f t="shared" si="445"/>
        <v>0</v>
      </c>
      <c r="S619">
        <f t="shared" si="446"/>
        <v>0</v>
      </c>
      <c r="T619">
        <f t="shared" si="447"/>
        <v>0</v>
      </c>
      <c r="U619">
        <f t="shared" si="448"/>
        <v>0</v>
      </c>
      <c r="V619">
        <f t="shared" si="449"/>
        <v>0</v>
      </c>
      <c r="W619">
        <f t="shared" si="450"/>
        <v>0</v>
      </c>
      <c r="X619">
        <f t="shared" si="451"/>
        <v>0</v>
      </c>
      <c r="Y619">
        <f t="shared" si="451"/>
        <v>0</v>
      </c>
      <c r="AA619">
        <v>16748969</v>
      </c>
      <c r="AB619">
        <f t="shared" si="452"/>
        <v>160.19999999999999</v>
      </c>
      <c r="AC619">
        <f t="shared" si="453"/>
        <v>160.19999999999999</v>
      </c>
      <c r="AD619">
        <f>ROUND((((ET619)-(EU619))+AE619),2)</f>
        <v>0</v>
      </c>
      <c r="AE619">
        <f t="shared" si="474"/>
        <v>0</v>
      </c>
      <c r="AF619">
        <f t="shared" si="474"/>
        <v>0</v>
      </c>
      <c r="AG619">
        <f t="shared" si="455"/>
        <v>0</v>
      </c>
      <c r="AH619">
        <f t="shared" si="475"/>
        <v>0</v>
      </c>
      <c r="AI619">
        <f t="shared" si="475"/>
        <v>0</v>
      </c>
      <c r="AJ619">
        <f t="shared" si="457"/>
        <v>0</v>
      </c>
      <c r="AK619">
        <v>160.19999999999999</v>
      </c>
      <c r="AL619">
        <v>160.19999999999999</v>
      </c>
      <c r="AM619">
        <v>0</v>
      </c>
      <c r="AN619">
        <v>0</v>
      </c>
      <c r="AO619">
        <v>0</v>
      </c>
      <c r="AP619">
        <v>0</v>
      </c>
      <c r="AQ619">
        <v>0</v>
      </c>
      <c r="AR619">
        <v>0</v>
      </c>
      <c r="AS619">
        <v>0</v>
      </c>
      <c r="AT619">
        <v>115</v>
      </c>
      <c r="AU619">
        <v>71</v>
      </c>
      <c r="AV619">
        <v>1</v>
      </c>
      <c r="AW619">
        <v>1</v>
      </c>
      <c r="AZ619">
        <v>6.56</v>
      </c>
      <c r="BA619">
        <v>1</v>
      </c>
      <c r="BB619">
        <v>1</v>
      </c>
      <c r="BC619">
        <v>6.56</v>
      </c>
      <c r="BD619" t="s">
        <v>6</v>
      </c>
      <c r="BE619" t="s">
        <v>6</v>
      </c>
      <c r="BF619" t="s">
        <v>6</v>
      </c>
      <c r="BG619" t="s">
        <v>6</v>
      </c>
      <c r="BH619">
        <v>3</v>
      </c>
      <c r="BI619">
        <v>1</v>
      </c>
      <c r="BJ619" t="s">
        <v>944</v>
      </c>
      <c r="BM619">
        <v>17001</v>
      </c>
      <c r="BN619">
        <v>0</v>
      </c>
      <c r="BO619" t="s">
        <v>6</v>
      </c>
      <c r="BP619">
        <v>0</v>
      </c>
      <c r="BQ619">
        <v>2</v>
      </c>
      <c r="BR619">
        <v>0</v>
      </c>
      <c r="BS619">
        <v>1</v>
      </c>
      <c r="BT619">
        <v>1</v>
      </c>
      <c r="BU619">
        <v>1</v>
      </c>
      <c r="BV619">
        <v>1</v>
      </c>
      <c r="BW619">
        <v>1</v>
      </c>
      <c r="BX619">
        <v>1</v>
      </c>
      <c r="BY619" t="s">
        <v>6</v>
      </c>
      <c r="BZ619">
        <v>128</v>
      </c>
      <c r="CA619">
        <v>83</v>
      </c>
      <c r="CF619">
        <v>0</v>
      </c>
      <c r="CG619">
        <v>0</v>
      </c>
      <c r="CM619">
        <v>0</v>
      </c>
      <c r="CN619" t="s">
        <v>6</v>
      </c>
      <c r="CO619">
        <v>0</v>
      </c>
      <c r="CP619">
        <f t="shared" si="458"/>
        <v>210.18</v>
      </c>
      <c r="CQ619">
        <f t="shared" si="459"/>
        <v>1050.9119999999998</v>
      </c>
      <c r="CR619">
        <f t="shared" si="460"/>
        <v>0</v>
      </c>
      <c r="CS619">
        <f t="shared" si="461"/>
        <v>0</v>
      </c>
      <c r="CT619">
        <f t="shared" si="462"/>
        <v>0</v>
      </c>
      <c r="CU619">
        <f t="shared" si="463"/>
        <v>0</v>
      </c>
      <c r="CV619">
        <f t="shared" si="463"/>
        <v>0</v>
      </c>
      <c r="CW619">
        <f t="shared" si="463"/>
        <v>0</v>
      </c>
      <c r="CX619">
        <f t="shared" si="463"/>
        <v>0</v>
      </c>
      <c r="CY619">
        <f t="shared" si="464"/>
        <v>0</v>
      </c>
      <c r="CZ619">
        <f t="shared" si="465"/>
        <v>0</v>
      </c>
      <c r="DC619" t="s">
        <v>6</v>
      </c>
      <c r="DD619" t="s">
        <v>6</v>
      </c>
      <c r="DE619" t="s">
        <v>6</v>
      </c>
      <c r="DF619" t="s">
        <v>6</v>
      </c>
      <c r="DG619" t="s">
        <v>6</v>
      </c>
      <c r="DH619" t="s">
        <v>6</v>
      </c>
      <c r="DI619" t="s">
        <v>6</v>
      </c>
      <c r="DJ619" t="s">
        <v>6</v>
      </c>
      <c r="DK619" t="s">
        <v>6</v>
      </c>
      <c r="DL619" t="s">
        <v>6</v>
      </c>
      <c r="DM619" t="s">
        <v>6</v>
      </c>
      <c r="DN619">
        <v>0</v>
      </c>
      <c r="DO619">
        <v>0</v>
      </c>
      <c r="DP619">
        <v>1</v>
      </c>
      <c r="DQ619">
        <v>1</v>
      </c>
      <c r="DU619">
        <v>1010</v>
      </c>
      <c r="DV619" t="s">
        <v>615</v>
      </c>
      <c r="DW619" t="s">
        <v>615</v>
      </c>
      <c r="DX619">
        <v>10</v>
      </c>
      <c r="EE619">
        <v>16510515</v>
      </c>
      <c r="EF619">
        <v>2</v>
      </c>
      <c r="EG619" t="s">
        <v>22</v>
      </c>
      <c r="EH619">
        <v>0</v>
      </c>
      <c r="EI619" t="s">
        <v>6</v>
      </c>
      <c r="EJ619">
        <v>1</v>
      </c>
      <c r="EK619">
        <v>17001</v>
      </c>
      <c r="EL619" t="s">
        <v>931</v>
      </c>
      <c r="EM619" t="s">
        <v>932</v>
      </c>
      <c r="EO619" t="s">
        <v>6</v>
      </c>
      <c r="EQ619">
        <v>0</v>
      </c>
      <c r="ER619">
        <v>160.19999999999999</v>
      </c>
      <c r="ES619">
        <v>160.19999999999999</v>
      </c>
      <c r="ET619">
        <v>0</v>
      </c>
      <c r="EU619">
        <v>0</v>
      </c>
      <c r="EV619">
        <v>0</v>
      </c>
      <c r="EW619">
        <v>0</v>
      </c>
      <c r="EX619">
        <v>0</v>
      </c>
      <c r="FQ619">
        <v>0</v>
      </c>
      <c r="FR619">
        <f t="shared" si="466"/>
        <v>0</v>
      </c>
      <c r="FS619">
        <v>0</v>
      </c>
      <c r="FT619" t="s">
        <v>25</v>
      </c>
      <c r="FU619" t="s">
        <v>26</v>
      </c>
      <c r="FX619">
        <v>115.2</v>
      </c>
      <c r="FY619">
        <v>70.55</v>
      </c>
      <c r="GA619" t="s">
        <v>6</v>
      </c>
      <c r="GD619">
        <v>0</v>
      </c>
      <c r="GF619">
        <v>-62785007</v>
      </c>
      <c r="GG619">
        <v>1</v>
      </c>
      <c r="GH619">
        <v>1</v>
      </c>
      <c r="GI619">
        <v>4</v>
      </c>
      <c r="GJ619">
        <v>0</v>
      </c>
      <c r="GK619">
        <f>ROUND(R619*(R12)/100,2)</f>
        <v>0</v>
      </c>
      <c r="GL619">
        <f t="shared" si="467"/>
        <v>0</v>
      </c>
      <c r="GM619">
        <f t="shared" si="468"/>
        <v>210.18</v>
      </c>
      <c r="GN619">
        <f t="shared" si="469"/>
        <v>210.18</v>
      </c>
      <c r="GO619">
        <f t="shared" si="470"/>
        <v>0</v>
      </c>
      <c r="GP619">
        <f t="shared" si="471"/>
        <v>0</v>
      </c>
      <c r="GR619">
        <v>0</v>
      </c>
      <c r="GS619">
        <v>3</v>
      </c>
      <c r="GT619">
        <v>0</v>
      </c>
      <c r="GU619" t="s">
        <v>6</v>
      </c>
      <c r="GV619">
        <f t="shared" si="472"/>
        <v>0</v>
      </c>
      <c r="GW619">
        <v>1</v>
      </c>
      <c r="GX619">
        <f t="shared" si="473"/>
        <v>0</v>
      </c>
      <c r="HA619">
        <v>0</v>
      </c>
      <c r="HB619">
        <v>0</v>
      </c>
      <c r="IK619">
        <v>0</v>
      </c>
    </row>
    <row r="620" spans="1:245" x14ac:dyDescent="0.2">
      <c r="A620">
        <v>17</v>
      </c>
      <c r="B620">
        <v>1</v>
      </c>
      <c r="C620">
        <f>ROW(SmtRes!A730)</f>
        <v>730</v>
      </c>
      <c r="D620">
        <f>ROW(EtalonRes!A680)</f>
        <v>680</v>
      </c>
      <c r="E620" t="s">
        <v>945</v>
      </c>
      <c r="F620" t="s">
        <v>946</v>
      </c>
      <c r="G620" t="s">
        <v>947</v>
      </c>
      <c r="H620" t="s">
        <v>948</v>
      </c>
      <c r="I620">
        <f>ROUND(2/10,9)</f>
        <v>0.2</v>
      </c>
      <c r="J620">
        <v>0</v>
      </c>
      <c r="O620">
        <f t="shared" si="442"/>
        <v>116.01</v>
      </c>
      <c r="P620">
        <f t="shared" si="443"/>
        <v>14.41</v>
      </c>
      <c r="Q620">
        <f t="shared" si="444"/>
        <v>0</v>
      </c>
      <c r="R620">
        <f t="shared" si="445"/>
        <v>0</v>
      </c>
      <c r="S620">
        <f t="shared" si="446"/>
        <v>101.6</v>
      </c>
      <c r="T620">
        <f t="shared" si="447"/>
        <v>0</v>
      </c>
      <c r="U620">
        <f t="shared" si="448"/>
        <v>1.6099999999999999</v>
      </c>
      <c r="V620">
        <f t="shared" si="449"/>
        <v>0</v>
      </c>
      <c r="W620">
        <f t="shared" si="450"/>
        <v>0</v>
      </c>
      <c r="X620">
        <f t="shared" si="451"/>
        <v>116.84</v>
      </c>
      <c r="Y620">
        <f t="shared" si="451"/>
        <v>72.14</v>
      </c>
      <c r="AA620">
        <v>16748969</v>
      </c>
      <c r="AB620">
        <f t="shared" si="452"/>
        <v>88.42</v>
      </c>
      <c r="AC620">
        <f t="shared" si="453"/>
        <v>10.98</v>
      </c>
      <c r="AD620">
        <f>ROUND(((((ET620*1.25))-((EU620*1.25)))+AE620),2)</f>
        <v>0</v>
      </c>
      <c r="AE620">
        <f>ROUND(((EU620*1.25)),2)</f>
        <v>0</v>
      </c>
      <c r="AF620">
        <f>ROUND(((EV620*1.15)),2)</f>
        <v>77.44</v>
      </c>
      <c r="AG620">
        <f t="shared" si="455"/>
        <v>0</v>
      </c>
      <c r="AH620">
        <f>((EW620*1.15))</f>
        <v>8.0499999999999989</v>
      </c>
      <c r="AI620">
        <f>((EX620*1.25))</f>
        <v>0</v>
      </c>
      <c r="AJ620">
        <f t="shared" si="457"/>
        <v>0</v>
      </c>
      <c r="AK620">
        <v>78.319999999999993</v>
      </c>
      <c r="AL620">
        <v>10.98</v>
      </c>
      <c r="AM620">
        <v>0</v>
      </c>
      <c r="AN620">
        <v>0</v>
      </c>
      <c r="AO620">
        <v>67.34</v>
      </c>
      <c r="AP620">
        <v>0</v>
      </c>
      <c r="AQ620">
        <v>7</v>
      </c>
      <c r="AR620">
        <v>0</v>
      </c>
      <c r="AS620">
        <v>0</v>
      </c>
      <c r="AT620">
        <v>115</v>
      </c>
      <c r="AU620">
        <v>71</v>
      </c>
      <c r="AV620">
        <v>1</v>
      </c>
      <c r="AW620">
        <v>1</v>
      </c>
      <c r="AZ620">
        <v>6.56</v>
      </c>
      <c r="BA620">
        <v>6.56</v>
      </c>
      <c r="BB620">
        <v>6.56</v>
      </c>
      <c r="BC620">
        <v>6.56</v>
      </c>
      <c r="BD620" t="s">
        <v>6</v>
      </c>
      <c r="BE620" t="s">
        <v>6</v>
      </c>
      <c r="BF620" t="s">
        <v>6</v>
      </c>
      <c r="BG620" t="s">
        <v>6</v>
      </c>
      <c r="BH620">
        <v>0</v>
      </c>
      <c r="BI620">
        <v>1</v>
      </c>
      <c r="BJ620" t="s">
        <v>949</v>
      </c>
      <c r="BM620">
        <v>17001</v>
      </c>
      <c r="BN620">
        <v>0</v>
      </c>
      <c r="BO620" t="s">
        <v>6</v>
      </c>
      <c r="BP620">
        <v>0</v>
      </c>
      <c r="BQ620">
        <v>2</v>
      </c>
      <c r="BR620">
        <v>0</v>
      </c>
      <c r="BS620">
        <v>6.56</v>
      </c>
      <c r="BT620">
        <v>1</v>
      </c>
      <c r="BU620">
        <v>1</v>
      </c>
      <c r="BV620">
        <v>1</v>
      </c>
      <c r="BW620">
        <v>1</v>
      </c>
      <c r="BX620">
        <v>1</v>
      </c>
      <c r="BY620" t="s">
        <v>6</v>
      </c>
      <c r="BZ620">
        <v>128</v>
      </c>
      <c r="CA620">
        <v>83</v>
      </c>
      <c r="CF620">
        <v>0</v>
      </c>
      <c r="CG620">
        <v>0</v>
      </c>
      <c r="CM620">
        <v>0</v>
      </c>
      <c r="CN620" t="s">
        <v>1609</v>
      </c>
      <c r="CO620">
        <v>0</v>
      </c>
      <c r="CP620">
        <f t="shared" si="458"/>
        <v>116.00999999999999</v>
      </c>
      <c r="CQ620">
        <f t="shared" si="459"/>
        <v>72.028800000000004</v>
      </c>
      <c r="CR620">
        <f t="shared" si="460"/>
        <v>0</v>
      </c>
      <c r="CS620">
        <f t="shared" si="461"/>
        <v>0</v>
      </c>
      <c r="CT620">
        <f t="shared" si="462"/>
        <v>508.00639999999993</v>
      </c>
      <c r="CU620">
        <f t="shared" si="463"/>
        <v>0</v>
      </c>
      <c r="CV620">
        <f t="shared" si="463"/>
        <v>8.0499999999999989</v>
      </c>
      <c r="CW620">
        <f t="shared" si="463"/>
        <v>0</v>
      </c>
      <c r="CX620">
        <f t="shared" si="463"/>
        <v>0</v>
      </c>
      <c r="CY620">
        <f t="shared" si="464"/>
        <v>116.84</v>
      </c>
      <c r="CZ620">
        <f t="shared" si="465"/>
        <v>72.135999999999996</v>
      </c>
      <c r="DC620" t="s">
        <v>6</v>
      </c>
      <c r="DD620" t="s">
        <v>6</v>
      </c>
      <c r="DE620" t="s">
        <v>172</v>
      </c>
      <c r="DF620" t="s">
        <v>172</v>
      </c>
      <c r="DG620" t="s">
        <v>173</v>
      </c>
      <c r="DH620" t="s">
        <v>6</v>
      </c>
      <c r="DI620" t="s">
        <v>173</v>
      </c>
      <c r="DJ620" t="s">
        <v>172</v>
      </c>
      <c r="DK620" t="s">
        <v>6</v>
      </c>
      <c r="DL620" t="s">
        <v>6</v>
      </c>
      <c r="DM620" t="s">
        <v>6</v>
      </c>
      <c r="DN620">
        <v>0</v>
      </c>
      <c r="DO620">
        <v>0</v>
      </c>
      <c r="DP620">
        <v>1</v>
      </c>
      <c r="DQ620">
        <v>1</v>
      </c>
      <c r="DU620">
        <v>1013</v>
      </c>
      <c r="DV620" t="s">
        <v>948</v>
      </c>
      <c r="DW620" t="s">
        <v>948</v>
      </c>
      <c r="DX620">
        <v>1</v>
      </c>
      <c r="EE620">
        <v>16510515</v>
      </c>
      <c r="EF620">
        <v>2</v>
      </c>
      <c r="EG620" t="s">
        <v>22</v>
      </c>
      <c r="EH620">
        <v>0</v>
      </c>
      <c r="EI620" t="s">
        <v>6</v>
      </c>
      <c r="EJ620">
        <v>1</v>
      </c>
      <c r="EK620">
        <v>17001</v>
      </c>
      <c r="EL620" t="s">
        <v>931</v>
      </c>
      <c r="EM620" t="s">
        <v>932</v>
      </c>
      <c r="EO620" t="s">
        <v>176</v>
      </c>
      <c r="EQ620">
        <v>131072</v>
      </c>
      <c r="ER620">
        <v>78.319999999999993</v>
      </c>
      <c r="ES620">
        <v>10.98</v>
      </c>
      <c r="ET620">
        <v>0</v>
      </c>
      <c r="EU620">
        <v>0</v>
      </c>
      <c r="EV620">
        <v>67.34</v>
      </c>
      <c r="EW620">
        <v>7</v>
      </c>
      <c r="EX620">
        <v>0</v>
      </c>
      <c r="EY620">
        <v>0</v>
      </c>
      <c r="FQ620">
        <v>0</v>
      </c>
      <c r="FR620">
        <f t="shared" si="466"/>
        <v>0</v>
      </c>
      <c r="FS620">
        <v>0</v>
      </c>
      <c r="FT620" t="s">
        <v>25</v>
      </c>
      <c r="FU620" t="s">
        <v>26</v>
      </c>
      <c r="FX620">
        <v>115.2</v>
      </c>
      <c r="FY620">
        <v>70.55</v>
      </c>
      <c r="GA620" t="s">
        <v>6</v>
      </c>
      <c r="GD620">
        <v>0</v>
      </c>
      <c r="GF620">
        <v>-1603040905</v>
      </c>
      <c r="GG620">
        <v>1</v>
      </c>
      <c r="GH620">
        <v>1</v>
      </c>
      <c r="GI620">
        <v>4</v>
      </c>
      <c r="GJ620">
        <v>0</v>
      </c>
      <c r="GK620">
        <f>ROUND(R620*(R12)/100,2)</f>
        <v>0</v>
      </c>
      <c r="GL620">
        <f t="shared" si="467"/>
        <v>0</v>
      </c>
      <c r="GM620">
        <f t="shared" si="468"/>
        <v>304.99</v>
      </c>
      <c r="GN620">
        <f t="shared" si="469"/>
        <v>304.99</v>
      </c>
      <c r="GO620">
        <f t="shared" si="470"/>
        <v>0</v>
      </c>
      <c r="GP620">
        <f t="shared" si="471"/>
        <v>0</v>
      </c>
      <c r="GR620">
        <v>0</v>
      </c>
      <c r="GS620">
        <v>3</v>
      </c>
      <c r="GT620">
        <v>0</v>
      </c>
      <c r="GU620" t="s">
        <v>6</v>
      </c>
      <c r="GV620">
        <f t="shared" si="472"/>
        <v>0</v>
      </c>
      <c r="GW620">
        <v>1</v>
      </c>
      <c r="GX620">
        <f t="shared" si="473"/>
        <v>0</v>
      </c>
      <c r="HA620">
        <v>0</v>
      </c>
      <c r="HB620">
        <v>0</v>
      </c>
      <c r="IK620">
        <v>0</v>
      </c>
    </row>
    <row r="622" spans="1:245" x14ac:dyDescent="0.2">
      <c r="A622" s="2">
        <v>51</v>
      </c>
      <c r="B622" s="2">
        <f>B609</f>
        <v>1</v>
      </c>
      <c r="C622" s="2">
        <f>A609</f>
        <v>4</v>
      </c>
      <c r="D622" s="2">
        <f>ROW(A609)</f>
        <v>609</v>
      </c>
      <c r="E622" s="2"/>
      <c r="F622" s="2" t="str">
        <f>IF(F609&lt;&gt;"",F609,"")</f>
        <v>Новый раздел</v>
      </c>
      <c r="G622" s="2" t="str">
        <f>IF(G609&lt;&gt;"",G609,"")</f>
        <v>7 Система горячего и холодного водоснабжения</v>
      </c>
      <c r="H622" s="2">
        <v>0</v>
      </c>
      <c r="I622" s="2"/>
      <c r="J622" s="2"/>
      <c r="K622" s="2"/>
      <c r="L622" s="2"/>
      <c r="M622" s="2"/>
      <c r="N622" s="2"/>
      <c r="O622" s="2">
        <f t="shared" ref="O622:T622" si="476">ROUND(AB622,2)</f>
        <v>9711.48</v>
      </c>
      <c r="P622" s="2">
        <f t="shared" si="476"/>
        <v>8879.4599999999991</v>
      </c>
      <c r="Q622" s="2">
        <f t="shared" si="476"/>
        <v>134.01</v>
      </c>
      <c r="R622" s="2">
        <f t="shared" si="476"/>
        <v>8.3800000000000008</v>
      </c>
      <c r="S622" s="2">
        <f t="shared" si="476"/>
        <v>698.01</v>
      </c>
      <c r="T622" s="2">
        <f t="shared" si="476"/>
        <v>0</v>
      </c>
      <c r="U622" s="2">
        <f>AH622</f>
        <v>11.540699999999999</v>
      </c>
      <c r="V622" s="2">
        <f>AI622</f>
        <v>0.1051</v>
      </c>
      <c r="W622" s="2">
        <f>ROUND(AJ622,2)</f>
        <v>0</v>
      </c>
      <c r="X622" s="2">
        <f>ROUND(AK622,2)</f>
        <v>800.48</v>
      </c>
      <c r="Y622" s="2">
        <f>ROUND(AL622,2)</f>
        <v>495.46</v>
      </c>
      <c r="Z622" s="2"/>
      <c r="AA622" s="2"/>
      <c r="AB622" s="2">
        <f>ROUND(SUMIF(AA613:AA620,"=16748969",O613:O620),2)</f>
        <v>9711.48</v>
      </c>
      <c r="AC622" s="2">
        <f>ROUND(SUMIF(AA613:AA620,"=16748969",P613:P620),2)</f>
        <v>8879.4599999999991</v>
      </c>
      <c r="AD622" s="2">
        <f>ROUND(SUMIF(AA613:AA620,"=16748969",Q613:Q620),2)</f>
        <v>134.01</v>
      </c>
      <c r="AE622" s="2">
        <f>ROUND(SUMIF(AA613:AA620,"=16748969",R613:R620),2)</f>
        <v>8.3800000000000008</v>
      </c>
      <c r="AF622" s="2">
        <f>ROUND(SUMIF(AA613:AA620,"=16748969",S613:S620),2)</f>
        <v>698.01</v>
      </c>
      <c r="AG622" s="2">
        <f>ROUND(SUMIF(AA613:AA620,"=16748969",T613:T620),2)</f>
        <v>0</v>
      </c>
      <c r="AH622" s="2">
        <f>SUMIF(AA613:AA620,"=16748969",U613:U620)</f>
        <v>11.540699999999999</v>
      </c>
      <c r="AI622" s="2">
        <f>SUMIF(AA613:AA620,"=16748969",V613:V620)</f>
        <v>0.1051</v>
      </c>
      <c r="AJ622" s="2">
        <f>ROUND(SUMIF(AA613:AA620,"=16748969",W613:W620),2)</f>
        <v>0</v>
      </c>
      <c r="AK622" s="2">
        <f>ROUND(SUMIF(AA613:AA620,"=16748969",X613:X620),2)</f>
        <v>800.48</v>
      </c>
      <c r="AL622" s="2">
        <f>ROUND(SUMIF(AA613:AA620,"=16748969",Y613:Y620),2)</f>
        <v>495.46</v>
      </c>
      <c r="AM622" s="2"/>
      <c r="AN622" s="2"/>
      <c r="AO622" s="2">
        <f t="shared" ref="AO622:BC622" si="477">ROUND(BX622,2)</f>
        <v>0</v>
      </c>
      <c r="AP622" s="2">
        <f t="shared" si="477"/>
        <v>0</v>
      </c>
      <c r="AQ622" s="2">
        <f t="shared" si="477"/>
        <v>0</v>
      </c>
      <c r="AR622" s="2">
        <f t="shared" si="477"/>
        <v>11007.42</v>
      </c>
      <c r="AS622" s="2">
        <f t="shared" si="477"/>
        <v>11007.42</v>
      </c>
      <c r="AT622" s="2">
        <f t="shared" si="477"/>
        <v>0</v>
      </c>
      <c r="AU622" s="2">
        <f t="shared" si="477"/>
        <v>0</v>
      </c>
      <c r="AV622" s="2">
        <f t="shared" si="477"/>
        <v>8879.4599999999991</v>
      </c>
      <c r="AW622" s="2">
        <f t="shared" si="477"/>
        <v>8879.4599999999991</v>
      </c>
      <c r="AX622" s="2">
        <f t="shared" si="477"/>
        <v>0</v>
      </c>
      <c r="AY622" s="2">
        <f t="shared" si="477"/>
        <v>8879.4599999999991</v>
      </c>
      <c r="AZ622" s="2">
        <f t="shared" si="477"/>
        <v>0</v>
      </c>
      <c r="BA622" s="2">
        <f t="shared" si="477"/>
        <v>0</v>
      </c>
      <c r="BB622" s="2">
        <f t="shared" si="477"/>
        <v>0</v>
      </c>
      <c r="BC622" s="2">
        <f t="shared" si="477"/>
        <v>0</v>
      </c>
      <c r="BD622" s="2"/>
      <c r="BE622" s="2"/>
      <c r="BF622" s="2"/>
      <c r="BG622" s="2"/>
      <c r="BH622" s="2"/>
      <c r="BI622" s="2"/>
      <c r="BJ622" s="2"/>
      <c r="BK622" s="2"/>
      <c r="BL622" s="2"/>
      <c r="BM622" s="2"/>
      <c r="BN622" s="2"/>
      <c r="BO622" s="2"/>
      <c r="BP622" s="2"/>
      <c r="BQ622" s="2"/>
      <c r="BR622" s="2"/>
      <c r="BS622" s="2"/>
      <c r="BT622" s="2"/>
      <c r="BU622" s="2"/>
      <c r="BV622" s="2"/>
      <c r="BW622" s="2"/>
      <c r="BX622" s="2">
        <f>ROUND(SUMIF(AA613:AA620,"=16748969",FQ613:FQ620),2)</f>
        <v>0</v>
      </c>
      <c r="BY622" s="2">
        <f>ROUND(SUMIF(AA613:AA620,"=16748969",FR613:FR620),2)</f>
        <v>0</v>
      </c>
      <c r="BZ622" s="2">
        <f>ROUND(SUMIF(AA613:AA620,"=16748969",GL613:GL620),2)</f>
        <v>0</v>
      </c>
      <c r="CA622" s="2">
        <f>ROUND(SUMIF(AA613:AA620,"=16748969",GM613:GM620),2)</f>
        <v>11007.42</v>
      </c>
      <c r="CB622" s="2">
        <f>ROUND(SUMIF(AA613:AA620,"=16748969",GN613:GN620),2)</f>
        <v>11007.42</v>
      </c>
      <c r="CC622" s="2">
        <f>ROUND(SUMIF(AA613:AA620,"=16748969",GO613:GO620),2)</f>
        <v>0</v>
      </c>
      <c r="CD622" s="2">
        <f>ROUND(SUMIF(AA613:AA620,"=16748969",GP613:GP620),2)</f>
        <v>0</v>
      </c>
      <c r="CE622" s="2">
        <f>AC622-BX622</f>
        <v>8879.4599999999991</v>
      </c>
      <c r="CF622" s="2">
        <f>AC622-BY622</f>
        <v>8879.4599999999991</v>
      </c>
      <c r="CG622" s="2">
        <f>BX622-BZ622</f>
        <v>0</v>
      </c>
      <c r="CH622" s="2">
        <f>AC622-BX622-BY622+BZ622</f>
        <v>8879.4599999999991</v>
      </c>
      <c r="CI622" s="2">
        <f>BY622-BZ622</f>
        <v>0</v>
      </c>
      <c r="CJ622" s="2">
        <f>ROUND(SUMIF(AA613:AA620,"=16748969",GX613:GX620),2)</f>
        <v>0</v>
      </c>
      <c r="CK622" s="2">
        <f>ROUND(SUMIF(AA613:AA620,"=16748969",GY613:GY620),2)</f>
        <v>0</v>
      </c>
      <c r="CL622" s="2">
        <f>ROUND(SUMIF(AA613:AA620,"=16748969",GZ613:GZ620),2)</f>
        <v>0</v>
      </c>
      <c r="CM622" s="2"/>
      <c r="CN622" s="2"/>
      <c r="CO622" s="2"/>
      <c r="CP622" s="2"/>
      <c r="CQ622" s="2"/>
      <c r="CR622" s="2"/>
      <c r="CS622" s="2"/>
      <c r="CT622" s="2"/>
      <c r="CU622" s="2"/>
      <c r="CV622" s="2"/>
      <c r="CW622" s="2"/>
      <c r="CX622" s="2"/>
      <c r="CY622" s="2"/>
      <c r="CZ622" s="2"/>
      <c r="DA622" s="2"/>
      <c r="DB622" s="2"/>
      <c r="DC622" s="2"/>
      <c r="DD622" s="2"/>
      <c r="DE622" s="2"/>
      <c r="DF622" s="2"/>
      <c r="DG622" s="3"/>
      <c r="DH622" s="3"/>
      <c r="DI622" s="3"/>
      <c r="DJ622" s="3"/>
      <c r="DK622" s="3"/>
      <c r="DL622" s="3"/>
      <c r="DM622" s="3"/>
      <c r="DN622" s="3"/>
      <c r="DO622" s="3"/>
      <c r="DP622" s="3"/>
      <c r="DQ622" s="3"/>
      <c r="DR622" s="3"/>
      <c r="DS622" s="3"/>
      <c r="DT622" s="3"/>
      <c r="DU622" s="3"/>
      <c r="DV622" s="3"/>
      <c r="DW622" s="3"/>
      <c r="DX622" s="3"/>
      <c r="DY622" s="3"/>
      <c r="DZ622" s="3"/>
      <c r="EA622" s="3"/>
      <c r="EB622" s="3"/>
      <c r="EC622" s="3"/>
      <c r="ED622" s="3"/>
      <c r="EE622" s="3"/>
      <c r="EF622" s="3"/>
      <c r="EG622" s="3"/>
      <c r="EH622" s="3"/>
      <c r="EI622" s="3"/>
      <c r="EJ622" s="3"/>
      <c r="EK622" s="3"/>
      <c r="EL622" s="3"/>
      <c r="EM622" s="3"/>
      <c r="EN622" s="3"/>
      <c r="EO622" s="3"/>
      <c r="EP622" s="3"/>
      <c r="EQ622" s="3"/>
      <c r="ER622" s="3"/>
      <c r="ES622" s="3"/>
      <c r="ET622" s="3"/>
      <c r="EU622" s="3"/>
      <c r="EV622" s="3"/>
      <c r="EW622" s="3"/>
      <c r="EX622" s="3"/>
      <c r="EY622" s="3"/>
      <c r="EZ622" s="3"/>
      <c r="FA622" s="3"/>
      <c r="FB622" s="3"/>
      <c r="FC622" s="3"/>
      <c r="FD622" s="3"/>
      <c r="FE622" s="3"/>
      <c r="FF622" s="3"/>
      <c r="FG622" s="3"/>
      <c r="FH622" s="3"/>
      <c r="FI622" s="3"/>
      <c r="FJ622" s="3"/>
      <c r="FK622" s="3"/>
      <c r="FL622" s="3"/>
      <c r="FM622" s="3"/>
      <c r="FN622" s="3"/>
      <c r="FO622" s="3"/>
      <c r="FP622" s="3"/>
      <c r="FQ622" s="3"/>
      <c r="FR622" s="3"/>
      <c r="FS622" s="3"/>
      <c r="FT622" s="3"/>
      <c r="FU622" s="3"/>
      <c r="FV622" s="3"/>
      <c r="FW622" s="3"/>
      <c r="FX622" s="3"/>
      <c r="FY622" s="3"/>
      <c r="FZ622" s="3"/>
      <c r="GA622" s="3"/>
      <c r="GB622" s="3"/>
      <c r="GC622" s="3"/>
      <c r="GD622" s="3"/>
      <c r="GE622" s="3"/>
      <c r="GF622" s="3"/>
      <c r="GG622" s="3"/>
      <c r="GH622" s="3"/>
      <c r="GI622" s="3"/>
      <c r="GJ622" s="3"/>
      <c r="GK622" s="3"/>
      <c r="GL622" s="3"/>
      <c r="GM622" s="3"/>
      <c r="GN622" s="3"/>
      <c r="GO622" s="3"/>
      <c r="GP622" s="3"/>
      <c r="GQ622" s="3"/>
      <c r="GR622" s="3"/>
      <c r="GS622" s="3"/>
      <c r="GT622" s="3"/>
      <c r="GU622" s="3"/>
      <c r="GV622" s="3"/>
      <c r="GW622" s="3"/>
      <c r="GX622" s="3">
        <v>0</v>
      </c>
    </row>
    <row r="624" spans="1:245" x14ac:dyDescent="0.2">
      <c r="A624" s="4">
        <v>50</v>
      </c>
      <c r="B624" s="4">
        <v>0</v>
      </c>
      <c r="C624" s="4">
        <v>0</v>
      </c>
      <c r="D624" s="4">
        <v>1</v>
      </c>
      <c r="E624" s="4">
        <v>201</v>
      </c>
      <c r="F624" s="4">
        <f>ROUND(Source!O622,O624)</f>
        <v>9711.48</v>
      </c>
      <c r="G624" s="4" t="s">
        <v>115</v>
      </c>
      <c r="H624" s="4" t="s">
        <v>116</v>
      </c>
      <c r="I624" s="4"/>
      <c r="J624" s="4"/>
      <c r="K624" s="4">
        <v>201</v>
      </c>
      <c r="L624" s="4">
        <v>1</v>
      </c>
      <c r="M624" s="4">
        <v>3</v>
      </c>
      <c r="N624" s="4" t="s">
        <v>6</v>
      </c>
      <c r="O624" s="4">
        <v>2</v>
      </c>
      <c r="P624" s="4"/>
      <c r="Q624" s="4"/>
      <c r="R624" s="4"/>
      <c r="S624" s="4"/>
      <c r="T624" s="4"/>
      <c r="U624" s="4"/>
      <c r="V624" s="4"/>
      <c r="W624" s="4"/>
    </row>
    <row r="625" spans="1:23" x14ac:dyDescent="0.2">
      <c r="A625" s="4">
        <v>50</v>
      </c>
      <c r="B625" s="4">
        <v>0</v>
      </c>
      <c r="C625" s="4">
        <v>0</v>
      </c>
      <c r="D625" s="4">
        <v>1</v>
      </c>
      <c r="E625" s="4">
        <v>202</v>
      </c>
      <c r="F625" s="4">
        <f>ROUND(Source!P622,O625)</f>
        <v>8879.4599999999991</v>
      </c>
      <c r="G625" s="4" t="s">
        <v>117</v>
      </c>
      <c r="H625" s="4" t="s">
        <v>118</v>
      </c>
      <c r="I625" s="4"/>
      <c r="J625" s="4"/>
      <c r="K625" s="4">
        <v>202</v>
      </c>
      <c r="L625" s="4">
        <v>2</v>
      </c>
      <c r="M625" s="4">
        <v>3</v>
      </c>
      <c r="N625" s="4" t="s">
        <v>6</v>
      </c>
      <c r="O625" s="4">
        <v>2</v>
      </c>
      <c r="P625" s="4"/>
      <c r="Q625" s="4"/>
      <c r="R625" s="4"/>
      <c r="S625" s="4"/>
      <c r="T625" s="4"/>
      <c r="U625" s="4"/>
      <c r="V625" s="4"/>
      <c r="W625" s="4"/>
    </row>
    <row r="626" spans="1:23" x14ac:dyDescent="0.2">
      <c r="A626" s="4">
        <v>50</v>
      </c>
      <c r="B626" s="4">
        <v>0</v>
      </c>
      <c r="C626" s="4">
        <v>0</v>
      </c>
      <c r="D626" s="4">
        <v>1</v>
      </c>
      <c r="E626" s="4">
        <v>222</v>
      </c>
      <c r="F626" s="4">
        <f>ROUND(Source!AO622,O626)</f>
        <v>0</v>
      </c>
      <c r="G626" s="4" t="s">
        <v>119</v>
      </c>
      <c r="H626" s="4" t="s">
        <v>120</v>
      </c>
      <c r="I626" s="4"/>
      <c r="J626" s="4"/>
      <c r="K626" s="4">
        <v>222</v>
      </c>
      <c r="L626" s="4">
        <v>3</v>
      </c>
      <c r="M626" s="4">
        <v>3</v>
      </c>
      <c r="N626" s="4" t="s">
        <v>6</v>
      </c>
      <c r="O626" s="4">
        <v>2</v>
      </c>
      <c r="P626" s="4"/>
      <c r="Q626" s="4"/>
      <c r="R626" s="4"/>
      <c r="S626" s="4"/>
      <c r="T626" s="4"/>
      <c r="U626" s="4"/>
      <c r="V626" s="4"/>
      <c r="W626" s="4"/>
    </row>
    <row r="627" spans="1:23" x14ac:dyDescent="0.2">
      <c r="A627" s="4">
        <v>50</v>
      </c>
      <c r="B627" s="4">
        <v>0</v>
      </c>
      <c r="C627" s="4">
        <v>0</v>
      </c>
      <c r="D627" s="4">
        <v>1</v>
      </c>
      <c r="E627" s="4">
        <v>225</v>
      </c>
      <c r="F627" s="4">
        <f>ROUND(Source!AV622,O627)</f>
        <v>8879.4599999999991</v>
      </c>
      <c r="G627" s="4" t="s">
        <v>121</v>
      </c>
      <c r="H627" s="4" t="s">
        <v>122</v>
      </c>
      <c r="I627" s="4"/>
      <c r="J627" s="4"/>
      <c r="K627" s="4">
        <v>225</v>
      </c>
      <c r="L627" s="4">
        <v>4</v>
      </c>
      <c r="M627" s="4">
        <v>3</v>
      </c>
      <c r="N627" s="4" t="s">
        <v>6</v>
      </c>
      <c r="O627" s="4">
        <v>2</v>
      </c>
      <c r="P627" s="4"/>
      <c r="Q627" s="4"/>
      <c r="R627" s="4"/>
      <c r="S627" s="4"/>
      <c r="T627" s="4"/>
      <c r="U627" s="4"/>
      <c r="V627" s="4"/>
      <c r="W627" s="4"/>
    </row>
    <row r="628" spans="1:23" x14ac:dyDescent="0.2">
      <c r="A628" s="4">
        <v>50</v>
      </c>
      <c r="B628" s="4">
        <v>0</v>
      </c>
      <c r="C628" s="4">
        <v>0</v>
      </c>
      <c r="D628" s="4">
        <v>1</v>
      </c>
      <c r="E628" s="4">
        <v>226</v>
      </c>
      <c r="F628" s="4">
        <f>ROUND(Source!AW622,O628)</f>
        <v>8879.4599999999991</v>
      </c>
      <c r="G628" s="4" t="s">
        <v>123</v>
      </c>
      <c r="H628" s="4" t="s">
        <v>124</v>
      </c>
      <c r="I628" s="4"/>
      <c r="J628" s="4"/>
      <c r="K628" s="4">
        <v>226</v>
      </c>
      <c r="L628" s="4">
        <v>5</v>
      </c>
      <c r="M628" s="4">
        <v>3</v>
      </c>
      <c r="N628" s="4" t="s">
        <v>6</v>
      </c>
      <c r="O628" s="4">
        <v>2</v>
      </c>
      <c r="P628" s="4"/>
      <c r="Q628" s="4"/>
      <c r="R628" s="4"/>
      <c r="S628" s="4"/>
      <c r="T628" s="4"/>
      <c r="U628" s="4"/>
      <c r="V628" s="4"/>
      <c r="W628" s="4"/>
    </row>
    <row r="629" spans="1:23" x14ac:dyDescent="0.2">
      <c r="A629" s="4">
        <v>50</v>
      </c>
      <c r="B629" s="4">
        <v>0</v>
      </c>
      <c r="C629" s="4">
        <v>0</v>
      </c>
      <c r="D629" s="4">
        <v>1</v>
      </c>
      <c r="E629" s="4">
        <v>227</v>
      </c>
      <c r="F629" s="4">
        <f>ROUND(Source!AX622,O629)</f>
        <v>0</v>
      </c>
      <c r="G629" s="4" t="s">
        <v>125</v>
      </c>
      <c r="H629" s="4" t="s">
        <v>126</v>
      </c>
      <c r="I629" s="4"/>
      <c r="J629" s="4"/>
      <c r="K629" s="4">
        <v>227</v>
      </c>
      <c r="L629" s="4">
        <v>6</v>
      </c>
      <c r="M629" s="4">
        <v>3</v>
      </c>
      <c r="N629" s="4" t="s">
        <v>6</v>
      </c>
      <c r="O629" s="4">
        <v>2</v>
      </c>
      <c r="P629" s="4"/>
      <c r="Q629" s="4"/>
      <c r="R629" s="4"/>
      <c r="S629" s="4"/>
      <c r="T629" s="4"/>
      <c r="U629" s="4"/>
      <c r="V629" s="4"/>
      <c r="W629" s="4"/>
    </row>
    <row r="630" spans="1:23" x14ac:dyDescent="0.2">
      <c r="A630" s="4">
        <v>50</v>
      </c>
      <c r="B630" s="4">
        <v>0</v>
      </c>
      <c r="C630" s="4">
        <v>0</v>
      </c>
      <c r="D630" s="4">
        <v>1</v>
      </c>
      <c r="E630" s="4">
        <v>228</v>
      </c>
      <c r="F630" s="4">
        <f>ROUND(Source!AY622,O630)</f>
        <v>8879.4599999999991</v>
      </c>
      <c r="G630" s="4" t="s">
        <v>127</v>
      </c>
      <c r="H630" s="4" t="s">
        <v>128</v>
      </c>
      <c r="I630" s="4"/>
      <c r="J630" s="4"/>
      <c r="K630" s="4">
        <v>228</v>
      </c>
      <c r="L630" s="4">
        <v>7</v>
      </c>
      <c r="M630" s="4">
        <v>3</v>
      </c>
      <c r="N630" s="4" t="s">
        <v>6</v>
      </c>
      <c r="O630" s="4">
        <v>2</v>
      </c>
      <c r="P630" s="4"/>
      <c r="Q630" s="4"/>
      <c r="R630" s="4"/>
      <c r="S630" s="4"/>
      <c r="T630" s="4"/>
      <c r="U630" s="4"/>
      <c r="V630" s="4"/>
      <c r="W630" s="4"/>
    </row>
    <row r="631" spans="1:23" x14ac:dyDescent="0.2">
      <c r="A631" s="4">
        <v>50</v>
      </c>
      <c r="B631" s="4">
        <v>0</v>
      </c>
      <c r="C631" s="4">
        <v>0</v>
      </c>
      <c r="D631" s="4">
        <v>1</v>
      </c>
      <c r="E631" s="4">
        <v>216</v>
      </c>
      <c r="F631" s="4">
        <f>ROUND(Source!AP622,O631)</f>
        <v>0</v>
      </c>
      <c r="G631" s="4" t="s">
        <v>129</v>
      </c>
      <c r="H631" s="4" t="s">
        <v>130</v>
      </c>
      <c r="I631" s="4"/>
      <c r="J631" s="4"/>
      <c r="K631" s="4">
        <v>216</v>
      </c>
      <c r="L631" s="4">
        <v>8</v>
      </c>
      <c r="M631" s="4">
        <v>3</v>
      </c>
      <c r="N631" s="4" t="s">
        <v>6</v>
      </c>
      <c r="O631" s="4">
        <v>2</v>
      </c>
      <c r="P631" s="4"/>
      <c r="Q631" s="4"/>
      <c r="R631" s="4"/>
      <c r="S631" s="4"/>
      <c r="T631" s="4"/>
      <c r="U631" s="4"/>
      <c r="V631" s="4"/>
      <c r="W631" s="4"/>
    </row>
    <row r="632" spans="1:23" x14ac:dyDescent="0.2">
      <c r="A632" s="4">
        <v>50</v>
      </c>
      <c r="B632" s="4">
        <v>0</v>
      </c>
      <c r="C632" s="4">
        <v>0</v>
      </c>
      <c r="D632" s="4">
        <v>1</v>
      </c>
      <c r="E632" s="4">
        <v>223</v>
      </c>
      <c r="F632" s="4">
        <f>ROUND(Source!AQ622,O632)</f>
        <v>0</v>
      </c>
      <c r="G632" s="4" t="s">
        <v>131</v>
      </c>
      <c r="H632" s="4" t="s">
        <v>132</v>
      </c>
      <c r="I632" s="4"/>
      <c r="J632" s="4"/>
      <c r="K632" s="4">
        <v>223</v>
      </c>
      <c r="L632" s="4">
        <v>9</v>
      </c>
      <c r="M632" s="4">
        <v>3</v>
      </c>
      <c r="N632" s="4" t="s">
        <v>6</v>
      </c>
      <c r="O632" s="4">
        <v>2</v>
      </c>
      <c r="P632" s="4"/>
      <c r="Q632" s="4"/>
      <c r="R632" s="4"/>
      <c r="S632" s="4"/>
      <c r="T632" s="4"/>
      <c r="U632" s="4"/>
      <c r="V632" s="4"/>
      <c r="W632" s="4"/>
    </row>
    <row r="633" spans="1:23" x14ac:dyDescent="0.2">
      <c r="A633" s="4">
        <v>50</v>
      </c>
      <c r="B633" s="4">
        <v>0</v>
      </c>
      <c r="C633" s="4">
        <v>0</v>
      </c>
      <c r="D633" s="4">
        <v>1</v>
      </c>
      <c r="E633" s="4">
        <v>229</v>
      </c>
      <c r="F633" s="4">
        <f>ROUND(Source!AZ622,O633)</f>
        <v>0</v>
      </c>
      <c r="G633" s="4" t="s">
        <v>133</v>
      </c>
      <c r="H633" s="4" t="s">
        <v>134</v>
      </c>
      <c r="I633" s="4"/>
      <c r="J633" s="4"/>
      <c r="K633" s="4">
        <v>229</v>
      </c>
      <c r="L633" s="4">
        <v>10</v>
      </c>
      <c r="M633" s="4">
        <v>3</v>
      </c>
      <c r="N633" s="4" t="s">
        <v>6</v>
      </c>
      <c r="O633" s="4">
        <v>2</v>
      </c>
      <c r="P633" s="4"/>
      <c r="Q633" s="4"/>
      <c r="R633" s="4"/>
      <c r="S633" s="4"/>
      <c r="T633" s="4"/>
      <c r="U633" s="4"/>
      <c r="V633" s="4"/>
      <c r="W633" s="4"/>
    </row>
    <row r="634" spans="1:23" x14ac:dyDescent="0.2">
      <c r="A634" s="4">
        <v>50</v>
      </c>
      <c r="B634" s="4">
        <v>0</v>
      </c>
      <c r="C634" s="4">
        <v>0</v>
      </c>
      <c r="D634" s="4">
        <v>1</v>
      </c>
      <c r="E634" s="4">
        <v>203</v>
      </c>
      <c r="F634" s="4">
        <f>ROUND(Source!Q622,O634)</f>
        <v>134.01</v>
      </c>
      <c r="G634" s="4" t="s">
        <v>135</v>
      </c>
      <c r="H634" s="4" t="s">
        <v>136</v>
      </c>
      <c r="I634" s="4"/>
      <c r="J634" s="4"/>
      <c r="K634" s="4">
        <v>203</v>
      </c>
      <c r="L634" s="4">
        <v>11</v>
      </c>
      <c r="M634" s="4">
        <v>3</v>
      </c>
      <c r="N634" s="4" t="s">
        <v>6</v>
      </c>
      <c r="O634" s="4">
        <v>2</v>
      </c>
      <c r="P634" s="4"/>
      <c r="Q634" s="4"/>
      <c r="R634" s="4"/>
      <c r="S634" s="4"/>
      <c r="T634" s="4"/>
      <c r="U634" s="4"/>
      <c r="V634" s="4"/>
      <c r="W634" s="4"/>
    </row>
    <row r="635" spans="1:23" x14ac:dyDescent="0.2">
      <c r="A635" s="4">
        <v>50</v>
      </c>
      <c r="B635" s="4">
        <v>0</v>
      </c>
      <c r="C635" s="4">
        <v>0</v>
      </c>
      <c r="D635" s="4">
        <v>1</v>
      </c>
      <c r="E635" s="4">
        <v>231</v>
      </c>
      <c r="F635" s="4">
        <f>ROUND(Source!BB622,O635)</f>
        <v>0</v>
      </c>
      <c r="G635" s="4" t="s">
        <v>137</v>
      </c>
      <c r="H635" s="4" t="s">
        <v>138</v>
      </c>
      <c r="I635" s="4"/>
      <c r="J635" s="4"/>
      <c r="K635" s="4">
        <v>231</v>
      </c>
      <c r="L635" s="4">
        <v>12</v>
      </c>
      <c r="M635" s="4">
        <v>3</v>
      </c>
      <c r="N635" s="4" t="s">
        <v>6</v>
      </c>
      <c r="O635" s="4">
        <v>2</v>
      </c>
      <c r="P635" s="4"/>
      <c r="Q635" s="4"/>
      <c r="R635" s="4"/>
      <c r="S635" s="4"/>
      <c r="T635" s="4"/>
      <c r="U635" s="4"/>
      <c r="V635" s="4"/>
      <c r="W635" s="4"/>
    </row>
    <row r="636" spans="1:23" x14ac:dyDescent="0.2">
      <c r="A636" s="4">
        <v>50</v>
      </c>
      <c r="B636" s="4">
        <v>0</v>
      </c>
      <c r="C636" s="4">
        <v>0</v>
      </c>
      <c r="D636" s="4">
        <v>1</v>
      </c>
      <c r="E636" s="4">
        <v>204</v>
      </c>
      <c r="F636" s="4">
        <f>ROUND(Source!R622,O636)</f>
        <v>8.3800000000000008</v>
      </c>
      <c r="G636" s="4" t="s">
        <v>139</v>
      </c>
      <c r="H636" s="4" t="s">
        <v>140</v>
      </c>
      <c r="I636" s="4"/>
      <c r="J636" s="4"/>
      <c r="K636" s="4">
        <v>204</v>
      </c>
      <c r="L636" s="4">
        <v>13</v>
      </c>
      <c r="M636" s="4">
        <v>3</v>
      </c>
      <c r="N636" s="4" t="s">
        <v>6</v>
      </c>
      <c r="O636" s="4">
        <v>2</v>
      </c>
      <c r="P636" s="4"/>
      <c r="Q636" s="4"/>
      <c r="R636" s="4"/>
      <c r="S636" s="4"/>
      <c r="T636" s="4"/>
      <c r="U636" s="4"/>
      <c r="V636" s="4"/>
      <c r="W636" s="4"/>
    </row>
    <row r="637" spans="1:23" x14ac:dyDescent="0.2">
      <c r="A637" s="4">
        <v>50</v>
      </c>
      <c r="B637" s="4">
        <v>0</v>
      </c>
      <c r="C637" s="4">
        <v>0</v>
      </c>
      <c r="D637" s="4">
        <v>1</v>
      </c>
      <c r="E637" s="4">
        <v>205</v>
      </c>
      <c r="F637" s="4">
        <f>ROUND(Source!S622,O637)</f>
        <v>698.01</v>
      </c>
      <c r="G637" s="4" t="s">
        <v>141</v>
      </c>
      <c r="H637" s="4" t="s">
        <v>142</v>
      </c>
      <c r="I637" s="4"/>
      <c r="J637" s="4"/>
      <c r="K637" s="4">
        <v>205</v>
      </c>
      <c r="L637" s="4">
        <v>14</v>
      </c>
      <c r="M637" s="4">
        <v>3</v>
      </c>
      <c r="N637" s="4" t="s">
        <v>6</v>
      </c>
      <c r="O637" s="4">
        <v>2</v>
      </c>
      <c r="P637" s="4"/>
      <c r="Q637" s="4"/>
      <c r="R637" s="4"/>
      <c r="S637" s="4"/>
      <c r="T637" s="4"/>
      <c r="U637" s="4"/>
      <c r="V637" s="4"/>
      <c r="W637" s="4"/>
    </row>
    <row r="638" spans="1:23" x14ac:dyDescent="0.2">
      <c r="A638" s="4">
        <v>50</v>
      </c>
      <c r="B638" s="4">
        <v>0</v>
      </c>
      <c r="C638" s="4">
        <v>0</v>
      </c>
      <c r="D638" s="4">
        <v>1</v>
      </c>
      <c r="E638" s="4">
        <v>232</v>
      </c>
      <c r="F638" s="4">
        <f>ROUND(Source!BC622,O638)</f>
        <v>0</v>
      </c>
      <c r="G638" s="4" t="s">
        <v>143</v>
      </c>
      <c r="H638" s="4" t="s">
        <v>144</v>
      </c>
      <c r="I638" s="4"/>
      <c r="J638" s="4"/>
      <c r="K638" s="4">
        <v>232</v>
      </c>
      <c r="L638" s="4">
        <v>15</v>
      </c>
      <c r="M638" s="4">
        <v>3</v>
      </c>
      <c r="N638" s="4" t="s">
        <v>6</v>
      </c>
      <c r="O638" s="4">
        <v>2</v>
      </c>
      <c r="P638" s="4"/>
      <c r="Q638" s="4"/>
      <c r="R638" s="4"/>
      <c r="S638" s="4"/>
      <c r="T638" s="4"/>
      <c r="U638" s="4"/>
      <c r="V638" s="4"/>
      <c r="W638" s="4"/>
    </row>
    <row r="639" spans="1:23" x14ac:dyDescent="0.2">
      <c r="A639" s="4">
        <v>50</v>
      </c>
      <c r="B639" s="4">
        <v>0</v>
      </c>
      <c r="C639" s="4">
        <v>0</v>
      </c>
      <c r="D639" s="4">
        <v>1</v>
      </c>
      <c r="E639" s="4">
        <v>214</v>
      </c>
      <c r="F639" s="4">
        <f>ROUND(Source!AS622,O639)</f>
        <v>11007.42</v>
      </c>
      <c r="G639" s="4" t="s">
        <v>145</v>
      </c>
      <c r="H639" s="4" t="s">
        <v>146</v>
      </c>
      <c r="I639" s="4"/>
      <c r="J639" s="4"/>
      <c r="K639" s="4">
        <v>214</v>
      </c>
      <c r="L639" s="4">
        <v>16</v>
      </c>
      <c r="M639" s="4">
        <v>3</v>
      </c>
      <c r="N639" s="4" t="s">
        <v>6</v>
      </c>
      <c r="O639" s="4">
        <v>2</v>
      </c>
      <c r="P639" s="4"/>
      <c r="Q639" s="4"/>
      <c r="R639" s="4"/>
      <c r="S639" s="4"/>
      <c r="T639" s="4"/>
      <c r="U639" s="4"/>
      <c r="V639" s="4"/>
      <c r="W639" s="4"/>
    </row>
    <row r="640" spans="1:23" x14ac:dyDescent="0.2">
      <c r="A640" s="4">
        <v>50</v>
      </c>
      <c r="B640" s="4">
        <v>0</v>
      </c>
      <c r="C640" s="4">
        <v>0</v>
      </c>
      <c r="D640" s="4">
        <v>1</v>
      </c>
      <c r="E640" s="4">
        <v>215</v>
      </c>
      <c r="F640" s="4">
        <f>ROUND(Source!AT622,O640)</f>
        <v>0</v>
      </c>
      <c r="G640" s="4" t="s">
        <v>147</v>
      </c>
      <c r="H640" s="4" t="s">
        <v>148</v>
      </c>
      <c r="I640" s="4"/>
      <c r="J640" s="4"/>
      <c r="K640" s="4">
        <v>215</v>
      </c>
      <c r="L640" s="4">
        <v>17</v>
      </c>
      <c r="M640" s="4">
        <v>3</v>
      </c>
      <c r="N640" s="4" t="s">
        <v>6</v>
      </c>
      <c r="O640" s="4">
        <v>2</v>
      </c>
      <c r="P640" s="4"/>
      <c r="Q640" s="4"/>
      <c r="R640" s="4"/>
      <c r="S640" s="4"/>
      <c r="T640" s="4"/>
      <c r="U640" s="4"/>
      <c r="V640" s="4"/>
      <c r="W640" s="4"/>
    </row>
    <row r="641" spans="1:245" x14ac:dyDescent="0.2">
      <c r="A641" s="4">
        <v>50</v>
      </c>
      <c r="B641" s="4">
        <v>0</v>
      </c>
      <c r="C641" s="4">
        <v>0</v>
      </c>
      <c r="D641" s="4">
        <v>1</v>
      </c>
      <c r="E641" s="4">
        <v>217</v>
      </c>
      <c r="F641" s="4">
        <f>ROUND(Source!AU622,O641)</f>
        <v>0</v>
      </c>
      <c r="G641" s="4" t="s">
        <v>149</v>
      </c>
      <c r="H641" s="4" t="s">
        <v>150</v>
      </c>
      <c r="I641" s="4"/>
      <c r="J641" s="4"/>
      <c r="K641" s="4">
        <v>217</v>
      </c>
      <c r="L641" s="4">
        <v>18</v>
      </c>
      <c r="M641" s="4">
        <v>3</v>
      </c>
      <c r="N641" s="4" t="s">
        <v>6</v>
      </c>
      <c r="O641" s="4">
        <v>2</v>
      </c>
      <c r="P641" s="4"/>
      <c r="Q641" s="4"/>
      <c r="R641" s="4"/>
      <c r="S641" s="4"/>
      <c r="T641" s="4"/>
      <c r="U641" s="4"/>
      <c r="V641" s="4"/>
      <c r="W641" s="4"/>
    </row>
    <row r="642" spans="1:245" x14ac:dyDescent="0.2">
      <c r="A642" s="4">
        <v>50</v>
      </c>
      <c r="B642" s="4">
        <v>0</v>
      </c>
      <c r="C642" s="4">
        <v>0</v>
      </c>
      <c r="D642" s="4">
        <v>1</v>
      </c>
      <c r="E642" s="4">
        <v>230</v>
      </c>
      <c r="F642" s="4">
        <f>ROUND(Source!BA622,O642)</f>
        <v>0</v>
      </c>
      <c r="G642" s="4" t="s">
        <v>151</v>
      </c>
      <c r="H642" s="4" t="s">
        <v>152</v>
      </c>
      <c r="I642" s="4"/>
      <c r="J642" s="4"/>
      <c r="K642" s="4">
        <v>230</v>
      </c>
      <c r="L642" s="4">
        <v>19</v>
      </c>
      <c r="M642" s="4">
        <v>3</v>
      </c>
      <c r="N642" s="4" t="s">
        <v>6</v>
      </c>
      <c r="O642" s="4">
        <v>2</v>
      </c>
      <c r="P642" s="4"/>
      <c r="Q642" s="4"/>
      <c r="R642" s="4"/>
      <c r="S642" s="4"/>
      <c r="T642" s="4"/>
      <c r="U642" s="4"/>
      <c r="V642" s="4"/>
      <c r="W642" s="4"/>
    </row>
    <row r="643" spans="1:245" x14ac:dyDescent="0.2">
      <c r="A643" s="4">
        <v>50</v>
      </c>
      <c r="B643" s="4">
        <v>0</v>
      </c>
      <c r="C643" s="4">
        <v>0</v>
      </c>
      <c r="D643" s="4">
        <v>1</v>
      </c>
      <c r="E643" s="4">
        <v>206</v>
      </c>
      <c r="F643" s="4">
        <f>ROUND(Source!T622,O643)</f>
        <v>0</v>
      </c>
      <c r="G643" s="4" t="s">
        <v>153</v>
      </c>
      <c r="H643" s="4" t="s">
        <v>154</v>
      </c>
      <c r="I643" s="4"/>
      <c r="J643" s="4"/>
      <c r="K643" s="4">
        <v>206</v>
      </c>
      <c r="L643" s="4">
        <v>20</v>
      </c>
      <c r="M643" s="4">
        <v>3</v>
      </c>
      <c r="N643" s="4" t="s">
        <v>6</v>
      </c>
      <c r="O643" s="4">
        <v>2</v>
      </c>
      <c r="P643" s="4"/>
      <c r="Q643" s="4"/>
      <c r="R643" s="4"/>
      <c r="S643" s="4"/>
      <c r="T643" s="4"/>
      <c r="U643" s="4"/>
      <c r="V643" s="4"/>
      <c r="W643" s="4"/>
    </row>
    <row r="644" spans="1:245" x14ac:dyDescent="0.2">
      <c r="A644" s="4">
        <v>50</v>
      </c>
      <c r="B644" s="4">
        <v>0</v>
      </c>
      <c r="C644" s="4">
        <v>0</v>
      </c>
      <c r="D644" s="4">
        <v>1</v>
      </c>
      <c r="E644" s="4">
        <v>207</v>
      </c>
      <c r="F644" s="4">
        <f>Source!U622</f>
        <v>11.540699999999999</v>
      </c>
      <c r="G644" s="4" t="s">
        <v>155</v>
      </c>
      <c r="H644" s="4" t="s">
        <v>156</v>
      </c>
      <c r="I644" s="4"/>
      <c r="J644" s="4"/>
      <c r="K644" s="4">
        <v>207</v>
      </c>
      <c r="L644" s="4">
        <v>21</v>
      </c>
      <c r="M644" s="4">
        <v>3</v>
      </c>
      <c r="N644" s="4" t="s">
        <v>6</v>
      </c>
      <c r="O644" s="4">
        <v>-1</v>
      </c>
      <c r="P644" s="4"/>
      <c r="Q644" s="4"/>
      <c r="R644" s="4"/>
      <c r="S644" s="4"/>
      <c r="T644" s="4"/>
      <c r="U644" s="4"/>
      <c r="V644" s="4"/>
      <c r="W644" s="4"/>
    </row>
    <row r="645" spans="1:245" x14ac:dyDescent="0.2">
      <c r="A645" s="4">
        <v>50</v>
      </c>
      <c r="B645" s="4">
        <v>0</v>
      </c>
      <c r="C645" s="4">
        <v>0</v>
      </c>
      <c r="D645" s="4">
        <v>1</v>
      </c>
      <c r="E645" s="4">
        <v>208</v>
      </c>
      <c r="F645" s="4">
        <f>Source!V622</f>
        <v>0.1051</v>
      </c>
      <c r="G645" s="4" t="s">
        <v>157</v>
      </c>
      <c r="H645" s="4" t="s">
        <v>158</v>
      </c>
      <c r="I645" s="4"/>
      <c r="J645" s="4"/>
      <c r="K645" s="4">
        <v>208</v>
      </c>
      <c r="L645" s="4">
        <v>22</v>
      </c>
      <c r="M645" s="4">
        <v>3</v>
      </c>
      <c r="N645" s="4" t="s">
        <v>6</v>
      </c>
      <c r="O645" s="4">
        <v>-1</v>
      </c>
      <c r="P645" s="4"/>
      <c r="Q645" s="4"/>
      <c r="R645" s="4"/>
      <c r="S645" s="4"/>
      <c r="T645" s="4"/>
      <c r="U645" s="4"/>
      <c r="V645" s="4"/>
      <c r="W645" s="4"/>
    </row>
    <row r="646" spans="1:245" x14ac:dyDescent="0.2">
      <c r="A646" s="4">
        <v>50</v>
      </c>
      <c r="B646" s="4">
        <v>0</v>
      </c>
      <c r="C646" s="4">
        <v>0</v>
      </c>
      <c r="D646" s="4">
        <v>1</v>
      </c>
      <c r="E646" s="4">
        <v>209</v>
      </c>
      <c r="F646" s="4">
        <f>ROUND(Source!W622,O646)</f>
        <v>0</v>
      </c>
      <c r="G646" s="4" t="s">
        <v>159</v>
      </c>
      <c r="H646" s="4" t="s">
        <v>160</v>
      </c>
      <c r="I646" s="4"/>
      <c r="J646" s="4"/>
      <c r="K646" s="4">
        <v>209</v>
      </c>
      <c r="L646" s="4">
        <v>23</v>
      </c>
      <c r="M646" s="4">
        <v>3</v>
      </c>
      <c r="N646" s="4" t="s">
        <v>6</v>
      </c>
      <c r="O646" s="4">
        <v>2</v>
      </c>
      <c r="P646" s="4"/>
      <c r="Q646" s="4"/>
      <c r="R646" s="4"/>
      <c r="S646" s="4"/>
      <c r="T646" s="4"/>
      <c r="U646" s="4"/>
      <c r="V646" s="4"/>
      <c r="W646" s="4"/>
    </row>
    <row r="647" spans="1:245" x14ac:dyDescent="0.2">
      <c r="A647" s="4">
        <v>50</v>
      </c>
      <c r="B647" s="4">
        <v>0</v>
      </c>
      <c r="C647" s="4">
        <v>0</v>
      </c>
      <c r="D647" s="4">
        <v>1</v>
      </c>
      <c r="E647" s="4">
        <v>210</v>
      </c>
      <c r="F647" s="4">
        <f>ROUND(Source!X622,O647)</f>
        <v>800.48</v>
      </c>
      <c r="G647" s="4" t="s">
        <v>161</v>
      </c>
      <c r="H647" s="4" t="s">
        <v>162</v>
      </c>
      <c r="I647" s="4"/>
      <c r="J647" s="4"/>
      <c r="K647" s="4">
        <v>210</v>
      </c>
      <c r="L647" s="4">
        <v>24</v>
      </c>
      <c r="M647" s="4">
        <v>3</v>
      </c>
      <c r="N647" s="4" t="s">
        <v>6</v>
      </c>
      <c r="O647" s="4">
        <v>2</v>
      </c>
      <c r="P647" s="4"/>
      <c r="Q647" s="4"/>
      <c r="R647" s="4"/>
      <c r="S647" s="4"/>
      <c r="T647" s="4"/>
      <c r="U647" s="4"/>
      <c r="V647" s="4"/>
      <c r="W647" s="4"/>
    </row>
    <row r="648" spans="1:245" x14ac:dyDescent="0.2">
      <c r="A648" s="4">
        <v>50</v>
      </c>
      <c r="B648" s="4">
        <v>0</v>
      </c>
      <c r="C648" s="4">
        <v>0</v>
      </c>
      <c r="D648" s="4">
        <v>1</v>
      </c>
      <c r="E648" s="4">
        <v>211</v>
      </c>
      <c r="F648" s="4">
        <f>ROUND(Source!Y622,O648)</f>
        <v>495.46</v>
      </c>
      <c r="G648" s="4" t="s">
        <v>163</v>
      </c>
      <c r="H648" s="4" t="s">
        <v>164</v>
      </c>
      <c r="I648" s="4"/>
      <c r="J648" s="4"/>
      <c r="K648" s="4">
        <v>211</v>
      </c>
      <c r="L648" s="4">
        <v>25</v>
      </c>
      <c r="M648" s="4">
        <v>3</v>
      </c>
      <c r="N648" s="4" t="s">
        <v>6</v>
      </c>
      <c r="O648" s="4">
        <v>2</v>
      </c>
      <c r="P648" s="4"/>
      <c r="Q648" s="4"/>
      <c r="R648" s="4"/>
      <c r="S648" s="4"/>
      <c r="T648" s="4"/>
      <c r="U648" s="4"/>
      <c r="V648" s="4"/>
      <c r="W648" s="4"/>
    </row>
    <row r="649" spans="1:245" x14ac:dyDescent="0.2">
      <c r="A649" s="4">
        <v>50</v>
      </c>
      <c r="B649" s="4">
        <v>0</v>
      </c>
      <c r="C649" s="4">
        <v>0</v>
      </c>
      <c r="D649" s="4">
        <v>1</v>
      </c>
      <c r="E649" s="4">
        <v>224</v>
      </c>
      <c r="F649" s="4">
        <f>ROUND(Source!AR622,O649)</f>
        <v>11007.42</v>
      </c>
      <c r="G649" s="4" t="s">
        <v>165</v>
      </c>
      <c r="H649" s="4" t="s">
        <v>166</v>
      </c>
      <c r="I649" s="4"/>
      <c r="J649" s="4"/>
      <c r="K649" s="4">
        <v>224</v>
      </c>
      <c r="L649" s="4">
        <v>26</v>
      </c>
      <c r="M649" s="4">
        <v>3</v>
      </c>
      <c r="N649" s="4" t="s">
        <v>6</v>
      </c>
      <c r="O649" s="4">
        <v>2</v>
      </c>
      <c r="P649" s="4"/>
      <c r="Q649" s="4"/>
      <c r="R649" s="4"/>
      <c r="S649" s="4"/>
      <c r="T649" s="4"/>
      <c r="U649" s="4"/>
      <c r="V649" s="4"/>
      <c r="W649" s="4"/>
    </row>
    <row r="651" spans="1:245" x14ac:dyDescent="0.2">
      <c r="A651" s="1">
        <v>4</v>
      </c>
      <c r="B651" s="1">
        <v>1</v>
      </c>
      <c r="C651" s="1"/>
      <c r="D651" s="1">
        <f>ROW(A669)</f>
        <v>669</v>
      </c>
      <c r="E651" s="1"/>
      <c r="F651" s="1" t="s">
        <v>13</v>
      </c>
      <c r="G651" s="1" t="s">
        <v>950</v>
      </c>
      <c r="H651" s="1" t="s">
        <v>6</v>
      </c>
      <c r="I651" s="1">
        <v>0</v>
      </c>
      <c r="J651" s="1"/>
      <c r="K651" s="1">
        <v>0</v>
      </c>
      <c r="L651" s="1"/>
      <c r="M651" s="1"/>
      <c r="N651" s="1"/>
      <c r="O651" s="1"/>
      <c r="P651" s="1"/>
      <c r="Q651" s="1"/>
      <c r="R651" s="1"/>
      <c r="S651" s="1"/>
      <c r="T651" s="1"/>
      <c r="U651" s="1" t="s">
        <v>6</v>
      </c>
      <c r="V651" s="1">
        <v>0</v>
      </c>
      <c r="W651" s="1"/>
      <c r="X651" s="1"/>
      <c r="Y651" s="1"/>
      <c r="Z651" s="1"/>
      <c r="AA651" s="1"/>
      <c r="AB651" s="1" t="s">
        <v>6</v>
      </c>
      <c r="AC651" s="1" t="s">
        <v>6</v>
      </c>
      <c r="AD651" s="1" t="s">
        <v>6</v>
      </c>
      <c r="AE651" s="1" t="s">
        <v>6</v>
      </c>
      <c r="AF651" s="1" t="s">
        <v>6</v>
      </c>
      <c r="AG651" s="1" t="s">
        <v>6</v>
      </c>
      <c r="AH651" s="1"/>
      <c r="AI651" s="1"/>
      <c r="AJ651" s="1"/>
      <c r="AK651" s="1"/>
      <c r="AL651" s="1"/>
      <c r="AM651" s="1"/>
      <c r="AN651" s="1"/>
      <c r="AO651" s="1"/>
      <c r="AP651" s="1" t="s">
        <v>6</v>
      </c>
      <c r="AQ651" s="1" t="s">
        <v>6</v>
      </c>
      <c r="AR651" s="1" t="s">
        <v>6</v>
      </c>
      <c r="AS651" s="1"/>
      <c r="AT651" s="1"/>
      <c r="AU651" s="1"/>
      <c r="AV651" s="1"/>
      <c r="AW651" s="1"/>
      <c r="AX651" s="1"/>
      <c r="AY651" s="1"/>
      <c r="AZ651" s="1" t="s">
        <v>6</v>
      </c>
      <c r="BA651" s="1"/>
      <c r="BB651" s="1" t="s">
        <v>6</v>
      </c>
      <c r="BC651" s="1" t="s">
        <v>6</v>
      </c>
      <c r="BD651" s="1" t="s">
        <v>6</v>
      </c>
      <c r="BE651" s="1" t="s">
        <v>6</v>
      </c>
      <c r="BF651" s="1" t="s">
        <v>6</v>
      </c>
      <c r="BG651" s="1" t="s">
        <v>6</v>
      </c>
      <c r="BH651" s="1" t="s">
        <v>6</v>
      </c>
      <c r="BI651" s="1" t="s">
        <v>6</v>
      </c>
      <c r="BJ651" s="1" t="s">
        <v>6</v>
      </c>
      <c r="BK651" s="1" t="s">
        <v>6</v>
      </c>
      <c r="BL651" s="1" t="s">
        <v>6</v>
      </c>
      <c r="BM651" s="1" t="s">
        <v>6</v>
      </c>
      <c r="BN651" s="1" t="s">
        <v>6</v>
      </c>
      <c r="BO651" s="1" t="s">
        <v>6</v>
      </c>
      <c r="BP651" s="1" t="s">
        <v>6</v>
      </c>
      <c r="BQ651" s="1"/>
      <c r="BR651" s="1"/>
      <c r="BS651" s="1"/>
      <c r="BT651" s="1"/>
      <c r="BU651" s="1"/>
      <c r="BV651" s="1"/>
      <c r="BW651" s="1"/>
      <c r="BX651" s="1">
        <v>0</v>
      </c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>
        <v>0</v>
      </c>
    </row>
    <row r="653" spans="1:245" x14ac:dyDescent="0.2">
      <c r="A653" s="2">
        <v>52</v>
      </c>
      <c r="B653" s="2">
        <f t="shared" ref="B653:G653" si="478">B669</f>
        <v>1</v>
      </c>
      <c r="C653" s="2">
        <f t="shared" si="478"/>
        <v>4</v>
      </c>
      <c r="D653" s="2">
        <f t="shared" si="478"/>
        <v>651</v>
      </c>
      <c r="E653" s="2">
        <f t="shared" si="478"/>
        <v>0</v>
      </c>
      <c r="F653" s="2" t="str">
        <f t="shared" si="478"/>
        <v>Новый раздел</v>
      </c>
      <c r="G653" s="2" t="str">
        <f t="shared" si="478"/>
        <v>8 Канализация</v>
      </c>
      <c r="H653" s="2"/>
      <c r="I653" s="2"/>
      <c r="J653" s="2"/>
      <c r="K653" s="2"/>
      <c r="L653" s="2"/>
      <c r="M653" s="2"/>
      <c r="N653" s="2"/>
      <c r="O653" s="2">
        <f t="shared" ref="O653:AT653" si="479">O669</f>
        <v>17286.93</v>
      </c>
      <c r="P653" s="2">
        <f t="shared" si="479"/>
        <v>15827.67</v>
      </c>
      <c r="Q653" s="2">
        <f t="shared" si="479"/>
        <v>110.49</v>
      </c>
      <c r="R653" s="2">
        <f t="shared" si="479"/>
        <v>26.81</v>
      </c>
      <c r="S653" s="2">
        <f t="shared" si="479"/>
        <v>1348.77</v>
      </c>
      <c r="T653" s="2">
        <f t="shared" si="479"/>
        <v>0</v>
      </c>
      <c r="U653" s="2">
        <f t="shared" si="479"/>
        <v>21.297429999999999</v>
      </c>
      <c r="V653" s="2">
        <f t="shared" si="479"/>
        <v>0.32814999999999994</v>
      </c>
      <c r="W653" s="2">
        <f t="shared" si="479"/>
        <v>0</v>
      </c>
      <c r="X653" s="2">
        <f t="shared" si="479"/>
        <v>1552.41</v>
      </c>
      <c r="Y653" s="2">
        <f t="shared" si="479"/>
        <v>961.55</v>
      </c>
      <c r="Z653" s="2">
        <f t="shared" si="479"/>
        <v>0</v>
      </c>
      <c r="AA653" s="2">
        <f t="shared" si="479"/>
        <v>0</v>
      </c>
      <c r="AB653" s="2">
        <f t="shared" si="479"/>
        <v>17286.93</v>
      </c>
      <c r="AC653" s="2">
        <f t="shared" si="479"/>
        <v>15827.67</v>
      </c>
      <c r="AD653" s="2">
        <f t="shared" si="479"/>
        <v>110.49</v>
      </c>
      <c r="AE653" s="2">
        <f t="shared" si="479"/>
        <v>26.81</v>
      </c>
      <c r="AF653" s="2">
        <f t="shared" si="479"/>
        <v>1348.77</v>
      </c>
      <c r="AG653" s="2">
        <f t="shared" si="479"/>
        <v>0</v>
      </c>
      <c r="AH653" s="2">
        <f t="shared" si="479"/>
        <v>21.297429999999999</v>
      </c>
      <c r="AI653" s="2">
        <f t="shared" si="479"/>
        <v>0.32814999999999994</v>
      </c>
      <c r="AJ653" s="2">
        <f t="shared" si="479"/>
        <v>0</v>
      </c>
      <c r="AK653" s="2">
        <f t="shared" si="479"/>
        <v>1552.41</v>
      </c>
      <c r="AL653" s="2">
        <f t="shared" si="479"/>
        <v>961.55</v>
      </c>
      <c r="AM653" s="2">
        <f t="shared" si="479"/>
        <v>0</v>
      </c>
      <c r="AN653" s="2">
        <f t="shared" si="479"/>
        <v>0</v>
      </c>
      <c r="AO653" s="2">
        <f t="shared" si="479"/>
        <v>0</v>
      </c>
      <c r="AP653" s="2">
        <f t="shared" si="479"/>
        <v>0</v>
      </c>
      <c r="AQ653" s="2">
        <f t="shared" si="479"/>
        <v>0</v>
      </c>
      <c r="AR653" s="2">
        <f t="shared" si="479"/>
        <v>19800.89</v>
      </c>
      <c r="AS653" s="2">
        <f t="shared" si="479"/>
        <v>19800.89</v>
      </c>
      <c r="AT653" s="2">
        <f t="shared" si="479"/>
        <v>0</v>
      </c>
      <c r="AU653" s="2">
        <f t="shared" ref="AU653:BZ653" si="480">AU669</f>
        <v>0</v>
      </c>
      <c r="AV653" s="2">
        <f t="shared" si="480"/>
        <v>15827.67</v>
      </c>
      <c r="AW653" s="2">
        <f t="shared" si="480"/>
        <v>15827.67</v>
      </c>
      <c r="AX653" s="2">
        <f t="shared" si="480"/>
        <v>0</v>
      </c>
      <c r="AY653" s="2">
        <f t="shared" si="480"/>
        <v>15827.67</v>
      </c>
      <c r="AZ653" s="2">
        <f t="shared" si="480"/>
        <v>0</v>
      </c>
      <c r="BA653" s="2">
        <f t="shared" si="480"/>
        <v>0</v>
      </c>
      <c r="BB653" s="2">
        <f t="shared" si="480"/>
        <v>0</v>
      </c>
      <c r="BC653" s="2">
        <f t="shared" si="480"/>
        <v>0</v>
      </c>
      <c r="BD653" s="2">
        <f t="shared" si="480"/>
        <v>0</v>
      </c>
      <c r="BE653" s="2">
        <f t="shared" si="480"/>
        <v>0</v>
      </c>
      <c r="BF653" s="2">
        <f t="shared" si="480"/>
        <v>0</v>
      </c>
      <c r="BG653" s="2">
        <f t="shared" si="480"/>
        <v>0</v>
      </c>
      <c r="BH653" s="2">
        <f t="shared" si="480"/>
        <v>0</v>
      </c>
      <c r="BI653" s="2">
        <f t="shared" si="480"/>
        <v>0</v>
      </c>
      <c r="BJ653" s="2">
        <f t="shared" si="480"/>
        <v>0</v>
      </c>
      <c r="BK653" s="2">
        <f t="shared" si="480"/>
        <v>0</v>
      </c>
      <c r="BL653" s="2">
        <f t="shared" si="480"/>
        <v>0</v>
      </c>
      <c r="BM653" s="2">
        <f t="shared" si="480"/>
        <v>0</v>
      </c>
      <c r="BN653" s="2">
        <f t="shared" si="480"/>
        <v>0</v>
      </c>
      <c r="BO653" s="2">
        <f t="shared" si="480"/>
        <v>0</v>
      </c>
      <c r="BP653" s="2">
        <f t="shared" si="480"/>
        <v>0</v>
      </c>
      <c r="BQ653" s="2">
        <f t="shared" si="480"/>
        <v>0</v>
      </c>
      <c r="BR653" s="2">
        <f t="shared" si="480"/>
        <v>0</v>
      </c>
      <c r="BS653" s="2">
        <f t="shared" si="480"/>
        <v>0</v>
      </c>
      <c r="BT653" s="2">
        <f t="shared" si="480"/>
        <v>0</v>
      </c>
      <c r="BU653" s="2">
        <f t="shared" si="480"/>
        <v>0</v>
      </c>
      <c r="BV653" s="2">
        <f t="shared" si="480"/>
        <v>0</v>
      </c>
      <c r="BW653" s="2">
        <f t="shared" si="480"/>
        <v>0</v>
      </c>
      <c r="BX653" s="2">
        <f t="shared" si="480"/>
        <v>0</v>
      </c>
      <c r="BY653" s="2">
        <f t="shared" si="480"/>
        <v>0</v>
      </c>
      <c r="BZ653" s="2">
        <f t="shared" si="480"/>
        <v>0</v>
      </c>
      <c r="CA653" s="2">
        <f t="shared" ref="CA653:DF653" si="481">CA669</f>
        <v>19800.89</v>
      </c>
      <c r="CB653" s="2">
        <f t="shared" si="481"/>
        <v>19800.89</v>
      </c>
      <c r="CC653" s="2">
        <f t="shared" si="481"/>
        <v>0</v>
      </c>
      <c r="CD653" s="2">
        <f t="shared" si="481"/>
        <v>0</v>
      </c>
      <c r="CE653" s="2">
        <f t="shared" si="481"/>
        <v>15827.67</v>
      </c>
      <c r="CF653" s="2">
        <f t="shared" si="481"/>
        <v>15827.67</v>
      </c>
      <c r="CG653" s="2">
        <f t="shared" si="481"/>
        <v>0</v>
      </c>
      <c r="CH653" s="2">
        <f t="shared" si="481"/>
        <v>15827.67</v>
      </c>
      <c r="CI653" s="2">
        <f t="shared" si="481"/>
        <v>0</v>
      </c>
      <c r="CJ653" s="2">
        <f t="shared" si="481"/>
        <v>0</v>
      </c>
      <c r="CK653" s="2">
        <f t="shared" si="481"/>
        <v>0</v>
      </c>
      <c r="CL653" s="2">
        <f t="shared" si="481"/>
        <v>0</v>
      </c>
      <c r="CM653" s="2">
        <f t="shared" si="481"/>
        <v>0</v>
      </c>
      <c r="CN653" s="2">
        <f t="shared" si="481"/>
        <v>0</v>
      </c>
      <c r="CO653" s="2">
        <f t="shared" si="481"/>
        <v>0</v>
      </c>
      <c r="CP653" s="2">
        <f t="shared" si="481"/>
        <v>0</v>
      </c>
      <c r="CQ653" s="2">
        <f t="shared" si="481"/>
        <v>0</v>
      </c>
      <c r="CR653" s="2">
        <f t="shared" si="481"/>
        <v>0</v>
      </c>
      <c r="CS653" s="2">
        <f t="shared" si="481"/>
        <v>0</v>
      </c>
      <c r="CT653" s="2">
        <f t="shared" si="481"/>
        <v>0</v>
      </c>
      <c r="CU653" s="2">
        <f t="shared" si="481"/>
        <v>0</v>
      </c>
      <c r="CV653" s="2">
        <f t="shared" si="481"/>
        <v>0</v>
      </c>
      <c r="CW653" s="2">
        <f t="shared" si="481"/>
        <v>0</v>
      </c>
      <c r="CX653" s="2">
        <f t="shared" si="481"/>
        <v>0</v>
      </c>
      <c r="CY653" s="2">
        <f t="shared" si="481"/>
        <v>0</v>
      </c>
      <c r="CZ653" s="2">
        <f t="shared" si="481"/>
        <v>0</v>
      </c>
      <c r="DA653" s="2">
        <f t="shared" si="481"/>
        <v>0</v>
      </c>
      <c r="DB653" s="2">
        <f t="shared" si="481"/>
        <v>0</v>
      </c>
      <c r="DC653" s="2">
        <f t="shared" si="481"/>
        <v>0</v>
      </c>
      <c r="DD653" s="2">
        <f t="shared" si="481"/>
        <v>0</v>
      </c>
      <c r="DE653" s="2">
        <f t="shared" si="481"/>
        <v>0</v>
      </c>
      <c r="DF653" s="2">
        <f t="shared" si="481"/>
        <v>0</v>
      </c>
      <c r="DG653" s="3">
        <f t="shared" ref="DG653:EL653" si="482">DG669</f>
        <v>0</v>
      </c>
      <c r="DH653" s="3">
        <f t="shared" si="482"/>
        <v>0</v>
      </c>
      <c r="DI653" s="3">
        <f t="shared" si="482"/>
        <v>0</v>
      </c>
      <c r="DJ653" s="3">
        <f t="shared" si="482"/>
        <v>0</v>
      </c>
      <c r="DK653" s="3">
        <f t="shared" si="482"/>
        <v>0</v>
      </c>
      <c r="DL653" s="3">
        <f t="shared" si="482"/>
        <v>0</v>
      </c>
      <c r="DM653" s="3">
        <f t="shared" si="482"/>
        <v>0</v>
      </c>
      <c r="DN653" s="3">
        <f t="shared" si="482"/>
        <v>0</v>
      </c>
      <c r="DO653" s="3">
        <f t="shared" si="482"/>
        <v>0</v>
      </c>
      <c r="DP653" s="3">
        <f t="shared" si="482"/>
        <v>0</v>
      </c>
      <c r="DQ653" s="3">
        <f t="shared" si="482"/>
        <v>0</v>
      </c>
      <c r="DR653" s="3">
        <f t="shared" si="482"/>
        <v>0</v>
      </c>
      <c r="DS653" s="3">
        <f t="shared" si="482"/>
        <v>0</v>
      </c>
      <c r="DT653" s="3">
        <f t="shared" si="482"/>
        <v>0</v>
      </c>
      <c r="DU653" s="3">
        <f t="shared" si="482"/>
        <v>0</v>
      </c>
      <c r="DV653" s="3">
        <f t="shared" si="482"/>
        <v>0</v>
      </c>
      <c r="DW653" s="3">
        <f t="shared" si="482"/>
        <v>0</v>
      </c>
      <c r="DX653" s="3">
        <f t="shared" si="482"/>
        <v>0</v>
      </c>
      <c r="DY653" s="3">
        <f t="shared" si="482"/>
        <v>0</v>
      </c>
      <c r="DZ653" s="3">
        <f t="shared" si="482"/>
        <v>0</v>
      </c>
      <c r="EA653" s="3">
        <f t="shared" si="482"/>
        <v>0</v>
      </c>
      <c r="EB653" s="3">
        <f t="shared" si="482"/>
        <v>0</v>
      </c>
      <c r="EC653" s="3">
        <f t="shared" si="482"/>
        <v>0</v>
      </c>
      <c r="ED653" s="3">
        <f t="shared" si="482"/>
        <v>0</v>
      </c>
      <c r="EE653" s="3">
        <f t="shared" si="482"/>
        <v>0</v>
      </c>
      <c r="EF653" s="3">
        <f t="shared" si="482"/>
        <v>0</v>
      </c>
      <c r="EG653" s="3">
        <f t="shared" si="482"/>
        <v>0</v>
      </c>
      <c r="EH653" s="3">
        <f t="shared" si="482"/>
        <v>0</v>
      </c>
      <c r="EI653" s="3">
        <f t="shared" si="482"/>
        <v>0</v>
      </c>
      <c r="EJ653" s="3">
        <f t="shared" si="482"/>
        <v>0</v>
      </c>
      <c r="EK653" s="3">
        <f t="shared" si="482"/>
        <v>0</v>
      </c>
      <c r="EL653" s="3">
        <f t="shared" si="482"/>
        <v>0</v>
      </c>
      <c r="EM653" s="3">
        <f t="shared" ref="EM653:FR653" si="483">EM669</f>
        <v>0</v>
      </c>
      <c r="EN653" s="3">
        <f t="shared" si="483"/>
        <v>0</v>
      </c>
      <c r="EO653" s="3">
        <f t="shared" si="483"/>
        <v>0</v>
      </c>
      <c r="EP653" s="3">
        <f t="shared" si="483"/>
        <v>0</v>
      </c>
      <c r="EQ653" s="3">
        <f t="shared" si="483"/>
        <v>0</v>
      </c>
      <c r="ER653" s="3">
        <f t="shared" si="483"/>
        <v>0</v>
      </c>
      <c r="ES653" s="3">
        <f t="shared" si="483"/>
        <v>0</v>
      </c>
      <c r="ET653" s="3">
        <f t="shared" si="483"/>
        <v>0</v>
      </c>
      <c r="EU653" s="3">
        <f t="shared" si="483"/>
        <v>0</v>
      </c>
      <c r="EV653" s="3">
        <f t="shared" si="483"/>
        <v>0</v>
      </c>
      <c r="EW653" s="3">
        <f t="shared" si="483"/>
        <v>0</v>
      </c>
      <c r="EX653" s="3">
        <f t="shared" si="483"/>
        <v>0</v>
      </c>
      <c r="EY653" s="3">
        <f t="shared" si="483"/>
        <v>0</v>
      </c>
      <c r="EZ653" s="3">
        <f t="shared" si="483"/>
        <v>0</v>
      </c>
      <c r="FA653" s="3">
        <f t="shared" si="483"/>
        <v>0</v>
      </c>
      <c r="FB653" s="3">
        <f t="shared" si="483"/>
        <v>0</v>
      </c>
      <c r="FC653" s="3">
        <f t="shared" si="483"/>
        <v>0</v>
      </c>
      <c r="FD653" s="3">
        <f t="shared" si="483"/>
        <v>0</v>
      </c>
      <c r="FE653" s="3">
        <f t="shared" si="483"/>
        <v>0</v>
      </c>
      <c r="FF653" s="3">
        <f t="shared" si="483"/>
        <v>0</v>
      </c>
      <c r="FG653" s="3">
        <f t="shared" si="483"/>
        <v>0</v>
      </c>
      <c r="FH653" s="3">
        <f t="shared" si="483"/>
        <v>0</v>
      </c>
      <c r="FI653" s="3">
        <f t="shared" si="483"/>
        <v>0</v>
      </c>
      <c r="FJ653" s="3">
        <f t="shared" si="483"/>
        <v>0</v>
      </c>
      <c r="FK653" s="3">
        <f t="shared" si="483"/>
        <v>0</v>
      </c>
      <c r="FL653" s="3">
        <f t="shared" si="483"/>
        <v>0</v>
      </c>
      <c r="FM653" s="3">
        <f t="shared" si="483"/>
        <v>0</v>
      </c>
      <c r="FN653" s="3">
        <f t="shared" si="483"/>
        <v>0</v>
      </c>
      <c r="FO653" s="3">
        <f t="shared" si="483"/>
        <v>0</v>
      </c>
      <c r="FP653" s="3">
        <f t="shared" si="483"/>
        <v>0</v>
      </c>
      <c r="FQ653" s="3">
        <f t="shared" si="483"/>
        <v>0</v>
      </c>
      <c r="FR653" s="3">
        <f t="shared" si="483"/>
        <v>0</v>
      </c>
      <c r="FS653" s="3">
        <f t="shared" ref="FS653:GX653" si="484">FS669</f>
        <v>0</v>
      </c>
      <c r="FT653" s="3">
        <f t="shared" si="484"/>
        <v>0</v>
      </c>
      <c r="FU653" s="3">
        <f t="shared" si="484"/>
        <v>0</v>
      </c>
      <c r="FV653" s="3">
        <f t="shared" si="484"/>
        <v>0</v>
      </c>
      <c r="FW653" s="3">
        <f t="shared" si="484"/>
        <v>0</v>
      </c>
      <c r="FX653" s="3">
        <f t="shared" si="484"/>
        <v>0</v>
      </c>
      <c r="FY653" s="3">
        <f t="shared" si="484"/>
        <v>0</v>
      </c>
      <c r="FZ653" s="3">
        <f t="shared" si="484"/>
        <v>0</v>
      </c>
      <c r="GA653" s="3">
        <f t="shared" si="484"/>
        <v>0</v>
      </c>
      <c r="GB653" s="3">
        <f t="shared" si="484"/>
        <v>0</v>
      </c>
      <c r="GC653" s="3">
        <f t="shared" si="484"/>
        <v>0</v>
      </c>
      <c r="GD653" s="3">
        <f t="shared" si="484"/>
        <v>0</v>
      </c>
      <c r="GE653" s="3">
        <f t="shared" si="484"/>
        <v>0</v>
      </c>
      <c r="GF653" s="3">
        <f t="shared" si="484"/>
        <v>0</v>
      </c>
      <c r="GG653" s="3">
        <f t="shared" si="484"/>
        <v>0</v>
      </c>
      <c r="GH653" s="3">
        <f t="shared" si="484"/>
        <v>0</v>
      </c>
      <c r="GI653" s="3">
        <f t="shared" si="484"/>
        <v>0</v>
      </c>
      <c r="GJ653" s="3">
        <f t="shared" si="484"/>
        <v>0</v>
      </c>
      <c r="GK653" s="3">
        <f t="shared" si="484"/>
        <v>0</v>
      </c>
      <c r="GL653" s="3">
        <f t="shared" si="484"/>
        <v>0</v>
      </c>
      <c r="GM653" s="3">
        <f t="shared" si="484"/>
        <v>0</v>
      </c>
      <c r="GN653" s="3">
        <f t="shared" si="484"/>
        <v>0</v>
      </c>
      <c r="GO653" s="3">
        <f t="shared" si="484"/>
        <v>0</v>
      </c>
      <c r="GP653" s="3">
        <f t="shared" si="484"/>
        <v>0</v>
      </c>
      <c r="GQ653" s="3">
        <f t="shared" si="484"/>
        <v>0</v>
      </c>
      <c r="GR653" s="3">
        <f t="shared" si="484"/>
        <v>0</v>
      </c>
      <c r="GS653" s="3">
        <f t="shared" si="484"/>
        <v>0</v>
      </c>
      <c r="GT653" s="3">
        <f t="shared" si="484"/>
        <v>0</v>
      </c>
      <c r="GU653" s="3">
        <f t="shared" si="484"/>
        <v>0</v>
      </c>
      <c r="GV653" s="3">
        <f t="shared" si="484"/>
        <v>0</v>
      </c>
      <c r="GW653" s="3">
        <f t="shared" si="484"/>
        <v>0</v>
      </c>
      <c r="GX653" s="3">
        <f t="shared" si="484"/>
        <v>0</v>
      </c>
    </row>
    <row r="655" spans="1:245" x14ac:dyDescent="0.2">
      <c r="A655">
        <v>17</v>
      </c>
      <c r="B655">
        <v>1</v>
      </c>
      <c r="C655">
        <f>ROW(SmtRes!A736)</f>
        <v>736</v>
      </c>
      <c r="D655">
        <f>ROW(EtalonRes!A687)</f>
        <v>687</v>
      </c>
      <c r="E655" t="s">
        <v>951</v>
      </c>
      <c r="F655" t="s">
        <v>952</v>
      </c>
      <c r="G655" t="s">
        <v>953</v>
      </c>
      <c r="H655" t="s">
        <v>929</v>
      </c>
      <c r="I655">
        <f>ROUND(1/10,9)</f>
        <v>0.1</v>
      </c>
      <c r="J655">
        <v>0</v>
      </c>
      <c r="O655">
        <f t="shared" ref="O655:O667" si="485">ROUND(CP655,2)</f>
        <v>26.23</v>
      </c>
      <c r="P655">
        <f t="shared" ref="P655:P667" si="486">ROUND(CQ655*I655,2)</f>
        <v>0</v>
      </c>
      <c r="Q655">
        <f t="shared" ref="Q655:Q667" si="487">ROUND(CR655*I655,2)</f>
        <v>4.09</v>
      </c>
      <c r="R655">
        <f t="shared" ref="R655:R667" si="488">ROUND(CS655*I655,2)</f>
        <v>0.93</v>
      </c>
      <c r="S655">
        <f t="shared" ref="S655:S667" si="489">ROUND(CT655*I655,2)</f>
        <v>22.14</v>
      </c>
      <c r="T655">
        <f t="shared" ref="T655:T667" si="490">ROUND(CU655*I655,2)</f>
        <v>0</v>
      </c>
      <c r="U655">
        <f t="shared" ref="U655:U667" si="491">CV655*I655</f>
        <v>0.3508</v>
      </c>
      <c r="V655">
        <f t="shared" ref="V655:V667" si="492">CW655*I655</f>
        <v>1.1599999999999999E-2</v>
      </c>
      <c r="W655">
        <f t="shared" ref="W655:W667" si="493">ROUND(CX655*I655,2)</f>
        <v>0</v>
      </c>
      <c r="X655">
        <f t="shared" ref="X655:X667" si="494">ROUND(CY655,2)</f>
        <v>26.53</v>
      </c>
      <c r="Y655">
        <f t="shared" ref="Y655:Y667" si="495">ROUND(CZ655,2)</f>
        <v>16.38</v>
      </c>
      <c r="AA655">
        <v>16748969</v>
      </c>
      <c r="AB655">
        <f t="shared" ref="AB655:AB667" si="496">ROUND((AC655+AD655+AF655),2)</f>
        <v>39.99</v>
      </c>
      <c r="AC655">
        <f>ROUND(((ES655*0)),2)</f>
        <v>0</v>
      </c>
      <c r="AD655">
        <f>ROUND(((((ET655*0.4))-((EU655*0.4)))+AE655),2)</f>
        <v>6.24</v>
      </c>
      <c r="AE655">
        <f>ROUND(((EU655*0.4)),2)</f>
        <v>1.42</v>
      </c>
      <c r="AF655">
        <f>ROUND(((EV655*0.4)),2)</f>
        <v>33.75</v>
      </c>
      <c r="AG655">
        <f t="shared" ref="AG655:AG667" si="497">ROUND((AP655),2)</f>
        <v>0</v>
      </c>
      <c r="AH655">
        <f>((EW655*0.4))</f>
        <v>3.508</v>
      </c>
      <c r="AI655">
        <f>((EX655*0.4))</f>
        <v>0.11599999999999999</v>
      </c>
      <c r="AJ655">
        <f t="shared" ref="AJ655:AJ667" si="498">ROUND((AS655),2)</f>
        <v>0</v>
      </c>
      <c r="AK655">
        <v>141.9</v>
      </c>
      <c r="AL655">
        <v>41.92</v>
      </c>
      <c r="AM655">
        <v>15.61</v>
      </c>
      <c r="AN655">
        <v>3.55</v>
      </c>
      <c r="AO655">
        <v>84.37</v>
      </c>
      <c r="AP655">
        <v>0</v>
      </c>
      <c r="AQ655">
        <v>8.77</v>
      </c>
      <c r="AR655">
        <v>0.28999999999999998</v>
      </c>
      <c r="AS655">
        <v>0</v>
      </c>
      <c r="AT655">
        <v>115</v>
      </c>
      <c r="AU655">
        <v>71</v>
      </c>
      <c r="AV655">
        <v>1</v>
      </c>
      <c r="AW655">
        <v>1</v>
      </c>
      <c r="AZ655">
        <v>6.56</v>
      </c>
      <c r="BA655">
        <v>6.56</v>
      </c>
      <c r="BB655">
        <v>6.56</v>
      </c>
      <c r="BC655">
        <v>6.56</v>
      </c>
      <c r="BD655" t="s">
        <v>6</v>
      </c>
      <c r="BE655" t="s">
        <v>6</v>
      </c>
      <c r="BF655" t="s">
        <v>6</v>
      </c>
      <c r="BG655" t="s">
        <v>6</v>
      </c>
      <c r="BH655">
        <v>0</v>
      </c>
      <c r="BI655">
        <v>1</v>
      </c>
      <c r="BJ655" t="s">
        <v>954</v>
      </c>
      <c r="BM655">
        <v>17001</v>
      </c>
      <c r="BN655">
        <v>0</v>
      </c>
      <c r="BO655" t="s">
        <v>6</v>
      </c>
      <c r="BP655">
        <v>0</v>
      </c>
      <c r="BQ655">
        <v>2</v>
      </c>
      <c r="BR655">
        <v>0</v>
      </c>
      <c r="BS655">
        <v>6.56</v>
      </c>
      <c r="BT655">
        <v>1</v>
      </c>
      <c r="BU655">
        <v>1</v>
      </c>
      <c r="BV655">
        <v>1</v>
      </c>
      <c r="BW655">
        <v>1</v>
      </c>
      <c r="BX655">
        <v>1</v>
      </c>
      <c r="BY655" t="s">
        <v>6</v>
      </c>
      <c r="BZ655">
        <v>128</v>
      </c>
      <c r="CA655">
        <v>83</v>
      </c>
      <c r="CF655">
        <v>0</v>
      </c>
      <c r="CG655">
        <v>0</v>
      </c>
      <c r="CM655">
        <v>0</v>
      </c>
      <c r="CN655" t="s">
        <v>955</v>
      </c>
      <c r="CO655">
        <v>0</v>
      </c>
      <c r="CP655">
        <f t="shared" ref="CP655:CP667" si="499">(P655+Q655+S655)</f>
        <v>26.23</v>
      </c>
      <c r="CQ655">
        <f t="shared" ref="CQ655:CQ667" si="500">AC655*BC655</f>
        <v>0</v>
      </c>
      <c r="CR655">
        <f t="shared" ref="CR655:CR667" si="501">AD655*BB655</f>
        <v>40.934399999999997</v>
      </c>
      <c r="CS655">
        <f t="shared" ref="CS655:CS667" si="502">AE655*BS655</f>
        <v>9.315199999999999</v>
      </c>
      <c r="CT655">
        <f t="shared" ref="CT655:CT667" si="503">AF655*BA655</f>
        <v>221.39999999999998</v>
      </c>
      <c r="CU655">
        <f t="shared" ref="CU655:CU667" si="504">AG655</f>
        <v>0</v>
      </c>
      <c r="CV655">
        <f t="shared" ref="CV655:CV667" si="505">AH655</f>
        <v>3.508</v>
      </c>
      <c r="CW655">
        <f t="shared" ref="CW655:CW667" si="506">AI655</f>
        <v>0.11599999999999999</v>
      </c>
      <c r="CX655">
        <f t="shared" ref="CX655:CX667" si="507">AJ655</f>
        <v>0</v>
      </c>
      <c r="CY655">
        <f t="shared" ref="CY655:CY667" si="508">(((S655+R655)*AT655)/100)</f>
        <v>26.530500000000004</v>
      </c>
      <c r="CZ655">
        <f t="shared" ref="CZ655:CZ667" si="509">(((S655+R655)*AU655)/100)</f>
        <v>16.3797</v>
      </c>
      <c r="DC655" t="s">
        <v>6</v>
      </c>
      <c r="DD655" t="s">
        <v>92</v>
      </c>
      <c r="DE655" t="s">
        <v>956</v>
      </c>
      <c r="DF655" t="s">
        <v>956</v>
      </c>
      <c r="DG655" t="s">
        <v>956</v>
      </c>
      <c r="DH655" t="s">
        <v>6</v>
      </c>
      <c r="DI655" t="s">
        <v>956</v>
      </c>
      <c r="DJ655" t="s">
        <v>956</v>
      </c>
      <c r="DK655" t="s">
        <v>6</v>
      </c>
      <c r="DL655" t="s">
        <v>6</v>
      </c>
      <c r="DM655" t="s">
        <v>6</v>
      </c>
      <c r="DN655">
        <v>0</v>
      </c>
      <c r="DO655">
        <v>0</v>
      </c>
      <c r="DP655">
        <v>1</v>
      </c>
      <c r="DQ655">
        <v>1</v>
      </c>
      <c r="DU655">
        <v>1013</v>
      </c>
      <c r="DV655" t="s">
        <v>929</v>
      </c>
      <c r="DW655" t="s">
        <v>929</v>
      </c>
      <c r="DX655">
        <v>1</v>
      </c>
      <c r="EE655">
        <v>16510515</v>
      </c>
      <c r="EF655">
        <v>2</v>
      </c>
      <c r="EG655" t="s">
        <v>22</v>
      </c>
      <c r="EH655">
        <v>0</v>
      </c>
      <c r="EI655" t="s">
        <v>6</v>
      </c>
      <c r="EJ655">
        <v>1</v>
      </c>
      <c r="EK655">
        <v>17001</v>
      </c>
      <c r="EL655" t="s">
        <v>931</v>
      </c>
      <c r="EM655" t="s">
        <v>932</v>
      </c>
      <c r="EO655" t="s">
        <v>957</v>
      </c>
      <c r="EQ655">
        <v>131072</v>
      </c>
      <c r="ER655">
        <v>141.9</v>
      </c>
      <c r="ES655">
        <v>41.92</v>
      </c>
      <c r="ET655">
        <v>15.61</v>
      </c>
      <c r="EU655">
        <v>3.55</v>
      </c>
      <c r="EV655">
        <v>84.37</v>
      </c>
      <c r="EW655">
        <v>8.77</v>
      </c>
      <c r="EX655">
        <v>0.28999999999999998</v>
      </c>
      <c r="EY655">
        <v>0</v>
      </c>
      <c r="FQ655">
        <v>0</v>
      </c>
      <c r="FR655">
        <f t="shared" ref="FR655:FR667" si="510">ROUND(IF(AND(BH655=3,BI655=3),P655,0),2)</f>
        <v>0</v>
      </c>
      <c r="FS655">
        <v>0</v>
      </c>
      <c r="FT655" t="s">
        <v>25</v>
      </c>
      <c r="FU655" t="s">
        <v>26</v>
      </c>
      <c r="FX655">
        <v>115.2</v>
      </c>
      <c r="FY655">
        <v>70.55</v>
      </c>
      <c r="GA655" t="s">
        <v>6</v>
      </c>
      <c r="GD655">
        <v>0</v>
      </c>
      <c r="GF655">
        <v>-986784289</v>
      </c>
      <c r="GG655">
        <v>1</v>
      </c>
      <c r="GH655">
        <v>1</v>
      </c>
      <c r="GI655">
        <v>4</v>
      </c>
      <c r="GJ655">
        <v>0</v>
      </c>
      <c r="GK655">
        <f>ROUND(R655*(R12)/100,2)</f>
        <v>0</v>
      </c>
      <c r="GL655">
        <f t="shared" ref="GL655:GL667" si="511">ROUND(IF(AND(BH655=3,BI655=3,FS655&lt;&gt;0),P655,0),2)</f>
        <v>0</v>
      </c>
      <c r="GM655">
        <f t="shared" ref="GM655:GM667" si="512">ROUND(O655+X655+Y655+GK655,2)+GX655</f>
        <v>69.14</v>
      </c>
      <c r="GN655">
        <f t="shared" ref="GN655:GN667" si="513">IF(OR(BI655=0,BI655=1),ROUND(O655+X655+Y655+GK655,2),0)</f>
        <v>69.14</v>
      </c>
      <c r="GO655">
        <f t="shared" ref="GO655:GO667" si="514">IF(BI655=2,ROUND(O655+X655+Y655+GK655,2),0)</f>
        <v>0</v>
      </c>
      <c r="GP655">
        <f t="shared" ref="GP655:GP667" si="515">IF(BI655=4,ROUND(O655+X655+Y655+GK655,2)+GX655,0)</f>
        <v>0</v>
      </c>
      <c r="GR655">
        <v>0</v>
      </c>
      <c r="GS655">
        <v>3</v>
      </c>
      <c r="GT655">
        <v>0</v>
      </c>
      <c r="GU655" t="s">
        <v>6</v>
      </c>
      <c r="GV655">
        <f t="shared" ref="GV655:GV667" si="516">ROUND(GT655,2)</f>
        <v>0</v>
      </c>
      <c r="GW655">
        <v>1</v>
      </c>
      <c r="GX655">
        <f t="shared" ref="GX655:GX667" si="517">ROUND(GV655*GW655*I655,2)</f>
        <v>0</v>
      </c>
      <c r="HA655">
        <v>0</v>
      </c>
      <c r="HB655">
        <v>0</v>
      </c>
      <c r="IK655">
        <v>0</v>
      </c>
    </row>
    <row r="656" spans="1:245" x14ac:dyDescent="0.2">
      <c r="A656">
        <v>17</v>
      </c>
      <c r="B656">
        <v>1</v>
      </c>
      <c r="C656">
        <f>ROW(SmtRes!A739)</f>
        <v>739</v>
      </c>
      <c r="D656">
        <f>ROW(EtalonRes!A691)</f>
        <v>691</v>
      </c>
      <c r="E656" t="s">
        <v>958</v>
      </c>
      <c r="F656" t="s">
        <v>959</v>
      </c>
      <c r="G656" t="s">
        <v>960</v>
      </c>
      <c r="H656" t="s">
        <v>46</v>
      </c>
      <c r="I656">
        <f>ROUND(2/100,9)</f>
        <v>0.02</v>
      </c>
      <c r="J656">
        <v>0</v>
      </c>
      <c r="O656">
        <f t="shared" si="485"/>
        <v>72.64</v>
      </c>
      <c r="P656">
        <f t="shared" si="486"/>
        <v>0</v>
      </c>
      <c r="Q656">
        <f t="shared" si="487"/>
        <v>1.19</v>
      </c>
      <c r="R656">
        <f t="shared" si="488"/>
        <v>0.51</v>
      </c>
      <c r="S656">
        <f t="shared" si="489"/>
        <v>71.45</v>
      </c>
      <c r="T656">
        <f t="shared" si="490"/>
        <v>0</v>
      </c>
      <c r="U656">
        <f t="shared" si="491"/>
        <v>1.2768000000000002</v>
      </c>
      <c r="V656">
        <f t="shared" si="492"/>
        <v>5.7999999999999996E-3</v>
      </c>
      <c r="W656">
        <f t="shared" si="493"/>
        <v>0</v>
      </c>
      <c r="X656">
        <f t="shared" si="494"/>
        <v>53.25</v>
      </c>
      <c r="Y656">
        <f t="shared" si="495"/>
        <v>35.979999999999997</v>
      </c>
      <c r="AA656">
        <v>16748969</v>
      </c>
      <c r="AB656">
        <f t="shared" si="496"/>
        <v>553.63</v>
      </c>
      <c r="AC656">
        <f t="shared" ref="AC656:AC667" si="518">ROUND((ES656),2)</f>
        <v>0</v>
      </c>
      <c r="AD656">
        <f>ROUND((((ET656)-(EU656))+AE656),2)</f>
        <v>9.07</v>
      </c>
      <c r="AE656">
        <f>ROUND((EU656),2)</f>
        <v>3.92</v>
      </c>
      <c r="AF656">
        <f>ROUND((EV656),2)</f>
        <v>544.55999999999995</v>
      </c>
      <c r="AG656">
        <f t="shared" si="497"/>
        <v>0</v>
      </c>
      <c r="AH656">
        <f>(EW656)</f>
        <v>63.84</v>
      </c>
      <c r="AI656">
        <f>(EX656)</f>
        <v>0.28999999999999998</v>
      </c>
      <c r="AJ656">
        <f t="shared" si="498"/>
        <v>0</v>
      </c>
      <c r="AK656">
        <v>553.63</v>
      </c>
      <c r="AL656">
        <v>0</v>
      </c>
      <c r="AM656">
        <v>9.07</v>
      </c>
      <c r="AN656">
        <v>3.92</v>
      </c>
      <c r="AO656">
        <v>544.55999999999995</v>
      </c>
      <c r="AP656">
        <v>0</v>
      </c>
      <c r="AQ656">
        <v>63.84</v>
      </c>
      <c r="AR656">
        <v>0.28999999999999998</v>
      </c>
      <c r="AS656">
        <v>0</v>
      </c>
      <c r="AT656">
        <v>74</v>
      </c>
      <c r="AU656">
        <v>50</v>
      </c>
      <c r="AV656">
        <v>1</v>
      </c>
      <c r="AW656">
        <v>1</v>
      </c>
      <c r="AZ656">
        <v>6.56</v>
      </c>
      <c r="BA656">
        <v>6.56</v>
      </c>
      <c r="BB656">
        <v>6.56</v>
      </c>
      <c r="BC656">
        <v>6.56</v>
      </c>
      <c r="BD656" t="s">
        <v>6</v>
      </c>
      <c r="BE656" t="s">
        <v>6</v>
      </c>
      <c r="BF656" t="s">
        <v>6</v>
      </c>
      <c r="BG656" t="s">
        <v>6</v>
      </c>
      <c r="BH656">
        <v>0</v>
      </c>
      <c r="BI656">
        <v>1</v>
      </c>
      <c r="BJ656" t="s">
        <v>961</v>
      </c>
      <c r="BM656">
        <v>65001</v>
      </c>
      <c r="BN656">
        <v>0</v>
      </c>
      <c r="BO656" t="s">
        <v>6</v>
      </c>
      <c r="BP656">
        <v>0</v>
      </c>
      <c r="BQ656">
        <v>6</v>
      </c>
      <c r="BR656">
        <v>0</v>
      </c>
      <c r="BS656">
        <v>6.56</v>
      </c>
      <c r="BT656">
        <v>1</v>
      </c>
      <c r="BU656">
        <v>1</v>
      </c>
      <c r="BV656">
        <v>1</v>
      </c>
      <c r="BW656">
        <v>1</v>
      </c>
      <c r="BX656">
        <v>1</v>
      </c>
      <c r="BY656" t="s">
        <v>6</v>
      </c>
      <c r="BZ656">
        <v>74</v>
      </c>
      <c r="CA656">
        <v>50</v>
      </c>
      <c r="CF656">
        <v>0</v>
      </c>
      <c r="CG656">
        <v>0</v>
      </c>
      <c r="CM656">
        <v>0</v>
      </c>
      <c r="CN656" t="s">
        <v>6</v>
      </c>
      <c r="CO656">
        <v>0</v>
      </c>
      <c r="CP656">
        <f t="shared" si="499"/>
        <v>72.64</v>
      </c>
      <c r="CQ656">
        <f t="shared" si="500"/>
        <v>0</v>
      </c>
      <c r="CR656">
        <f t="shared" si="501"/>
        <v>59.499200000000002</v>
      </c>
      <c r="CS656">
        <f t="shared" si="502"/>
        <v>25.715199999999999</v>
      </c>
      <c r="CT656">
        <f t="shared" si="503"/>
        <v>3572.3135999999995</v>
      </c>
      <c r="CU656">
        <f t="shared" si="504"/>
        <v>0</v>
      </c>
      <c r="CV656">
        <f t="shared" si="505"/>
        <v>63.84</v>
      </c>
      <c r="CW656">
        <f t="shared" si="506"/>
        <v>0.28999999999999998</v>
      </c>
      <c r="CX656">
        <f t="shared" si="507"/>
        <v>0</v>
      </c>
      <c r="CY656">
        <f t="shared" si="508"/>
        <v>53.250400000000006</v>
      </c>
      <c r="CZ656">
        <f t="shared" si="509"/>
        <v>35.980000000000004</v>
      </c>
      <c r="DC656" t="s">
        <v>6</v>
      </c>
      <c r="DD656" t="s">
        <v>6</v>
      </c>
      <c r="DE656" t="s">
        <v>6</v>
      </c>
      <c r="DF656" t="s">
        <v>6</v>
      </c>
      <c r="DG656" t="s">
        <v>6</v>
      </c>
      <c r="DH656" t="s">
        <v>6</v>
      </c>
      <c r="DI656" t="s">
        <v>6</v>
      </c>
      <c r="DJ656" t="s">
        <v>6</v>
      </c>
      <c r="DK656" t="s">
        <v>6</v>
      </c>
      <c r="DL656" t="s">
        <v>6</v>
      </c>
      <c r="DM656" t="s">
        <v>6</v>
      </c>
      <c r="DN656">
        <v>0</v>
      </c>
      <c r="DO656">
        <v>0</v>
      </c>
      <c r="DP656">
        <v>1</v>
      </c>
      <c r="DQ656">
        <v>1</v>
      </c>
      <c r="DU656">
        <v>1013</v>
      </c>
      <c r="DV656" t="s">
        <v>46</v>
      </c>
      <c r="DW656" t="s">
        <v>46</v>
      </c>
      <c r="DX656">
        <v>1</v>
      </c>
      <c r="EE656">
        <v>16510574</v>
      </c>
      <c r="EF656">
        <v>6</v>
      </c>
      <c r="EG656" t="s">
        <v>36</v>
      </c>
      <c r="EH656">
        <v>0</v>
      </c>
      <c r="EI656" t="s">
        <v>6</v>
      </c>
      <c r="EJ656">
        <v>1</v>
      </c>
      <c r="EK656">
        <v>65001</v>
      </c>
      <c r="EL656" t="s">
        <v>101</v>
      </c>
      <c r="EM656" t="s">
        <v>49</v>
      </c>
      <c r="EO656" t="s">
        <v>6</v>
      </c>
      <c r="EQ656">
        <v>131072</v>
      </c>
      <c r="ER656">
        <v>553.63</v>
      </c>
      <c r="ES656">
        <v>0</v>
      </c>
      <c r="ET656">
        <v>9.07</v>
      </c>
      <c r="EU656">
        <v>3.92</v>
      </c>
      <c r="EV656">
        <v>544.55999999999995</v>
      </c>
      <c r="EW656">
        <v>63.84</v>
      </c>
      <c r="EX656">
        <v>0.28999999999999998</v>
      </c>
      <c r="EY656">
        <v>0</v>
      </c>
      <c r="FQ656">
        <v>0</v>
      </c>
      <c r="FR656">
        <f t="shared" si="510"/>
        <v>0</v>
      </c>
      <c r="FS656">
        <v>0</v>
      </c>
      <c r="FX656">
        <v>74</v>
      </c>
      <c r="FY656">
        <v>50</v>
      </c>
      <c r="GA656" t="s">
        <v>6</v>
      </c>
      <c r="GD656">
        <v>0</v>
      </c>
      <c r="GF656">
        <v>-1925511614</v>
      </c>
      <c r="GG656">
        <v>1</v>
      </c>
      <c r="GH656">
        <v>1</v>
      </c>
      <c r="GI656">
        <v>4</v>
      </c>
      <c r="GJ656">
        <v>0</v>
      </c>
      <c r="GK656">
        <f>ROUND(R656*(R12)/100,2)</f>
        <v>0</v>
      </c>
      <c r="GL656">
        <f t="shared" si="511"/>
        <v>0</v>
      </c>
      <c r="GM656">
        <f t="shared" si="512"/>
        <v>161.87</v>
      </c>
      <c r="GN656">
        <f t="shared" si="513"/>
        <v>161.87</v>
      </c>
      <c r="GO656">
        <f t="shared" si="514"/>
        <v>0</v>
      </c>
      <c r="GP656">
        <f t="shared" si="515"/>
        <v>0</v>
      </c>
      <c r="GR656">
        <v>0</v>
      </c>
      <c r="GS656">
        <v>3</v>
      </c>
      <c r="GT656">
        <v>0</v>
      </c>
      <c r="GU656" t="s">
        <v>6</v>
      </c>
      <c r="GV656">
        <f t="shared" si="516"/>
        <v>0</v>
      </c>
      <c r="GW656">
        <v>1</v>
      </c>
      <c r="GX656">
        <f t="shared" si="517"/>
        <v>0</v>
      </c>
      <c r="HA656">
        <v>0</v>
      </c>
      <c r="HB656">
        <v>0</v>
      </c>
      <c r="IK656">
        <v>0</v>
      </c>
    </row>
    <row r="657" spans="1:245" x14ac:dyDescent="0.2">
      <c r="A657">
        <v>17</v>
      </c>
      <c r="B657">
        <v>1</v>
      </c>
      <c r="C657">
        <f>ROW(SmtRes!A752)</f>
        <v>752</v>
      </c>
      <c r="D657">
        <f>ROW(EtalonRes!A706)</f>
        <v>706</v>
      </c>
      <c r="E657" t="s">
        <v>962</v>
      </c>
      <c r="F657" t="s">
        <v>963</v>
      </c>
      <c r="G657" t="s">
        <v>964</v>
      </c>
      <c r="H657" t="s">
        <v>929</v>
      </c>
      <c r="I657">
        <f>ROUND(3/10,9)</f>
        <v>0.3</v>
      </c>
      <c r="J657">
        <v>0</v>
      </c>
      <c r="O657">
        <f t="shared" si="485"/>
        <v>995.2</v>
      </c>
      <c r="P657">
        <f t="shared" si="486"/>
        <v>377.21</v>
      </c>
      <c r="Q657">
        <f t="shared" si="487"/>
        <v>87.65</v>
      </c>
      <c r="R657">
        <f t="shared" si="488"/>
        <v>21.75</v>
      </c>
      <c r="S657">
        <f t="shared" si="489"/>
        <v>530.34</v>
      </c>
      <c r="T657">
        <f t="shared" si="490"/>
        <v>0</v>
      </c>
      <c r="U657">
        <f t="shared" si="491"/>
        <v>8.5007999999999999</v>
      </c>
      <c r="V657">
        <f t="shared" si="492"/>
        <v>0.26624999999999999</v>
      </c>
      <c r="W657">
        <f t="shared" si="493"/>
        <v>0</v>
      </c>
      <c r="X657">
        <f t="shared" si="494"/>
        <v>634.9</v>
      </c>
      <c r="Y657">
        <f t="shared" si="495"/>
        <v>391.98</v>
      </c>
      <c r="AA657">
        <v>16748969</v>
      </c>
      <c r="AB657">
        <f t="shared" si="496"/>
        <v>505.69</v>
      </c>
      <c r="AC657">
        <f t="shared" si="518"/>
        <v>191.67</v>
      </c>
      <c r="AD657">
        <f>ROUND(((((ET657*1.25))-((EU657*1.25)))+AE657),2)</f>
        <v>44.54</v>
      </c>
      <c r="AE657">
        <f>ROUND(((EU657*1.25)),2)</f>
        <v>11.05</v>
      </c>
      <c r="AF657">
        <f>ROUND(((EV657*1.15)),2)</f>
        <v>269.48</v>
      </c>
      <c r="AG657">
        <f t="shared" si="497"/>
        <v>0</v>
      </c>
      <c r="AH657">
        <f>((EW657*1.15))</f>
        <v>28.335999999999999</v>
      </c>
      <c r="AI657">
        <f>((EX657*1.25))</f>
        <v>0.88749999999999996</v>
      </c>
      <c r="AJ657">
        <f t="shared" si="498"/>
        <v>0</v>
      </c>
      <c r="AK657">
        <v>461.63</v>
      </c>
      <c r="AL657">
        <v>191.67</v>
      </c>
      <c r="AM657">
        <v>35.630000000000003</v>
      </c>
      <c r="AN657">
        <v>8.84</v>
      </c>
      <c r="AO657">
        <v>234.33</v>
      </c>
      <c r="AP657">
        <v>0</v>
      </c>
      <c r="AQ657">
        <v>24.64</v>
      </c>
      <c r="AR657">
        <v>0.71</v>
      </c>
      <c r="AS657">
        <v>0</v>
      </c>
      <c r="AT657">
        <v>115</v>
      </c>
      <c r="AU657">
        <v>71</v>
      </c>
      <c r="AV657">
        <v>1</v>
      </c>
      <c r="AW657">
        <v>1</v>
      </c>
      <c r="AZ657">
        <v>6.56</v>
      </c>
      <c r="BA657">
        <v>6.56</v>
      </c>
      <c r="BB657">
        <v>6.56</v>
      </c>
      <c r="BC657">
        <v>6.56</v>
      </c>
      <c r="BD657" t="s">
        <v>6</v>
      </c>
      <c r="BE657" t="s">
        <v>6</v>
      </c>
      <c r="BF657" t="s">
        <v>6</v>
      </c>
      <c r="BG657" t="s">
        <v>6</v>
      </c>
      <c r="BH657">
        <v>0</v>
      </c>
      <c r="BI657">
        <v>1</v>
      </c>
      <c r="BJ657" t="s">
        <v>965</v>
      </c>
      <c r="BM657">
        <v>17001</v>
      </c>
      <c r="BN657">
        <v>0</v>
      </c>
      <c r="BO657" t="s">
        <v>6</v>
      </c>
      <c r="BP657">
        <v>0</v>
      </c>
      <c r="BQ657">
        <v>2</v>
      </c>
      <c r="BR657">
        <v>0</v>
      </c>
      <c r="BS657">
        <v>6.56</v>
      </c>
      <c r="BT657">
        <v>1</v>
      </c>
      <c r="BU657">
        <v>1</v>
      </c>
      <c r="BV657">
        <v>1</v>
      </c>
      <c r="BW657">
        <v>1</v>
      </c>
      <c r="BX657">
        <v>1</v>
      </c>
      <c r="BY657" t="s">
        <v>6</v>
      </c>
      <c r="BZ657">
        <v>128</v>
      </c>
      <c r="CA657">
        <v>83</v>
      </c>
      <c r="CF657">
        <v>0</v>
      </c>
      <c r="CG657">
        <v>0</v>
      </c>
      <c r="CM657">
        <v>0</v>
      </c>
      <c r="CN657" t="s">
        <v>1609</v>
      </c>
      <c r="CO657">
        <v>0</v>
      </c>
      <c r="CP657">
        <f t="shared" si="499"/>
        <v>995.2</v>
      </c>
      <c r="CQ657">
        <f t="shared" si="500"/>
        <v>1257.3551999999997</v>
      </c>
      <c r="CR657">
        <f t="shared" si="501"/>
        <v>292.18239999999997</v>
      </c>
      <c r="CS657">
        <f t="shared" si="502"/>
        <v>72.488</v>
      </c>
      <c r="CT657">
        <f t="shared" si="503"/>
        <v>1767.7888</v>
      </c>
      <c r="CU657">
        <f t="shared" si="504"/>
        <v>0</v>
      </c>
      <c r="CV657">
        <f t="shared" si="505"/>
        <v>28.335999999999999</v>
      </c>
      <c r="CW657">
        <f t="shared" si="506"/>
        <v>0.88749999999999996</v>
      </c>
      <c r="CX657">
        <f t="shared" si="507"/>
        <v>0</v>
      </c>
      <c r="CY657">
        <f t="shared" si="508"/>
        <v>634.90350000000001</v>
      </c>
      <c r="CZ657">
        <f t="shared" si="509"/>
        <v>391.98390000000001</v>
      </c>
      <c r="DC657" t="s">
        <v>6</v>
      </c>
      <c r="DD657" t="s">
        <v>6</v>
      </c>
      <c r="DE657" t="s">
        <v>172</v>
      </c>
      <c r="DF657" t="s">
        <v>172</v>
      </c>
      <c r="DG657" t="s">
        <v>173</v>
      </c>
      <c r="DH657" t="s">
        <v>6</v>
      </c>
      <c r="DI657" t="s">
        <v>173</v>
      </c>
      <c r="DJ657" t="s">
        <v>172</v>
      </c>
      <c r="DK657" t="s">
        <v>6</v>
      </c>
      <c r="DL657" t="s">
        <v>6</v>
      </c>
      <c r="DM657" t="s">
        <v>6</v>
      </c>
      <c r="DN657">
        <v>0</v>
      </c>
      <c r="DO657">
        <v>0</v>
      </c>
      <c r="DP657">
        <v>1</v>
      </c>
      <c r="DQ657">
        <v>1</v>
      </c>
      <c r="DU657">
        <v>1013</v>
      </c>
      <c r="DV657" t="s">
        <v>929</v>
      </c>
      <c r="DW657" t="s">
        <v>929</v>
      </c>
      <c r="DX657">
        <v>1</v>
      </c>
      <c r="EE657">
        <v>16510515</v>
      </c>
      <c r="EF657">
        <v>2</v>
      </c>
      <c r="EG657" t="s">
        <v>22</v>
      </c>
      <c r="EH657">
        <v>0</v>
      </c>
      <c r="EI657" t="s">
        <v>6</v>
      </c>
      <c r="EJ657">
        <v>1</v>
      </c>
      <c r="EK657">
        <v>17001</v>
      </c>
      <c r="EL657" t="s">
        <v>931</v>
      </c>
      <c r="EM657" t="s">
        <v>932</v>
      </c>
      <c r="EO657" t="s">
        <v>176</v>
      </c>
      <c r="EQ657">
        <v>131072</v>
      </c>
      <c r="ER657">
        <v>461.63</v>
      </c>
      <c r="ES657">
        <v>191.67</v>
      </c>
      <c r="ET657">
        <v>35.630000000000003</v>
      </c>
      <c r="EU657">
        <v>8.84</v>
      </c>
      <c r="EV657">
        <v>234.33</v>
      </c>
      <c r="EW657">
        <v>24.64</v>
      </c>
      <c r="EX657">
        <v>0.71</v>
      </c>
      <c r="EY657">
        <v>0</v>
      </c>
      <c r="FQ657">
        <v>0</v>
      </c>
      <c r="FR657">
        <f t="shared" si="510"/>
        <v>0</v>
      </c>
      <c r="FS657">
        <v>0</v>
      </c>
      <c r="FT657" t="s">
        <v>25</v>
      </c>
      <c r="FU657" t="s">
        <v>26</v>
      </c>
      <c r="FX657">
        <v>115.2</v>
      </c>
      <c r="FY657">
        <v>70.55</v>
      </c>
      <c r="GA657" t="s">
        <v>6</v>
      </c>
      <c r="GD657">
        <v>0</v>
      </c>
      <c r="GF657">
        <v>316104546</v>
      </c>
      <c r="GG657">
        <v>1</v>
      </c>
      <c r="GH657">
        <v>1</v>
      </c>
      <c r="GI657">
        <v>4</v>
      </c>
      <c r="GJ657">
        <v>0</v>
      </c>
      <c r="GK657">
        <f>ROUND(R657*(R12)/100,2)</f>
        <v>0</v>
      </c>
      <c r="GL657">
        <f t="shared" si="511"/>
        <v>0</v>
      </c>
      <c r="GM657">
        <f t="shared" si="512"/>
        <v>2022.08</v>
      </c>
      <c r="GN657">
        <f t="shared" si="513"/>
        <v>2022.08</v>
      </c>
      <c r="GO657">
        <f t="shared" si="514"/>
        <v>0</v>
      </c>
      <c r="GP657">
        <f t="shared" si="515"/>
        <v>0</v>
      </c>
      <c r="GR657">
        <v>0</v>
      </c>
      <c r="GS657">
        <v>3</v>
      </c>
      <c r="GT657">
        <v>0</v>
      </c>
      <c r="GU657" t="s">
        <v>6</v>
      </c>
      <c r="GV657">
        <f t="shared" si="516"/>
        <v>0</v>
      </c>
      <c r="GW657">
        <v>1</v>
      </c>
      <c r="GX657">
        <f t="shared" si="517"/>
        <v>0</v>
      </c>
      <c r="HA657">
        <v>0</v>
      </c>
      <c r="HB657">
        <v>0</v>
      </c>
      <c r="IK657">
        <v>0</v>
      </c>
    </row>
    <row r="658" spans="1:245" x14ac:dyDescent="0.2">
      <c r="A658">
        <v>18</v>
      </c>
      <c r="B658">
        <v>1</v>
      </c>
      <c r="C658">
        <v>752</v>
      </c>
      <c r="E658" t="s">
        <v>966</v>
      </c>
      <c r="F658" t="s">
        <v>942</v>
      </c>
      <c r="G658" t="s">
        <v>943</v>
      </c>
      <c r="H658" t="s">
        <v>615</v>
      </c>
      <c r="I658">
        <f>I657*J658</f>
        <v>0.3</v>
      </c>
      <c r="J658">
        <v>1</v>
      </c>
      <c r="O658">
        <f t="shared" si="485"/>
        <v>315.27</v>
      </c>
      <c r="P658">
        <f t="shared" si="486"/>
        <v>315.27</v>
      </c>
      <c r="Q658">
        <f t="shared" si="487"/>
        <v>0</v>
      </c>
      <c r="R658">
        <f t="shared" si="488"/>
        <v>0</v>
      </c>
      <c r="S658">
        <f t="shared" si="489"/>
        <v>0</v>
      </c>
      <c r="T658">
        <f t="shared" si="490"/>
        <v>0</v>
      </c>
      <c r="U658">
        <f t="shared" si="491"/>
        <v>0</v>
      </c>
      <c r="V658">
        <f t="shared" si="492"/>
        <v>0</v>
      </c>
      <c r="W658">
        <f t="shared" si="493"/>
        <v>0</v>
      </c>
      <c r="X658">
        <f t="shared" si="494"/>
        <v>0</v>
      </c>
      <c r="Y658">
        <f t="shared" si="495"/>
        <v>0</v>
      </c>
      <c r="AA658">
        <v>16748969</v>
      </c>
      <c r="AB658">
        <f t="shared" si="496"/>
        <v>160.19999999999999</v>
      </c>
      <c r="AC658">
        <f t="shared" si="518"/>
        <v>160.19999999999999</v>
      </c>
      <c r="AD658">
        <f>ROUND((((ET658)-(EU658))+AE658),2)</f>
        <v>0</v>
      </c>
      <c r="AE658">
        <f>ROUND((EU658),2)</f>
        <v>0</v>
      </c>
      <c r="AF658">
        <f>ROUND((EV658),2)</f>
        <v>0</v>
      </c>
      <c r="AG658">
        <f t="shared" si="497"/>
        <v>0</v>
      </c>
      <c r="AH658">
        <f>(EW658)</f>
        <v>0</v>
      </c>
      <c r="AI658">
        <f>(EX658)</f>
        <v>0</v>
      </c>
      <c r="AJ658">
        <f t="shared" si="498"/>
        <v>0</v>
      </c>
      <c r="AK658">
        <v>160.19999999999999</v>
      </c>
      <c r="AL658">
        <v>160.19999999999999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  <c r="AS658">
        <v>0</v>
      </c>
      <c r="AT658">
        <v>115</v>
      </c>
      <c r="AU658">
        <v>71</v>
      </c>
      <c r="AV658">
        <v>1</v>
      </c>
      <c r="AW658">
        <v>1</v>
      </c>
      <c r="AZ658">
        <v>6.56</v>
      </c>
      <c r="BA658">
        <v>1</v>
      </c>
      <c r="BB658">
        <v>1</v>
      </c>
      <c r="BC658">
        <v>6.56</v>
      </c>
      <c r="BD658" t="s">
        <v>6</v>
      </c>
      <c r="BE658" t="s">
        <v>6</v>
      </c>
      <c r="BF658" t="s">
        <v>6</v>
      </c>
      <c r="BG658" t="s">
        <v>6</v>
      </c>
      <c r="BH658">
        <v>3</v>
      </c>
      <c r="BI658">
        <v>1</v>
      </c>
      <c r="BJ658" t="s">
        <v>944</v>
      </c>
      <c r="BM658">
        <v>17001</v>
      </c>
      <c r="BN658">
        <v>0</v>
      </c>
      <c r="BO658" t="s">
        <v>6</v>
      </c>
      <c r="BP658">
        <v>0</v>
      </c>
      <c r="BQ658">
        <v>2</v>
      </c>
      <c r="BR658">
        <v>0</v>
      </c>
      <c r="BS658">
        <v>1</v>
      </c>
      <c r="BT658">
        <v>1</v>
      </c>
      <c r="BU658">
        <v>1</v>
      </c>
      <c r="BV658">
        <v>1</v>
      </c>
      <c r="BW658">
        <v>1</v>
      </c>
      <c r="BX658">
        <v>1</v>
      </c>
      <c r="BY658" t="s">
        <v>6</v>
      </c>
      <c r="BZ658">
        <v>128</v>
      </c>
      <c r="CA658">
        <v>83</v>
      </c>
      <c r="CF658">
        <v>0</v>
      </c>
      <c r="CG658">
        <v>0</v>
      </c>
      <c r="CM658">
        <v>0</v>
      </c>
      <c r="CN658" t="s">
        <v>6</v>
      </c>
      <c r="CO658">
        <v>0</v>
      </c>
      <c r="CP658">
        <f t="shared" si="499"/>
        <v>315.27</v>
      </c>
      <c r="CQ658">
        <f t="shared" si="500"/>
        <v>1050.9119999999998</v>
      </c>
      <c r="CR658">
        <f t="shared" si="501"/>
        <v>0</v>
      </c>
      <c r="CS658">
        <f t="shared" si="502"/>
        <v>0</v>
      </c>
      <c r="CT658">
        <f t="shared" si="503"/>
        <v>0</v>
      </c>
      <c r="CU658">
        <f t="shared" si="504"/>
        <v>0</v>
      </c>
      <c r="CV658">
        <f t="shared" si="505"/>
        <v>0</v>
      </c>
      <c r="CW658">
        <f t="shared" si="506"/>
        <v>0</v>
      </c>
      <c r="CX658">
        <f t="shared" si="507"/>
        <v>0</v>
      </c>
      <c r="CY658">
        <f t="shared" si="508"/>
        <v>0</v>
      </c>
      <c r="CZ658">
        <f t="shared" si="509"/>
        <v>0</v>
      </c>
      <c r="DC658" t="s">
        <v>6</v>
      </c>
      <c r="DD658" t="s">
        <v>6</v>
      </c>
      <c r="DE658" t="s">
        <v>6</v>
      </c>
      <c r="DF658" t="s">
        <v>6</v>
      </c>
      <c r="DG658" t="s">
        <v>6</v>
      </c>
      <c r="DH658" t="s">
        <v>6</v>
      </c>
      <c r="DI658" t="s">
        <v>6</v>
      </c>
      <c r="DJ658" t="s">
        <v>6</v>
      </c>
      <c r="DK658" t="s">
        <v>6</v>
      </c>
      <c r="DL658" t="s">
        <v>6</v>
      </c>
      <c r="DM658" t="s">
        <v>6</v>
      </c>
      <c r="DN658">
        <v>0</v>
      </c>
      <c r="DO658">
        <v>0</v>
      </c>
      <c r="DP658">
        <v>1</v>
      </c>
      <c r="DQ658">
        <v>1</v>
      </c>
      <c r="DU658">
        <v>1010</v>
      </c>
      <c r="DV658" t="s">
        <v>615</v>
      </c>
      <c r="DW658" t="s">
        <v>615</v>
      </c>
      <c r="DX658">
        <v>10</v>
      </c>
      <c r="EE658">
        <v>16510515</v>
      </c>
      <c r="EF658">
        <v>2</v>
      </c>
      <c r="EG658" t="s">
        <v>22</v>
      </c>
      <c r="EH658">
        <v>0</v>
      </c>
      <c r="EI658" t="s">
        <v>6</v>
      </c>
      <c r="EJ658">
        <v>1</v>
      </c>
      <c r="EK658">
        <v>17001</v>
      </c>
      <c r="EL658" t="s">
        <v>931</v>
      </c>
      <c r="EM658" t="s">
        <v>932</v>
      </c>
      <c r="EO658" t="s">
        <v>6</v>
      </c>
      <c r="EQ658">
        <v>0</v>
      </c>
      <c r="ER658">
        <v>160.19999999999999</v>
      </c>
      <c r="ES658">
        <v>160.19999999999999</v>
      </c>
      <c r="ET658">
        <v>0</v>
      </c>
      <c r="EU658">
        <v>0</v>
      </c>
      <c r="EV658">
        <v>0</v>
      </c>
      <c r="EW658">
        <v>0</v>
      </c>
      <c r="EX658">
        <v>0</v>
      </c>
      <c r="FQ658">
        <v>0</v>
      </c>
      <c r="FR658">
        <f t="shared" si="510"/>
        <v>0</v>
      </c>
      <c r="FS658">
        <v>0</v>
      </c>
      <c r="FT658" t="s">
        <v>25</v>
      </c>
      <c r="FU658" t="s">
        <v>26</v>
      </c>
      <c r="FX658">
        <v>115.2</v>
      </c>
      <c r="FY658">
        <v>70.55</v>
      </c>
      <c r="GA658" t="s">
        <v>6</v>
      </c>
      <c r="GD658">
        <v>0</v>
      </c>
      <c r="GF658">
        <v>-62785007</v>
      </c>
      <c r="GG658">
        <v>1</v>
      </c>
      <c r="GH658">
        <v>1</v>
      </c>
      <c r="GI658">
        <v>4</v>
      </c>
      <c r="GJ658">
        <v>0</v>
      </c>
      <c r="GK658">
        <f>ROUND(R658*(R12)/100,2)</f>
        <v>0</v>
      </c>
      <c r="GL658">
        <f t="shared" si="511"/>
        <v>0</v>
      </c>
      <c r="GM658">
        <f t="shared" si="512"/>
        <v>315.27</v>
      </c>
      <c r="GN658">
        <f t="shared" si="513"/>
        <v>315.27</v>
      </c>
      <c r="GO658">
        <f t="shared" si="514"/>
        <v>0</v>
      </c>
      <c r="GP658">
        <f t="shared" si="515"/>
        <v>0</v>
      </c>
      <c r="GR658">
        <v>0</v>
      </c>
      <c r="GS658">
        <v>3</v>
      </c>
      <c r="GT658">
        <v>0</v>
      </c>
      <c r="GU658" t="s">
        <v>6</v>
      </c>
      <c r="GV658">
        <f t="shared" si="516"/>
        <v>0</v>
      </c>
      <c r="GW658">
        <v>1</v>
      </c>
      <c r="GX658">
        <f t="shared" si="517"/>
        <v>0</v>
      </c>
      <c r="HA658">
        <v>0</v>
      </c>
      <c r="HB658">
        <v>0</v>
      </c>
      <c r="IK658">
        <v>0</v>
      </c>
    </row>
    <row r="659" spans="1:245" x14ac:dyDescent="0.2">
      <c r="A659">
        <v>18</v>
      </c>
      <c r="B659">
        <v>1</v>
      </c>
      <c r="C659">
        <v>751</v>
      </c>
      <c r="E659" t="s">
        <v>967</v>
      </c>
      <c r="F659" t="s">
        <v>968</v>
      </c>
      <c r="G659" t="s">
        <v>969</v>
      </c>
      <c r="H659" t="s">
        <v>230</v>
      </c>
      <c r="I659">
        <f>I657*J659</f>
        <v>3</v>
      </c>
      <c r="J659">
        <v>10</v>
      </c>
      <c r="O659">
        <f t="shared" si="485"/>
        <v>6258.24</v>
      </c>
      <c r="P659">
        <f t="shared" si="486"/>
        <v>6258.24</v>
      </c>
      <c r="Q659">
        <f t="shared" si="487"/>
        <v>0</v>
      </c>
      <c r="R659">
        <f t="shared" si="488"/>
        <v>0</v>
      </c>
      <c r="S659">
        <f t="shared" si="489"/>
        <v>0</v>
      </c>
      <c r="T659">
        <f t="shared" si="490"/>
        <v>0</v>
      </c>
      <c r="U659">
        <f t="shared" si="491"/>
        <v>0</v>
      </c>
      <c r="V659">
        <f t="shared" si="492"/>
        <v>0</v>
      </c>
      <c r="W659">
        <f t="shared" si="493"/>
        <v>0</v>
      </c>
      <c r="X659">
        <f t="shared" si="494"/>
        <v>0</v>
      </c>
      <c r="Y659">
        <f t="shared" si="495"/>
        <v>0</v>
      </c>
      <c r="AA659">
        <v>16748969</v>
      </c>
      <c r="AB659">
        <f t="shared" si="496"/>
        <v>318</v>
      </c>
      <c r="AC659">
        <f t="shared" si="518"/>
        <v>318</v>
      </c>
      <c r="AD659">
        <f>ROUND((((ET659)-(EU659))+AE659),2)</f>
        <v>0</v>
      </c>
      <c r="AE659">
        <f>ROUND((EU659),2)</f>
        <v>0</v>
      </c>
      <c r="AF659">
        <f>ROUND((EV659),2)</f>
        <v>0</v>
      </c>
      <c r="AG659">
        <f t="shared" si="497"/>
        <v>0</v>
      </c>
      <c r="AH659">
        <f>(EW659)</f>
        <v>0</v>
      </c>
      <c r="AI659">
        <f>(EX659)</f>
        <v>0</v>
      </c>
      <c r="AJ659">
        <f t="shared" si="498"/>
        <v>0</v>
      </c>
      <c r="AK659">
        <v>318</v>
      </c>
      <c r="AL659">
        <v>318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  <c r="AS659">
        <v>0</v>
      </c>
      <c r="AT659">
        <v>115</v>
      </c>
      <c r="AU659">
        <v>71</v>
      </c>
      <c r="AV659">
        <v>1</v>
      </c>
      <c r="AW659">
        <v>1</v>
      </c>
      <c r="AZ659">
        <v>6.56</v>
      </c>
      <c r="BA659">
        <v>1</v>
      </c>
      <c r="BB659">
        <v>1</v>
      </c>
      <c r="BC659">
        <v>6.56</v>
      </c>
      <c r="BD659" t="s">
        <v>6</v>
      </c>
      <c r="BE659" t="s">
        <v>6</v>
      </c>
      <c r="BF659" t="s">
        <v>6</v>
      </c>
      <c r="BG659" t="s">
        <v>6</v>
      </c>
      <c r="BH659">
        <v>3</v>
      </c>
      <c r="BI659">
        <v>1</v>
      </c>
      <c r="BJ659" t="s">
        <v>970</v>
      </c>
      <c r="BM659">
        <v>17001</v>
      </c>
      <c r="BN659">
        <v>0</v>
      </c>
      <c r="BO659" t="s">
        <v>6</v>
      </c>
      <c r="BP659">
        <v>0</v>
      </c>
      <c r="BQ659">
        <v>2</v>
      </c>
      <c r="BR659">
        <v>0</v>
      </c>
      <c r="BS659">
        <v>1</v>
      </c>
      <c r="BT659">
        <v>1</v>
      </c>
      <c r="BU659">
        <v>1</v>
      </c>
      <c r="BV659">
        <v>1</v>
      </c>
      <c r="BW659">
        <v>1</v>
      </c>
      <c r="BX659">
        <v>1</v>
      </c>
      <c r="BY659" t="s">
        <v>6</v>
      </c>
      <c r="BZ659">
        <v>128</v>
      </c>
      <c r="CA659">
        <v>83</v>
      </c>
      <c r="CF659">
        <v>0</v>
      </c>
      <c r="CG659">
        <v>0</v>
      </c>
      <c r="CM659">
        <v>0</v>
      </c>
      <c r="CN659" t="s">
        <v>6</v>
      </c>
      <c r="CO659">
        <v>0</v>
      </c>
      <c r="CP659">
        <f t="shared" si="499"/>
        <v>6258.24</v>
      </c>
      <c r="CQ659">
        <f t="shared" si="500"/>
        <v>2086.08</v>
      </c>
      <c r="CR659">
        <f t="shared" si="501"/>
        <v>0</v>
      </c>
      <c r="CS659">
        <f t="shared" si="502"/>
        <v>0</v>
      </c>
      <c r="CT659">
        <f t="shared" si="503"/>
        <v>0</v>
      </c>
      <c r="CU659">
        <f t="shared" si="504"/>
        <v>0</v>
      </c>
      <c r="CV659">
        <f t="shared" si="505"/>
        <v>0</v>
      </c>
      <c r="CW659">
        <f t="shared" si="506"/>
        <v>0</v>
      </c>
      <c r="CX659">
        <f t="shared" si="507"/>
        <v>0</v>
      </c>
      <c r="CY659">
        <f t="shared" si="508"/>
        <v>0</v>
      </c>
      <c r="CZ659">
        <f t="shared" si="509"/>
        <v>0</v>
      </c>
      <c r="DC659" t="s">
        <v>6</v>
      </c>
      <c r="DD659" t="s">
        <v>6</v>
      </c>
      <c r="DE659" t="s">
        <v>6</v>
      </c>
      <c r="DF659" t="s">
        <v>6</v>
      </c>
      <c r="DG659" t="s">
        <v>6</v>
      </c>
      <c r="DH659" t="s">
        <v>6</v>
      </c>
      <c r="DI659" t="s">
        <v>6</v>
      </c>
      <c r="DJ659" t="s">
        <v>6</v>
      </c>
      <c r="DK659" t="s">
        <v>6</v>
      </c>
      <c r="DL659" t="s">
        <v>6</v>
      </c>
      <c r="DM659" t="s">
        <v>6</v>
      </c>
      <c r="DN659">
        <v>0</v>
      </c>
      <c r="DO659">
        <v>0</v>
      </c>
      <c r="DP659">
        <v>1</v>
      </c>
      <c r="DQ659">
        <v>1</v>
      </c>
      <c r="DU659">
        <v>1013</v>
      </c>
      <c r="DV659" t="s">
        <v>230</v>
      </c>
      <c r="DW659" t="s">
        <v>230</v>
      </c>
      <c r="DX659">
        <v>1</v>
      </c>
      <c r="EE659">
        <v>16510515</v>
      </c>
      <c r="EF659">
        <v>2</v>
      </c>
      <c r="EG659" t="s">
        <v>22</v>
      </c>
      <c r="EH659">
        <v>0</v>
      </c>
      <c r="EI659" t="s">
        <v>6</v>
      </c>
      <c r="EJ659">
        <v>1</v>
      </c>
      <c r="EK659">
        <v>17001</v>
      </c>
      <c r="EL659" t="s">
        <v>931</v>
      </c>
      <c r="EM659" t="s">
        <v>932</v>
      </c>
      <c r="EO659" t="s">
        <v>6</v>
      </c>
      <c r="EQ659">
        <v>0</v>
      </c>
      <c r="ER659">
        <v>318</v>
      </c>
      <c r="ES659">
        <v>318</v>
      </c>
      <c r="ET659">
        <v>0</v>
      </c>
      <c r="EU659">
        <v>0</v>
      </c>
      <c r="EV659">
        <v>0</v>
      </c>
      <c r="EW659">
        <v>0</v>
      </c>
      <c r="EX659">
        <v>0</v>
      </c>
      <c r="FQ659">
        <v>0</v>
      </c>
      <c r="FR659">
        <f t="shared" si="510"/>
        <v>0</v>
      </c>
      <c r="FS659">
        <v>0</v>
      </c>
      <c r="FT659" t="s">
        <v>25</v>
      </c>
      <c r="FU659" t="s">
        <v>26</v>
      </c>
      <c r="FX659">
        <v>115.2</v>
      </c>
      <c r="FY659">
        <v>70.55</v>
      </c>
      <c r="GA659" t="s">
        <v>6</v>
      </c>
      <c r="GD659">
        <v>0</v>
      </c>
      <c r="GF659">
        <v>1607095739</v>
      </c>
      <c r="GG659">
        <v>1</v>
      </c>
      <c r="GH659">
        <v>1</v>
      </c>
      <c r="GI659">
        <v>4</v>
      </c>
      <c r="GJ659">
        <v>0</v>
      </c>
      <c r="GK659">
        <f>ROUND(R659*(R12)/100,2)</f>
        <v>0</v>
      </c>
      <c r="GL659">
        <f t="shared" si="511"/>
        <v>0</v>
      </c>
      <c r="GM659">
        <f t="shared" si="512"/>
        <v>6258.24</v>
      </c>
      <c r="GN659">
        <f t="shared" si="513"/>
        <v>6258.24</v>
      </c>
      <c r="GO659">
        <f t="shared" si="514"/>
        <v>0</v>
      </c>
      <c r="GP659">
        <f t="shared" si="515"/>
        <v>0</v>
      </c>
      <c r="GR659">
        <v>0</v>
      </c>
      <c r="GS659">
        <v>3</v>
      </c>
      <c r="GT659">
        <v>0</v>
      </c>
      <c r="GU659" t="s">
        <v>6</v>
      </c>
      <c r="GV659">
        <f t="shared" si="516"/>
        <v>0</v>
      </c>
      <c r="GW659">
        <v>1</v>
      </c>
      <c r="GX659">
        <f t="shared" si="517"/>
        <v>0</v>
      </c>
      <c r="HA659">
        <v>0</v>
      </c>
      <c r="HB659">
        <v>0</v>
      </c>
      <c r="IK659">
        <v>0</v>
      </c>
    </row>
    <row r="660" spans="1:245" x14ac:dyDescent="0.2">
      <c r="A660">
        <v>17</v>
      </c>
      <c r="B660">
        <v>1</v>
      </c>
      <c r="C660">
        <f>ROW(SmtRes!A759)</f>
        <v>759</v>
      </c>
      <c r="D660">
        <f>ROW(EtalonRes!A713)</f>
        <v>713</v>
      </c>
      <c r="E660" t="s">
        <v>971</v>
      </c>
      <c r="F660" t="s">
        <v>952</v>
      </c>
      <c r="G660" t="s">
        <v>972</v>
      </c>
      <c r="H660" t="s">
        <v>929</v>
      </c>
      <c r="I660">
        <f>ROUND(1/10,9)</f>
        <v>0.1</v>
      </c>
      <c r="J660">
        <v>0</v>
      </c>
      <c r="O660">
        <f t="shared" si="485"/>
        <v>103.96</v>
      </c>
      <c r="P660">
        <f t="shared" si="486"/>
        <v>27.5</v>
      </c>
      <c r="Q660">
        <f t="shared" si="487"/>
        <v>12.81</v>
      </c>
      <c r="R660">
        <f t="shared" si="488"/>
        <v>2.91</v>
      </c>
      <c r="S660">
        <f t="shared" si="489"/>
        <v>63.65</v>
      </c>
      <c r="T660">
        <f t="shared" si="490"/>
        <v>0</v>
      </c>
      <c r="U660">
        <f t="shared" si="491"/>
        <v>1.0085499999999998</v>
      </c>
      <c r="V660">
        <f t="shared" si="492"/>
        <v>3.6249999999999998E-2</v>
      </c>
      <c r="W660">
        <f t="shared" si="493"/>
        <v>0</v>
      </c>
      <c r="X660">
        <f t="shared" si="494"/>
        <v>76.540000000000006</v>
      </c>
      <c r="Y660">
        <f t="shared" si="495"/>
        <v>47.26</v>
      </c>
      <c r="AA660">
        <v>16748969</v>
      </c>
      <c r="AB660">
        <f t="shared" si="496"/>
        <v>158.47</v>
      </c>
      <c r="AC660">
        <f t="shared" si="518"/>
        <v>41.92</v>
      </c>
      <c r="AD660">
        <f>ROUND(((((ET660*1.25))-((EU660*1.25)))+AE660),2)</f>
        <v>19.52</v>
      </c>
      <c r="AE660">
        <f>ROUND(((EU660*1.25)),2)</f>
        <v>4.4400000000000004</v>
      </c>
      <c r="AF660">
        <f>ROUND(((EV660*1.15)),2)</f>
        <v>97.03</v>
      </c>
      <c r="AG660">
        <f t="shared" si="497"/>
        <v>0</v>
      </c>
      <c r="AH660">
        <f>((EW660*1.15))</f>
        <v>10.085499999999998</v>
      </c>
      <c r="AI660">
        <f>((EX660*1.25))</f>
        <v>0.36249999999999999</v>
      </c>
      <c r="AJ660">
        <f t="shared" si="498"/>
        <v>0</v>
      </c>
      <c r="AK660">
        <v>141.9</v>
      </c>
      <c r="AL660">
        <v>41.92</v>
      </c>
      <c r="AM660">
        <v>15.61</v>
      </c>
      <c r="AN660">
        <v>3.55</v>
      </c>
      <c r="AO660">
        <v>84.37</v>
      </c>
      <c r="AP660">
        <v>0</v>
      </c>
      <c r="AQ660">
        <v>8.77</v>
      </c>
      <c r="AR660">
        <v>0.28999999999999998</v>
      </c>
      <c r="AS660">
        <v>0</v>
      </c>
      <c r="AT660">
        <v>115</v>
      </c>
      <c r="AU660">
        <v>71</v>
      </c>
      <c r="AV660">
        <v>1</v>
      </c>
      <c r="AW660">
        <v>1</v>
      </c>
      <c r="AZ660">
        <v>6.56</v>
      </c>
      <c r="BA660">
        <v>6.56</v>
      </c>
      <c r="BB660">
        <v>6.56</v>
      </c>
      <c r="BC660">
        <v>6.56</v>
      </c>
      <c r="BD660" t="s">
        <v>6</v>
      </c>
      <c r="BE660" t="s">
        <v>6</v>
      </c>
      <c r="BF660" t="s">
        <v>6</v>
      </c>
      <c r="BG660" t="s">
        <v>6</v>
      </c>
      <c r="BH660">
        <v>0</v>
      </c>
      <c r="BI660">
        <v>1</v>
      </c>
      <c r="BJ660" t="s">
        <v>954</v>
      </c>
      <c r="BM660">
        <v>17001</v>
      </c>
      <c r="BN660">
        <v>0</v>
      </c>
      <c r="BO660" t="s">
        <v>6</v>
      </c>
      <c r="BP660">
        <v>0</v>
      </c>
      <c r="BQ660">
        <v>2</v>
      </c>
      <c r="BR660">
        <v>0</v>
      </c>
      <c r="BS660">
        <v>6.56</v>
      </c>
      <c r="BT660">
        <v>1</v>
      </c>
      <c r="BU660">
        <v>1</v>
      </c>
      <c r="BV660">
        <v>1</v>
      </c>
      <c r="BW660">
        <v>1</v>
      </c>
      <c r="BX660">
        <v>1</v>
      </c>
      <c r="BY660" t="s">
        <v>6</v>
      </c>
      <c r="BZ660">
        <v>128</v>
      </c>
      <c r="CA660">
        <v>83</v>
      </c>
      <c r="CF660">
        <v>0</v>
      </c>
      <c r="CG660">
        <v>0</v>
      </c>
      <c r="CM660">
        <v>0</v>
      </c>
      <c r="CN660" t="s">
        <v>1609</v>
      </c>
      <c r="CO660">
        <v>0</v>
      </c>
      <c r="CP660">
        <f t="shared" si="499"/>
        <v>103.96000000000001</v>
      </c>
      <c r="CQ660">
        <f t="shared" si="500"/>
        <v>274.99520000000001</v>
      </c>
      <c r="CR660">
        <f t="shared" si="501"/>
        <v>128.05119999999999</v>
      </c>
      <c r="CS660">
        <f t="shared" si="502"/>
        <v>29.1264</v>
      </c>
      <c r="CT660">
        <f t="shared" si="503"/>
        <v>636.51679999999999</v>
      </c>
      <c r="CU660">
        <f t="shared" si="504"/>
        <v>0</v>
      </c>
      <c r="CV660">
        <f t="shared" si="505"/>
        <v>10.085499999999998</v>
      </c>
      <c r="CW660">
        <f t="shared" si="506"/>
        <v>0.36249999999999999</v>
      </c>
      <c r="CX660">
        <f t="shared" si="507"/>
        <v>0</v>
      </c>
      <c r="CY660">
        <f t="shared" si="508"/>
        <v>76.544000000000011</v>
      </c>
      <c r="CZ660">
        <f t="shared" si="509"/>
        <v>47.257600000000004</v>
      </c>
      <c r="DC660" t="s">
        <v>6</v>
      </c>
      <c r="DD660" t="s">
        <v>6</v>
      </c>
      <c r="DE660" t="s">
        <v>172</v>
      </c>
      <c r="DF660" t="s">
        <v>172</v>
      </c>
      <c r="DG660" t="s">
        <v>173</v>
      </c>
      <c r="DH660" t="s">
        <v>6</v>
      </c>
      <c r="DI660" t="s">
        <v>173</v>
      </c>
      <c r="DJ660" t="s">
        <v>172</v>
      </c>
      <c r="DK660" t="s">
        <v>6</v>
      </c>
      <c r="DL660" t="s">
        <v>6</v>
      </c>
      <c r="DM660" t="s">
        <v>6</v>
      </c>
      <c r="DN660">
        <v>0</v>
      </c>
      <c r="DO660">
        <v>0</v>
      </c>
      <c r="DP660">
        <v>1</v>
      </c>
      <c r="DQ660">
        <v>1</v>
      </c>
      <c r="DU660">
        <v>1013</v>
      </c>
      <c r="DV660" t="s">
        <v>929</v>
      </c>
      <c r="DW660" t="s">
        <v>929</v>
      </c>
      <c r="DX660">
        <v>1</v>
      </c>
      <c r="EE660">
        <v>16510515</v>
      </c>
      <c r="EF660">
        <v>2</v>
      </c>
      <c r="EG660" t="s">
        <v>22</v>
      </c>
      <c r="EH660">
        <v>0</v>
      </c>
      <c r="EI660" t="s">
        <v>6</v>
      </c>
      <c r="EJ660">
        <v>1</v>
      </c>
      <c r="EK660">
        <v>17001</v>
      </c>
      <c r="EL660" t="s">
        <v>931</v>
      </c>
      <c r="EM660" t="s">
        <v>932</v>
      </c>
      <c r="EO660" t="s">
        <v>176</v>
      </c>
      <c r="EQ660">
        <v>131072</v>
      </c>
      <c r="ER660">
        <v>141.9</v>
      </c>
      <c r="ES660">
        <v>41.92</v>
      </c>
      <c r="ET660">
        <v>15.61</v>
      </c>
      <c r="EU660">
        <v>3.55</v>
      </c>
      <c r="EV660">
        <v>84.37</v>
      </c>
      <c r="EW660">
        <v>8.77</v>
      </c>
      <c r="EX660">
        <v>0.28999999999999998</v>
      </c>
      <c r="EY660">
        <v>0</v>
      </c>
      <c r="FQ660">
        <v>0</v>
      </c>
      <c r="FR660">
        <f t="shared" si="510"/>
        <v>0</v>
      </c>
      <c r="FS660">
        <v>0</v>
      </c>
      <c r="FT660" t="s">
        <v>25</v>
      </c>
      <c r="FU660" t="s">
        <v>26</v>
      </c>
      <c r="FX660">
        <v>115.2</v>
      </c>
      <c r="FY660">
        <v>70.55</v>
      </c>
      <c r="GA660" t="s">
        <v>6</v>
      </c>
      <c r="GD660">
        <v>0</v>
      </c>
      <c r="GF660">
        <v>-953762339</v>
      </c>
      <c r="GG660">
        <v>1</v>
      </c>
      <c r="GH660">
        <v>1</v>
      </c>
      <c r="GI660">
        <v>4</v>
      </c>
      <c r="GJ660">
        <v>0</v>
      </c>
      <c r="GK660">
        <f>ROUND(R660*(R12)/100,2)</f>
        <v>0</v>
      </c>
      <c r="GL660">
        <f t="shared" si="511"/>
        <v>0</v>
      </c>
      <c r="GM660">
        <f t="shared" si="512"/>
        <v>227.76</v>
      </c>
      <c r="GN660">
        <f t="shared" si="513"/>
        <v>227.76</v>
      </c>
      <c r="GO660">
        <f t="shared" si="514"/>
        <v>0</v>
      </c>
      <c r="GP660">
        <f t="shared" si="515"/>
        <v>0</v>
      </c>
      <c r="GR660">
        <v>0</v>
      </c>
      <c r="GS660">
        <v>3</v>
      </c>
      <c r="GT660">
        <v>0</v>
      </c>
      <c r="GU660" t="s">
        <v>6</v>
      </c>
      <c r="GV660">
        <f t="shared" si="516"/>
        <v>0</v>
      </c>
      <c r="GW660">
        <v>1</v>
      </c>
      <c r="GX660">
        <f t="shared" si="517"/>
        <v>0</v>
      </c>
      <c r="HA660">
        <v>0</v>
      </c>
      <c r="HB660">
        <v>0</v>
      </c>
      <c r="IK660">
        <v>0</v>
      </c>
    </row>
    <row r="661" spans="1:245" x14ac:dyDescent="0.2">
      <c r="A661">
        <v>18</v>
      </c>
      <c r="B661">
        <v>1</v>
      </c>
      <c r="C661">
        <v>759</v>
      </c>
      <c r="E661" t="s">
        <v>973</v>
      </c>
      <c r="F661" t="s">
        <v>974</v>
      </c>
      <c r="G661" t="s">
        <v>975</v>
      </c>
      <c r="H661" t="s">
        <v>230</v>
      </c>
      <c r="I661">
        <f>I660*J661</f>
        <v>1</v>
      </c>
      <c r="J661">
        <v>10</v>
      </c>
      <c r="O661">
        <f t="shared" si="485"/>
        <v>2032.68</v>
      </c>
      <c r="P661">
        <f t="shared" si="486"/>
        <v>2032.68</v>
      </c>
      <c r="Q661">
        <f t="shared" si="487"/>
        <v>0</v>
      </c>
      <c r="R661">
        <f t="shared" si="488"/>
        <v>0</v>
      </c>
      <c r="S661">
        <f t="shared" si="489"/>
        <v>0</v>
      </c>
      <c r="T661">
        <f t="shared" si="490"/>
        <v>0</v>
      </c>
      <c r="U661">
        <f t="shared" si="491"/>
        <v>0</v>
      </c>
      <c r="V661">
        <f t="shared" si="492"/>
        <v>0</v>
      </c>
      <c r="W661">
        <f t="shared" si="493"/>
        <v>0</v>
      </c>
      <c r="X661">
        <f t="shared" si="494"/>
        <v>0</v>
      </c>
      <c r="Y661">
        <f t="shared" si="495"/>
        <v>0</v>
      </c>
      <c r="AA661">
        <v>16748969</v>
      </c>
      <c r="AB661">
        <f t="shared" si="496"/>
        <v>309.86</v>
      </c>
      <c r="AC661">
        <f t="shared" si="518"/>
        <v>309.86</v>
      </c>
      <c r="AD661">
        <f>ROUND((((ET661)-(EU661))+AE661),2)</f>
        <v>0</v>
      </c>
      <c r="AE661">
        <f>ROUND((EU661),2)</f>
        <v>0</v>
      </c>
      <c r="AF661">
        <f>ROUND((EV661),2)</f>
        <v>0</v>
      </c>
      <c r="AG661">
        <f t="shared" si="497"/>
        <v>0</v>
      </c>
      <c r="AH661">
        <f>(EW661)</f>
        <v>0</v>
      </c>
      <c r="AI661">
        <f>(EX661)</f>
        <v>0</v>
      </c>
      <c r="AJ661">
        <f t="shared" si="498"/>
        <v>0</v>
      </c>
      <c r="AK661">
        <v>309.86</v>
      </c>
      <c r="AL661">
        <v>309.86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  <c r="AS661">
        <v>0</v>
      </c>
      <c r="AT661">
        <v>115</v>
      </c>
      <c r="AU661">
        <v>71</v>
      </c>
      <c r="AV661">
        <v>1</v>
      </c>
      <c r="AW661">
        <v>1</v>
      </c>
      <c r="AZ661">
        <v>6.56</v>
      </c>
      <c r="BA661">
        <v>1</v>
      </c>
      <c r="BB661">
        <v>1</v>
      </c>
      <c r="BC661">
        <v>6.56</v>
      </c>
      <c r="BD661" t="s">
        <v>6</v>
      </c>
      <c r="BE661" t="s">
        <v>6</v>
      </c>
      <c r="BF661" t="s">
        <v>6</v>
      </c>
      <c r="BG661" t="s">
        <v>6</v>
      </c>
      <c r="BH661">
        <v>3</v>
      </c>
      <c r="BI661">
        <v>1</v>
      </c>
      <c r="BJ661" t="s">
        <v>976</v>
      </c>
      <c r="BM661">
        <v>17001</v>
      </c>
      <c r="BN661">
        <v>0</v>
      </c>
      <c r="BO661" t="s">
        <v>6</v>
      </c>
      <c r="BP661">
        <v>0</v>
      </c>
      <c r="BQ661">
        <v>2</v>
      </c>
      <c r="BR661">
        <v>0</v>
      </c>
      <c r="BS661">
        <v>1</v>
      </c>
      <c r="BT661">
        <v>1</v>
      </c>
      <c r="BU661">
        <v>1</v>
      </c>
      <c r="BV661">
        <v>1</v>
      </c>
      <c r="BW661">
        <v>1</v>
      </c>
      <c r="BX661">
        <v>1</v>
      </c>
      <c r="BY661" t="s">
        <v>6</v>
      </c>
      <c r="BZ661">
        <v>128</v>
      </c>
      <c r="CA661">
        <v>83</v>
      </c>
      <c r="CF661">
        <v>0</v>
      </c>
      <c r="CG661">
        <v>0</v>
      </c>
      <c r="CM661">
        <v>0</v>
      </c>
      <c r="CN661" t="s">
        <v>6</v>
      </c>
      <c r="CO661">
        <v>0</v>
      </c>
      <c r="CP661">
        <f t="shared" si="499"/>
        <v>2032.68</v>
      </c>
      <c r="CQ661">
        <f t="shared" si="500"/>
        <v>2032.6815999999999</v>
      </c>
      <c r="CR661">
        <f t="shared" si="501"/>
        <v>0</v>
      </c>
      <c r="CS661">
        <f t="shared" si="502"/>
        <v>0</v>
      </c>
      <c r="CT661">
        <f t="shared" si="503"/>
        <v>0</v>
      </c>
      <c r="CU661">
        <f t="shared" si="504"/>
        <v>0</v>
      </c>
      <c r="CV661">
        <f t="shared" si="505"/>
        <v>0</v>
      </c>
      <c r="CW661">
        <f t="shared" si="506"/>
        <v>0</v>
      </c>
      <c r="CX661">
        <f t="shared" si="507"/>
        <v>0</v>
      </c>
      <c r="CY661">
        <f t="shared" si="508"/>
        <v>0</v>
      </c>
      <c r="CZ661">
        <f t="shared" si="509"/>
        <v>0</v>
      </c>
      <c r="DC661" t="s">
        <v>6</v>
      </c>
      <c r="DD661" t="s">
        <v>6</v>
      </c>
      <c r="DE661" t="s">
        <v>6</v>
      </c>
      <c r="DF661" t="s">
        <v>6</v>
      </c>
      <c r="DG661" t="s">
        <v>6</v>
      </c>
      <c r="DH661" t="s">
        <v>6</v>
      </c>
      <c r="DI661" t="s">
        <v>6</v>
      </c>
      <c r="DJ661" t="s">
        <v>6</v>
      </c>
      <c r="DK661" t="s">
        <v>6</v>
      </c>
      <c r="DL661" t="s">
        <v>6</v>
      </c>
      <c r="DM661" t="s">
        <v>6</v>
      </c>
      <c r="DN661">
        <v>0</v>
      </c>
      <c r="DO661">
        <v>0</v>
      </c>
      <c r="DP661">
        <v>1</v>
      </c>
      <c r="DQ661">
        <v>1</v>
      </c>
      <c r="DU661">
        <v>1013</v>
      </c>
      <c r="DV661" t="s">
        <v>230</v>
      </c>
      <c r="DW661" t="s">
        <v>230</v>
      </c>
      <c r="DX661">
        <v>1</v>
      </c>
      <c r="EE661">
        <v>16510515</v>
      </c>
      <c r="EF661">
        <v>2</v>
      </c>
      <c r="EG661" t="s">
        <v>22</v>
      </c>
      <c r="EH661">
        <v>0</v>
      </c>
      <c r="EI661" t="s">
        <v>6</v>
      </c>
      <c r="EJ661">
        <v>1</v>
      </c>
      <c r="EK661">
        <v>17001</v>
      </c>
      <c r="EL661" t="s">
        <v>931</v>
      </c>
      <c r="EM661" t="s">
        <v>932</v>
      </c>
      <c r="EO661" t="s">
        <v>6</v>
      </c>
      <c r="EQ661">
        <v>0</v>
      </c>
      <c r="ER661">
        <v>309.86</v>
      </c>
      <c r="ES661">
        <v>309.86</v>
      </c>
      <c r="ET661">
        <v>0</v>
      </c>
      <c r="EU661">
        <v>0</v>
      </c>
      <c r="EV661">
        <v>0</v>
      </c>
      <c r="EW661">
        <v>0</v>
      </c>
      <c r="EX661">
        <v>0</v>
      </c>
      <c r="FQ661">
        <v>0</v>
      </c>
      <c r="FR661">
        <f t="shared" si="510"/>
        <v>0</v>
      </c>
      <c r="FS661">
        <v>0</v>
      </c>
      <c r="FT661" t="s">
        <v>25</v>
      </c>
      <c r="FU661" t="s">
        <v>26</v>
      </c>
      <c r="FX661">
        <v>115.2</v>
      </c>
      <c r="FY661">
        <v>70.55</v>
      </c>
      <c r="GA661" t="s">
        <v>6</v>
      </c>
      <c r="GD661">
        <v>0</v>
      </c>
      <c r="GF661">
        <v>1295986805</v>
      </c>
      <c r="GG661">
        <v>1</v>
      </c>
      <c r="GH661">
        <v>1</v>
      </c>
      <c r="GI661">
        <v>4</v>
      </c>
      <c r="GJ661">
        <v>0</v>
      </c>
      <c r="GK661">
        <f>ROUND(R661*(R12)/100,2)</f>
        <v>0</v>
      </c>
      <c r="GL661">
        <f t="shared" si="511"/>
        <v>0</v>
      </c>
      <c r="GM661">
        <f t="shared" si="512"/>
        <v>2032.68</v>
      </c>
      <c r="GN661">
        <f t="shared" si="513"/>
        <v>2032.68</v>
      </c>
      <c r="GO661">
        <f t="shared" si="514"/>
        <v>0</v>
      </c>
      <c r="GP661">
        <f t="shared" si="515"/>
        <v>0</v>
      </c>
      <c r="GR661">
        <v>0</v>
      </c>
      <c r="GS661">
        <v>3</v>
      </c>
      <c r="GT661">
        <v>0</v>
      </c>
      <c r="GU661" t="s">
        <v>6</v>
      </c>
      <c r="GV661">
        <f t="shared" si="516"/>
        <v>0</v>
      </c>
      <c r="GW661">
        <v>1</v>
      </c>
      <c r="GX661">
        <f t="shared" si="517"/>
        <v>0</v>
      </c>
      <c r="HA661">
        <v>0</v>
      </c>
      <c r="HB661">
        <v>0</v>
      </c>
      <c r="IK661">
        <v>0</v>
      </c>
    </row>
    <row r="662" spans="1:245" x14ac:dyDescent="0.2">
      <c r="A662">
        <v>17</v>
      </c>
      <c r="B662">
        <v>1</v>
      </c>
      <c r="C662">
        <f>ROW(SmtRes!A769)</f>
        <v>769</v>
      </c>
      <c r="D662">
        <f>ROW(EtalonRes!A724)</f>
        <v>724</v>
      </c>
      <c r="E662" t="s">
        <v>977</v>
      </c>
      <c r="F662" t="s">
        <v>978</v>
      </c>
      <c r="G662" t="s">
        <v>979</v>
      </c>
      <c r="H662" t="s">
        <v>34</v>
      </c>
      <c r="I662">
        <f>ROUND(6/100,9)</f>
        <v>0.06</v>
      </c>
      <c r="J662">
        <v>0</v>
      </c>
      <c r="O662">
        <f t="shared" si="485"/>
        <v>335.08</v>
      </c>
      <c r="P662">
        <f t="shared" si="486"/>
        <v>55.47</v>
      </c>
      <c r="Q662">
        <f t="shared" si="487"/>
        <v>3.02</v>
      </c>
      <c r="R662">
        <f t="shared" si="488"/>
        <v>0.45</v>
      </c>
      <c r="S662">
        <f t="shared" si="489"/>
        <v>276.58999999999997</v>
      </c>
      <c r="T662">
        <f t="shared" si="490"/>
        <v>0</v>
      </c>
      <c r="U662">
        <f t="shared" si="491"/>
        <v>4.2503999999999991</v>
      </c>
      <c r="V662">
        <f t="shared" si="492"/>
        <v>5.2500000000000003E-3</v>
      </c>
      <c r="W662">
        <f t="shared" si="493"/>
        <v>0</v>
      </c>
      <c r="X662">
        <f t="shared" si="494"/>
        <v>318.60000000000002</v>
      </c>
      <c r="Y662">
        <f t="shared" si="495"/>
        <v>196.7</v>
      </c>
      <c r="AA662">
        <v>16748969</v>
      </c>
      <c r="AB662">
        <f t="shared" si="496"/>
        <v>851.33</v>
      </c>
      <c r="AC662">
        <f t="shared" si="518"/>
        <v>140.91999999999999</v>
      </c>
      <c r="AD662">
        <f>ROUND(((((ET662*1.25))-((EU662*1.25)))+AE662),2)</f>
        <v>7.68</v>
      </c>
      <c r="AE662">
        <f>ROUND(((EU662*1.25)),2)</f>
        <v>1.1399999999999999</v>
      </c>
      <c r="AF662">
        <f>ROUND(((EV662*1.15)),2)</f>
        <v>702.73</v>
      </c>
      <c r="AG662">
        <f t="shared" si="497"/>
        <v>0</v>
      </c>
      <c r="AH662">
        <f>((EW662*1.15))</f>
        <v>70.839999999999989</v>
      </c>
      <c r="AI662">
        <f>((EX662*1.25))</f>
        <v>8.7500000000000008E-2</v>
      </c>
      <c r="AJ662">
        <f t="shared" si="498"/>
        <v>0</v>
      </c>
      <c r="AK662">
        <v>758.13</v>
      </c>
      <c r="AL662">
        <v>140.91999999999999</v>
      </c>
      <c r="AM662">
        <v>6.14</v>
      </c>
      <c r="AN662">
        <v>0.91</v>
      </c>
      <c r="AO662">
        <v>611.07000000000005</v>
      </c>
      <c r="AP662">
        <v>0</v>
      </c>
      <c r="AQ662">
        <v>61.6</v>
      </c>
      <c r="AR662">
        <v>7.0000000000000007E-2</v>
      </c>
      <c r="AS662">
        <v>0</v>
      </c>
      <c r="AT662">
        <v>115</v>
      </c>
      <c r="AU662">
        <v>71</v>
      </c>
      <c r="AV662">
        <v>1</v>
      </c>
      <c r="AW662">
        <v>1</v>
      </c>
      <c r="AZ662">
        <v>6.56</v>
      </c>
      <c r="BA662">
        <v>6.56</v>
      </c>
      <c r="BB662">
        <v>6.56</v>
      </c>
      <c r="BC662">
        <v>6.56</v>
      </c>
      <c r="BD662" t="s">
        <v>6</v>
      </c>
      <c r="BE662" t="s">
        <v>6</v>
      </c>
      <c r="BF662" t="s">
        <v>6</v>
      </c>
      <c r="BG662" t="s">
        <v>6</v>
      </c>
      <c r="BH662">
        <v>0</v>
      </c>
      <c r="BI662">
        <v>1</v>
      </c>
      <c r="BJ662" t="s">
        <v>980</v>
      </c>
      <c r="BM662">
        <v>16001</v>
      </c>
      <c r="BN662">
        <v>0</v>
      </c>
      <c r="BO662" t="s">
        <v>6</v>
      </c>
      <c r="BP662">
        <v>0</v>
      </c>
      <c r="BQ662">
        <v>2</v>
      </c>
      <c r="BR662">
        <v>0</v>
      </c>
      <c r="BS662">
        <v>6.56</v>
      </c>
      <c r="BT662">
        <v>1</v>
      </c>
      <c r="BU662">
        <v>1</v>
      </c>
      <c r="BV662">
        <v>1</v>
      </c>
      <c r="BW662">
        <v>1</v>
      </c>
      <c r="BX662">
        <v>1</v>
      </c>
      <c r="BY662" t="s">
        <v>6</v>
      </c>
      <c r="BZ662">
        <v>128</v>
      </c>
      <c r="CA662">
        <v>83</v>
      </c>
      <c r="CF662">
        <v>0</v>
      </c>
      <c r="CG662">
        <v>0</v>
      </c>
      <c r="CM662">
        <v>0</v>
      </c>
      <c r="CN662" t="s">
        <v>1609</v>
      </c>
      <c r="CO662">
        <v>0</v>
      </c>
      <c r="CP662">
        <f t="shared" si="499"/>
        <v>335.08</v>
      </c>
      <c r="CQ662">
        <f t="shared" si="500"/>
        <v>924.4351999999999</v>
      </c>
      <c r="CR662">
        <f t="shared" si="501"/>
        <v>50.380799999999994</v>
      </c>
      <c r="CS662">
        <f t="shared" si="502"/>
        <v>7.4783999999999988</v>
      </c>
      <c r="CT662">
        <f t="shared" si="503"/>
        <v>4609.9088000000002</v>
      </c>
      <c r="CU662">
        <f t="shared" si="504"/>
        <v>0</v>
      </c>
      <c r="CV662">
        <f t="shared" si="505"/>
        <v>70.839999999999989</v>
      </c>
      <c r="CW662">
        <f t="shared" si="506"/>
        <v>8.7500000000000008E-2</v>
      </c>
      <c r="CX662">
        <f t="shared" si="507"/>
        <v>0</v>
      </c>
      <c r="CY662">
        <f t="shared" si="508"/>
        <v>318.59599999999995</v>
      </c>
      <c r="CZ662">
        <f t="shared" si="509"/>
        <v>196.69839999999996</v>
      </c>
      <c r="DC662" t="s">
        <v>6</v>
      </c>
      <c r="DD662" t="s">
        <v>6</v>
      </c>
      <c r="DE662" t="s">
        <v>172</v>
      </c>
      <c r="DF662" t="s">
        <v>172</v>
      </c>
      <c r="DG662" t="s">
        <v>173</v>
      </c>
      <c r="DH662" t="s">
        <v>6</v>
      </c>
      <c r="DI662" t="s">
        <v>173</v>
      </c>
      <c r="DJ662" t="s">
        <v>172</v>
      </c>
      <c r="DK662" t="s">
        <v>6</v>
      </c>
      <c r="DL662" t="s">
        <v>6</v>
      </c>
      <c r="DM662" t="s">
        <v>6</v>
      </c>
      <c r="DN662">
        <v>0</v>
      </c>
      <c r="DO662">
        <v>0</v>
      </c>
      <c r="DP662">
        <v>1</v>
      </c>
      <c r="DQ662">
        <v>1</v>
      </c>
      <c r="DU662">
        <v>1003</v>
      </c>
      <c r="DV662" t="s">
        <v>34</v>
      </c>
      <c r="DW662" t="s">
        <v>34</v>
      </c>
      <c r="DX662">
        <v>100</v>
      </c>
      <c r="EE662">
        <v>16510514</v>
      </c>
      <c r="EF662">
        <v>2</v>
      </c>
      <c r="EG662" t="s">
        <v>22</v>
      </c>
      <c r="EH662">
        <v>0</v>
      </c>
      <c r="EI662" t="s">
        <v>6</v>
      </c>
      <c r="EJ662">
        <v>1</v>
      </c>
      <c r="EK662">
        <v>16001</v>
      </c>
      <c r="EL662" t="s">
        <v>909</v>
      </c>
      <c r="EM662" t="s">
        <v>910</v>
      </c>
      <c r="EO662" t="s">
        <v>176</v>
      </c>
      <c r="EQ662">
        <v>131072</v>
      </c>
      <c r="ER662">
        <v>758.13</v>
      </c>
      <c r="ES662">
        <v>140.91999999999999</v>
      </c>
      <c r="ET662">
        <v>6.14</v>
      </c>
      <c r="EU662">
        <v>0.91</v>
      </c>
      <c r="EV662">
        <v>611.07000000000005</v>
      </c>
      <c r="EW662">
        <v>61.6</v>
      </c>
      <c r="EX662">
        <v>7.0000000000000007E-2</v>
      </c>
      <c r="EY662">
        <v>0</v>
      </c>
      <c r="FQ662">
        <v>0</v>
      </c>
      <c r="FR662">
        <f t="shared" si="510"/>
        <v>0</v>
      </c>
      <c r="FS662">
        <v>0</v>
      </c>
      <c r="FT662" t="s">
        <v>25</v>
      </c>
      <c r="FU662" t="s">
        <v>26</v>
      </c>
      <c r="FX662">
        <v>115.2</v>
      </c>
      <c r="FY662">
        <v>70.55</v>
      </c>
      <c r="GA662" t="s">
        <v>6</v>
      </c>
      <c r="GD662">
        <v>0</v>
      </c>
      <c r="GF662">
        <v>1989847972</v>
      </c>
      <c r="GG662">
        <v>1</v>
      </c>
      <c r="GH662">
        <v>1</v>
      </c>
      <c r="GI662">
        <v>4</v>
      </c>
      <c r="GJ662">
        <v>0</v>
      </c>
      <c r="GK662">
        <f>ROUND(R662*(R12)/100,2)</f>
        <v>0</v>
      </c>
      <c r="GL662">
        <f t="shared" si="511"/>
        <v>0</v>
      </c>
      <c r="GM662">
        <f t="shared" si="512"/>
        <v>850.38</v>
      </c>
      <c r="GN662">
        <f t="shared" si="513"/>
        <v>850.38</v>
      </c>
      <c r="GO662">
        <f t="shared" si="514"/>
        <v>0</v>
      </c>
      <c r="GP662">
        <f t="shared" si="515"/>
        <v>0</v>
      </c>
      <c r="GR662">
        <v>0</v>
      </c>
      <c r="GS662">
        <v>3</v>
      </c>
      <c r="GT662">
        <v>0</v>
      </c>
      <c r="GU662" t="s">
        <v>6</v>
      </c>
      <c r="GV662">
        <f t="shared" si="516"/>
        <v>0</v>
      </c>
      <c r="GW662">
        <v>1</v>
      </c>
      <c r="GX662">
        <f t="shared" si="517"/>
        <v>0</v>
      </c>
      <c r="HA662">
        <v>0</v>
      </c>
      <c r="HB662">
        <v>0</v>
      </c>
      <c r="IK662">
        <v>0</v>
      </c>
    </row>
    <row r="663" spans="1:245" x14ac:dyDescent="0.2">
      <c r="A663">
        <v>18</v>
      </c>
      <c r="B663">
        <v>1</v>
      </c>
      <c r="C663">
        <v>768</v>
      </c>
      <c r="E663" t="s">
        <v>981</v>
      </c>
      <c r="F663" t="s">
        <v>982</v>
      </c>
      <c r="G663" t="s">
        <v>983</v>
      </c>
      <c r="H663" t="s">
        <v>71</v>
      </c>
      <c r="I663">
        <f>I662*J663</f>
        <v>1.63E-4</v>
      </c>
      <c r="J663">
        <v>2.7166666666666667E-3</v>
      </c>
      <c r="O663">
        <f t="shared" si="485"/>
        <v>40.130000000000003</v>
      </c>
      <c r="P663">
        <f t="shared" si="486"/>
        <v>40.130000000000003</v>
      </c>
      <c r="Q663">
        <f t="shared" si="487"/>
        <v>0</v>
      </c>
      <c r="R663">
        <f t="shared" si="488"/>
        <v>0</v>
      </c>
      <c r="S663">
        <f t="shared" si="489"/>
        <v>0</v>
      </c>
      <c r="T663">
        <f t="shared" si="490"/>
        <v>0</v>
      </c>
      <c r="U663">
        <f t="shared" si="491"/>
        <v>0</v>
      </c>
      <c r="V663">
        <f t="shared" si="492"/>
        <v>0</v>
      </c>
      <c r="W663">
        <f t="shared" si="493"/>
        <v>0</v>
      </c>
      <c r="X663">
        <f t="shared" si="494"/>
        <v>0</v>
      </c>
      <c r="Y663">
        <f t="shared" si="495"/>
        <v>0</v>
      </c>
      <c r="AA663">
        <v>16748969</v>
      </c>
      <c r="AB663">
        <f t="shared" si="496"/>
        <v>37529.15</v>
      </c>
      <c r="AC663">
        <f t="shared" si="518"/>
        <v>37529.15</v>
      </c>
      <c r="AD663">
        <f>ROUND((((ET663)-(EU663))+AE663),2)</f>
        <v>0</v>
      </c>
      <c r="AE663">
        <f>ROUND((EU663),2)</f>
        <v>0</v>
      </c>
      <c r="AF663">
        <f>ROUND((EV663),2)</f>
        <v>0</v>
      </c>
      <c r="AG663">
        <f t="shared" si="497"/>
        <v>0</v>
      </c>
      <c r="AH663">
        <f>(EW663)</f>
        <v>0</v>
      </c>
      <c r="AI663">
        <f>(EX663)</f>
        <v>0</v>
      </c>
      <c r="AJ663">
        <f t="shared" si="498"/>
        <v>0</v>
      </c>
      <c r="AK663">
        <v>37529.15</v>
      </c>
      <c r="AL663">
        <v>37529.15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  <c r="AS663">
        <v>0</v>
      </c>
      <c r="AT663">
        <v>115</v>
      </c>
      <c r="AU663">
        <v>71</v>
      </c>
      <c r="AV663">
        <v>1</v>
      </c>
      <c r="AW663">
        <v>1</v>
      </c>
      <c r="AZ663">
        <v>6.56</v>
      </c>
      <c r="BA663">
        <v>1</v>
      </c>
      <c r="BB663">
        <v>1</v>
      </c>
      <c r="BC663">
        <v>6.56</v>
      </c>
      <c r="BD663" t="s">
        <v>6</v>
      </c>
      <c r="BE663" t="s">
        <v>6</v>
      </c>
      <c r="BF663" t="s">
        <v>6</v>
      </c>
      <c r="BG663" t="s">
        <v>6</v>
      </c>
      <c r="BH663">
        <v>3</v>
      </c>
      <c r="BI663">
        <v>1</v>
      </c>
      <c r="BJ663" t="s">
        <v>984</v>
      </c>
      <c r="BM663">
        <v>16001</v>
      </c>
      <c r="BN663">
        <v>0</v>
      </c>
      <c r="BO663" t="s">
        <v>6</v>
      </c>
      <c r="BP663">
        <v>0</v>
      </c>
      <c r="BQ663">
        <v>2</v>
      </c>
      <c r="BR663">
        <v>0</v>
      </c>
      <c r="BS663">
        <v>1</v>
      </c>
      <c r="BT663">
        <v>1</v>
      </c>
      <c r="BU663">
        <v>1</v>
      </c>
      <c r="BV663">
        <v>1</v>
      </c>
      <c r="BW663">
        <v>1</v>
      </c>
      <c r="BX663">
        <v>1</v>
      </c>
      <c r="BY663" t="s">
        <v>6</v>
      </c>
      <c r="BZ663">
        <v>128</v>
      </c>
      <c r="CA663">
        <v>83</v>
      </c>
      <c r="CF663">
        <v>0</v>
      </c>
      <c r="CG663">
        <v>0</v>
      </c>
      <c r="CM663">
        <v>0</v>
      </c>
      <c r="CN663" t="s">
        <v>6</v>
      </c>
      <c r="CO663">
        <v>0</v>
      </c>
      <c r="CP663">
        <f t="shared" si="499"/>
        <v>40.130000000000003</v>
      </c>
      <c r="CQ663">
        <f t="shared" si="500"/>
        <v>246191.22399999999</v>
      </c>
      <c r="CR663">
        <f t="shared" si="501"/>
        <v>0</v>
      </c>
      <c r="CS663">
        <f t="shared" si="502"/>
        <v>0</v>
      </c>
      <c r="CT663">
        <f t="shared" si="503"/>
        <v>0</v>
      </c>
      <c r="CU663">
        <f t="shared" si="504"/>
        <v>0</v>
      </c>
      <c r="CV663">
        <f t="shared" si="505"/>
        <v>0</v>
      </c>
      <c r="CW663">
        <f t="shared" si="506"/>
        <v>0</v>
      </c>
      <c r="CX663">
        <f t="shared" si="507"/>
        <v>0</v>
      </c>
      <c r="CY663">
        <f t="shared" si="508"/>
        <v>0</v>
      </c>
      <c r="CZ663">
        <f t="shared" si="509"/>
        <v>0</v>
      </c>
      <c r="DC663" t="s">
        <v>6</v>
      </c>
      <c r="DD663" t="s">
        <v>6</v>
      </c>
      <c r="DE663" t="s">
        <v>6</v>
      </c>
      <c r="DF663" t="s">
        <v>6</v>
      </c>
      <c r="DG663" t="s">
        <v>6</v>
      </c>
      <c r="DH663" t="s">
        <v>6</v>
      </c>
      <c r="DI663" t="s">
        <v>6</v>
      </c>
      <c r="DJ663" t="s">
        <v>6</v>
      </c>
      <c r="DK663" t="s">
        <v>6</v>
      </c>
      <c r="DL663" t="s">
        <v>6</v>
      </c>
      <c r="DM663" t="s">
        <v>6</v>
      </c>
      <c r="DN663">
        <v>0</v>
      </c>
      <c r="DO663">
        <v>0</v>
      </c>
      <c r="DP663">
        <v>1</v>
      </c>
      <c r="DQ663">
        <v>1</v>
      </c>
      <c r="DU663">
        <v>1009</v>
      </c>
      <c r="DV663" t="s">
        <v>71</v>
      </c>
      <c r="DW663" t="s">
        <v>71</v>
      </c>
      <c r="DX663">
        <v>1000</v>
      </c>
      <c r="EE663">
        <v>16510514</v>
      </c>
      <c r="EF663">
        <v>2</v>
      </c>
      <c r="EG663" t="s">
        <v>22</v>
      </c>
      <c r="EH663">
        <v>0</v>
      </c>
      <c r="EI663" t="s">
        <v>6</v>
      </c>
      <c r="EJ663">
        <v>1</v>
      </c>
      <c r="EK663">
        <v>16001</v>
      </c>
      <c r="EL663" t="s">
        <v>909</v>
      </c>
      <c r="EM663" t="s">
        <v>910</v>
      </c>
      <c r="EO663" t="s">
        <v>6</v>
      </c>
      <c r="EQ663">
        <v>0</v>
      </c>
      <c r="ER663">
        <v>37529.15</v>
      </c>
      <c r="ES663">
        <v>37529.15</v>
      </c>
      <c r="ET663">
        <v>0</v>
      </c>
      <c r="EU663">
        <v>0</v>
      </c>
      <c r="EV663">
        <v>0</v>
      </c>
      <c r="EW663">
        <v>0</v>
      </c>
      <c r="EX663">
        <v>0</v>
      </c>
      <c r="FQ663">
        <v>0</v>
      </c>
      <c r="FR663">
        <f t="shared" si="510"/>
        <v>0</v>
      </c>
      <c r="FS663">
        <v>0</v>
      </c>
      <c r="FT663" t="s">
        <v>25</v>
      </c>
      <c r="FU663" t="s">
        <v>26</v>
      </c>
      <c r="FX663">
        <v>115.2</v>
      </c>
      <c r="FY663">
        <v>70.55</v>
      </c>
      <c r="GA663" t="s">
        <v>6</v>
      </c>
      <c r="GD663">
        <v>0</v>
      </c>
      <c r="GF663">
        <v>351021885</v>
      </c>
      <c r="GG663">
        <v>1</v>
      </c>
      <c r="GH663">
        <v>1</v>
      </c>
      <c r="GI663">
        <v>4</v>
      </c>
      <c r="GJ663">
        <v>0</v>
      </c>
      <c r="GK663">
        <f>ROUND(R663*(R12)/100,2)</f>
        <v>0</v>
      </c>
      <c r="GL663">
        <f t="shared" si="511"/>
        <v>0</v>
      </c>
      <c r="GM663">
        <f t="shared" si="512"/>
        <v>40.130000000000003</v>
      </c>
      <c r="GN663">
        <f t="shared" si="513"/>
        <v>40.130000000000003</v>
      </c>
      <c r="GO663">
        <f t="shared" si="514"/>
        <v>0</v>
      </c>
      <c r="GP663">
        <f t="shared" si="515"/>
        <v>0</v>
      </c>
      <c r="GR663">
        <v>0</v>
      </c>
      <c r="GS663">
        <v>3</v>
      </c>
      <c r="GT663">
        <v>0</v>
      </c>
      <c r="GU663" t="s">
        <v>6</v>
      </c>
      <c r="GV663">
        <f t="shared" si="516"/>
        <v>0</v>
      </c>
      <c r="GW663">
        <v>1</v>
      </c>
      <c r="GX663">
        <f t="shared" si="517"/>
        <v>0</v>
      </c>
      <c r="HA663">
        <v>0</v>
      </c>
      <c r="HB663">
        <v>0</v>
      </c>
      <c r="IK663">
        <v>0</v>
      </c>
    </row>
    <row r="664" spans="1:245" x14ac:dyDescent="0.2">
      <c r="A664">
        <v>18</v>
      </c>
      <c r="B664">
        <v>1</v>
      </c>
      <c r="C664">
        <v>769</v>
      </c>
      <c r="E664" t="s">
        <v>985</v>
      </c>
      <c r="F664" t="s">
        <v>986</v>
      </c>
      <c r="G664" t="s">
        <v>987</v>
      </c>
      <c r="H664" t="s">
        <v>206</v>
      </c>
      <c r="I664">
        <f>I662*J664</f>
        <v>6</v>
      </c>
      <c r="J664">
        <v>100</v>
      </c>
      <c r="O664">
        <f t="shared" si="485"/>
        <v>4096.2</v>
      </c>
      <c r="P664">
        <f t="shared" si="486"/>
        <v>4096.2</v>
      </c>
      <c r="Q664">
        <f t="shared" si="487"/>
        <v>0</v>
      </c>
      <c r="R664">
        <f t="shared" si="488"/>
        <v>0</v>
      </c>
      <c r="S664">
        <f t="shared" si="489"/>
        <v>0</v>
      </c>
      <c r="T664">
        <f t="shared" si="490"/>
        <v>0</v>
      </c>
      <c r="U664">
        <f t="shared" si="491"/>
        <v>0</v>
      </c>
      <c r="V664">
        <f t="shared" si="492"/>
        <v>0</v>
      </c>
      <c r="W664">
        <f t="shared" si="493"/>
        <v>0</v>
      </c>
      <c r="X664">
        <f t="shared" si="494"/>
        <v>0</v>
      </c>
      <c r="Y664">
        <f t="shared" si="495"/>
        <v>0</v>
      </c>
      <c r="AA664">
        <v>16748969</v>
      </c>
      <c r="AB664">
        <f t="shared" si="496"/>
        <v>104.07</v>
      </c>
      <c r="AC664">
        <f t="shared" si="518"/>
        <v>104.07</v>
      </c>
      <c r="AD664">
        <f>ROUND((((ET664)-(EU664))+AE664),2)</f>
        <v>0</v>
      </c>
      <c r="AE664">
        <f>ROUND((EU664),2)</f>
        <v>0</v>
      </c>
      <c r="AF664">
        <f>ROUND((EV664),2)</f>
        <v>0</v>
      </c>
      <c r="AG664">
        <f t="shared" si="497"/>
        <v>0</v>
      </c>
      <c r="AH664">
        <f>(EW664)</f>
        <v>0</v>
      </c>
      <c r="AI664">
        <f>(EX664)</f>
        <v>0</v>
      </c>
      <c r="AJ664">
        <f t="shared" si="498"/>
        <v>0</v>
      </c>
      <c r="AK664">
        <v>104.07</v>
      </c>
      <c r="AL664">
        <v>104.07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  <c r="AS664">
        <v>0</v>
      </c>
      <c r="AT664">
        <v>115</v>
      </c>
      <c r="AU664">
        <v>71</v>
      </c>
      <c r="AV664">
        <v>1</v>
      </c>
      <c r="AW664">
        <v>1</v>
      </c>
      <c r="AZ664">
        <v>6.56</v>
      </c>
      <c r="BA664">
        <v>1</v>
      </c>
      <c r="BB664">
        <v>1</v>
      </c>
      <c r="BC664">
        <v>6.56</v>
      </c>
      <c r="BD664" t="s">
        <v>6</v>
      </c>
      <c r="BE664" t="s">
        <v>6</v>
      </c>
      <c r="BF664" t="s">
        <v>6</v>
      </c>
      <c r="BG664" t="s">
        <v>6</v>
      </c>
      <c r="BH664">
        <v>3</v>
      </c>
      <c r="BI664">
        <v>1</v>
      </c>
      <c r="BJ664" t="s">
        <v>988</v>
      </c>
      <c r="BM664">
        <v>16001</v>
      </c>
      <c r="BN664">
        <v>0</v>
      </c>
      <c r="BO664" t="s">
        <v>6</v>
      </c>
      <c r="BP664">
        <v>0</v>
      </c>
      <c r="BQ664">
        <v>2</v>
      </c>
      <c r="BR664">
        <v>0</v>
      </c>
      <c r="BS664">
        <v>1</v>
      </c>
      <c r="BT664">
        <v>1</v>
      </c>
      <c r="BU664">
        <v>1</v>
      </c>
      <c r="BV664">
        <v>1</v>
      </c>
      <c r="BW664">
        <v>1</v>
      </c>
      <c r="BX664">
        <v>1</v>
      </c>
      <c r="BY664" t="s">
        <v>6</v>
      </c>
      <c r="BZ664">
        <v>128</v>
      </c>
      <c r="CA664">
        <v>83</v>
      </c>
      <c r="CF664">
        <v>0</v>
      </c>
      <c r="CG664">
        <v>0</v>
      </c>
      <c r="CM664">
        <v>0</v>
      </c>
      <c r="CN664" t="s">
        <v>6</v>
      </c>
      <c r="CO664">
        <v>0</v>
      </c>
      <c r="CP664">
        <f t="shared" si="499"/>
        <v>4096.2</v>
      </c>
      <c r="CQ664">
        <f t="shared" si="500"/>
        <v>682.69919999999991</v>
      </c>
      <c r="CR664">
        <f t="shared" si="501"/>
        <v>0</v>
      </c>
      <c r="CS664">
        <f t="shared" si="502"/>
        <v>0</v>
      </c>
      <c r="CT664">
        <f t="shared" si="503"/>
        <v>0</v>
      </c>
      <c r="CU664">
        <f t="shared" si="504"/>
        <v>0</v>
      </c>
      <c r="CV664">
        <f t="shared" si="505"/>
        <v>0</v>
      </c>
      <c r="CW664">
        <f t="shared" si="506"/>
        <v>0</v>
      </c>
      <c r="CX664">
        <f t="shared" si="507"/>
        <v>0</v>
      </c>
      <c r="CY664">
        <f t="shared" si="508"/>
        <v>0</v>
      </c>
      <c r="CZ664">
        <f t="shared" si="509"/>
        <v>0</v>
      </c>
      <c r="DC664" t="s">
        <v>6</v>
      </c>
      <c r="DD664" t="s">
        <v>6</v>
      </c>
      <c r="DE664" t="s">
        <v>6</v>
      </c>
      <c r="DF664" t="s">
        <v>6</v>
      </c>
      <c r="DG664" t="s">
        <v>6</v>
      </c>
      <c r="DH664" t="s">
        <v>6</v>
      </c>
      <c r="DI664" t="s">
        <v>6</v>
      </c>
      <c r="DJ664" t="s">
        <v>6</v>
      </c>
      <c r="DK664" t="s">
        <v>6</v>
      </c>
      <c r="DL664" t="s">
        <v>6</v>
      </c>
      <c r="DM664" t="s">
        <v>6</v>
      </c>
      <c r="DN664">
        <v>0</v>
      </c>
      <c r="DO664">
        <v>0</v>
      </c>
      <c r="DP664">
        <v>1</v>
      </c>
      <c r="DQ664">
        <v>1</v>
      </c>
      <c r="DU664">
        <v>1003</v>
      </c>
      <c r="DV664" t="s">
        <v>206</v>
      </c>
      <c r="DW664" t="s">
        <v>206</v>
      </c>
      <c r="DX664">
        <v>1</v>
      </c>
      <c r="EE664">
        <v>16510514</v>
      </c>
      <c r="EF664">
        <v>2</v>
      </c>
      <c r="EG664" t="s">
        <v>22</v>
      </c>
      <c r="EH664">
        <v>0</v>
      </c>
      <c r="EI664" t="s">
        <v>6</v>
      </c>
      <c r="EJ664">
        <v>1</v>
      </c>
      <c r="EK664">
        <v>16001</v>
      </c>
      <c r="EL664" t="s">
        <v>909</v>
      </c>
      <c r="EM664" t="s">
        <v>910</v>
      </c>
      <c r="EO664" t="s">
        <v>6</v>
      </c>
      <c r="EQ664">
        <v>0</v>
      </c>
      <c r="ER664">
        <v>104.07</v>
      </c>
      <c r="ES664">
        <v>104.07</v>
      </c>
      <c r="ET664">
        <v>0</v>
      </c>
      <c r="EU664">
        <v>0</v>
      </c>
      <c r="EV664">
        <v>0</v>
      </c>
      <c r="EW664">
        <v>0</v>
      </c>
      <c r="EX664">
        <v>0</v>
      </c>
      <c r="FQ664">
        <v>0</v>
      </c>
      <c r="FR664">
        <f t="shared" si="510"/>
        <v>0</v>
      </c>
      <c r="FS664">
        <v>0</v>
      </c>
      <c r="FT664" t="s">
        <v>25</v>
      </c>
      <c r="FU664" t="s">
        <v>26</v>
      </c>
      <c r="FX664">
        <v>115.2</v>
      </c>
      <c r="FY664">
        <v>70.55</v>
      </c>
      <c r="GA664" t="s">
        <v>6</v>
      </c>
      <c r="GD664">
        <v>0</v>
      </c>
      <c r="GF664">
        <v>-1622480074</v>
      </c>
      <c r="GG664">
        <v>1</v>
      </c>
      <c r="GH664">
        <v>1</v>
      </c>
      <c r="GI664">
        <v>4</v>
      </c>
      <c r="GJ664">
        <v>0</v>
      </c>
      <c r="GK664">
        <f>ROUND(R664*(R12)/100,2)</f>
        <v>0</v>
      </c>
      <c r="GL664">
        <f t="shared" si="511"/>
        <v>0</v>
      </c>
      <c r="GM664">
        <f t="shared" si="512"/>
        <v>4096.2</v>
      </c>
      <c r="GN664">
        <f t="shared" si="513"/>
        <v>4096.2</v>
      </c>
      <c r="GO664">
        <f t="shared" si="514"/>
        <v>0</v>
      </c>
      <c r="GP664">
        <f t="shared" si="515"/>
        <v>0</v>
      </c>
      <c r="GR664">
        <v>0</v>
      </c>
      <c r="GS664">
        <v>3</v>
      </c>
      <c r="GT664">
        <v>0</v>
      </c>
      <c r="GU664" t="s">
        <v>6</v>
      </c>
      <c r="GV664">
        <f t="shared" si="516"/>
        <v>0</v>
      </c>
      <c r="GW664">
        <v>1</v>
      </c>
      <c r="GX664">
        <f t="shared" si="517"/>
        <v>0</v>
      </c>
      <c r="HA664">
        <v>0</v>
      </c>
      <c r="HB664">
        <v>0</v>
      </c>
      <c r="IK664">
        <v>0</v>
      </c>
    </row>
    <row r="665" spans="1:245" x14ac:dyDescent="0.2">
      <c r="A665">
        <v>17</v>
      </c>
      <c r="B665">
        <v>1</v>
      </c>
      <c r="C665">
        <f>ROW(SmtRes!A779)</f>
        <v>779</v>
      </c>
      <c r="D665">
        <f>ROW(EtalonRes!A735)</f>
        <v>735</v>
      </c>
      <c r="E665" t="s">
        <v>989</v>
      </c>
      <c r="F665" t="s">
        <v>990</v>
      </c>
      <c r="G665" t="s">
        <v>991</v>
      </c>
      <c r="H665" t="s">
        <v>34</v>
      </c>
      <c r="I665">
        <f>ROUND(8/100,9)</f>
        <v>0.08</v>
      </c>
      <c r="J665">
        <v>0</v>
      </c>
      <c r="O665">
        <f t="shared" si="485"/>
        <v>415.39</v>
      </c>
      <c r="P665">
        <f t="shared" si="486"/>
        <v>29.06</v>
      </c>
      <c r="Q665">
        <f t="shared" si="487"/>
        <v>1.73</v>
      </c>
      <c r="R665">
        <f t="shared" si="488"/>
        <v>0.26</v>
      </c>
      <c r="S665">
        <f t="shared" si="489"/>
        <v>384.6</v>
      </c>
      <c r="T665">
        <f t="shared" si="490"/>
        <v>0</v>
      </c>
      <c r="U665">
        <f t="shared" si="491"/>
        <v>5.9100799999999998</v>
      </c>
      <c r="V665">
        <f t="shared" si="492"/>
        <v>3.0000000000000001E-3</v>
      </c>
      <c r="W665">
        <f t="shared" si="493"/>
        <v>0</v>
      </c>
      <c r="X665">
        <f t="shared" si="494"/>
        <v>442.59</v>
      </c>
      <c r="Y665">
        <f t="shared" si="495"/>
        <v>273.25</v>
      </c>
      <c r="AA665">
        <v>16748969</v>
      </c>
      <c r="AB665">
        <f t="shared" si="496"/>
        <v>791.52</v>
      </c>
      <c r="AC665">
        <f t="shared" si="518"/>
        <v>55.37</v>
      </c>
      <c r="AD665">
        <f>ROUND(((((ET665*1.25))-((EU665*1.25)))+AE665),2)</f>
        <v>3.3</v>
      </c>
      <c r="AE665">
        <f>ROUND(((EU665*1.25)),2)</f>
        <v>0.5</v>
      </c>
      <c r="AF665">
        <f>ROUND(((EV665*1.15)),2)</f>
        <v>732.85</v>
      </c>
      <c r="AG665">
        <f t="shared" si="497"/>
        <v>0</v>
      </c>
      <c r="AH665">
        <f>((EW665*1.15))</f>
        <v>73.875999999999991</v>
      </c>
      <c r="AI665">
        <f>((EX665*1.25))</f>
        <v>3.7499999999999999E-2</v>
      </c>
      <c r="AJ665">
        <f t="shared" si="498"/>
        <v>0</v>
      </c>
      <c r="AK665">
        <v>695.27</v>
      </c>
      <c r="AL665">
        <v>55.37</v>
      </c>
      <c r="AM665">
        <v>2.64</v>
      </c>
      <c r="AN665">
        <v>0.4</v>
      </c>
      <c r="AO665">
        <v>637.26</v>
      </c>
      <c r="AP665">
        <v>0</v>
      </c>
      <c r="AQ665">
        <v>64.239999999999995</v>
      </c>
      <c r="AR665">
        <v>0.03</v>
      </c>
      <c r="AS665">
        <v>0</v>
      </c>
      <c r="AT665">
        <v>115</v>
      </c>
      <c r="AU665">
        <v>71</v>
      </c>
      <c r="AV665">
        <v>1</v>
      </c>
      <c r="AW665">
        <v>1</v>
      </c>
      <c r="AZ665">
        <v>6.56</v>
      </c>
      <c r="BA665">
        <v>6.56</v>
      </c>
      <c r="BB665">
        <v>6.56</v>
      </c>
      <c r="BC665">
        <v>6.56</v>
      </c>
      <c r="BD665" t="s">
        <v>6</v>
      </c>
      <c r="BE665" t="s">
        <v>6</v>
      </c>
      <c r="BF665" t="s">
        <v>6</v>
      </c>
      <c r="BG665" t="s">
        <v>6</v>
      </c>
      <c r="BH665">
        <v>0</v>
      </c>
      <c r="BI665">
        <v>1</v>
      </c>
      <c r="BJ665" t="s">
        <v>992</v>
      </c>
      <c r="BM665">
        <v>16001</v>
      </c>
      <c r="BN665">
        <v>0</v>
      </c>
      <c r="BO665" t="s">
        <v>6</v>
      </c>
      <c r="BP665">
        <v>0</v>
      </c>
      <c r="BQ665">
        <v>2</v>
      </c>
      <c r="BR665">
        <v>0</v>
      </c>
      <c r="BS665">
        <v>6.56</v>
      </c>
      <c r="BT665">
        <v>1</v>
      </c>
      <c r="BU665">
        <v>1</v>
      </c>
      <c r="BV665">
        <v>1</v>
      </c>
      <c r="BW665">
        <v>1</v>
      </c>
      <c r="BX665">
        <v>1</v>
      </c>
      <c r="BY665" t="s">
        <v>6</v>
      </c>
      <c r="BZ665">
        <v>128</v>
      </c>
      <c r="CA665">
        <v>83</v>
      </c>
      <c r="CF665">
        <v>0</v>
      </c>
      <c r="CG665">
        <v>0</v>
      </c>
      <c r="CM665">
        <v>0</v>
      </c>
      <c r="CN665" t="s">
        <v>1609</v>
      </c>
      <c r="CO665">
        <v>0</v>
      </c>
      <c r="CP665">
        <f t="shared" si="499"/>
        <v>415.39000000000004</v>
      </c>
      <c r="CQ665">
        <f t="shared" si="500"/>
        <v>363.22719999999998</v>
      </c>
      <c r="CR665">
        <f t="shared" si="501"/>
        <v>21.647999999999996</v>
      </c>
      <c r="CS665">
        <f t="shared" si="502"/>
        <v>3.28</v>
      </c>
      <c r="CT665">
        <f t="shared" si="503"/>
        <v>4807.4960000000001</v>
      </c>
      <c r="CU665">
        <f t="shared" si="504"/>
        <v>0</v>
      </c>
      <c r="CV665">
        <f t="shared" si="505"/>
        <v>73.875999999999991</v>
      </c>
      <c r="CW665">
        <f t="shared" si="506"/>
        <v>3.7499999999999999E-2</v>
      </c>
      <c r="CX665">
        <f t="shared" si="507"/>
        <v>0</v>
      </c>
      <c r="CY665">
        <f t="shared" si="508"/>
        <v>442.589</v>
      </c>
      <c r="CZ665">
        <f t="shared" si="509"/>
        <v>273.25060000000002</v>
      </c>
      <c r="DC665" t="s">
        <v>6</v>
      </c>
      <c r="DD665" t="s">
        <v>6</v>
      </c>
      <c r="DE665" t="s">
        <v>172</v>
      </c>
      <c r="DF665" t="s">
        <v>172</v>
      </c>
      <c r="DG665" t="s">
        <v>173</v>
      </c>
      <c r="DH665" t="s">
        <v>6</v>
      </c>
      <c r="DI665" t="s">
        <v>173</v>
      </c>
      <c r="DJ665" t="s">
        <v>172</v>
      </c>
      <c r="DK665" t="s">
        <v>6</v>
      </c>
      <c r="DL665" t="s">
        <v>6</v>
      </c>
      <c r="DM665" t="s">
        <v>6</v>
      </c>
      <c r="DN665">
        <v>0</v>
      </c>
      <c r="DO665">
        <v>0</v>
      </c>
      <c r="DP665">
        <v>1</v>
      </c>
      <c r="DQ665">
        <v>1</v>
      </c>
      <c r="DU665">
        <v>1003</v>
      </c>
      <c r="DV665" t="s">
        <v>34</v>
      </c>
      <c r="DW665" t="s">
        <v>34</v>
      </c>
      <c r="DX665">
        <v>100</v>
      </c>
      <c r="EE665">
        <v>16510514</v>
      </c>
      <c r="EF665">
        <v>2</v>
      </c>
      <c r="EG665" t="s">
        <v>22</v>
      </c>
      <c r="EH665">
        <v>0</v>
      </c>
      <c r="EI665" t="s">
        <v>6</v>
      </c>
      <c r="EJ665">
        <v>1</v>
      </c>
      <c r="EK665">
        <v>16001</v>
      </c>
      <c r="EL665" t="s">
        <v>909</v>
      </c>
      <c r="EM665" t="s">
        <v>910</v>
      </c>
      <c r="EO665" t="s">
        <v>176</v>
      </c>
      <c r="EQ665">
        <v>131072</v>
      </c>
      <c r="ER665">
        <v>695.27</v>
      </c>
      <c r="ES665">
        <v>55.37</v>
      </c>
      <c r="ET665">
        <v>2.64</v>
      </c>
      <c r="EU665">
        <v>0.4</v>
      </c>
      <c r="EV665">
        <v>637.26</v>
      </c>
      <c r="EW665">
        <v>64.239999999999995</v>
      </c>
      <c r="EX665">
        <v>0.03</v>
      </c>
      <c r="EY665">
        <v>0</v>
      </c>
      <c r="FQ665">
        <v>0</v>
      </c>
      <c r="FR665">
        <f t="shared" si="510"/>
        <v>0</v>
      </c>
      <c r="FS665">
        <v>0</v>
      </c>
      <c r="FT665" t="s">
        <v>25</v>
      </c>
      <c r="FU665" t="s">
        <v>26</v>
      </c>
      <c r="FX665">
        <v>115.2</v>
      </c>
      <c r="FY665">
        <v>70.55</v>
      </c>
      <c r="GA665" t="s">
        <v>6</v>
      </c>
      <c r="GD665">
        <v>0</v>
      </c>
      <c r="GF665">
        <v>77844681</v>
      </c>
      <c r="GG665">
        <v>1</v>
      </c>
      <c r="GH665">
        <v>1</v>
      </c>
      <c r="GI665">
        <v>4</v>
      </c>
      <c r="GJ665">
        <v>0</v>
      </c>
      <c r="GK665">
        <f>ROUND(R665*(R12)/100,2)</f>
        <v>0</v>
      </c>
      <c r="GL665">
        <f t="shared" si="511"/>
        <v>0</v>
      </c>
      <c r="GM665">
        <f t="shared" si="512"/>
        <v>1131.23</v>
      </c>
      <c r="GN665">
        <f t="shared" si="513"/>
        <v>1131.23</v>
      </c>
      <c r="GO665">
        <f t="shared" si="514"/>
        <v>0</v>
      </c>
      <c r="GP665">
        <f t="shared" si="515"/>
        <v>0</v>
      </c>
      <c r="GR665">
        <v>0</v>
      </c>
      <c r="GS665">
        <v>3</v>
      </c>
      <c r="GT665">
        <v>0</v>
      </c>
      <c r="GU665" t="s">
        <v>6</v>
      </c>
      <c r="GV665">
        <f t="shared" si="516"/>
        <v>0</v>
      </c>
      <c r="GW665">
        <v>1</v>
      </c>
      <c r="GX665">
        <f t="shared" si="517"/>
        <v>0</v>
      </c>
      <c r="HA665">
        <v>0</v>
      </c>
      <c r="HB665">
        <v>0</v>
      </c>
      <c r="IK665">
        <v>0</v>
      </c>
    </row>
    <row r="666" spans="1:245" x14ac:dyDescent="0.2">
      <c r="A666">
        <v>18</v>
      </c>
      <c r="B666">
        <v>1</v>
      </c>
      <c r="C666">
        <v>779</v>
      </c>
      <c r="E666" t="s">
        <v>993</v>
      </c>
      <c r="F666" t="s">
        <v>994</v>
      </c>
      <c r="G666" t="s">
        <v>995</v>
      </c>
      <c r="H666" t="s">
        <v>206</v>
      </c>
      <c r="I666">
        <f>I665*J666</f>
        <v>8</v>
      </c>
      <c r="J666">
        <v>100</v>
      </c>
      <c r="O666">
        <f t="shared" si="485"/>
        <v>2490.6999999999998</v>
      </c>
      <c r="P666">
        <f t="shared" si="486"/>
        <v>2490.6999999999998</v>
      </c>
      <c r="Q666">
        <f t="shared" si="487"/>
        <v>0</v>
      </c>
      <c r="R666">
        <f t="shared" si="488"/>
        <v>0</v>
      </c>
      <c r="S666">
        <f t="shared" si="489"/>
        <v>0</v>
      </c>
      <c r="T666">
        <f t="shared" si="490"/>
        <v>0</v>
      </c>
      <c r="U666">
        <f t="shared" si="491"/>
        <v>0</v>
      </c>
      <c r="V666">
        <f t="shared" si="492"/>
        <v>0</v>
      </c>
      <c r="W666">
        <f t="shared" si="493"/>
        <v>0</v>
      </c>
      <c r="X666">
        <f t="shared" si="494"/>
        <v>0</v>
      </c>
      <c r="Y666">
        <f t="shared" si="495"/>
        <v>0</v>
      </c>
      <c r="AA666">
        <v>16748969</v>
      </c>
      <c r="AB666">
        <f t="shared" si="496"/>
        <v>47.46</v>
      </c>
      <c r="AC666">
        <f t="shared" si="518"/>
        <v>47.46</v>
      </c>
      <c r="AD666">
        <f>ROUND((((ET666)-(EU666))+AE666),2)</f>
        <v>0</v>
      </c>
      <c r="AE666">
        <f>ROUND((EU666),2)</f>
        <v>0</v>
      </c>
      <c r="AF666">
        <f>ROUND((EV666),2)</f>
        <v>0</v>
      </c>
      <c r="AG666">
        <f t="shared" si="497"/>
        <v>0</v>
      </c>
      <c r="AH666">
        <f>(EW666)</f>
        <v>0</v>
      </c>
      <c r="AI666">
        <f>(EX666)</f>
        <v>0</v>
      </c>
      <c r="AJ666">
        <f t="shared" si="498"/>
        <v>0</v>
      </c>
      <c r="AK666">
        <v>47.46</v>
      </c>
      <c r="AL666">
        <v>47.46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0</v>
      </c>
      <c r="AS666">
        <v>0</v>
      </c>
      <c r="AT666">
        <v>115</v>
      </c>
      <c r="AU666">
        <v>71</v>
      </c>
      <c r="AV666">
        <v>1</v>
      </c>
      <c r="AW666">
        <v>1</v>
      </c>
      <c r="AZ666">
        <v>6.56</v>
      </c>
      <c r="BA666">
        <v>1</v>
      </c>
      <c r="BB666">
        <v>1</v>
      </c>
      <c r="BC666">
        <v>6.56</v>
      </c>
      <c r="BD666" t="s">
        <v>6</v>
      </c>
      <c r="BE666" t="s">
        <v>6</v>
      </c>
      <c r="BF666" t="s">
        <v>6</v>
      </c>
      <c r="BG666" t="s">
        <v>6</v>
      </c>
      <c r="BH666">
        <v>3</v>
      </c>
      <c r="BI666">
        <v>1</v>
      </c>
      <c r="BJ666" t="s">
        <v>996</v>
      </c>
      <c r="BM666">
        <v>16001</v>
      </c>
      <c r="BN666">
        <v>0</v>
      </c>
      <c r="BO666" t="s">
        <v>6</v>
      </c>
      <c r="BP666">
        <v>0</v>
      </c>
      <c r="BQ666">
        <v>2</v>
      </c>
      <c r="BR666">
        <v>0</v>
      </c>
      <c r="BS666">
        <v>1</v>
      </c>
      <c r="BT666">
        <v>1</v>
      </c>
      <c r="BU666">
        <v>1</v>
      </c>
      <c r="BV666">
        <v>1</v>
      </c>
      <c r="BW666">
        <v>1</v>
      </c>
      <c r="BX666">
        <v>1</v>
      </c>
      <c r="BY666" t="s">
        <v>6</v>
      </c>
      <c r="BZ666">
        <v>128</v>
      </c>
      <c r="CA666">
        <v>83</v>
      </c>
      <c r="CF666">
        <v>0</v>
      </c>
      <c r="CG666">
        <v>0</v>
      </c>
      <c r="CM666">
        <v>0</v>
      </c>
      <c r="CN666" t="s">
        <v>6</v>
      </c>
      <c r="CO666">
        <v>0</v>
      </c>
      <c r="CP666">
        <f t="shared" si="499"/>
        <v>2490.6999999999998</v>
      </c>
      <c r="CQ666">
        <f t="shared" si="500"/>
        <v>311.33760000000001</v>
      </c>
      <c r="CR666">
        <f t="shared" si="501"/>
        <v>0</v>
      </c>
      <c r="CS666">
        <f t="shared" si="502"/>
        <v>0</v>
      </c>
      <c r="CT666">
        <f t="shared" si="503"/>
        <v>0</v>
      </c>
      <c r="CU666">
        <f t="shared" si="504"/>
        <v>0</v>
      </c>
      <c r="CV666">
        <f t="shared" si="505"/>
        <v>0</v>
      </c>
      <c r="CW666">
        <f t="shared" si="506"/>
        <v>0</v>
      </c>
      <c r="CX666">
        <f t="shared" si="507"/>
        <v>0</v>
      </c>
      <c r="CY666">
        <f t="shared" si="508"/>
        <v>0</v>
      </c>
      <c r="CZ666">
        <f t="shared" si="509"/>
        <v>0</v>
      </c>
      <c r="DC666" t="s">
        <v>6</v>
      </c>
      <c r="DD666" t="s">
        <v>6</v>
      </c>
      <c r="DE666" t="s">
        <v>6</v>
      </c>
      <c r="DF666" t="s">
        <v>6</v>
      </c>
      <c r="DG666" t="s">
        <v>6</v>
      </c>
      <c r="DH666" t="s">
        <v>6</v>
      </c>
      <c r="DI666" t="s">
        <v>6</v>
      </c>
      <c r="DJ666" t="s">
        <v>6</v>
      </c>
      <c r="DK666" t="s">
        <v>6</v>
      </c>
      <c r="DL666" t="s">
        <v>6</v>
      </c>
      <c r="DM666" t="s">
        <v>6</v>
      </c>
      <c r="DN666">
        <v>0</v>
      </c>
      <c r="DO666">
        <v>0</v>
      </c>
      <c r="DP666">
        <v>1</v>
      </c>
      <c r="DQ666">
        <v>1</v>
      </c>
      <c r="DU666">
        <v>1003</v>
      </c>
      <c r="DV666" t="s">
        <v>206</v>
      </c>
      <c r="DW666" t="s">
        <v>206</v>
      </c>
      <c r="DX666">
        <v>1</v>
      </c>
      <c r="EE666">
        <v>16510514</v>
      </c>
      <c r="EF666">
        <v>2</v>
      </c>
      <c r="EG666" t="s">
        <v>22</v>
      </c>
      <c r="EH666">
        <v>0</v>
      </c>
      <c r="EI666" t="s">
        <v>6</v>
      </c>
      <c r="EJ666">
        <v>1</v>
      </c>
      <c r="EK666">
        <v>16001</v>
      </c>
      <c r="EL666" t="s">
        <v>909</v>
      </c>
      <c r="EM666" t="s">
        <v>910</v>
      </c>
      <c r="EO666" t="s">
        <v>6</v>
      </c>
      <c r="EQ666">
        <v>0</v>
      </c>
      <c r="ER666">
        <v>47.46</v>
      </c>
      <c r="ES666">
        <v>47.46</v>
      </c>
      <c r="ET666">
        <v>0</v>
      </c>
      <c r="EU666">
        <v>0</v>
      </c>
      <c r="EV666">
        <v>0</v>
      </c>
      <c r="EW666">
        <v>0</v>
      </c>
      <c r="EX666">
        <v>0</v>
      </c>
      <c r="FQ666">
        <v>0</v>
      </c>
      <c r="FR666">
        <f t="shared" si="510"/>
        <v>0</v>
      </c>
      <c r="FS666">
        <v>0</v>
      </c>
      <c r="FT666" t="s">
        <v>25</v>
      </c>
      <c r="FU666" t="s">
        <v>26</v>
      </c>
      <c r="FX666">
        <v>115.2</v>
      </c>
      <c r="FY666">
        <v>70.55</v>
      </c>
      <c r="GA666" t="s">
        <v>6</v>
      </c>
      <c r="GD666">
        <v>0</v>
      </c>
      <c r="GF666">
        <v>-1292047200</v>
      </c>
      <c r="GG666">
        <v>1</v>
      </c>
      <c r="GH666">
        <v>1</v>
      </c>
      <c r="GI666">
        <v>4</v>
      </c>
      <c r="GJ666">
        <v>0</v>
      </c>
      <c r="GK666">
        <f>ROUND(R666*(R12)/100,2)</f>
        <v>0</v>
      </c>
      <c r="GL666">
        <f t="shared" si="511"/>
        <v>0</v>
      </c>
      <c r="GM666">
        <f t="shared" si="512"/>
        <v>2490.6999999999998</v>
      </c>
      <c r="GN666">
        <f t="shared" si="513"/>
        <v>2490.6999999999998</v>
      </c>
      <c r="GO666">
        <f t="shared" si="514"/>
        <v>0</v>
      </c>
      <c r="GP666">
        <f t="shared" si="515"/>
        <v>0</v>
      </c>
      <c r="GR666">
        <v>0</v>
      </c>
      <c r="GS666">
        <v>3</v>
      </c>
      <c r="GT666">
        <v>0</v>
      </c>
      <c r="GU666" t="s">
        <v>6</v>
      </c>
      <c r="GV666">
        <f t="shared" si="516"/>
        <v>0</v>
      </c>
      <c r="GW666">
        <v>1</v>
      </c>
      <c r="GX666">
        <f t="shared" si="517"/>
        <v>0</v>
      </c>
      <c r="HA666">
        <v>0</v>
      </c>
      <c r="HB666">
        <v>0</v>
      </c>
      <c r="IK666">
        <v>0</v>
      </c>
    </row>
    <row r="667" spans="1:245" x14ac:dyDescent="0.2">
      <c r="A667">
        <v>18</v>
      </c>
      <c r="B667">
        <v>1</v>
      </c>
      <c r="C667">
        <v>778</v>
      </c>
      <c r="E667" t="s">
        <v>997</v>
      </c>
      <c r="F667" t="s">
        <v>998</v>
      </c>
      <c r="G667" t="s">
        <v>999</v>
      </c>
      <c r="H667" t="s">
        <v>71</v>
      </c>
      <c r="I667">
        <f>I665*J667</f>
        <v>5.9999999999999995E-4</v>
      </c>
      <c r="J667">
        <v>7.4999999999999989E-3</v>
      </c>
      <c r="O667">
        <f t="shared" si="485"/>
        <v>105.21</v>
      </c>
      <c r="P667">
        <f t="shared" si="486"/>
        <v>105.21</v>
      </c>
      <c r="Q667">
        <f t="shared" si="487"/>
        <v>0</v>
      </c>
      <c r="R667">
        <f t="shared" si="488"/>
        <v>0</v>
      </c>
      <c r="S667">
        <f t="shared" si="489"/>
        <v>0</v>
      </c>
      <c r="T667">
        <f t="shared" si="490"/>
        <v>0</v>
      </c>
      <c r="U667">
        <f t="shared" si="491"/>
        <v>0</v>
      </c>
      <c r="V667">
        <f t="shared" si="492"/>
        <v>0</v>
      </c>
      <c r="W667">
        <f t="shared" si="493"/>
        <v>0</v>
      </c>
      <c r="X667">
        <f t="shared" si="494"/>
        <v>0</v>
      </c>
      <c r="Y667">
        <f t="shared" si="495"/>
        <v>0</v>
      </c>
      <c r="AA667">
        <v>16748969</v>
      </c>
      <c r="AB667">
        <f t="shared" si="496"/>
        <v>26729.37</v>
      </c>
      <c r="AC667">
        <f t="shared" si="518"/>
        <v>26729.37</v>
      </c>
      <c r="AD667">
        <f>ROUND((((ET667)-(EU667))+AE667),2)</f>
        <v>0</v>
      </c>
      <c r="AE667">
        <f>ROUND((EU667),2)</f>
        <v>0</v>
      </c>
      <c r="AF667">
        <f>ROUND((EV667),2)</f>
        <v>0</v>
      </c>
      <c r="AG667">
        <f t="shared" si="497"/>
        <v>0</v>
      </c>
      <c r="AH667">
        <f>(EW667)</f>
        <v>0</v>
      </c>
      <c r="AI667">
        <f>(EX667)</f>
        <v>0</v>
      </c>
      <c r="AJ667">
        <f t="shared" si="498"/>
        <v>0</v>
      </c>
      <c r="AK667">
        <v>26729.37</v>
      </c>
      <c r="AL667">
        <v>26729.37</v>
      </c>
      <c r="AM667">
        <v>0</v>
      </c>
      <c r="AN667">
        <v>0</v>
      </c>
      <c r="AO667">
        <v>0</v>
      </c>
      <c r="AP667">
        <v>0</v>
      </c>
      <c r="AQ667">
        <v>0</v>
      </c>
      <c r="AR667">
        <v>0</v>
      </c>
      <c r="AS667">
        <v>0</v>
      </c>
      <c r="AT667">
        <v>115</v>
      </c>
      <c r="AU667">
        <v>71</v>
      </c>
      <c r="AV667">
        <v>1</v>
      </c>
      <c r="AW667">
        <v>1</v>
      </c>
      <c r="AZ667">
        <v>6.56</v>
      </c>
      <c r="BA667">
        <v>1</v>
      </c>
      <c r="BB667">
        <v>1</v>
      </c>
      <c r="BC667">
        <v>6.56</v>
      </c>
      <c r="BD667" t="s">
        <v>6</v>
      </c>
      <c r="BE667" t="s">
        <v>6</v>
      </c>
      <c r="BF667" t="s">
        <v>6</v>
      </c>
      <c r="BG667" t="s">
        <v>6</v>
      </c>
      <c r="BH667">
        <v>3</v>
      </c>
      <c r="BI667">
        <v>1</v>
      </c>
      <c r="BJ667" t="s">
        <v>1000</v>
      </c>
      <c r="BM667">
        <v>16001</v>
      </c>
      <c r="BN667">
        <v>0</v>
      </c>
      <c r="BO667" t="s">
        <v>6</v>
      </c>
      <c r="BP667">
        <v>0</v>
      </c>
      <c r="BQ667">
        <v>2</v>
      </c>
      <c r="BR667">
        <v>0</v>
      </c>
      <c r="BS667">
        <v>1</v>
      </c>
      <c r="BT667">
        <v>1</v>
      </c>
      <c r="BU667">
        <v>1</v>
      </c>
      <c r="BV667">
        <v>1</v>
      </c>
      <c r="BW667">
        <v>1</v>
      </c>
      <c r="BX667">
        <v>1</v>
      </c>
      <c r="BY667" t="s">
        <v>6</v>
      </c>
      <c r="BZ667">
        <v>128</v>
      </c>
      <c r="CA667">
        <v>83</v>
      </c>
      <c r="CF667">
        <v>0</v>
      </c>
      <c r="CG667">
        <v>0</v>
      </c>
      <c r="CM667">
        <v>0</v>
      </c>
      <c r="CN667" t="s">
        <v>6</v>
      </c>
      <c r="CO667">
        <v>0</v>
      </c>
      <c r="CP667">
        <f t="shared" si="499"/>
        <v>105.21</v>
      </c>
      <c r="CQ667">
        <f t="shared" si="500"/>
        <v>175344.6672</v>
      </c>
      <c r="CR667">
        <f t="shared" si="501"/>
        <v>0</v>
      </c>
      <c r="CS667">
        <f t="shared" si="502"/>
        <v>0</v>
      </c>
      <c r="CT667">
        <f t="shared" si="503"/>
        <v>0</v>
      </c>
      <c r="CU667">
        <f t="shared" si="504"/>
        <v>0</v>
      </c>
      <c r="CV667">
        <f t="shared" si="505"/>
        <v>0</v>
      </c>
      <c r="CW667">
        <f t="shared" si="506"/>
        <v>0</v>
      </c>
      <c r="CX667">
        <f t="shared" si="507"/>
        <v>0</v>
      </c>
      <c r="CY667">
        <f t="shared" si="508"/>
        <v>0</v>
      </c>
      <c r="CZ667">
        <f t="shared" si="509"/>
        <v>0</v>
      </c>
      <c r="DC667" t="s">
        <v>6</v>
      </c>
      <c r="DD667" t="s">
        <v>6</v>
      </c>
      <c r="DE667" t="s">
        <v>6</v>
      </c>
      <c r="DF667" t="s">
        <v>6</v>
      </c>
      <c r="DG667" t="s">
        <v>6</v>
      </c>
      <c r="DH667" t="s">
        <v>6</v>
      </c>
      <c r="DI667" t="s">
        <v>6</v>
      </c>
      <c r="DJ667" t="s">
        <v>6</v>
      </c>
      <c r="DK667" t="s">
        <v>6</v>
      </c>
      <c r="DL667" t="s">
        <v>6</v>
      </c>
      <c r="DM667" t="s">
        <v>6</v>
      </c>
      <c r="DN667">
        <v>0</v>
      </c>
      <c r="DO667">
        <v>0</v>
      </c>
      <c r="DP667">
        <v>1</v>
      </c>
      <c r="DQ667">
        <v>1</v>
      </c>
      <c r="DU667">
        <v>1009</v>
      </c>
      <c r="DV667" t="s">
        <v>71</v>
      </c>
      <c r="DW667" t="s">
        <v>71</v>
      </c>
      <c r="DX667">
        <v>1000</v>
      </c>
      <c r="EE667">
        <v>16510514</v>
      </c>
      <c r="EF667">
        <v>2</v>
      </c>
      <c r="EG667" t="s">
        <v>22</v>
      </c>
      <c r="EH667">
        <v>0</v>
      </c>
      <c r="EI667" t="s">
        <v>6</v>
      </c>
      <c r="EJ667">
        <v>1</v>
      </c>
      <c r="EK667">
        <v>16001</v>
      </c>
      <c r="EL667" t="s">
        <v>909</v>
      </c>
      <c r="EM667" t="s">
        <v>910</v>
      </c>
      <c r="EO667" t="s">
        <v>6</v>
      </c>
      <c r="EQ667">
        <v>0</v>
      </c>
      <c r="ER667">
        <v>26729.37</v>
      </c>
      <c r="ES667">
        <v>26729.37</v>
      </c>
      <c r="ET667">
        <v>0</v>
      </c>
      <c r="EU667">
        <v>0</v>
      </c>
      <c r="EV667">
        <v>0</v>
      </c>
      <c r="EW667">
        <v>0</v>
      </c>
      <c r="EX667">
        <v>0</v>
      </c>
      <c r="FQ667">
        <v>0</v>
      </c>
      <c r="FR667">
        <f t="shared" si="510"/>
        <v>0</v>
      </c>
      <c r="FS667">
        <v>0</v>
      </c>
      <c r="FT667" t="s">
        <v>25</v>
      </c>
      <c r="FU667" t="s">
        <v>26</v>
      </c>
      <c r="FX667">
        <v>115.2</v>
      </c>
      <c r="FY667">
        <v>70.55</v>
      </c>
      <c r="GA667" t="s">
        <v>6</v>
      </c>
      <c r="GD667">
        <v>0</v>
      </c>
      <c r="GF667">
        <v>-1558467010</v>
      </c>
      <c r="GG667">
        <v>1</v>
      </c>
      <c r="GH667">
        <v>1</v>
      </c>
      <c r="GI667">
        <v>4</v>
      </c>
      <c r="GJ667">
        <v>0</v>
      </c>
      <c r="GK667">
        <f>ROUND(R667*(R12)/100,2)</f>
        <v>0</v>
      </c>
      <c r="GL667">
        <f t="shared" si="511"/>
        <v>0</v>
      </c>
      <c r="GM667">
        <f t="shared" si="512"/>
        <v>105.21</v>
      </c>
      <c r="GN667">
        <f t="shared" si="513"/>
        <v>105.21</v>
      </c>
      <c r="GO667">
        <f t="shared" si="514"/>
        <v>0</v>
      </c>
      <c r="GP667">
        <f t="shared" si="515"/>
        <v>0</v>
      </c>
      <c r="GR667">
        <v>0</v>
      </c>
      <c r="GS667">
        <v>3</v>
      </c>
      <c r="GT667">
        <v>0</v>
      </c>
      <c r="GU667" t="s">
        <v>6</v>
      </c>
      <c r="GV667">
        <f t="shared" si="516"/>
        <v>0</v>
      </c>
      <c r="GW667">
        <v>1</v>
      </c>
      <c r="GX667">
        <f t="shared" si="517"/>
        <v>0</v>
      </c>
      <c r="HA667">
        <v>0</v>
      </c>
      <c r="HB667">
        <v>0</v>
      </c>
      <c r="IK667">
        <v>0</v>
      </c>
    </row>
    <row r="669" spans="1:245" x14ac:dyDescent="0.2">
      <c r="A669" s="2">
        <v>51</v>
      </c>
      <c r="B669" s="2">
        <f>B651</f>
        <v>1</v>
      </c>
      <c r="C669" s="2">
        <f>A651</f>
        <v>4</v>
      </c>
      <c r="D669" s="2">
        <f>ROW(A651)</f>
        <v>651</v>
      </c>
      <c r="E669" s="2"/>
      <c r="F669" s="2" t="str">
        <f>IF(F651&lt;&gt;"",F651,"")</f>
        <v>Новый раздел</v>
      </c>
      <c r="G669" s="2" t="str">
        <f>IF(G651&lt;&gt;"",G651,"")</f>
        <v>8 Канализация</v>
      </c>
      <c r="H669" s="2">
        <v>0</v>
      </c>
      <c r="I669" s="2"/>
      <c r="J669" s="2"/>
      <c r="K669" s="2"/>
      <c r="L669" s="2"/>
      <c r="M669" s="2"/>
      <c r="N669" s="2"/>
      <c r="O669" s="2">
        <f t="shared" ref="O669:T669" si="519">ROUND(AB669,2)</f>
        <v>17286.93</v>
      </c>
      <c r="P669" s="2">
        <f t="shared" si="519"/>
        <v>15827.67</v>
      </c>
      <c r="Q669" s="2">
        <f t="shared" si="519"/>
        <v>110.49</v>
      </c>
      <c r="R669" s="2">
        <f t="shared" si="519"/>
        <v>26.81</v>
      </c>
      <c r="S669" s="2">
        <f t="shared" si="519"/>
        <v>1348.77</v>
      </c>
      <c r="T669" s="2">
        <f t="shared" si="519"/>
        <v>0</v>
      </c>
      <c r="U669" s="2">
        <f>AH669</f>
        <v>21.297429999999999</v>
      </c>
      <c r="V669" s="2">
        <f>AI669</f>
        <v>0.32814999999999994</v>
      </c>
      <c r="W669" s="2">
        <f>ROUND(AJ669,2)</f>
        <v>0</v>
      </c>
      <c r="X669" s="2">
        <f>ROUND(AK669,2)</f>
        <v>1552.41</v>
      </c>
      <c r="Y669" s="2">
        <f>ROUND(AL669,2)</f>
        <v>961.55</v>
      </c>
      <c r="Z669" s="2"/>
      <c r="AA669" s="2"/>
      <c r="AB669" s="2">
        <f>ROUND(SUMIF(AA655:AA667,"=16748969",O655:O667),2)</f>
        <v>17286.93</v>
      </c>
      <c r="AC669" s="2">
        <f>ROUND(SUMIF(AA655:AA667,"=16748969",P655:P667),2)</f>
        <v>15827.67</v>
      </c>
      <c r="AD669" s="2">
        <f>ROUND(SUMIF(AA655:AA667,"=16748969",Q655:Q667),2)</f>
        <v>110.49</v>
      </c>
      <c r="AE669" s="2">
        <f>ROUND(SUMIF(AA655:AA667,"=16748969",R655:R667),2)</f>
        <v>26.81</v>
      </c>
      <c r="AF669" s="2">
        <f>ROUND(SUMIF(AA655:AA667,"=16748969",S655:S667),2)</f>
        <v>1348.77</v>
      </c>
      <c r="AG669" s="2">
        <f>ROUND(SUMIF(AA655:AA667,"=16748969",T655:T667),2)</f>
        <v>0</v>
      </c>
      <c r="AH669" s="2">
        <f>SUMIF(AA655:AA667,"=16748969",U655:U667)</f>
        <v>21.297429999999999</v>
      </c>
      <c r="AI669" s="2">
        <f>SUMIF(AA655:AA667,"=16748969",V655:V667)</f>
        <v>0.32814999999999994</v>
      </c>
      <c r="AJ669" s="2">
        <f>ROUND(SUMIF(AA655:AA667,"=16748969",W655:W667),2)</f>
        <v>0</v>
      </c>
      <c r="AK669" s="2">
        <f>ROUND(SUMIF(AA655:AA667,"=16748969",X655:X667),2)</f>
        <v>1552.41</v>
      </c>
      <c r="AL669" s="2">
        <f>ROUND(SUMIF(AA655:AA667,"=16748969",Y655:Y667),2)</f>
        <v>961.55</v>
      </c>
      <c r="AM669" s="2"/>
      <c r="AN669" s="2"/>
      <c r="AO669" s="2">
        <f t="shared" ref="AO669:BC669" si="520">ROUND(BX669,2)</f>
        <v>0</v>
      </c>
      <c r="AP669" s="2">
        <f t="shared" si="520"/>
        <v>0</v>
      </c>
      <c r="AQ669" s="2">
        <f t="shared" si="520"/>
        <v>0</v>
      </c>
      <c r="AR669" s="2">
        <f t="shared" si="520"/>
        <v>19800.89</v>
      </c>
      <c r="AS669" s="2">
        <f t="shared" si="520"/>
        <v>19800.89</v>
      </c>
      <c r="AT669" s="2">
        <f t="shared" si="520"/>
        <v>0</v>
      </c>
      <c r="AU669" s="2">
        <f t="shared" si="520"/>
        <v>0</v>
      </c>
      <c r="AV669" s="2">
        <f t="shared" si="520"/>
        <v>15827.67</v>
      </c>
      <c r="AW669" s="2">
        <f t="shared" si="520"/>
        <v>15827.67</v>
      </c>
      <c r="AX669" s="2">
        <f t="shared" si="520"/>
        <v>0</v>
      </c>
      <c r="AY669" s="2">
        <f t="shared" si="520"/>
        <v>15827.67</v>
      </c>
      <c r="AZ669" s="2">
        <f t="shared" si="520"/>
        <v>0</v>
      </c>
      <c r="BA669" s="2">
        <f t="shared" si="520"/>
        <v>0</v>
      </c>
      <c r="BB669" s="2">
        <f t="shared" si="520"/>
        <v>0</v>
      </c>
      <c r="BC669" s="2">
        <f t="shared" si="520"/>
        <v>0</v>
      </c>
      <c r="BD669" s="2"/>
      <c r="BE669" s="2"/>
      <c r="BF669" s="2"/>
      <c r="BG669" s="2"/>
      <c r="BH669" s="2"/>
      <c r="BI669" s="2"/>
      <c r="BJ669" s="2"/>
      <c r="BK669" s="2"/>
      <c r="BL669" s="2"/>
      <c r="BM669" s="2"/>
      <c r="BN669" s="2"/>
      <c r="BO669" s="2"/>
      <c r="BP669" s="2"/>
      <c r="BQ669" s="2"/>
      <c r="BR669" s="2"/>
      <c r="BS669" s="2"/>
      <c r="BT669" s="2"/>
      <c r="BU669" s="2"/>
      <c r="BV669" s="2"/>
      <c r="BW669" s="2"/>
      <c r="BX669" s="2">
        <f>ROUND(SUMIF(AA655:AA667,"=16748969",FQ655:FQ667),2)</f>
        <v>0</v>
      </c>
      <c r="BY669" s="2">
        <f>ROUND(SUMIF(AA655:AA667,"=16748969",FR655:FR667),2)</f>
        <v>0</v>
      </c>
      <c r="BZ669" s="2">
        <f>ROUND(SUMIF(AA655:AA667,"=16748969",GL655:GL667),2)</f>
        <v>0</v>
      </c>
      <c r="CA669" s="2">
        <f>ROUND(SUMIF(AA655:AA667,"=16748969",GM655:GM667),2)</f>
        <v>19800.89</v>
      </c>
      <c r="CB669" s="2">
        <f>ROUND(SUMIF(AA655:AA667,"=16748969",GN655:GN667),2)</f>
        <v>19800.89</v>
      </c>
      <c r="CC669" s="2">
        <f>ROUND(SUMIF(AA655:AA667,"=16748969",GO655:GO667),2)</f>
        <v>0</v>
      </c>
      <c r="CD669" s="2">
        <f>ROUND(SUMIF(AA655:AA667,"=16748969",GP655:GP667),2)</f>
        <v>0</v>
      </c>
      <c r="CE669" s="2">
        <f>AC669-BX669</f>
        <v>15827.67</v>
      </c>
      <c r="CF669" s="2">
        <f>AC669-BY669</f>
        <v>15827.67</v>
      </c>
      <c r="CG669" s="2">
        <f>BX669-BZ669</f>
        <v>0</v>
      </c>
      <c r="CH669" s="2">
        <f>AC669-BX669-BY669+BZ669</f>
        <v>15827.67</v>
      </c>
      <c r="CI669" s="2">
        <f>BY669-BZ669</f>
        <v>0</v>
      </c>
      <c r="CJ669" s="2">
        <f>ROUND(SUMIF(AA655:AA667,"=16748969",GX655:GX667),2)</f>
        <v>0</v>
      </c>
      <c r="CK669" s="2">
        <f>ROUND(SUMIF(AA655:AA667,"=16748969",GY655:GY667),2)</f>
        <v>0</v>
      </c>
      <c r="CL669" s="2">
        <f>ROUND(SUMIF(AA655:AA667,"=16748969",GZ655:GZ667),2)</f>
        <v>0</v>
      </c>
      <c r="CM669" s="2"/>
      <c r="CN669" s="2"/>
      <c r="CO669" s="2"/>
      <c r="CP669" s="2"/>
      <c r="CQ669" s="2"/>
      <c r="CR669" s="2"/>
      <c r="CS669" s="2"/>
      <c r="CT669" s="2"/>
      <c r="CU669" s="2"/>
      <c r="CV669" s="2"/>
      <c r="CW669" s="2"/>
      <c r="CX669" s="2"/>
      <c r="CY669" s="2"/>
      <c r="CZ669" s="2"/>
      <c r="DA669" s="2"/>
      <c r="DB669" s="2"/>
      <c r="DC669" s="2"/>
      <c r="DD669" s="2"/>
      <c r="DE669" s="2"/>
      <c r="DF669" s="2"/>
      <c r="DG669" s="3"/>
      <c r="DH669" s="3"/>
      <c r="DI669" s="3"/>
      <c r="DJ669" s="3"/>
      <c r="DK669" s="3"/>
      <c r="DL669" s="3"/>
      <c r="DM669" s="3"/>
      <c r="DN669" s="3"/>
      <c r="DO669" s="3"/>
      <c r="DP669" s="3"/>
      <c r="DQ669" s="3"/>
      <c r="DR669" s="3"/>
      <c r="DS669" s="3"/>
      <c r="DT669" s="3"/>
      <c r="DU669" s="3"/>
      <c r="DV669" s="3"/>
      <c r="DW669" s="3"/>
      <c r="DX669" s="3"/>
      <c r="DY669" s="3"/>
      <c r="DZ669" s="3"/>
      <c r="EA669" s="3"/>
      <c r="EB669" s="3"/>
      <c r="EC669" s="3"/>
      <c r="ED669" s="3"/>
      <c r="EE669" s="3"/>
      <c r="EF669" s="3"/>
      <c r="EG669" s="3"/>
      <c r="EH669" s="3"/>
      <c r="EI669" s="3"/>
      <c r="EJ669" s="3"/>
      <c r="EK669" s="3"/>
      <c r="EL669" s="3"/>
      <c r="EM669" s="3"/>
      <c r="EN669" s="3"/>
      <c r="EO669" s="3"/>
      <c r="EP669" s="3"/>
      <c r="EQ669" s="3"/>
      <c r="ER669" s="3"/>
      <c r="ES669" s="3"/>
      <c r="ET669" s="3"/>
      <c r="EU669" s="3"/>
      <c r="EV669" s="3"/>
      <c r="EW669" s="3"/>
      <c r="EX669" s="3"/>
      <c r="EY669" s="3"/>
      <c r="EZ669" s="3"/>
      <c r="FA669" s="3"/>
      <c r="FB669" s="3"/>
      <c r="FC669" s="3"/>
      <c r="FD669" s="3"/>
      <c r="FE669" s="3"/>
      <c r="FF669" s="3"/>
      <c r="FG669" s="3"/>
      <c r="FH669" s="3"/>
      <c r="FI669" s="3"/>
      <c r="FJ669" s="3"/>
      <c r="FK669" s="3"/>
      <c r="FL669" s="3"/>
      <c r="FM669" s="3"/>
      <c r="FN669" s="3"/>
      <c r="FO669" s="3"/>
      <c r="FP669" s="3"/>
      <c r="FQ669" s="3"/>
      <c r="FR669" s="3"/>
      <c r="FS669" s="3"/>
      <c r="FT669" s="3"/>
      <c r="FU669" s="3"/>
      <c r="FV669" s="3"/>
      <c r="FW669" s="3"/>
      <c r="FX669" s="3"/>
      <c r="FY669" s="3"/>
      <c r="FZ669" s="3"/>
      <c r="GA669" s="3"/>
      <c r="GB669" s="3"/>
      <c r="GC669" s="3"/>
      <c r="GD669" s="3"/>
      <c r="GE669" s="3"/>
      <c r="GF669" s="3"/>
      <c r="GG669" s="3"/>
      <c r="GH669" s="3"/>
      <c r="GI669" s="3"/>
      <c r="GJ669" s="3"/>
      <c r="GK669" s="3"/>
      <c r="GL669" s="3"/>
      <c r="GM669" s="3"/>
      <c r="GN669" s="3"/>
      <c r="GO669" s="3"/>
      <c r="GP669" s="3"/>
      <c r="GQ669" s="3"/>
      <c r="GR669" s="3"/>
      <c r="GS669" s="3"/>
      <c r="GT669" s="3"/>
      <c r="GU669" s="3"/>
      <c r="GV669" s="3"/>
      <c r="GW669" s="3"/>
      <c r="GX669" s="3">
        <v>0</v>
      </c>
    </row>
    <row r="671" spans="1:245" x14ac:dyDescent="0.2">
      <c r="A671" s="4">
        <v>50</v>
      </c>
      <c r="B671" s="4">
        <v>0</v>
      </c>
      <c r="C671" s="4">
        <v>0</v>
      </c>
      <c r="D671" s="4">
        <v>1</v>
      </c>
      <c r="E671" s="4">
        <v>201</v>
      </c>
      <c r="F671" s="4">
        <f>ROUND(Source!O669,O671)</f>
        <v>17286.93</v>
      </c>
      <c r="G671" s="4" t="s">
        <v>115</v>
      </c>
      <c r="H671" s="4" t="s">
        <v>116</v>
      </c>
      <c r="I671" s="4"/>
      <c r="J671" s="4"/>
      <c r="K671" s="4">
        <v>201</v>
      </c>
      <c r="L671" s="4">
        <v>1</v>
      </c>
      <c r="M671" s="4">
        <v>3</v>
      </c>
      <c r="N671" s="4" t="s">
        <v>6</v>
      </c>
      <c r="O671" s="4">
        <v>2</v>
      </c>
      <c r="P671" s="4"/>
      <c r="Q671" s="4"/>
      <c r="R671" s="4"/>
      <c r="S671" s="4"/>
      <c r="T671" s="4"/>
      <c r="U671" s="4"/>
      <c r="V671" s="4"/>
      <c r="W671" s="4"/>
    </row>
    <row r="672" spans="1:245" x14ac:dyDescent="0.2">
      <c r="A672" s="4">
        <v>50</v>
      </c>
      <c r="B672" s="4">
        <v>0</v>
      </c>
      <c r="C672" s="4">
        <v>0</v>
      </c>
      <c r="D672" s="4">
        <v>1</v>
      </c>
      <c r="E672" s="4">
        <v>202</v>
      </c>
      <c r="F672" s="4">
        <f>ROUND(Source!P669,O672)</f>
        <v>15827.67</v>
      </c>
      <c r="G672" s="4" t="s">
        <v>117</v>
      </c>
      <c r="H672" s="4" t="s">
        <v>118</v>
      </c>
      <c r="I672" s="4"/>
      <c r="J672" s="4"/>
      <c r="K672" s="4">
        <v>202</v>
      </c>
      <c r="L672" s="4">
        <v>2</v>
      </c>
      <c r="M672" s="4">
        <v>3</v>
      </c>
      <c r="N672" s="4" t="s">
        <v>6</v>
      </c>
      <c r="O672" s="4">
        <v>2</v>
      </c>
      <c r="P672" s="4"/>
      <c r="Q672" s="4"/>
      <c r="R672" s="4"/>
      <c r="S672" s="4"/>
      <c r="T672" s="4"/>
      <c r="U672" s="4"/>
      <c r="V672" s="4"/>
      <c r="W672" s="4"/>
    </row>
    <row r="673" spans="1:23" x14ac:dyDescent="0.2">
      <c r="A673" s="4">
        <v>50</v>
      </c>
      <c r="B673" s="4">
        <v>0</v>
      </c>
      <c r="C673" s="4">
        <v>0</v>
      </c>
      <c r="D673" s="4">
        <v>1</v>
      </c>
      <c r="E673" s="4">
        <v>222</v>
      </c>
      <c r="F673" s="4">
        <f>ROUND(Source!AO669,O673)</f>
        <v>0</v>
      </c>
      <c r="G673" s="4" t="s">
        <v>119</v>
      </c>
      <c r="H673" s="4" t="s">
        <v>120</v>
      </c>
      <c r="I673" s="4"/>
      <c r="J673" s="4"/>
      <c r="K673" s="4">
        <v>222</v>
      </c>
      <c r="L673" s="4">
        <v>3</v>
      </c>
      <c r="M673" s="4">
        <v>3</v>
      </c>
      <c r="N673" s="4" t="s">
        <v>6</v>
      </c>
      <c r="O673" s="4">
        <v>2</v>
      </c>
      <c r="P673" s="4"/>
      <c r="Q673" s="4"/>
      <c r="R673" s="4"/>
      <c r="S673" s="4"/>
      <c r="T673" s="4"/>
      <c r="U673" s="4"/>
      <c r="V673" s="4"/>
      <c r="W673" s="4"/>
    </row>
    <row r="674" spans="1:23" x14ac:dyDescent="0.2">
      <c r="A674" s="4">
        <v>50</v>
      </c>
      <c r="B674" s="4">
        <v>0</v>
      </c>
      <c r="C674" s="4">
        <v>0</v>
      </c>
      <c r="D674" s="4">
        <v>1</v>
      </c>
      <c r="E674" s="4">
        <v>225</v>
      </c>
      <c r="F674" s="4">
        <f>ROUND(Source!AV669,O674)</f>
        <v>15827.67</v>
      </c>
      <c r="G674" s="4" t="s">
        <v>121</v>
      </c>
      <c r="H674" s="4" t="s">
        <v>122</v>
      </c>
      <c r="I674" s="4"/>
      <c r="J674" s="4"/>
      <c r="K674" s="4">
        <v>225</v>
      </c>
      <c r="L674" s="4">
        <v>4</v>
      </c>
      <c r="M674" s="4">
        <v>3</v>
      </c>
      <c r="N674" s="4" t="s">
        <v>6</v>
      </c>
      <c r="O674" s="4">
        <v>2</v>
      </c>
      <c r="P674" s="4"/>
      <c r="Q674" s="4"/>
      <c r="R674" s="4"/>
      <c r="S674" s="4"/>
      <c r="T674" s="4"/>
      <c r="U674" s="4"/>
      <c r="V674" s="4"/>
      <c r="W674" s="4"/>
    </row>
    <row r="675" spans="1:23" x14ac:dyDescent="0.2">
      <c r="A675" s="4">
        <v>50</v>
      </c>
      <c r="B675" s="4">
        <v>0</v>
      </c>
      <c r="C675" s="4">
        <v>0</v>
      </c>
      <c r="D675" s="4">
        <v>1</v>
      </c>
      <c r="E675" s="4">
        <v>226</v>
      </c>
      <c r="F675" s="4">
        <f>ROUND(Source!AW669,O675)</f>
        <v>15827.67</v>
      </c>
      <c r="G675" s="4" t="s">
        <v>123</v>
      </c>
      <c r="H675" s="4" t="s">
        <v>124</v>
      </c>
      <c r="I675" s="4"/>
      <c r="J675" s="4"/>
      <c r="K675" s="4">
        <v>226</v>
      </c>
      <c r="L675" s="4">
        <v>5</v>
      </c>
      <c r="M675" s="4">
        <v>3</v>
      </c>
      <c r="N675" s="4" t="s">
        <v>6</v>
      </c>
      <c r="O675" s="4">
        <v>2</v>
      </c>
      <c r="P675" s="4"/>
      <c r="Q675" s="4"/>
      <c r="R675" s="4"/>
      <c r="S675" s="4"/>
      <c r="T675" s="4"/>
      <c r="U675" s="4"/>
      <c r="V675" s="4"/>
      <c r="W675" s="4"/>
    </row>
    <row r="676" spans="1:23" x14ac:dyDescent="0.2">
      <c r="A676" s="4">
        <v>50</v>
      </c>
      <c r="B676" s="4">
        <v>0</v>
      </c>
      <c r="C676" s="4">
        <v>0</v>
      </c>
      <c r="D676" s="4">
        <v>1</v>
      </c>
      <c r="E676" s="4">
        <v>227</v>
      </c>
      <c r="F676" s="4">
        <f>ROUND(Source!AX669,O676)</f>
        <v>0</v>
      </c>
      <c r="G676" s="4" t="s">
        <v>125</v>
      </c>
      <c r="H676" s="4" t="s">
        <v>126</v>
      </c>
      <c r="I676" s="4"/>
      <c r="J676" s="4"/>
      <c r="K676" s="4">
        <v>227</v>
      </c>
      <c r="L676" s="4">
        <v>6</v>
      </c>
      <c r="M676" s="4">
        <v>3</v>
      </c>
      <c r="N676" s="4" t="s">
        <v>6</v>
      </c>
      <c r="O676" s="4">
        <v>2</v>
      </c>
      <c r="P676" s="4"/>
      <c r="Q676" s="4"/>
      <c r="R676" s="4"/>
      <c r="S676" s="4"/>
      <c r="T676" s="4"/>
      <c r="U676" s="4"/>
      <c r="V676" s="4"/>
      <c r="W676" s="4"/>
    </row>
    <row r="677" spans="1:23" x14ac:dyDescent="0.2">
      <c r="A677" s="4">
        <v>50</v>
      </c>
      <c r="B677" s="4">
        <v>0</v>
      </c>
      <c r="C677" s="4">
        <v>0</v>
      </c>
      <c r="D677" s="4">
        <v>1</v>
      </c>
      <c r="E677" s="4">
        <v>228</v>
      </c>
      <c r="F677" s="4">
        <f>ROUND(Source!AY669,O677)</f>
        <v>15827.67</v>
      </c>
      <c r="G677" s="4" t="s">
        <v>127</v>
      </c>
      <c r="H677" s="4" t="s">
        <v>128</v>
      </c>
      <c r="I677" s="4"/>
      <c r="J677" s="4"/>
      <c r="K677" s="4">
        <v>228</v>
      </c>
      <c r="L677" s="4">
        <v>7</v>
      </c>
      <c r="M677" s="4">
        <v>3</v>
      </c>
      <c r="N677" s="4" t="s">
        <v>6</v>
      </c>
      <c r="O677" s="4">
        <v>2</v>
      </c>
      <c r="P677" s="4"/>
      <c r="Q677" s="4"/>
      <c r="R677" s="4"/>
      <c r="S677" s="4"/>
      <c r="T677" s="4"/>
      <c r="U677" s="4"/>
      <c r="V677" s="4"/>
      <c r="W677" s="4"/>
    </row>
    <row r="678" spans="1:23" x14ac:dyDescent="0.2">
      <c r="A678" s="4">
        <v>50</v>
      </c>
      <c r="B678" s="4">
        <v>0</v>
      </c>
      <c r="C678" s="4">
        <v>0</v>
      </c>
      <c r="D678" s="4">
        <v>1</v>
      </c>
      <c r="E678" s="4">
        <v>216</v>
      </c>
      <c r="F678" s="4">
        <f>ROUND(Source!AP669,O678)</f>
        <v>0</v>
      </c>
      <c r="G678" s="4" t="s">
        <v>129</v>
      </c>
      <c r="H678" s="4" t="s">
        <v>130</v>
      </c>
      <c r="I678" s="4"/>
      <c r="J678" s="4"/>
      <c r="K678" s="4">
        <v>216</v>
      </c>
      <c r="L678" s="4">
        <v>8</v>
      </c>
      <c r="M678" s="4">
        <v>3</v>
      </c>
      <c r="N678" s="4" t="s">
        <v>6</v>
      </c>
      <c r="O678" s="4">
        <v>2</v>
      </c>
      <c r="P678" s="4"/>
      <c r="Q678" s="4"/>
      <c r="R678" s="4"/>
      <c r="S678" s="4"/>
      <c r="T678" s="4"/>
      <c r="U678" s="4"/>
      <c r="V678" s="4"/>
      <c r="W678" s="4"/>
    </row>
    <row r="679" spans="1:23" x14ac:dyDescent="0.2">
      <c r="A679" s="4">
        <v>50</v>
      </c>
      <c r="B679" s="4">
        <v>0</v>
      </c>
      <c r="C679" s="4">
        <v>0</v>
      </c>
      <c r="D679" s="4">
        <v>1</v>
      </c>
      <c r="E679" s="4">
        <v>223</v>
      </c>
      <c r="F679" s="4">
        <f>ROUND(Source!AQ669,O679)</f>
        <v>0</v>
      </c>
      <c r="G679" s="4" t="s">
        <v>131</v>
      </c>
      <c r="H679" s="4" t="s">
        <v>132</v>
      </c>
      <c r="I679" s="4"/>
      <c r="J679" s="4"/>
      <c r="K679" s="4">
        <v>223</v>
      </c>
      <c r="L679" s="4">
        <v>9</v>
      </c>
      <c r="M679" s="4">
        <v>3</v>
      </c>
      <c r="N679" s="4" t="s">
        <v>6</v>
      </c>
      <c r="O679" s="4">
        <v>2</v>
      </c>
      <c r="P679" s="4"/>
      <c r="Q679" s="4"/>
      <c r="R679" s="4"/>
      <c r="S679" s="4"/>
      <c r="T679" s="4"/>
      <c r="U679" s="4"/>
      <c r="V679" s="4"/>
      <c r="W679" s="4"/>
    </row>
    <row r="680" spans="1:23" x14ac:dyDescent="0.2">
      <c r="A680" s="4">
        <v>50</v>
      </c>
      <c r="B680" s="4">
        <v>0</v>
      </c>
      <c r="C680" s="4">
        <v>0</v>
      </c>
      <c r="D680" s="4">
        <v>1</v>
      </c>
      <c r="E680" s="4">
        <v>229</v>
      </c>
      <c r="F680" s="4">
        <f>ROUND(Source!AZ669,O680)</f>
        <v>0</v>
      </c>
      <c r="G680" s="4" t="s">
        <v>133</v>
      </c>
      <c r="H680" s="4" t="s">
        <v>134</v>
      </c>
      <c r="I680" s="4"/>
      <c r="J680" s="4"/>
      <c r="K680" s="4">
        <v>229</v>
      </c>
      <c r="L680" s="4">
        <v>10</v>
      </c>
      <c r="M680" s="4">
        <v>3</v>
      </c>
      <c r="N680" s="4" t="s">
        <v>6</v>
      </c>
      <c r="O680" s="4">
        <v>2</v>
      </c>
      <c r="P680" s="4"/>
      <c r="Q680" s="4"/>
      <c r="R680" s="4"/>
      <c r="S680" s="4"/>
      <c r="T680" s="4"/>
      <c r="U680" s="4"/>
      <c r="V680" s="4"/>
      <c r="W680" s="4"/>
    </row>
    <row r="681" spans="1:23" x14ac:dyDescent="0.2">
      <c r="A681" s="4">
        <v>50</v>
      </c>
      <c r="B681" s="4">
        <v>0</v>
      </c>
      <c r="C681" s="4">
        <v>0</v>
      </c>
      <c r="D681" s="4">
        <v>1</v>
      </c>
      <c r="E681" s="4">
        <v>203</v>
      </c>
      <c r="F681" s="4">
        <f>ROUND(Source!Q669,O681)</f>
        <v>110.49</v>
      </c>
      <c r="G681" s="4" t="s">
        <v>135</v>
      </c>
      <c r="H681" s="4" t="s">
        <v>136</v>
      </c>
      <c r="I681" s="4"/>
      <c r="J681" s="4"/>
      <c r="K681" s="4">
        <v>203</v>
      </c>
      <c r="L681" s="4">
        <v>11</v>
      </c>
      <c r="M681" s="4">
        <v>3</v>
      </c>
      <c r="N681" s="4" t="s">
        <v>6</v>
      </c>
      <c r="O681" s="4">
        <v>2</v>
      </c>
      <c r="P681" s="4"/>
      <c r="Q681" s="4"/>
      <c r="R681" s="4"/>
      <c r="S681" s="4"/>
      <c r="T681" s="4"/>
      <c r="U681" s="4"/>
      <c r="V681" s="4"/>
      <c r="W681" s="4"/>
    </row>
    <row r="682" spans="1:23" x14ac:dyDescent="0.2">
      <c r="A682" s="4">
        <v>50</v>
      </c>
      <c r="B682" s="4">
        <v>0</v>
      </c>
      <c r="C682" s="4">
        <v>0</v>
      </c>
      <c r="D682" s="4">
        <v>1</v>
      </c>
      <c r="E682" s="4">
        <v>231</v>
      </c>
      <c r="F682" s="4">
        <f>ROUND(Source!BB669,O682)</f>
        <v>0</v>
      </c>
      <c r="G682" s="4" t="s">
        <v>137</v>
      </c>
      <c r="H682" s="4" t="s">
        <v>138</v>
      </c>
      <c r="I682" s="4"/>
      <c r="J682" s="4"/>
      <c r="K682" s="4">
        <v>231</v>
      </c>
      <c r="L682" s="4">
        <v>12</v>
      </c>
      <c r="M682" s="4">
        <v>3</v>
      </c>
      <c r="N682" s="4" t="s">
        <v>6</v>
      </c>
      <c r="O682" s="4">
        <v>2</v>
      </c>
      <c r="P682" s="4"/>
      <c r="Q682" s="4"/>
      <c r="R682" s="4"/>
      <c r="S682" s="4"/>
      <c r="T682" s="4"/>
      <c r="U682" s="4"/>
      <c r="V682" s="4"/>
      <c r="W682" s="4"/>
    </row>
    <row r="683" spans="1:23" x14ac:dyDescent="0.2">
      <c r="A683" s="4">
        <v>50</v>
      </c>
      <c r="B683" s="4">
        <v>0</v>
      </c>
      <c r="C683" s="4">
        <v>0</v>
      </c>
      <c r="D683" s="4">
        <v>1</v>
      </c>
      <c r="E683" s="4">
        <v>204</v>
      </c>
      <c r="F683" s="4">
        <f>ROUND(Source!R669,O683)</f>
        <v>26.81</v>
      </c>
      <c r="G683" s="4" t="s">
        <v>139</v>
      </c>
      <c r="H683" s="4" t="s">
        <v>140</v>
      </c>
      <c r="I683" s="4"/>
      <c r="J683" s="4"/>
      <c r="K683" s="4">
        <v>204</v>
      </c>
      <c r="L683" s="4">
        <v>13</v>
      </c>
      <c r="M683" s="4">
        <v>3</v>
      </c>
      <c r="N683" s="4" t="s">
        <v>6</v>
      </c>
      <c r="O683" s="4">
        <v>2</v>
      </c>
      <c r="P683" s="4"/>
      <c r="Q683" s="4"/>
      <c r="R683" s="4"/>
      <c r="S683" s="4"/>
      <c r="T683" s="4"/>
      <c r="U683" s="4"/>
      <c r="V683" s="4"/>
      <c r="W683" s="4"/>
    </row>
    <row r="684" spans="1:23" x14ac:dyDescent="0.2">
      <c r="A684" s="4">
        <v>50</v>
      </c>
      <c r="B684" s="4">
        <v>0</v>
      </c>
      <c r="C684" s="4">
        <v>0</v>
      </c>
      <c r="D684" s="4">
        <v>1</v>
      </c>
      <c r="E684" s="4">
        <v>205</v>
      </c>
      <c r="F684" s="4">
        <f>ROUND(Source!S669,O684)</f>
        <v>1348.77</v>
      </c>
      <c r="G684" s="4" t="s">
        <v>141</v>
      </c>
      <c r="H684" s="4" t="s">
        <v>142</v>
      </c>
      <c r="I684" s="4"/>
      <c r="J684" s="4"/>
      <c r="K684" s="4">
        <v>205</v>
      </c>
      <c r="L684" s="4">
        <v>14</v>
      </c>
      <c r="M684" s="4">
        <v>3</v>
      </c>
      <c r="N684" s="4" t="s">
        <v>6</v>
      </c>
      <c r="O684" s="4">
        <v>2</v>
      </c>
      <c r="P684" s="4"/>
      <c r="Q684" s="4"/>
      <c r="R684" s="4"/>
      <c r="S684" s="4"/>
      <c r="T684" s="4"/>
      <c r="U684" s="4"/>
      <c r="V684" s="4"/>
      <c r="W684" s="4"/>
    </row>
    <row r="685" spans="1:23" x14ac:dyDescent="0.2">
      <c r="A685" s="4">
        <v>50</v>
      </c>
      <c r="B685" s="4">
        <v>0</v>
      </c>
      <c r="C685" s="4">
        <v>0</v>
      </c>
      <c r="D685" s="4">
        <v>1</v>
      </c>
      <c r="E685" s="4">
        <v>232</v>
      </c>
      <c r="F685" s="4">
        <f>ROUND(Source!BC669,O685)</f>
        <v>0</v>
      </c>
      <c r="G685" s="4" t="s">
        <v>143</v>
      </c>
      <c r="H685" s="4" t="s">
        <v>144</v>
      </c>
      <c r="I685" s="4"/>
      <c r="J685" s="4"/>
      <c r="K685" s="4">
        <v>232</v>
      </c>
      <c r="L685" s="4">
        <v>15</v>
      </c>
      <c r="M685" s="4">
        <v>3</v>
      </c>
      <c r="N685" s="4" t="s">
        <v>6</v>
      </c>
      <c r="O685" s="4">
        <v>2</v>
      </c>
      <c r="P685" s="4"/>
      <c r="Q685" s="4"/>
      <c r="R685" s="4"/>
      <c r="S685" s="4"/>
      <c r="T685" s="4"/>
      <c r="U685" s="4"/>
      <c r="V685" s="4"/>
      <c r="W685" s="4"/>
    </row>
    <row r="686" spans="1:23" x14ac:dyDescent="0.2">
      <c r="A686" s="4">
        <v>50</v>
      </c>
      <c r="B686" s="4">
        <v>0</v>
      </c>
      <c r="C686" s="4">
        <v>0</v>
      </c>
      <c r="D686" s="4">
        <v>1</v>
      </c>
      <c r="E686" s="4">
        <v>214</v>
      </c>
      <c r="F686" s="4">
        <f>ROUND(Source!AS669,O686)</f>
        <v>19800.89</v>
      </c>
      <c r="G686" s="4" t="s">
        <v>145</v>
      </c>
      <c r="H686" s="4" t="s">
        <v>146</v>
      </c>
      <c r="I686" s="4"/>
      <c r="J686" s="4"/>
      <c r="K686" s="4">
        <v>214</v>
      </c>
      <c r="L686" s="4">
        <v>16</v>
      </c>
      <c r="M686" s="4">
        <v>3</v>
      </c>
      <c r="N686" s="4" t="s">
        <v>6</v>
      </c>
      <c r="O686" s="4">
        <v>2</v>
      </c>
      <c r="P686" s="4"/>
      <c r="Q686" s="4"/>
      <c r="R686" s="4"/>
      <c r="S686" s="4"/>
      <c r="T686" s="4"/>
      <c r="U686" s="4"/>
      <c r="V686" s="4"/>
      <c r="W686" s="4"/>
    </row>
    <row r="687" spans="1:23" x14ac:dyDescent="0.2">
      <c r="A687" s="4">
        <v>50</v>
      </c>
      <c r="B687" s="4">
        <v>0</v>
      </c>
      <c r="C687" s="4">
        <v>0</v>
      </c>
      <c r="D687" s="4">
        <v>1</v>
      </c>
      <c r="E687" s="4">
        <v>215</v>
      </c>
      <c r="F687" s="4">
        <f>ROUND(Source!AT669,O687)</f>
        <v>0</v>
      </c>
      <c r="G687" s="4" t="s">
        <v>147</v>
      </c>
      <c r="H687" s="4" t="s">
        <v>148</v>
      </c>
      <c r="I687" s="4"/>
      <c r="J687" s="4"/>
      <c r="K687" s="4">
        <v>215</v>
      </c>
      <c r="L687" s="4">
        <v>17</v>
      </c>
      <c r="M687" s="4">
        <v>3</v>
      </c>
      <c r="N687" s="4" t="s">
        <v>6</v>
      </c>
      <c r="O687" s="4">
        <v>2</v>
      </c>
      <c r="P687" s="4"/>
      <c r="Q687" s="4"/>
      <c r="R687" s="4"/>
      <c r="S687" s="4"/>
      <c r="T687" s="4"/>
      <c r="U687" s="4"/>
      <c r="V687" s="4"/>
      <c r="W687" s="4"/>
    </row>
    <row r="688" spans="1:23" x14ac:dyDescent="0.2">
      <c r="A688" s="4">
        <v>50</v>
      </c>
      <c r="B688" s="4">
        <v>0</v>
      </c>
      <c r="C688" s="4">
        <v>0</v>
      </c>
      <c r="D688" s="4">
        <v>1</v>
      </c>
      <c r="E688" s="4">
        <v>217</v>
      </c>
      <c r="F688" s="4">
        <f>ROUND(Source!AU669,O688)</f>
        <v>0</v>
      </c>
      <c r="G688" s="4" t="s">
        <v>149</v>
      </c>
      <c r="H688" s="4" t="s">
        <v>150</v>
      </c>
      <c r="I688" s="4"/>
      <c r="J688" s="4"/>
      <c r="K688" s="4">
        <v>217</v>
      </c>
      <c r="L688" s="4">
        <v>18</v>
      </c>
      <c r="M688" s="4">
        <v>3</v>
      </c>
      <c r="N688" s="4" t="s">
        <v>6</v>
      </c>
      <c r="O688" s="4">
        <v>2</v>
      </c>
      <c r="P688" s="4"/>
      <c r="Q688" s="4"/>
      <c r="R688" s="4"/>
      <c r="S688" s="4"/>
      <c r="T688" s="4"/>
      <c r="U688" s="4"/>
      <c r="V688" s="4"/>
      <c r="W688" s="4"/>
    </row>
    <row r="689" spans="1:206" x14ac:dyDescent="0.2">
      <c r="A689" s="4">
        <v>50</v>
      </c>
      <c r="B689" s="4">
        <v>0</v>
      </c>
      <c r="C689" s="4">
        <v>0</v>
      </c>
      <c r="D689" s="4">
        <v>1</v>
      </c>
      <c r="E689" s="4">
        <v>230</v>
      </c>
      <c r="F689" s="4">
        <f>ROUND(Source!BA669,O689)</f>
        <v>0</v>
      </c>
      <c r="G689" s="4" t="s">
        <v>151</v>
      </c>
      <c r="H689" s="4" t="s">
        <v>152</v>
      </c>
      <c r="I689" s="4"/>
      <c r="J689" s="4"/>
      <c r="K689" s="4">
        <v>230</v>
      </c>
      <c r="L689" s="4">
        <v>19</v>
      </c>
      <c r="M689" s="4">
        <v>3</v>
      </c>
      <c r="N689" s="4" t="s">
        <v>6</v>
      </c>
      <c r="O689" s="4">
        <v>2</v>
      </c>
      <c r="P689" s="4"/>
      <c r="Q689" s="4"/>
      <c r="R689" s="4"/>
      <c r="S689" s="4"/>
      <c r="T689" s="4"/>
      <c r="U689" s="4"/>
      <c r="V689" s="4"/>
      <c r="W689" s="4"/>
    </row>
    <row r="690" spans="1:206" x14ac:dyDescent="0.2">
      <c r="A690" s="4">
        <v>50</v>
      </c>
      <c r="B690" s="4">
        <v>0</v>
      </c>
      <c r="C690" s="4">
        <v>0</v>
      </c>
      <c r="D690" s="4">
        <v>1</v>
      </c>
      <c r="E690" s="4">
        <v>206</v>
      </c>
      <c r="F690" s="4">
        <f>ROUND(Source!T669,O690)</f>
        <v>0</v>
      </c>
      <c r="G690" s="4" t="s">
        <v>153</v>
      </c>
      <c r="H690" s="4" t="s">
        <v>154</v>
      </c>
      <c r="I690" s="4"/>
      <c r="J690" s="4"/>
      <c r="K690" s="4">
        <v>206</v>
      </c>
      <c r="L690" s="4">
        <v>20</v>
      </c>
      <c r="M690" s="4">
        <v>3</v>
      </c>
      <c r="N690" s="4" t="s">
        <v>6</v>
      </c>
      <c r="O690" s="4">
        <v>2</v>
      </c>
      <c r="P690" s="4"/>
      <c r="Q690" s="4"/>
      <c r="R690" s="4"/>
      <c r="S690" s="4"/>
      <c r="T690" s="4"/>
      <c r="U690" s="4"/>
      <c r="V690" s="4"/>
      <c r="W690" s="4"/>
    </row>
    <row r="691" spans="1:206" x14ac:dyDescent="0.2">
      <c r="A691" s="4">
        <v>50</v>
      </c>
      <c r="B691" s="4">
        <v>0</v>
      </c>
      <c r="C691" s="4">
        <v>0</v>
      </c>
      <c r="D691" s="4">
        <v>1</v>
      </c>
      <c r="E691" s="4">
        <v>207</v>
      </c>
      <c r="F691" s="4">
        <f>Source!U669</f>
        <v>21.297429999999999</v>
      </c>
      <c r="G691" s="4" t="s">
        <v>155</v>
      </c>
      <c r="H691" s="4" t="s">
        <v>156</v>
      </c>
      <c r="I691" s="4"/>
      <c r="J691" s="4"/>
      <c r="K691" s="4">
        <v>207</v>
      </c>
      <c r="L691" s="4">
        <v>21</v>
      </c>
      <c r="M691" s="4">
        <v>3</v>
      </c>
      <c r="N691" s="4" t="s">
        <v>6</v>
      </c>
      <c r="O691" s="4">
        <v>-1</v>
      </c>
      <c r="P691" s="4"/>
      <c r="Q691" s="4"/>
      <c r="R691" s="4"/>
      <c r="S691" s="4"/>
      <c r="T691" s="4"/>
      <c r="U691" s="4"/>
      <c r="V691" s="4"/>
      <c r="W691" s="4"/>
    </row>
    <row r="692" spans="1:206" x14ac:dyDescent="0.2">
      <c r="A692" s="4">
        <v>50</v>
      </c>
      <c r="B692" s="4">
        <v>0</v>
      </c>
      <c r="C692" s="4">
        <v>0</v>
      </c>
      <c r="D692" s="4">
        <v>1</v>
      </c>
      <c r="E692" s="4">
        <v>208</v>
      </c>
      <c r="F692" s="4">
        <f>Source!V669</f>
        <v>0.32814999999999994</v>
      </c>
      <c r="G692" s="4" t="s">
        <v>157</v>
      </c>
      <c r="H692" s="4" t="s">
        <v>158</v>
      </c>
      <c r="I692" s="4"/>
      <c r="J692" s="4"/>
      <c r="K692" s="4">
        <v>208</v>
      </c>
      <c r="L692" s="4">
        <v>22</v>
      </c>
      <c r="M692" s="4">
        <v>3</v>
      </c>
      <c r="N692" s="4" t="s">
        <v>6</v>
      </c>
      <c r="O692" s="4">
        <v>-1</v>
      </c>
      <c r="P692" s="4"/>
      <c r="Q692" s="4"/>
      <c r="R692" s="4"/>
      <c r="S692" s="4"/>
      <c r="T692" s="4"/>
      <c r="U692" s="4"/>
      <c r="V692" s="4"/>
      <c r="W692" s="4"/>
    </row>
    <row r="693" spans="1:206" x14ac:dyDescent="0.2">
      <c r="A693" s="4">
        <v>50</v>
      </c>
      <c r="B693" s="4">
        <v>0</v>
      </c>
      <c r="C693" s="4">
        <v>0</v>
      </c>
      <c r="D693" s="4">
        <v>1</v>
      </c>
      <c r="E693" s="4">
        <v>209</v>
      </c>
      <c r="F693" s="4">
        <f>ROUND(Source!W669,O693)</f>
        <v>0</v>
      </c>
      <c r="G693" s="4" t="s">
        <v>159</v>
      </c>
      <c r="H693" s="4" t="s">
        <v>160</v>
      </c>
      <c r="I693" s="4"/>
      <c r="J693" s="4"/>
      <c r="K693" s="4">
        <v>209</v>
      </c>
      <c r="L693" s="4">
        <v>23</v>
      </c>
      <c r="M693" s="4">
        <v>3</v>
      </c>
      <c r="N693" s="4" t="s">
        <v>6</v>
      </c>
      <c r="O693" s="4">
        <v>2</v>
      </c>
      <c r="P693" s="4"/>
      <c r="Q693" s="4"/>
      <c r="R693" s="4"/>
      <c r="S693" s="4"/>
      <c r="T693" s="4"/>
      <c r="U693" s="4"/>
      <c r="V693" s="4"/>
      <c r="W693" s="4"/>
    </row>
    <row r="694" spans="1:206" x14ac:dyDescent="0.2">
      <c r="A694" s="4">
        <v>50</v>
      </c>
      <c r="B694" s="4">
        <v>0</v>
      </c>
      <c r="C694" s="4">
        <v>0</v>
      </c>
      <c r="D694" s="4">
        <v>1</v>
      </c>
      <c r="E694" s="4">
        <v>210</v>
      </c>
      <c r="F694" s="4">
        <f>ROUND(Source!X669,O694)</f>
        <v>1552.41</v>
      </c>
      <c r="G694" s="4" t="s">
        <v>161</v>
      </c>
      <c r="H694" s="4" t="s">
        <v>162</v>
      </c>
      <c r="I694" s="4"/>
      <c r="J694" s="4"/>
      <c r="K694" s="4">
        <v>210</v>
      </c>
      <c r="L694" s="4">
        <v>24</v>
      </c>
      <c r="M694" s="4">
        <v>3</v>
      </c>
      <c r="N694" s="4" t="s">
        <v>6</v>
      </c>
      <c r="O694" s="4">
        <v>2</v>
      </c>
      <c r="P694" s="4"/>
      <c r="Q694" s="4"/>
      <c r="R694" s="4"/>
      <c r="S694" s="4"/>
      <c r="T694" s="4"/>
      <c r="U694" s="4"/>
      <c r="V694" s="4"/>
      <c r="W694" s="4"/>
    </row>
    <row r="695" spans="1:206" x14ac:dyDescent="0.2">
      <c r="A695" s="4">
        <v>50</v>
      </c>
      <c r="B695" s="4">
        <v>0</v>
      </c>
      <c r="C695" s="4">
        <v>0</v>
      </c>
      <c r="D695" s="4">
        <v>1</v>
      </c>
      <c r="E695" s="4">
        <v>211</v>
      </c>
      <c r="F695" s="4">
        <f>ROUND(Source!Y669,O695)</f>
        <v>961.55</v>
      </c>
      <c r="G695" s="4" t="s">
        <v>163</v>
      </c>
      <c r="H695" s="4" t="s">
        <v>164</v>
      </c>
      <c r="I695" s="4"/>
      <c r="J695" s="4"/>
      <c r="K695" s="4">
        <v>211</v>
      </c>
      <c r="L695" s="4">
        <v>25</v>
      </c>
      <c r="M695" s="4">
        <v>3</v>
      </c>
      <c r="N695" s="4" t="s">
        <v>6</v>
      </c>
      <c r="O695" s="4">
        <v>2</v>
      </c>
      <c r="P695" s="4"/>
      <c r="Q695" s="4"/>
      <c r="R695" s="4"/>
      <c r="S695" s="4"/>
      <c r="T695" s="4"/>
      <c r="U695" s="4"/>
      <c r="V695" s="4"/>
      <c r="W695" s="4"/>
    </row>
    <row r="696" spans="1:206" x14ac:dyDescent="0.2">
      <c r="A696" s="4">
        <v>50</v>
      </c>
      <c r="B696" s="4">
        <v>0</v>
      </c>
      <c r="C696" s="4">
        <v>0</v>
      </c>
      <c r="D696" s="4">
        <v>1</v>
      </c>
      <c r="E696" s="4">
        <v>224</v>
      </c>
      <c r="F696" s="4">
        <f>ROUND(Source!AR669,O696)</f>
        <v>19800.89</v>
      </c>
      <c r="G696" s="4" t="s">
        <v>165</v>
      </c>
      <c r="H696" s="4" t="s">
        <v>166</v>
      </c>
      <c r="I696" s="4"/>
      <c r="J696" s="4"/>
      <c r="K696" s="4">
        <v>224</v>
      </c>
      <c r="L696" s="4">
        <v>26</v>
      </c>
      <c r="M696" s="4">
        <v>3</v>
      </c>
      <c r="N696" s="4" t="s">
        <v>6</v>
      </c>
      <c r="O696" s="4">
        <v>2</v>
      </c>
      <c r="P696" s="4"/>
      <c r="Q696" s="4"/>
      <c r="R696" s="4"/>
      <c r="S696" s="4"/>
      <c r="T696" s="4"/>
      <c r="U696" s="4"/>
      <c r="V696" s="4"/>
      <c r="W696" s="4"/>
    </row>
    <row r="698" spans="1:206" x14ac:dyDescent="0.2">
      <c r="A698" s="2">
        <v>51</v>
      </c>
      <c r="B698" s="2">
        <f>B20</f>
        <v>1</v>
      </c>
      <c r="C698" s="2">
        <f>A20</f>
        <v>3</v>
      </c>
      <c r="D698" s="2">
        <f>ROW(A20)</f>
        <v>20</v>
      </c>
      <c r="E698" s="2"/>
      <c r="F698" s="2" t="str">
        <f>IF(F20&lt;&gt;"",F20,"")</f>
        <v>Новая локальная смета</v>
      </c>
      <c r="G698" s="2" t="str">
        <f>IF(G20&lt;&gt;"",G20,"")</f>
        <v>Новая локальная смета</v>
      </c>
      <c r="H698" s="2">
        <v>0</v>
      </c>
      <c r="I698" s="2"/>
      <c r="J698" s="2"/>
      <c r="K698" s="2"/>
      <c r="L698" s="2"/>
      <c r="M698" s="2"/>
      <c r="N698" s="2"/>
      <c r="O698" s="2">
        <f t="shared" ref="O698:T698" si="521">ROUND(O216+O419+O457+O498+O541+O580+O622+O669+AB698,2)</f>
        <v>1966902.86</v>
      </c>
      <c r="P698" s="2">
        <f t="shared" si="521"/>
        <v>1774171.91</v>
      </c>
      <c r="Q698" s="2">
        <f t="shared" si="521"/>
        <v>20233.37</v>
      </c>
      <c r="R698" s="2">
        <f t="shared" si="521"/>
        <v>3538.3</v>
      </c>
      <c r="S698" s="2">
        <f t="shared" si="521"/>
        <v>172497.58</v>
      </c>
      <c r="T698" s="2">
        <f t="shared" si="521"/>
        <v>0</v>
      </c>
      <c r="U698" s="2">
        <f>U216+U419+U457+U498+U541+U580+U622+U669+AH698</f>
        <v>2256.7420697500002</v>
      </c>
      <c r="V698" s="2">
        <f>V216+V419+V457+V498+V541+V580+V622+V669+AI698</f>
        <v>45.953571999999994</v>
      </c>
      <c r="W698" s="2">
        <f>ROUND(W216+W419+W457+W498+W541+W580+W622+W669+AJ698,2)</f>
        <v>0</v>
      </c>
      <c r="X698" s="2">
        <f>ROUND(X216+X419+X457+X498+X541+X580+X622+X669+AK698,2)</f>
        <v>149802.93</v>
      </c>
      <c r="Y698" s="2">
        <f>ROUND(Y216+Y419+Y457+Y498+Y541+Y580+Y622+Y669+AL698,2)</f>
        <v>94412.99</v>
      </c>
      <c r="Z698" s="2"/>
      <c r="AA698" s="2"/>
      <c r="AB698" s="2"/>
      <c r="AC698" s="2"/>
      <c r="AD698" s="2"/>
      <c r="AE698" s="2"/>
      <c r="AF698" s="2"/>
      <c r="AG698" s="2"/>
      <c r="AH698" s="2"/>
      <c r="AI698" s="2"/>
      <c r="AJ698" s="2"/>
      <c r="AK698" s="2"/>
      <c r="AL698" s="2"/>
      <c r="AM698" s="2"/>
      <c r="AN698" s="2"/>
      <c r="AO698" s="2">
        <f t="shared" ref="AO698:BC698" si="522">ROUND(AO216+AO419+AO457+AO498+AO541+AO580+AO622+AO669+BX698,2)</f>
        <v>0</v>
      </c>
      <c r="AP698" s="2">
        <f t="shared" si="522"/>
        <v>0</v>
      </c>
      <c r="AQ698" s="2">
        <f t="shared" si="522"/>
        <v>0</v>
      </c>
      <c r="AR698" s="2">
        <f t="shared" si="522"/>
        <v>2218501.14</v>
      </c>
      <c r="AS698" s="2">
        <f t="shared" si="522"/>
        <v>1540258.79</v>
      </c>
      <c r="AT698" s="2">
        <f t="shared" si="522"/>
        <v>588860.31999999995</v>
      </c>
      <c r="AU698" s="2">
        <f t="shared" si="522"/>
        <v>89382.03</v>
      </c>
      <c r="AV698" s="2">
        <f t="shared" si="522"/>
        <v>1774171.91</v>
      </c>
      <c r="AW698" s="2">
        <f t="shared" si="522"/>
        <v>1774171.91</v>
      </c>
      <c r="AX698" s="2">
        <f t="shared" si="522"/>
        <v>0</v>
      </c>
      <c r="AY698" s="2">
        <f t="shared" si="522"/>
        <v>1774171.91</v>
      </c>
      <c r="AZ698" s="2">
        <f t="shared" si="522"/>
        <v>0</v>
      </c>
      <c r="BA698" s="2">
        <f t="shared" si="522"/>
        <v>0</v>
      </c>
      <c r="BB698" s="2">
        <f t="shared" si="522"/>
        <v>0</v>
      </c>
      <c r="BC698" s="2">
        <f t="shared" si="522"/>
        <v>0</v>
      </c>
      <c r="BD698" s="2"/>
      <c r="BE698" s="2"/>
      <c r="BF698" s="2"/>
      <c r="BG698" s="2"/>
      <c r="BH698" s="2"/>
      <c r="BI698" s="2"/>
      <c r="BJ698" s="2"/>
      <c r="BK698" s="2"/>
      <c r="BL698" s="2"/>
      <c r="BM698" s="2"/>
      <c r="BN698" s="2"/>
      <c r="BO698" s="2"/>
      <c r="BP698" s="2"/>
      <c r="BQ698" s="2"/>
      <c r="BR698" s="2"/>
      <c r="BS698" s="2"/>
      <c r="BT698" s="2"/>
      <c r="BU698" s="2"/>
      <c r="BV698" s="2"/>
      <c r="BW698" s="2"/>
      <c r="BX698" s="2"/>
      <c r="BY698" s="2"/>
      <c r="BZ698" s="2"/>
      <c r="CA698" s="2"/>
      <c r="CB698" s="2"/>
      <c r="CC698" s="2"/>
      <c r="CD698" s="2"/>
      <c r="CE698" s="2"/>
      <c r="CF698" s="2"/>
      <c r="CG698" s="2"/>
      <c r="CH698" s="2"/>
      <c r="CI698" s="2"/>
      <c r="CJ698" s="2"/>
      <c r="CK698" s="2"/>
      <c r="CL698" s="2"/>
      <c r="CM698" s="2"/>
      <c r="CN698" s="2"/>
      <c r="CO698" s="2"/>
      <c r="CP698" s="2"/>
      <c r="CQ698" s="2"/>
      <c r="CR698" s="2"/>
      <c r="CS698" s="2"/>
      <c r="CT698" s="2"/>
      <c r="CU698" s="2"/>
      <c r="CV698" s="2"/>
      <c r="CW698" s="2"/>
      <c r="CX698" s="2"/>
      <c r="CY698" s="2"/>
      <c r="CZ698" s="2"/>
      <c r="DA698" s="2"/>
      <c r="DB698" s="2"/>
      <c r="DC698" s="2"/>
      <c r="DD698" s="2"/>
      <c r="DE698" s="2"/>
      <c r="DF698" s="2"/>
      <c r="DG698" s="3"/>
      <c r="DH698" s="3"/>
      <c r="DI698" s="3"/>
      <c r="DJ698" s="3"/>
      <c r="DK698" s="3"/>
      <c r="DL698" s="3"/>
      <c r="DM698" s="3"/>
      <c r="DN698" s="3"/>
      <c r="DO698" s="3"/>
      <c r="DP698" s="3"/>
      <c r="DQ698" s="3"/>
      <c r="DR698" s="3"/>
      <c r="DS698" s="3"/>
      <c r="DT698" s="3"/>
      <c r="DU698" s="3"/>
      <c r="DV698" s="3"/>
      <c r="DW698" s="3"/>
      <c r="DX698" s="3"/>
      <c r="DY698" s="3"/>
      <c r="DZ698" s="3"/>
      <c r="EA698" s="3"/>
      <c r="EB698" s="3"/>
      <c r="EC698" s="3"/>
      <c r="ED698" s="3"/>
      <c r="EE698" s="3"/>
      <c r="EF698" s="3"/>
      <c r="EG698" s="3"/>
      <c r="EH698" s="3"/>
      <c r="EI698" s="3"/>
      <c r="EJ698" s="3"/>
      <c r="EK698" s="3"/>
      <c r="EL698" s="3"/>
      <c r="EM698" s="3"/>
      <c r="EN698" s="3"/>
      <c r="EO698" s="3"/>
      <c r="EP698" s="3"/>
      <c r="EQ698" s="3"/>
      <c r="ER698" s="3"/>
      <c r="ES698" s="3"/>
      <c r="ET698" s="3"/>
      <c r="EU698" s="3"/>
      <c r="EV698" s="3"/>
      <c r="EW698" s="3"/>
      <c r="EX698" s="3"/>
      <c r="EY698" s="3"/>
      <c r="EZ698" s="3"/>
      <c r="FA698" s="3"/>
      <c r="FB698" s="3"/>
      <c r="FC698" s="3"/>
      <c r="FD698" s="3"/>
      <c r="FE698" s="3"/>
      <c r="FF698" s="3"/>
      <c r="FG698" s="3"/>
      <c r="FH698" s="3"/>
      <c r="FI698" s="3"/>
      <c r="FJ698" s="3"/>
      <c r="FK698" s="3"/>
      <c r="FL698" s="3"/>
      <c r="FM698" s="3"/>
      <c r="FN698" s="3"/>
      <c r="FO698" s="3"/>
      <c r="FP698" s="3"/>
      <c r="FQ698" s="3"/>
      <c r="FR698" s="3"/>
      <c r="FS698" s="3"/>
      <c r="FT698" s="3"/>
      <c r="FU698" s="3"/>
      <c r="FV698" s="3"/>
      <c r="FW698" s="3"/>
      <c r="FX698" s="3"/>
      <c r="FY698" s="3"/>
      <c r="FZ698" s="3"/>
      <c r="GA698" s="3"/>
      <c r="GB698" s="3"/>
      <c r="GC698" s="3"/>
      <c r="GD698" s="3"/>
      <c r="GE698" s="3"/>
      <c r="GF698" s="3"/>
      <c r="GG698" s="3"/>
      <c r="GH698" s="3"/>
      <c r="GI698" s="3"/>
      <c r="GJ698" s="3"/>
      <c r="GK698" s="3"/>
      <c r="GL698" s="3"/>
      <c r="GM698" s="3"/>
      <c r="GN698" s="3"/>
      <c r="GO698" s="3"/>
      <c r="GP698" s="3"/>
      <c r="GQ698" s="3"/>
      <c r="GR698" s="3"/>
      <c r="GS698" s="3"/>
      <c r="GT698" s="3"/>
      <c r="GU698" s="3"/>
      <c r="GV698" s="3"/>
      <c r="GW698" s="3"/>
      <c r="GX698" s="3">
        <v>0</v>
      </c>
    </row>
    <row r="700" spans="1:206" x14ac:dyDescent="0.2">
      <c r="A700" s="4">
        <v>50</v>
      </c>
      <c r="B700" s="4">
        <v>0</v>
      </c>
      <c r="C700" s="4">
        <v>0</v>
      </c>
      <c r="D700" s="4">
        <v>1</v>
      </c>
      <c r="E700" s="4">
        <v>201</v>
      </c>
      <c r="F700" s="4">
        <f>ROUND(Source!O698,O700)</f>
        <v>1966902.86</v>
      </c>
      <c r="G700" s="4" t="s">
        <v>115</v>
      </c>
      <c r="H700" s="4" t="s">
        <v>116</v>
      </c>
      <c r="I700" s="4"/>
      <c r="J700" s="4"/>
      <c r="K700" s="4">
        <v>201</v>
      </c>
      <c r="L700" s="4">
        <v>1</v>
      </c>
      <c r="M700" s="4">
        <v>3</v>
      </c>
      <c r="N700" s="4" t="s">
        <v>6</v>
      </c>
      <c r="O700" s="4">
        <v>2</v>
      </c>
      <c r="P700" s="4"/>
      <c r="Q700" s="4"/>
      <c r="R700" s="4"/>
      <c r="S700" s="4"/>
      <c r="T700" s="4"/>
      <c r="U700" s="4"/>
      <c r="V700" s="4"/>
      <c r="W700" s="4"/>
    </row>
    <row r="701" spans="1:206" x14ac:dyDescent="0.2">
      <c r="A701" s="4">
        <v>50</v>
      </c>
      <c r="B701" s="4">
        <v>0</v>
      </c>
      <c r="C701" s="4">
        <v>0</v>
      </c>
      <c r="D701" s="4">
        <v>1</v>
      </c>
      <c r="E701" s="4">
        <v>202</v>
      </c>
      <c r="F701" s="4">
        <f>ROUND(Source!P698,O701)</f>
        <v>1774171.91</v>
      </c>
      <c r="G701" s="4" t="s">
        <v>117</v>
      </c>
      <c r="H701" s="4" t="s">
        <v>118</v>
      </c>
      <c r="I701" s="4"/>
      <c r="J701" s="4"/>
      <c r="K701" s="4">
        <v>202</v>
      </c>
      <c r="L701" s="4">
        <v>2</v>
      </c>
      <c r="M701" s="4">
        <v>3</v>
      </c>
      <c r="N701" s="4" t="s">
        <v>6</v>
      </c>
      <c r="O701" s="4">
        <v>2</v>
      </c>
      <c r="P701" s="4"/>
      <c r="Q701" s="4"/>
      <c r="R701" s="4"/>
      <c r="S701" s="4"/>
      <c r="T701" s="4"/>
      <c r="U701" s="4"/>
      <c r="V701" s="4"/>
      <c r="W701" s="4"/>
    </row>
    <row r="702" spans="1:206" x14ac:dyDescent="0.2">
      <c r="A702" s="4">
        <v>50</v>
      </c>
      <c r="B702" s="4">
        <v>0</v>
      </c>
      <c r="C702" s="4">
        <v>0</v>
      </c>
      <c r="D702" s="4">
        <v>1</v>
      </c>
      <c r="E702" s="4">
        <v>222</v>
      </c>
      <c r="F702" s="4">
        <f>ROUND(Source!AO698,O702)</f>
        <v>0</v>
      </c>
      <c r="G702" s="4" t="s">
        <v>119</v>
      </c>
      <c r="H702" s="4" t="s">
        <v>120</v>
      </c>
      <c r="I702" s="4"/>
      <c r="J702" s="4"/>
      <c r="K702" s="4">
        <v>222</v>
      </c>
      <c r="L702" s="4">
        <v>3</v>
      </c>
      <c r="M702" s="4">
        <v>3</v>
      </c>
      <c r="N702" s="4" t="s">
        <v>6</v>
      </c>
      <c r="O702" s="4">
        <v>2</v>
      </c>
      <c r="P702" s="4"/>
      <c r="Q702" s="4"/>
      <c r="R702" s="4"/>
      <c r="S702" s="4"/>
      <c r="T702" s="4"/>
      <c r="U702" s="4"/>
      <c r="V702" s="4"/>
      <c r="W702" s="4"/>
    </row>
    <row r="703" spans="1:206" x14ac:dyDescent="0.2">
      <c r="A703" s="4">
        <v>50</v>
      </c>
      <c r="B703" s="4">
        <v>0</v>
      </c>
      <c r="C703" s="4">
        <v>0</v>
      </c>
      <c r="D703" s="4">
        <v>1</v>
      </c>
      <c r="E703" s="4">
        <v>225</v>
      </c>
      <c r="F703" s="4">
        <f>ROUND(Source!AV698,O703)</f>
        <v>1774171.91</v>
      </c>
      <c r="G703" s="4" t="s">
        <v>121</v>
      </c>
      <c r="H703" s="4" t="s">
        <v>122</v>
      </c>
      <c r="I703" s="4"/>
      <c r="J703" s="4"/>
      <c r="K703" s="4">
        <v>225</v>
      </c>
      <c r="L703" s="4">
        <v>4</v>
      </c>
      <c r="M703" s="4">
        <v>3</v>
      </c>
      <c r="N703" s="4" t="s">
        <v>6</v>
      </c>
      <c r="O703" s="4">
        <v>2</v>
      </c>
      <c r="P703" s="4"/>
      <c r="Q703" s="4"/>
      <c r="R703" s="4"/>
      <c r="S703" s="4"/>
      <c r="T703" s="4"/>
      <c r="U703" s="4"/>
      <c r="V703" s="4"/>
      <c r="W703" s="4"/>
    </row>
    <row r="704" spans="1:206" x14ac:dyDescent="0.2">
      <c r="A704" s="4">
        <v>50</v>
      </c>
      <c r="B704" s="4">
        <v>0</v>
      </c>
      <c r="C704" s="4">
        <v>0</v>
      </c>
      <c r="D704" s="4">
        <v>1</v>
      </c>
      <c r="E704" s="4">
        <v>226</v>
      </c>
      <c r="F704" s="4">
        <f>ROUND(Source!AW698,O704)</f>
        <v>1774171.91</v>
      </c>
      <c r="G704" s="4" t="s">
        <v>123</v>
      </c>
      <c r="H704" s="4" t="s">
        <v>124</v>
      </c>
      <c r="I704" s="4"/>
      <c r="J704" s="4"/>
      <c r="K704" s="4">
        <v>226</v>
      </c>
      <c r="L704" s="4">
        <v>5</v>
      </c>
      <c r="M704" s="4">
        <v>3</v>
      </c>
      <c r="N704" s="4" t="s">
        <v>6</v>
      </c>
      <c r="O704" s="4">
        <v>2</v>
      </c>
      <c r="P704" s="4"/>
      <c r="Q704" s="4"/>
      <c r="R704" s="4"/>
      <c r="S704" s="4"/>
      <c r="T704" s="4"/>
      <c r="U704" s="4"/>
      <c r="V704" s="4"/>
      <c r="W704" s="4"/>
    </row>
    <row r="705" spans="1:23" x14ac:dyDescent="0.2">
      <c r="A705" s="4">
        <v>50</v>
      </c>
      <c r="B705" s="4">
        <v>0</v>
      </c>
      <c r="C705" s="4">
        <v>0</v>
      </c>
      <c r="D705" s="4">
        <v>1</v>
      </c>
      <c r="E705" s="4">
        <v>227</v>
      </c>
      <c r="F705" s="4">
        <f>ROUND(Source!AX698,O705)</f>
        <v>0</v>
      </c>
      <c r="G705" s="4" t="s">
        <v>125</v>
      </c>
      <c r="H705" s="4" t="s">
        <v>126</v>
      </c>
      <c r="I705" s="4"/>
      <c r="J705" s="4"/>
      <c r="K705" s="4">
        <v>227</v>
      </c>
      <c r="L705" s="4">
        <v>6</v>
      </c>
      <c r="M705" s="4">
        <v>3</v>
      </c>
      <c r="N705" s="4" t="s">
        <v>6</v>
      </c>
      <c r="O705" s="4">
        <v>2</v>
      </c>
      <c r="P705" s="4"/>
      <c r="Q705" s="4"/>
      <c r="R705" s="4"/>
      <c r="S705" s="4"/>
      <c r="T705" s="4"/>
      <c r="U705" s="4"/>
      <c r="V705" s="4"/>
      <c r="W705" s="4"/>
    </row>
    <row r="706" spans="1:23" x14ac:dyDescent="0.2">
      <c r="A706" s="4">
        <v>50</v>
      </c>
      <c r="B706" s="4">
        <v>0</v>
      </c>
      <c r="C706" s="4">
        <v>0</v>
      </c>
      <c r="D706" s="4">
        <v>1</v>
      </c>
      <c r="E706" s="4">
        <v>228</v>
      </c>
      <c r="F706" s="4">
        <f>ROUND(Source!AY698,O706)</f>
        <v>1774171.91</v>
      </c>
      <c r="G706" s="4" t="s">
        <v>127</v>
      </c>
      <c r="H706" s="4" t="s">
        <v>128</v>
      </c>
      <c r="I706" s="4"/>
      <c r="J706" s="4"/>
      <c r="K706" s="4">
        <v>228</v>
      </c>
      <c r="L706" s="4">
        <v>7</v>
      </c>
      <c r="M706" s="4">
        <v>3</v>
      </c>
      <c r="N706" s="4" t="s">
        <v>6</v>
      </c>
      <c r="O706" s="4">
        <v>2</v>
      </c>
      <c r="P706" s="4"/>
      <c r="Q706" s="4"/>
      <c r="R706" s="4"/>
      <c r="S706" s="4"/>
      <c r="T706" s="4"/>
      <c r="U706" s="4"/>
      <c r="V706" s="4"/>
      <c r="W706" s="4"/>
    </row>
    <row r="707" spans="1:23" x14ac:dyDescent="0.2">
      <c r="A707" s="4">
        <v>50</v>
      </c>
      <c r="B707" s="4">
        <v>0</v>
      </c>
      <c r="C707" s="4">
        <v>0</v>
      </c>
      <c r="D707" s="4">
        <v>1</v>
      </c>
      <c r="E707" s="4">
        <v>216</v>
      </c>
      <c r="F707" s="4">
        <f>ROUND(Source!AP698,O707)</f>
        <v>0</v>
      </c>
      <c r="G707" s="4" t="s">
        <v>129</v>
      </c>
      <c r="H707" s="4" t="s">
        <v>130</v>
      </c>
      <c r="I707" s="4"/>
      <c r="J707" s="4"/>
      <c r="K707" s="4">
        <v>216</v>
      </c>
      <c r="L707" s="4">
        <v>8</v>
      </c>
      <c r="M707" s="4">
        <v>3</v>
      </c>
      <c r="N707" s="4" t="s">
        <v>6</v>
      </c>
      <c r="O707" s="4">
        <v>2</v>
      </c>
      <c r="P707" s="4"/>
      <c r="Q707" s="4"/>
      <c r="R707" s="4"/>
      <c r="S707" s="4"/>
      <c r="T707" s="4"/>
      <c r="U707" s="4"/>
      <c r="V707" s="4"/>
      <c r="W707" s="4"/>
    </row>
    <row r="708" spans="1:23" x14ac:dyDescent="0.2">
      <c r="A708" s="4">
        <v>50</v>
      </c>
      <c r="B708" s="4">
        <v>0</v>
      </c>
      <c r="C708" s="4">
        <v>0</v>
      </c>
      <c r="D708" s="4">
        <v>1</v>
      </c>
      <c r="E708" s="4">
        <v>223</v>
      </c>
      <c r="F708" s="4">
        <f>ROUND(Source!AQ698,O708)</f>
        <v>0</v>
      </c>
      <c r="G708" s="4" t="s">
        <v>131</v>
      </c>
      <c r="H708" s="4" t="s">
        <v>132</v>
      </c>
      <c r="I708" s="4"/>
      <c r="J708" s="4"/>
      <c r="K708" s="4">
        <v>223</v>
      </c>
      <c r="L708" s="4">
        <v>9</v>
      </c>
      <c r="M708" s="4">
        <v>3</v>
      </c>
      <c r="N708" s="4" t="s">
        <v>6</v>
      </c>
      <c r="O708" s="4">
        <v>2</v>
      </c>
      <c r="P708" s="4"/>
      <c r="Q708" s="4"/>
      <c r="R708" s="4"/>
      <c r="S708" s="4"/>
      <c r="T708" s="4"/>
      <c r="U708" s="4"/>
      <c r="V708" s="4"/>
      <c r="W708" s="4"/>
    </row>
    <row r="709" spans="1:23" x14ac:dyDescent="0.2">
      <c r="A709" s="4">
        <v>50</v>
      </c>
      <c r="B709" s="4">
        <v>0</v>
      </c>
      <c r="C709" s="4">
        <v>0</v>
      </c>
      <c r="D709" s="4">
        <v>1</v>
      </c>
      <c r="E709" s="4">
        <v>229</v>
      </c>
      <c r="F709" s="4">
        <f>ROUND(Source!AZ698,O709)</f>
        <v>0</v>
      </c>
      <c r="G709" s="4" t="s">
        <v>133</v>
      </c>
      <c r="H709" s="4" t="s">
        <v>134</v>
      </c>
      <c r="I709" s="4"/>
      <c r="J709" s="4"/>
      <c r="K709" s="4">
        <v>229</v>
      </c>
      <c r="L709" s="4">
        <v>10</v>
      </c>
      <c r="M709" s="4">
        <v>3</v>
      </c>
      <c r="N709" s="4" t="s">
        <v>6</v>
      </c>
      <c r="O709" s="4">
        <v>2</v>
      </c>
      <c r="P709" s="4"/>
      <c r="Q709" s="4"/>
      <c r="R709" s="4"/>
      <c r="S709" s="4"/>
      <c r="T709" s="4"/>
      <c r="U709" s="4"/>
      <c r="V709" s="4"/>
      <c r="W709" s="4"/>
    </row>
    <row r="710" spans="1:23" x14ac:dyDescent="0.2">
      <c r="A710" s="4">
        <v>50</v>
      </c>
      <c r="B710" s="4">
        <v>0</v>
      </c>
      <c r="C710" s="4">
        <v>0</v>
      </c>
      <c r="D710" s="4">
        <v>1</v>
      </c>
      <c r="E710" s="4">
        <v>203</v>
      </c>
      <c r="F710" s="4">
        <f>ROUND(Source!Q698,O710)</f>
        <v>20233.37</v>
      </c>
      <c r="G710" s="4" t="s">
        <v>135</v>
      </c>
      <c r="H710" s="4" t="s">
        <v>136</v>
      </c>
      <c r="I710" s="4"/>
      <c r="J710" s="4"/>
      <c r="K710" s="4">
        <v>203</v>
      </c>
      <c r="L710" s="4">
        <v>11</v>
      </c>
      <c r="M710" s="4">
        <v>3</v>
      </c>
      <c r="N710" s="4" t="s">
        <v>6</v>
      </c>
      <c r="O710" s="4">
        <v>2</v>
      </c>
      <c r="P710" s="4"/>
      <c r="Q710" s="4"/>
      <c r="R710" s="4"/>
      <c r="S710" s="4"/>
      <c r="T710" s="4"/>
      <c r="U710" s="4"/>
      <c r="V710" s="4"/>
      <c r="W710" s="4"/>
    </row>
    <row r="711" spans="1:23" x14ac:dyDescent="0.2">
      <c r="A711" s="4">
        <v>50</v>
      </c>
      <c r="B711" s="4">
        <v>0</v>
      </c>
      <c r="C711" s="4">
        <v>0</v>
      </c>
      <c r="D711" s="4">
        <v>1</v>
      </c>
      <c r="E711" s="4">
        <v>231</v>
      </c>
      <c r="F711" s="4">
        <f>ROUND(Source!BB698,O711)</f>
        <v>0</v>
      </c>
      <c r="G711" s="4" t="s">
        <v>137</v>
      </c>
      <c r="H711" s="4" t="s">
        <v>138</v>
      </c>
      <c r="I711" s="4"/>
      <c r="J711" s="4"/>
      <c r="K711" s="4">
        <v>231</v>
      </c>
      <c r="L711" s="4">
        <v>12</v>
      </c>
      <c r="M711" s="4">
        <v>3</v>
      </c>
      <c r="N711" s="4" t="s">
        <v>6</v>
      </c>
      <c r="O711" s="4">
        <v>2</v>
      </c>
      <c r="P711" s="4"/>
      <c r="Q711" s="4"/>
      <c r="R711" s="4"/>
      <c r="S711" s="4"/>
      <c r="T711" s="4"/>
      <c r="U711" s="4"/>
      <c r="V711" s="4"/>
      <c r="W711" s="4"/>
    </row>
    <row r="712" spans="1:23" x14ac:dyDescent="0.2">
      <c r="A712" s="4">
        <v>50</v>
      </c>
      <c r="B712" s="4">
        <v>0</v>
      </c>
      <c r="C712" s="4">
        <v>0</v>
      </c>
      <c r="D712" s="4">
        <v>1</v>
      </c>
      <c r="E712" s="4">
        <v>204</v>
      </c>
      <c r="F712" s="4">
        <f>ROUND(Source!R698,O712)</f>
        <v>3538.3</v>
      </c>
      <c r="G712" s="4" t="s">
        <v>139</v>
      </c>
      <c r="H712" s="4" t="s">
        <v>140</v>
      </c>
      <c r="I712" s="4"/>
      <c r="J712" s="4"/>
      <c r="K712" s="4">
        <v>204</v>
      </c>
      <c r="L712" s="4">
        <v>13</v>
      </c>
      <c r="M712" s="4">
        <v>3</v>
      </c>
      <c r="N712" s="4" t="s">
        <v>6</v>
      </c>
      <c r="O712" s="4">
        <v>2</v>
      </c>
      <c r="P712" s="4"/>
      <c r="Q712" s="4"/>
      <c r="R712" s="4"/>
      <c r="S712" s="4"/>
      <c r="T712" s="4"/>
      <c r="U712" s="4"/>
      <c r="V712" s="4"/>
      <c r="W712" s="4"/>
    </row>
    <row r="713" spans="1:23" x14ac:dyDescent="0.2">
      <c r="A713" s="4">
        <v>50</v>
      </c>
      <c r="B713" s="4">
        <v>0</v>
      </c>
      <c r="C713" s="4">
        <v>0</v>
      </c>
      <c r="D713" s="4">
        <v>1</v>
      </c>
      <c r="E713" s="4">
        <v>205</v>
      </c>
      <c r="F713" s="4">
        <f>ROUND(Source!S698,O713)</f>
        <v>172497.58</v>
      </c>
      <c r="G713" s="4" t="s">
        <v>141</v>
      </c>
      <c r="H713" s="4" t="s">
        <v>142</v>
      </c>
      <c r="I713" s="4"/>
      <c r="J713" s="4"/>
      <c r="K713" s="4">
        <v>205</v>
      </c>
      <c r="L713" s="4">
        <v>14</v>
      </c>
      <c r="M713" s="4">
        <v>3</v>
      </c>
      <c r="N713" s="4" t="s">
        <v>6</v>
      </c>
      <c r="O713" s="4">
        <v>2</v>
      </c>
      <c r="P713" s="4"/>
      <c r="Q713" s="4"/>
      <c r="R713" s="4"/>
      <c r="S713" s="4"/>
      <c r="T713" s="4"/>
      <c r="U713" s="4"/>
      <c r="V713" s="4"/>
      <c r="W713" s="4"/>
    </row>
    <row r="714" spans="1:23" x14ac:dyDescent="0.2">
      <c r="A714" s="4">
        <v>50</v>
      </c>
      <c r="B714" s="4">
        <v>0</v>
      </c>
      <c r="C714" s="4">
        <v>0</v>
      </c>
      <c r="D714" s="4">
        <v>1</v>
      </c>
      <c r="E714" s="4">
        <v>232</v>
      </c>
      <c r="F714" s="4">
        <f>ROUND(Source!BC698,O714)</f>
        <v>0</v>
      </c>
      <c r="G714" s="4" t="s">
        <v>143</v>
      </c>
      <c r="H714" s="4" t="s">
        <v>144</v>
      </c>
      <c r="I714" s="4"/>
      <c r="J714" s="4"/>
      <c r="K714" s="4">
        <v>232</v>
      </c>
      <c r="L714" s="4">
        <v>15</v>
      </c>
      <c r="M714" s="4">
        <v>3</v>
      </c>
      <c r="N714" s="4" t="s">
        <v>6</v>
      </c>
      <c r="O714" s="4">
        <v>2</v>
      </c>
      <c r="P714" s="4"/>
      <c r="Q714" s="4"/>
      <c r="R714" s="4"/>
      <c r="S714" s="4"/>
      <c r="T714" s="4"/>
      <c r="U714" s="4"/>
      <c r="V714" s="4"/>
      <c r="W714" s="4"/>
    </row>
    <row r="715" spans="1:23" x14ac:dyDescent="0.2">
      <c r="A715" s="4">
        <v>50</v>
      </c>
      <c r="B715" s="4">
        <v>0</v>
      </c>
      <c r="C715" s="4">
        <v>0</v>
      </c>
      <c r="D715" s="4">
        <v>1</v>
      </c>
      <c r="E715" s="4">
        <v>214</v>
      </c>
      <c r="F715" s="4">
        <f>ROUND(Source!AS698,O715)</f>
        <v>1540258.79</v>
      </c>
      <c r="G715" s="4" t="s">
        <v>145</v>
      </c>
      <c r="H715" s="4" t="s">
        <v>146</v>
      </c>
      <c r="I715" s="4"/>
      <c r="J715" s="4"/>
      <c r="K715" s="4">
        <v>214</v>
      </c>
      <c r="L715" s="4">
        <v>16</v>
      </c>
      <c r="M715" s="4">
        <v>3</v>
      </c>
      <c r="N715" s="4" t="s">
        <v>6</v>
      </c>
      <c r="O715" s="4">
        <v>2</v>
      </c>
      <c r="P715" s="4"/>
      <c r="Q715" s="4"/>
      <c r="R715" s="4"/>
      <c r="S715" s="4"/>
      <c r="T715" s="4"/>
      <c r="U715" s="4"/>
      <c r="V715" s="4"/>
      <c r="W715" s="4"/>
    </row>
    <row r="716" spans="1:23" x14ac:dyDescent="0.2">
      <c r="A716" s="4">
        <v>50</v>
      </c>
      <c r="B716" s="4">
        <v>0</v>
      </c>
      <c r="C716" s="4">
        <v>0</v>
      </c>
      <c r="D716" s="4">
        <v>1</v>
      </c>
      <c r="E716" s="4">
        <v>215</v>
      </c>
      <c r="F716" s="4">
        <f>ROUND(Source!AT698,O716)</f>
        <v>588860.31999999995</v>
      </c>
      <c r="G716" s="4" t="s">
        <v>147</v>
      </c>
      <c r="H716" s="4" t="s">
        <v>148</v>
      </c>
      <c r="I716" s="4"/>
      <c r="J716" s="4"/>
      <c r="K716" s="4">
        <v>215</v>
      </c>
      <c r="L716" s="4">
        <v>17</v>
      </c>
      <c r="M716" s="4">
        <v>3</v>
      </c>
      <c r="N716" s="4" t="s">
        <v>6</v>
      </c>
      <c r="O716" s="4">
        <v>2</v>
      </c>
      <c r="P716" s="4"/>
      <c r="Q716" s="4"/>
      <c r="R716" s="4"/>
      <c r="S716" s="4"/>
      <c r="T716" s="4"/>
      <c r="U716" s="4"/>
      <c r="V716" s="4"/>
      <c r="W716" s="4"/>
    </row>
    <row r="717" spans="1:23" x14ac:dyDescent="0.2">
      <c r="A717" s="4">
        <v>50</v>
      </c>
      <c r="B717" s="4">
        <v>0</v>
      </c>
      <c r="C717" s="4">
        <v>0</v>
      </c>
      <c r="D717" s="4">
        <v>1</v>
      </c>
      <c r="E717" s="4">
        <v>217</v>
      </c>
      <c r="F717" s="4">
        <f>ROUND(Source!AU698,O717)</f>
        <v>89382.03</v>
      </c>
      <c r="G717" s="4" t="s">
        <v>149</v>
      </c>
      <c r="H717" s="4" t="s">
        <v>150</v>
      </c>
      <c r="I717" s="4"/>
      <c r="J717" s="4"/>
      <c r="K717" s="4">
        <v>217</v>
      </c>
      <c r="L717" s="4">
        <v>18</v>
      </c>
      <c r="M717" s="4">
        <v>3</v>
      </c>
      <c r="N717" s="4" t="s">
        <v>6</v>
      </c>
      <c r="O717" s="4">
        <v>2</v>
      </c>
      <c r="P717" s="4"/>
      <c r="Q717" s="4"/>
      <c r="R717" s="4"/>
      <c r="S717" s="4"/>
      <c r="T717" s="4"/>
      <c r="U717" s="4"/>
      <c r="V717" s="4"/>
      <c r="W717" s="4"/>
    </row>
    <row r="718" spans="1:23" x14ac:dyDescent="0.2">
      <c r="A718" s="4">
        <v>50</v>
      </c>
      <c r="B718" s="4">
        <v>0</v>
      </c>
      <c r="C718" s="4">
        <v>0</v>
      </c>
      <c r="D718" s="4">
        <v>1</v>
      </c>
      <c r="E718" s="4">
        <v>230</v>
      </c>
      <c r="F718" s="4">
        <f>ROUND(Source!BA698,O718)</f>
        <v>0</v>
      </c>
      <c r="G718" s="4" t="s">
        <v>151</v>
      </c>
      <c r="H718" s="4" t="s">
        <v>152</v>
      </c>
      <c r="I718" s="4"/>
      <c r="J718" s="4"/>
      <c r="K718" s="4">
        <v>230</v>
      </c>
      <c r="L718" s="4">
        <v>19</v>
      </c>
      <c r="M718" s="4">
        <v>3</v>
      </c>
      <c r="N718" s="4" t="s">
        <v>6</v>
      </c>
      <c r="O718" s="4">
        <v>2</v>
      </c>
      <c r="P718" s="4"/>
      <c r="Q718" s="4"/>
      <c r="R718" s="4"/>
      <c r="S718" s="4"/>
      <c r="T718" s="4"/>
      <c r="U718" s="4"/>
      <c r="V718" s="4"/>
      <c r="W718" s="4"/>
    </row>
    <row r="719" spans="1:23" x14ac:dyDescent="0.2">
      <c r="A719" s="4">
        <v>50</v>
      </c>
      <c r="B719" s="4">
        <v>0</v>
      </c>
      <c r="C719" s="4">
        <v>0</v>
      </c>
      <c r="D719" s="4">
        <v>1</v>
      </c>
      <c r="E719" s="4">
        <v>206</v>
      </c>
      <c r="F719" s="4">
        <f>ROUND(Source!T698,O719)</f>
        <v>0</v>
      </c>
      <c r="G719" s="4" t="s">
        <v>153</v>
      </c>
      <c r="H719" s="4" t="s">
        <v>154</v>
      </c>
      <c r="I719" s="4"/>
      <c r="J719" s="4"/>
      <c r="K719" s="4">
        <v>206</v>
      </c>
      <c r="L719" s="4">
        <v>20</v>
      </c>
      <c r="M719" s="4">
        <v>3</v>
      </c>
      <c r="N719" s="4" t="s">
        <v>6</v>
      </c>
      <c r="O719" s="4">
        <v>2</v>
      </c>
      <c r="P719" s="4"/>
      <c r="Q719" s="4"/>
      <c r="R719" s="4"/>
      <c r="S719" s="4"/>
      <c r="T719" s="4"/>
      <c r="U719" s="4"/>
      <c r="V719" s="4"/>
      <c r="W719" s="4"/>
    </row>
    <row r="720" spans="1:23" x14ac:dyDescent="0.2">
      <c r="A720" s="4">
        <v>50</v>
      </c>
      <c r="B720" s="4">
        <v>0</v>
      </c>
      <c r="C720" s="4">
        <v>0</v>
      </c>
      <c r="D720" s="4">
        <v>1</v>
      </c>
      <c r="E720" s="4">
        <v>207</v>
      </c>
      <c r="F720" s="4">
        <f>Source!U698</f>
        <v>2256.7420697500002</v>
      </c>
      <c r="G720" s="4" t="s">
        <v>155</v>
      </c>
      <c r="H720" s="4" t="s">
        <v>156</v>
      </c>
      <c r="I720" s="4"/>
      <c r="J720" s="4"/>
      <c r="K720" s="4">
        <v>207</v>
      </c>
      <c r="L720" s="4">
        <v>21</v>
      </c>
      <c r="M720" s="4">
        <v>3</v>
      </c>
      <c r="N720" s="4" t="s">
        <v>6</v>
      </c>
      <c r="O720" s="4">
        <v>-1</v>
      </c>
      <c r="P720" s="4"/>
      <c r="Q720" s="4"/>
      <c r="R720" s="4"/>
      <c r="S720" s="4"/>
      <c r="T720" s="4"/>
      <c r="U720" s="4"/>
      <c r="V720" s="4"/>
      <c r="W720" s="4"/>
    </row>
    <row r="721" spans="1:206" x14ac:dyDescent="0.2">
      <c r="A721" s="4">
        <v>50</v>
      </c>
      <c r="B721" s="4">
        <v>0</v>
      </c>
      <c r="C721" s="4">
        <v>0</v>
      </c>
      <c r="D721" s="4">
        <v>1</v>
      </c>
      <c r="E721" s="4">
        <v>208</v>
      </c>
      <c r="F721" s="4">
        <f>Source!V698</f>
        <v>45.953571999999994</v>
      </c>
      <c r="G721" s="4" t="s">
        <v>157</v>
      </c>
      <c r="H721" s="4" t="s">
        <v>158</v>
      </c>
      <c r="I721" s="4"/>
      <c r="J721" s="4"/>
      <c r="K721" s="4">
        <v>208</v>
      </c>
      <c r="L721" s="4">
        <v>22</v>
      </c>
      <c r="M721" s="4">
        <v>3</v>
      </c>
      <c r="N721" s="4" t="s">
        <v>6</v>
      </c>
      <c r="O721" s="4">
        <v>-1</v>
      </c>
      <c r="P721" s="4"/>
      <c r="Q721" s="4"/>
      <c r="R721" s="4"/>
      <c r="S721" s="4"/>
      <c r="T721" s="4"/>
      <c r="U721" s="4"/>
      <c r="V721" s="4"/>
      <c r="W721" s="4"/>
    </row>
    <row r="722" spans="1:206" x14ac:dyDescent="0.2">
      <c r="A722" s="4">
        <v>50</v>
      </c>
      <c r="B722" s="4">
        <v>0</v>
      </c>
      <c r="C722" s="4">
        <v>0</v>
      </c>
      <c r="D722" s="4">
        <v>1</v>
      </c>
      <c r="E722" s="4">
        <v>209</v>
      </c>
      <c r="F722" s="4">
        <f>ROUND(Source!W698,O722)</f>
        <v>0</v>
      </c>
      <c r="G722" s="4" t="s">
        <v>159</v>
      </c>
      <c r="H722" s="4" t="s">
        <v>160</v>
      </c>
      <c r="I722" s="4"/>
      <c r="J722" s="4"/>
      <c r="K722" s="4">
        <v>209</v>
      </c>
      <c r="L722" s="4">
        <v>23</v>
      </c>
      <c r="M722" s="4">
        <v>3</v>
      </c>
      <c r="N722" s="4" t="s">
        <v>6</v>
      </c>
      <c r="O722" s="4">
        <v>2</v>
      </c>
      <c r="P722" s="4"/>
      <c r="Q722" s="4"/>
      <c r="R722" s="4"/>
      <c r="S722" s="4"/>
      <c r="T722" s="4"/>
      <c r="U722" s="4"/>
      <c r="V722" s="4"/>
      <c r="W722" s="4"/>
    </row>
    <row r="723" spans="1:206" x14ac:dyDescent="0.2">
      <c r="A723" s="4">
        <v>50</v>
      </c>
      <c r="B723" s="4">
        <v>0</v>
      </c>
      <c r="C723" s="4">
        <v>0</v>
      </c>
      <c r="D723" s="4">
        <v>1</v>
      </c>
      <c r="E723" s="4">
        <v>210</v>
      </c>
      <c r="F723" s="4">
        <f>ROUND(Source!X698,O723)</f>
        <v>149802.93</v>
      </c>
      <c r="G723" s="4" t="s">
        <v>161</v>
      </c>
      <c r="H723" s="4" t="s">
        <v>162</v>
      </c>
      <c r="I723" s="4"/>
      <c r="J723" s="4"/>
      <c r="K723" s="4">
        <v>210</v>
      </c>
      <c r="L723" s="4">
        <v>24</v>
      </c>
      <c r="M723" s="4">
        <v>3</v>
      </c>
      <c r="N723" s="4" t="s">
        <v>6</v>
      </c>
      <c r="O723" s="4">
        <v>2</v>
      </c>
      <c r="P723" s="4"/>
      <c r="Q723" s="4"/>
      <c r="R723" s="4"/>
      <c r="S723" s="4"/>
      <c r="T723" s="4"/>
      <c r="U723" s="4"/>
      <c r="V723" s="4"/>
      <c r="W723" s="4"/>
    </row>
    <row r="724" spans="1:206" x14ac:dyDescent="0.2">
      <c r="A724" s="4">
        <v>50</v>
      </c>
      <c r="B724" s="4">
        <v>0</v>
      </c>
      <c r="C724" s="4">
        <v>0</v>
      </c>
      <c r="D724" s="4">
        <v>1</v>
      </c>
      <c r="E724" s="4">
        <v>211</v>
      </c>
      <c r="F724" s="4">
        <f>ROUND(Source!Y698,O724)</f>
        <v>94412.99</v>
      </c>
      <c r="G724" s="4" t="s">
        <v>163</v>
      </c>
      <c r="H724" s="4" t="s">
        <v>164</v>
      </c>
      <c r="I724" s="4"/>
      <c r="J724" s="4"/>
      <c r="K724" s="4">
        <v>211</v>
      </c>
      <c r="L724" s="4">
        <v>25</v>
      </c>
      <c r="M724" s="4">
        <v>3</v>
      </c>
      <c r="N724" s="4" t="s">
        <v>6</v>
      </c>
      <c r="O724" s="4">
        <v>2</v>
      </c>
      <c r="P724" s="4"/>
      <c r="Q724" s="4"/>
      <c r="R724" s="4"/>
      <c r="S724" s="4"/>
      <c r="T724" s="4"/>
      <c r="U724" s="4"/>
      <c r="V724" s="4"/>
      <c r="W724" s="4"/>
    </row>
    <row r="725" spans="1:206" x14ac:dyDescent="0.2">
      <c r="A725" s="4">
        <v>50</v>
      </c>
      <c r="B725" s="4">
        <v>0</v>
      </c>
      <c r="C725" s="4">
        <v>0</v>
      </c>
      <c r="D725" s="4">
        <v>1</v>
      </c>
      <c r="E725" s="4">
        <v>224</v>
      </c>
      <c r="F725" s="4">
        <f>ROUND(Source!AR698,O725)</f>
        <v>2218501.14</v>
      </c>
      <c r="G725" s="4" t="s">
        <v>165</v>
      </c>
      <c r="H725" s="4" t="s">
        <v>166</v>
      </c>
      <c r="I725" s="4"/>
      <c r="J725" s="4"/>
      <c r="K725" s="4">
        <v>224</v>
      </c>
      <c r="L725" s="4">
        <v>26</v>
      </c>
      <c r="M725" s="4">
        <v>3</v>
      </c>
      <c r="N725" s="4" t="s">
        <v>6</v>
      </c>
      <c r="O725" s="4">
        <v>2</v>
      </c>
      <c r="P725" s="4"/>
      <c r="Q725" s="4"/>
      <c r="R725" s="4"/>
      <c r="S725" s="4"/>
      <c r="T725" s="4"/>
      <c r="U725" s="4"/>
      <c r="V725" s="4"/>
      <c r="W725" s="4"/>
    </row>
    <row r="726" spans="1:206" x14ac:dyDescent="0.2">
      <c r="A726" s="4">
        <v>50</v>
      </c>
      <c r="B726" s="4">
        <v>1</v>
      </c>
      <c r="C726" s="4">
        <v>0</v>
      </c>
      <c r="D726" s="4">
        <v>2</v>
      </c>
      <c r="E726" s="4">
        <v>0</v>
      </c>
      <c r="F726" s="4">
        <f>ROUND(F725,O726)</f>
        <v>2218501.14</v>
      </c>
      <c r="G726" s="4" t="s">
        <v>1001</v>
      </c>
      <c r="H726" s="4" t="s">
        <v>1002</v>
      </c>
      <c r="I726" s="4"/>
      <c r="J726" s="4"/>
      <c r="K726" s="4">
        <v>212</v>
      </c>
      <c r="L726" s="4">
        <v>27</v>
      </c>
      <c r="M726" s="4">
        <v>0</v>
      </c>
      <c r="N726" s="4" t="s">
        <v>6</v>
      </c>
      <c r="O726" s="4">
        <v>2</v>
      </c>
      <c r="P726" s="4"/>
      <c r="Q726" s="4"/>
      <c r="R726" s="4"/>
      <c r="S726" s="4"/>
      <c r="T726" s="4"/>
      <c r="U726" s="4"/>
      <c r="V726" s="4"/>
      <c r="W726" s="4"/>
    </row>
    <row r="727" spans="1:206" x14ac:dyDescent="0.2">
      <c r="A727" s="4">
        <v>50</v>
      </c>
      <c r="B727" s="4">
        <v>1</v>
      </c>
      <c r="C727" s="4">
        <v>0</v>
      </c>
      <c r="D727" s="4">
        <v>2</v>
      </c>
      <c r="E727" s="4">
        <v>0</v>
      </c>
      <c r="F727" s="4">
        <f>ROUND(F726*0.18,O727)</f>
        <v>399330.21</v>
      </c>
      <c r="G727" s="4" t="s">
        <v>1003</v>
      </c>
      <c r="H727" s="4" t="s">
        <v>1004</v>
      </c>
      <c r="I727" s="4"/>
      <c r="J727" s="4"/>
      <c r="K727" s="4">
        <v>212</v>
      </c>
      <c r="L727" s="4">
        <v>28</v>
      </c>
      <c r="M727" s="4">
        <v>0</v>
      </c>
      <c r="N727" s="4" t="s">
        <v>6</v>
      </c>
      <c r="O727" s="4">
        <v>2</v>
      </c>
      <c r="P727" s="4"/>
      <c r="Q727" s="4"/>
      <c r="R727" s="4"/>
      <c r="S727" s="4"/>
      <c r="T727" s="4"/>
      <c r="U727" s="4"/>
      <c r="V727" s="4"/>
      <c r="W727" s="4"/>
    </row>
    <row r="728" spans="1:206" x14ac:dyDescent="0.2">
      <c r="A728" s="4">
        <v>50</v>
      </c>
      <c r="B728" s="4">
        <v>1</v>
      </c>
      <c r="C728" s="4">
        <v>0</v>
      </c>
      <c r="D728" s="4">
        <v>2</v>
      </c>
      <c r="E728" s="4">
        <v>213</v>
      </c>
      <c r="F728" s="4">
        <f>ROUND(F726+F727,O728)</f>
        <v>2617831.35</v>
      </c>
      <c r="G728" s="4" t="s">
        <v>1005</v>
      </c>
      <c r="H728" s="4" t="s">
        <v>165</v>
      </c>
      <c r="I728" s="4"/>
      <c r="J728" s="4"/>
      <c r="K728" s="4">
        <v>212</v>
      </c>
      <c r="L728" s="4">
        <v>29</v>
      </c>
      <c r="M728" s="4">
        <v>0</v>
      </c>
      <c r="N728" s="4" t="s">
        <v>6</v>
      </c>
      <c r="O728" s="4">
        <v>2</v>
      </c>
      <c r="P728" s="4"/>
      <c r="Q728" s="4"/>
      <c r="R728" s="4"/>
      <c r="S728" s="4"/>
      <c r="T728" s="4"/>
      <c r="U728" s="4"/>
      <c r="V728" s="4"/>
      <c r="W728" s="4"/>
    </row>
    <row r="730" spans="1:206" x14ac:dyDescent="0.2">
      <c r="A730" s="2">
        <v>51</v>
      </c>
      <c r="B730" s="2">
        <f>B12</f>
        <v>788</v>
      </c>
      <c r="C730" s="2">
        <f>A12</f>
        <v>1</v>
      </c>
      <c r="D730" s="2">
        <f>ROW(A12)</f>
        <v>12</v>
      </c>
      <c r="E730" s="2"/>
      <c r="F730" s="2" t="str">
        <f>IF(F12&lt;&gt;"",F12,"")</f>
        <v>Новый объект_(Копия)</v>
      </c>
      <c r="G730" s="2" t="str">
        <f>IF(G12&lt;&gt;"",G12,"")</f>
        <v>на капитальный ремонт помещений №1,№2,№4,№5,№6,№8,№9,№10,№11,№13,№14,№15,№16,№17,№18 третьего этажа,помещений  №1,№2,№4,№5,№6, №7,№8,№9,№10,№11, №12,№13,№14,№15,№16 5-го  этажа  и  лестниц  А ,Б НИЯУ МИФИ по адресу: г.Москва,Каширское шоссе,д.64_(Копия)</v>
      </c>
      <c r="H730" s="2">
        <v>0</v>
      </c>
      <c r="I730" s="2"/>
      <c r="J730" s="2"/>
      <c r="K730" s="2"/>
      <c r="L730" s="2"/>
      <c r="M730" s="2"/>
      <c r="N730" s="2"/>
      <c r="O730" s="2">
        <f t="shared" ref="O730:T730" si="523">ROUND(O698,2)</f>
        <v>1966902.86</v>
      </c>
      <c r="P730" s="2">
        <f t="shared" si="523"/>
        <v>1774171.91</v>
      </c>
      <c r="Q730" s="2">
        <f t="shared" si="523"/>
        <v>20233.37</v>
      </c>
      <c r="R730" s="2">
        <f t="shared" si="523"/>
        <v>3538.3</v>
      </c>
      <c r="S730" s="2">
        <f t="shared" si="523"/>
        <v>172497.58</v>
      </c>
      <c r="T730" s="2">
        <f t="shared" si="523"/>
        <v>0</v>
      </c>
      <c r="U730" s="2">
        <f>U698</f>
        <v>2256.7420697500002</v>
      </c>
      <c r="V730" s="2">
        <f>V698</f>
        <v>45.953571999999994</v>
      </c>
      <c r="W730" s="2">
        <f>ROUND(W698,2)</f>
        <v>0</v>
      </c>
      <c r="X730" s="2">
        <f>ROUND(X698,2)</f>
        <v>149802.93</v>
      </c>
      <c r="Y730" s="2">
        <f>ROUND(Y698,2)</f>
        <v>94412.99</v>
      </c>
      <c r="Z730" s="2"/>
      <c r="AA730" s="2"/>
      <c r="AB730" s="2"/>
      <c r="AC730" s="2"/>
      <c r="AD730" s="2"/>
      <c r="AE730" s="2"/>
      <c r="AF730" s="2"/>
      <c r="AG730" s="2"/>
      <c r="AH730" s="2"/>
      <c r="AI730" s="2"/>
      <c r="AJ730" s="2"/>
      <c r="AK730" s="2"/>
      <c r="AL730" s="2"/>
      <c r="AM730" s="2"/>
      <c r="AN730" s="2"/>
      <c r="AO730" s="2">
        <f t="shared" ref="AO730:BC730" si="524">ROUND(AO698,2)</f>
        <v>0</v>
      </c>
      <c r="AP730" s="2">
        <f t="shared" si="524"/>
        <v>0</v>
      </c>
      <c r="AQ730" s="2">
        <f t="shared" si="524"/>
        <v>0</v>
      </c>
      <c r="AR730" s="2">
        <f t="shared" si="524"/>
        <v>2218501.14</v>
      </c>
      <c r="AS730" s="2">
        <f t="shared" si="524"/>
        <v>1540258.79</v>
      </c>
      <c r="AT730" s="2">
        <f t="shared" si="524"/>
        <v>588860.31999999995</v>
      </c>
      <c r="AU730" s="2">
        <f t="shared" si="524"/>
        <v>89382.03</v>
      </c>
      <c r="AV730" s="2">
        <f t="shared" si="524"/>
        <v>1774171.91</v>
      </c>
      <c r="AW730" s="2">
        <f t="shared" si="524"/>
        <v>1774171.91</v>
      </c>
      <c r="AX730" s="2">
        <f t="shared" si="524"/>
        <v>0</v>
      </c>
      <c r="AY730" s="2">
        <f t="shared" si="524"/>
        <v>1774171.91</v>
      </c>
      <c r="AZ730" s="2">
        <f t="shared" si="524"/>
        <v>0</v>
      </c>
      <c r="BA730" s="2">
        <f t="shared" si="524"/>
        <v>0</v>
      </c>
      <c r="BB730" s="2">
        <f t="shared" si="524"/>
        <v>0</v>
      </c>
      <c r="BC730" s="2">
        <f t="shared" si="524"/>
        <v>0</v>
      </c>
      <c r="BD730" s="2"/>
      <c r="BE730" s="2"/>
      <c r="BF730" s="2"/>
      <c r="BG730" s="2"/>
      <c r="BH730" s="2"/>
      <c r="BI730" s="2"/>
      <c r="BJ730" s="2"/>
      <c r="BK730" s="2"/>
      <c r="BL730" s="2"/>
      <c r="BM730" s="2"/>
      <c r="BN730" s="2"/>
      <c r="BO730" s="2"/>
      <c r="BP730" s="2"/>
      <c r="BQ730" s="2"/>
      <c r="BR730" s="2"/>
      <c r="BS730" s="2"/>
      <c r="BT730" s="2"/>
      <c r="BU730" s="2"/>
      <c r="BV730" s="2"/>
      <c r="BW730" s="2"/>
      <c r="BX730" s="2"/>
      <c r="BY730" s="2"/>
      <c r="BZ730" s="2"/>
      <c r="CA730" s="2"/>
      <c r="CB730" s="2"/>
      <c r="CC730" s="2"/>
      <c r="CD730" s="2"/>
      <c r="CE730" s="2"/>
      <c r="CF730" s="2"/>
      <c r="CG730" s="2"/>
      <c r="CH730" s="2"/>
      <c r="CI730" s="2"/>
      <c r="CJ730" s="2"/>
      <c r="CK730" s="2"/>
      <c r="CL730" s="2"/>
      <c r="CM730" s="2"/>
      <c r="CN730" s="2"/>
      <c r="CO730" s="2"/>
      <c r="CP730" s="2"/>
      <c r="CQ730" s="2"/>
      <c r="CR730" s="2"/>
      <c r="CS730" s="2"/>
      <c r="CT730" s="2"/>
      <c r="CU730" s="2"/>
      <c r="CV730" s="2"/>
      <c r="CW730" s="2"/>
      <c r="CX730" s="2"/>
      <c r="CY730" s="2"/>
      <c r="CZ730" s="2"/>
      <c r="DA730" s="2"/>
      <c r="DB730" s="2"/>
      <c r="DC730" s="2"/>
      <c r="DD730" s="2"/>
      <c r="DE730" s="2"/>
      <c r="DF730" s="2"/>
      <c r="DG730" s="3"/>
      <c r="DH730" s="3"/>
      <c r="DI730" s="3"/>
      <c r="DJ730" s="3"/>
      <c r="DK730" s="3"/>
      <c r="DL730" s="3"/>
      <c r="DM730" s="3"/>
      <c r="DN730" s="3"/>
      <c r="DO730" s="3"/>
      <c r="DP730" s="3"/>
      <c r="DQ730" s="3"/>
      <c r="DR730" s="3"/>
      <c r="DS730" s="3"/>
      <c r="DT730" s="3"/>
      <c r="DU730" s="3"/>
      <c r="DV730" s="3"/>
      <c r="DW730" s="3"/>
      <c r="DX730" s="3"/>
      <c r="DY730" s="3"/>
      <c r="DZ730" s="3"/>
      <c r="EA730" s="3"/>
      <c r="EB730" s="3"/>
      <c r="EC730" s="3"/>
      <c r="ED730" s="3"/>
      <c r="EE730" s="3"/>
      <c r="EF730" s="3"/>
      <c r="EG730" s="3"/>
      <c r="EH730" s="3"/>
      <c r="EI730" s="3"/>
      <c r="EJ730" s="3"/>
      <c r="EK730" s="3"/>
      <c r="EL730" s="3"/>
      <c r="EM730" s="3"/>
      <c r="EN730" s="3"/>
      <c r="EO730" s="3"/>
      <c r="EP730" s="3"/>
      <c r="EQ730" s="3"/>
      <c r="ER730" s="3"/>
      <c r="ES730" s="3"/>
      <c r="ET730" s="3"/>
      <c r="EU730" s="3"/>
      <c r="EV730" s="3"/>
      <c r="EW730" s="3"/>
      <c r="EX730" s="3"/>
      <c r="EY730" s="3"/>
      <c r="EZ730" s="3"/>
      <c r="FA730" s="3"/>
      <c r="FB730" s="3"/>
      <c r="FC730" s="3"/>
      <c r="FD730" s="3"/>
      <c r="FE730" s="3"/>
      <c r="FF730" s="3"/>
      <c r="FG730" s="3"/>
      <c r="FH730" s="3"/>
      <c r="FI730" s="3"/>
      <c r="FJ730" s="3"/>
      <c r="FK730" s="3"/>
      <c r="FL730" s="3"/>
      <c r="FM730" s="3"/>
      <c r="FN730" s="3"/>
      <c r="FO730" s="3"/>
      <c r="FP730" s="3"/>
      <c r="FQ730" s="3"/>
      <c r="FR730" s="3"/>
      <c r="FS730" s="3"/>
      <c r="FT730" s="3"/>
      <c r="FU730" s="3"/>
      <c r="FV730" s="3"/>
      <c r="FW730" s="3"/>
      <c r="FX730" s="3"/>
      <c r="FY730" s="3"/>
      <c r="FZ730" s="3"/>
      <c r="GA730" s="3"/>
      <c r="GB730" s="3"/>
      <c r="GC730" s="3"/>
      <c r="GD730" s="3"/>
      <c r="GE730" s="3"/>
      <c r="GF730" s="3"/>
      <c r="GG730" s="3"/>
      <c r="GH730" s="3"/>
      <c r="GI730" s="3"/>
      <c r="GJ730" s="3"/>
      <c r="GK730" s="3"/>
      <c r="GL730" s="3"/>
      <c r="GM730" s="3"/>
      <c r="GN730" s="3"/>
      <c r="GO730" s="3"/>
      <c r="GP730" s="3"/>
      <c r="GQ730" s="3"/>
      <c r="GR730" s="3"/>
      <c r="GS730" s="3"/>
      <c r="GT730" s="3"/>
      <c r="GU730" s="3"/>
      <c r="GV730" s="3"/>
      <c r="GW730" s="3"/>
      <c r="GX730" s="3">
        <v>0</v>
      </c>
    </row>
    <row r="732" spans="1:206" x14ac:dyDescent="0.2">
      <c r="A732" s="4">
        <v>50</v>
      </c>
      <c r="B732" s="4">
        <v>0</v>
      </c>
      <c r="C732" s="4">
        <v>0</v>
      </c>
      <c r="D732" s="4">
        <v>1</v>
      </c>
      <c r="E732" s="4">
        <v>201</v>
      </c>
      <c r="F732" s="4">
        <f>ROUND(Source!O730,O732)</f>
        <v>1966902.86</v>
      </c>
      <c r="G732" s="4" t="s">
        <v>115</v>
      </c>
      <c r="H732" s="4" t="s">
        <v>116</v>
      </c>
      <c r="I732" s="4"/>
      <c r="J732" s="4"/>
      <c r="K732" s="4">
        <v>201</v>
      </c>
      <c r="L732" s="4">
        <v>1</v>
      </c>
      <c r="M732" s="4">
        <v>3</v>
      </c>
      <c r="N732" s="4" t="s">
        <v>6</v>
      </c>
      <c r="O732" s="4">
        <v>2</v>
      </c>
      <c r="P732" s="4"/>
      <c r="Q732" s="4"/>
      <c r="R732" s="4"/>
      <c r="S732" s="4"/>
      <c r="T732" s="4"/>
      <c r="U732" s="4"/>
      <c r="V732" s="4"/>
      <c r="W732" s="4"/>
    </row>
    <row r="733" spans="1:206" x14ac:dyDescent="0.2">
      <c r="A733" s="4">
        <v>50</v>
      </c>
      <c r="B733" s="4">
        <v>0</v>
      </c>
      <c r="C733" s="4">
        <v>0</v>
      </c>
      <c r="D733" s="4">
        <v>1</v>
      </c>
      <c r="E733" s="4">
        <v>202</v>
      </c>
      <c r="F733" s="4">
        <f>ROUND(Source!P730,O733)</f>
        <v>1774171.91</v>
      </c>
      <c r="G733" s="4" t="s">
        <v>117</v>
      </c>
      <c r="H733" s="4" t="s">
        <v>118</v>
      </c>
      <c r="I733" s="4"/>
      <c r="J733" s="4"/>
      <c r="K733" s="4">
        <v>202</v>
      </c>
      <c r="L733" s="4">
        <v>2</v>
      </c>
      <c r="M733" s="4">
        <v>3</v>
      </c>
      <c r="N733" s="4" t="s">
        <v>6</v>
      </c>
      <c r="O733" s="4">
        <v>2</v>
      </c>
      <c r="P733" s="4"/>
      <c r="Q733" s="4"/>
      <c r="R733" s="4"/>
      <c r="S733" s="4"/>
      <c r="T733" s="4"/>
      <c r="U733" s="4"/>
      <c r="V733" s="4"/>
      <c r="W733" s="4"/>
    </row>
    <row r="734" spans="1:206" x14ac:dyDescent="0.2">
      <c r="A734" s="4">
        <v>50</v>
      </c>
      <c r="B734" s="4">
        <v>0</v>
      </c>
      <c r="C734" s="4">
        <v>0</v>
      </c>
      <c r="D734" s="4">
        <v>1</v>
      </c>
      <c r="E734" s="4">
        <v>222</v>
      </c>
      <c r="F734" s="4">
        <f>ROUND(Source!AO730,O734)</f>
        <v>0</v>
      </c>
      <c r="G734" s="4" t="s">
        <v>119</v>
      </c>
      <c r="H734" s="4" t="s">
        <v>120</v>
      </c>
      <c r="I734" s="4"/>
      <c r="J734" s="4"/>
      <c r="K734" s="4">
        <v>222</v>
      </c>
      <c r="L734" s="4">
        <v>3</v>
      </c>
      <c r="M734" s="4">
        <v>3</v>
      </c>
      <c r="N734" s="4" t="s">
        <v>6</v>
      </c>
      <c r="O734" s="4">
        <v>2</v>
      </c>
      <c r="P734" s="4"/>
      <c r="Q734" s="4"/>
      <c r="R734" s="4"/>
      <c r="S734" s="4"/>
      <c r="T734" s="4"/>
      <c r="U734" s="4"/>
      <c r="V734" s="4"/>
      <c r="W734" s="4"/>
    </row>
    <row r="735" spans="1:206" x14ac:dyDescent="0.2">
      <c r="A735" s="4">
        <v>50</v>
      </c>
      <c r="B735" s="4">
        <v>0</v>
      </c>
      <c r="C735" s="4">
        <v>0</v>
      </c>
      <c r="D735" s="4">
        <v>1</v>
      </c>
      <c r="E735" s="4">
        <v>225</v>
      </c>
      <c r="F735" s="4">
        <f>ROUND(Source!AV730,O735)</f>
        <v>1774171.91</v>
      </c>
      <c r="G735" s="4" t="s">
        <v>121</v>
      </c>
      <c r="H735" s="4" t="s">
        <v>122</v>
      </c>
      <c r="I735" s="4"/>
      <c r="J735" s="4"/>
      <c r="K735" s="4">
        <v>225</v>
      </c>
      <c r="L735" s="4">
        <v>4</v>
      </c>
      <c r="M735" s="4">
        <v>3</v>
      </c>
      <c r="N735" s="4" t="s">
        <v>6</v>
      </c>
      <c r="O735" s="4">
        <v>2</v>
      </c>
      <c r="P735" s="4"/>
      <c r="Q735" s="4"/>
      <c r="R735" s="4"/>
      <c r="S735" s="4"/>
      <c r="T735" s="4"/>
      <c r="U735" s="4"/>
      <c r="V735" s="4"/>
      <c r="W735" s="4"/>
    </row>
    <row r="736" spans="1:206" x14ac:dyDescent="0.2">
      <c r="A736" s="4">
        <v>50</v>
      </c>
      <c r="B736" s="4">
        <v>0</v>
      </c>
      <c r="C736" s="4">
        <v>0</v>
      </c>
      <c r="D736" s="4">
        <v>1</v>
      </c>
      <c r="E736" s="4">
        <v>226</v>
      </c>
      <c r="F736" s="4">
        <f>ROUND(Source!AW730,O736)</f>
        <v>1774171.91</v>
      </c>
      <c r="G736" s="4" t="s">
        <v>123</v>
      </c>
      <c r="H736" s="4" t="s">
        <v>124</v>
      </c>
      <c r="I736" s="4"/>
      <c r="J736" s="4"/>
      <c r="K736" s="4">
        <v>226</v>
      </c>
      <c r="L736" s="4">
        <v>5</v>
      </c>
      <c r="M736" s="4">
        <v>3</v>
      </c>
      <c r="N736" s="4" t="s">
        <v>6</v>
      </c>
      <c r="O736" s="4">
        <v>2</v>
      </c>
      <c r="P736" s="4"/>
      <c r="Q736" s="4"/>
      <c r="R736" s="4"/>
      <c r="S736" s="4"/>
      <c r="T736" s="4"/>
      <c r="U736" s="4"/>
      <c r="V736" s="4"/>
      <c r="W736" s="4"/>
    </row>
    <row r="737" spans="1:23" x14ac:dyDescent="0.2">
      <c r="A737" s="4">
        <v>50</v>
      </c>
      <c r="B737" s="4">
        <v>0</v>
      </c>
      <c r="C737" s="4">
        <v>0</v>
      </c>
      <c r="D737" s="4">
        <v>1</v>
      </c>
      <c r="E737" s="4">
        <v>227</v>
      </c>
      <c r="F737" s="4">
        <f>ROUND(Source!AX730,O737)</f>
        <v>0</v>
      </c>
      <c r="G737" s="4" t="s">
        <v>125</v>
      </c>
      <c r="H737" s="4" t="s">
        <v>126</v>
      </c>
      <c r="I737" s="4"/>
      <c r="J737" s="4"/>
      <c r="K737" s="4">
        <v>227</v>
      </c>
      <c r="L737" s="4">
        <v>6</v>
      </c>
      <c r="M737" s="4">
        <v>3</v>
      </c>
      <c r="N737" s="4" t="s">
        <v>6</v>
      </c>
      <c r="O737" s="4">
        <v>2</v>
      </c>
      <c r="P737" s="4"/>
      <c r="Q737" s="4"/>
      <c r="R737" s="4"/>
      <c r="S737" s="4"/>
      <c r="T737" s="4"/>
      <c r="U737" s="4"/>
      <c r="V737" s="4"/>
      <c r="W737" s="4"/>
    </row>
    <row r="738" spans="1:23" x14ac:dyDescent="0.2">
      <c r="A738" s="4">
        <v>50</v>
      </c>
      <c r="B738" s="4">
        <v>0</v>
      </c>
      <c r="C738" s="4">
        <v>0</v>
      </c>
      <c r="D738" s="4">
        <v>1</v>
      </c>
      <c r="E738" s="4">
        <v>228</v>
      </c>
      <c r="F738" s="4">
        <f>ROUND(Source!AY730,O738)</f>
        <v>1774171.91</v>
      </c>
      <c r="G738" s="4" t="s">
        <v>127</v>
      </c>
      <c r="H738" s="4" t="s">
        <v>128</v>
      </c>
      <c r="I738" s="4"/>
      <c r="J738" s="4"/>
      <c r="K738" s="4">
        <v>228</v>
      </c>
      <c r="L738" s="4">
        <v>7</v>
      </c>
      <c r="M738" s="4">
        <v>3</v>
      </c>
      <c r="N738" s="4" t="s">
        <v>6</v>
      </c>
      <c r="O738" s="4">
        <v>2</v>
      </c>
      <c r="P738" s="4"/>
      <c r="Q738" s="4"/>
      <c r="R738" s="4"/>
      <c r="S738" s="4"/>
      <c r="T738" s="4"/>
      <c r="U738" s="4"/>
      <c r="V738" s="4"/>
      <c r="W738" s="4"/>
    </row>
    <row r="739" spans="1:23" x14ac:dyDescent="0.2">
      <c r="A739" s="4">
        <v>50</v>
      </c>
      <c r="B739" s="4">
        <v>0</v>
      </c>
      <c r="C739" s="4">
        <v>0</v>
      </c>
      <c r="D739" s="4">
        <v>1</v>
      </c>
      <c r="E739" s="4">
        <v>216</v>
      </c>
      <c r="F739" s="4">
        <f>ROUND(Source!AP730,O739)</f>
        <v>0</v>
      </c>
      <c r="G739" s="4" t="s">
        <v>129</v>
      </c>
      <c r="H739" s="4" t="s">
        <v>130</v>
      </c>
      <c r="I739" s="4"/>
      <c r="J739" s="4"/>
      <c r="K739" s="4">
        <v>216</v>
      </c>
      <c r="L739" s="4">
        <v>8</v>
      </c>
      <c r="M739" s="4">
        <v>3</v>
      </c>
      <c r="N739" s="4" t="s">
        <v>6</v>
      </c>
      <c r="O739" s="4">
        <v>2</v>
      </c>
      <c r="P739" s="4"/>
      <c r="Q739" s="4"/>
      <c r="R739" s="4"/>
      <c r="S739" s="4"/>
      <c r="T739" s="4"/>
      <c r="U739" s="4"/>
      <c r="V739" s="4"/>
      <c r="W739" s="4"/>
    </row>
    <row r="740" spans="1:23" x14ac:dyDescent="0.2">
      <c r="A740" s="4">
        <v>50</v>
      </c>
      <c r="B740" s="4">
        <v>0</v>
      </c>
      <c r="C740" s="4">
        <v>0</v>
      </c>
      <c r="D740" s="4">
        <v>1</v>
      </c>
      <c r="E740" s="4">
        <v>223</v>
      </c>
      <c r="F740" s="4">
        <f>ROUND(Source!AQ730,O740)</f>
        <v>0</v>
      </c>
      <c r="G740" s="4" t="s">
        <v>131</v>
      </c>
      <c r="H740" s="4" t="s">
        <v>132</v>
      </c>
      <c r="I740" s="4"/>
      <c r="J740" s="4"/>
      <c r="K740" s="4">
        <v>223</v>
      </c>
      <c r="L740" s="4">
        <v>9</v>
      </c>
      <c r="M740" s="4">
        <v>3</v>
      </c>
      <c r="N740" s="4" t="s">
        <v>6</v>
      </c>
      <c r="O740" s="4">
        <v>2</v>
      </c>
      <c r="P740" s="4"/>
      <c r="Q740" s="4"/>
      <c r="R740" s="4"/>
      <c r="S740" s="4"/>
      <c r="T740" s="4"/>
      <c r="U740" s="4"/>
      <c r="V740" s="4"/>
      <c r="W740" s="4"/>
    </row>
    <row r="741" spans="1:23" x14ac:dyDescent="0.2">
      <c r="A741" s="4">
        <v>50</v>
      </c>
      <c r="B741" s="4">
        <v>0</v>
      </c>
      <c r="C741" s="4">
        <v>0</v>
      </c>
      <c r="D741" s="4">
        <v>1</v>
      </c>
      <c r="E741" s="4">
        <v>229</v>
      </c>
      <c r="F741" s="4">
        <f>ROUND(Source!AZ730,O741)</f>
        <v>0</v>
      </c>
      <c r="G741" s="4" t="s">
        <v>133</v>
      </c>
      <c r="H741" s="4" t="s">
        <v>134</v>
      </c>
      <c r="I741" s="4"/>
      <c r="J741" s="4"/>
      <c r="K741" s="4">
        <v>229</v>
      </c>
      <c r="L741" s="4">
        <v>10</v>
      </c>
      <c r="M741" s="4">
        <v>3</v>
      </c>
      <c r="N741" s="4" t="s">
        <v>6</v>
      </c>
      <c r="O741" s="4">
        <v>2</v>
      </c>
      <c r="P741" s="4"/>
      <c r="Q741" s="4"/>
      <c r="R741" s="4"/>
      <c r="S741" s="4"/>
      <c r="T741" s="4"/>
      <c r="U741" s="4"/>
      <c r="V741" s="4"/>
      <c r="W741" s="4"/>
    </row>
    <row r="742" spans="1:23" x14ac:dyDescent="0.2">
      <c r="A742" s="4">
        <v>50</v>
      </c>
      <c r="B742" s="4">
        <v>0</v>
      </c>
      <c r="C742" s="4">
        <v>0</v>
      </c>
      <c r="D742" s="4">
        <v>1</v>
      </c>
      <c r="E742" s="4">
        <v>203</v>
      </c>
      <c r="F742" s="4">
        <f>ROUND(Source!Q730,O742)</f>
        <v>20233.37</v>
      </c>
      <c r="G742" s="4" t="s">
        <v>135</v>
      </c>
      <c r="H742" s="4" t="s">
        <v>136</v>
      </c>
      <c r="I742" s="4"/>
      <c r="J742" s="4"/>
      <c r="K742" s="4">
        <v>203</v>
      </c>
      <c r="L742" s="4">
        <v>11</v>
      </c>
      <c r="M742" s="4">
        <v>3</v>
      </c>
      <c r="N742" s="4" t="s">
        <v>6</v>
      </c>
      <c r="O742" s="4">
        <v>2</v>
      </c>
      <c r="P742" s="4"/>
      <c r="Q742" s="4"/>
      <c r="R742" s="4"/>
      <c r="S742" s="4"/>
      <c r="T742" s="4"/>
      <c r="U742" s="4"/>
      <c r="V742" s="4"/>
      <c r="W742" s="4"/>
    </row>
    <row r="743" spans="1:23" x14ac:dyDescent="0.2">
      <c r="A743" s="4">
        <v>50</v>
      </c>
      <c r="B743" s="4">
        <v>0</v>
      </c>
      <c r="C743" s="4">
        <v>0</v>
      </c>
      <c r="D743" s="4">
        <v>1</v>
      </c>
      <c r="E743" s="4">
        <v>231</v>
      </c>
      <c r="F743" s="4">
        <f>ROUND(Source!BB730,O743)</f>
        <v>0</v>
      </c>
      <c r="G743" s="4" t="s">
        <v>137</v>
      </c>
      <c r="H743" s="4" t="s">
        <v>138</v>
      </c>
      <c r="I743" s="4"/>
      <c r="J743" s="4"/>
      <c r="K743" s="4">
        <v>231</v>
      </c>
      <c r="L743" s="4">
        <v>12</v>
      </c>
      <c r="M743" s="4">
        <v>3</v>
      </c>
      <c r="N743" s="4" t="s">
        <v>6</v>
      </c>
      <c r="O743" s="4">
        <v>2</v>
      </c>
      <c r="P743" s="4"/>
      <c r="Q743" s="4"/>
      <c r="R743" s="4"/>
      <c r="S743" s="4"/>
      <c r="T743" s="4"/>
      <c r="U743" s="4"/>
      <c r="V743" s="4"/>
      <c r="W743" s="4"/>
    </row>
    <row r="744" spans="1:23" x14ac:dyDescent="0.2">
      <c r="A744" s="4">
        <v>50</v>
      </c>
      <c r="B744" s="4">
        <v>0</v>
      </c>
      <c r="C744" s="4">
        <v>0</v>
      </c>
      <c r="D744" s="4">
        <v>1</v>
      </c>
      <c r="E744" s="4">
        <v>204</v>
      </c>
      <c r="F744" s="4">
        <f>ROUND(Source!R730,O744)</f>
        <v>3538.3</v>
      </c>
      <c r="G744" s="4" t="s">
        <v>139</v>
      </c>
      <c r="H744" s="4" t="s">
        <v>140</v>
      </c>
      <c r="I744" s="4"/>
      <c r="J744" s="4"/>
      <c r="K744" s="4">
        <v>204</v>
      </c>
      <c r="L744" s="4">
        <v>13</v>
      </c>
      <c r="M744" s="4">
        <v>3</v>
      </c>
      <c r="N744" s="4" t="s">
        <v>6</v>
      </c>
      <c r="O744" s="4">
        <v>2</v>
      </c>
      <c r="P744" s="4"/>
      <c r="Q744" s="4"/>
      <c r="R744" s="4"/>
      <c r="S744" s="4"/>
      <c r="T744" s="4"/>
      <c r="U744" s="4"/>
      <c r="V744" s="4"/>
      <c r="W744" s="4"/>
    </row>
    <row r="745" spans="1:23" x14ac:dyDescent="0.2">
      <c r="A745" s="4">
        <v>50</v>
      </c>
      <c r="B745" s="4">
        <v>0</v>
      </c>
      <c r="C745" s="4">
        <v>0</v>
      </c>
      <c r="D745" s="4">
        <v>1</v>
      </c>
      <c r="E745" s="4">
        <v>205</v>
      </c>
      <c r="F745" s="4">
        <f>ROUND(Source!S730,O745)</f>
        <v>172497.58</v>
      </c>
      <c r="G745" s="4" t="s">
        <v>141</v>
      </c>
      <c r="H745" s="4" t="s">
        <v>142</v>
      </c>
      <c r="I745" s="4"/>
      <c r="J745" s="4"/>
      <c r="K745" s="4">
        <v>205</v>
      </c>
      <c r="L745" s="4">
        <v>14</v>
      </c>
      <c r="M745" s="4">
        <v>3</v>
      </c>
      <c r="N745" s="4" t="s">
        <v>6</v>
      </c>
      <c r="O745" s="4">
        <v>2</v>
      </c>
      <c r="P745" s="4"/>
      <c r="Q745" s="4"/>
      <c r="R745" s="4"/>
      <c r="S745" s="4"/>
      <c r="T745" s="4"/>
      <c r="U745" s="4"/>
      <c r="V745" s="4"/>
      <c r="W745" s="4"/>
    </row>
    <row r="746" spans="1:23" x14ac:dyDescent="0.2">
      <c r="A746" s="4">
        <v>50</v>
      </c>
      <c r="B746" s="4">
        <v>0</v>
      </c>
      <c r="C746" s="4">
        <v>0</v>
      </c>
      <c r="D746" s="4">
        <v>1</v>
      </c>
      <c r="E746" s="4">
        <v>232</v>
      </c>
      <c r="F746" s="4">
        <f>ROUND(Source!BC730,O746)</f>
        <v>0</v>
      </c>
      <c r="G746" s="4" t="s">
        <v>143</v>
      </c>
      <c r="H746" s="4" t="s">
        <v>144</v>
      </c>
      <c r="I746" s="4"/>
      <c r="J746" s="4"/>
      <c r="K746" s="4">
        <v>232</v>
      </c>
      <c r="L746" s="4">
        <v>15</v>
      </c>
      <c r="M746" s="4">
        <v>3</v>
      </c>
      <c r="N746" s="4" t="s">
        <v>6</v>
      </c>
      <c r="O746" s="4">
        <v>2</v>
      </c>
      <c r="P746" s="4"/>
      <c r="Q746" s="4"/>
      <c r="R746" s="4"/>
      <c r="S746" s="4"/>
      <c r="T746" s="4"/>
      <c r="U746" s="4"/>
      <c r="V746" s="4"/>
      <c r="W746" s="4"/>
    </row>
    <row r="747" spans="1:23" x14ac:dyDescent="0.2">
      <c r="A747" s="4">
        <v>50</v>
      </c>
      <c r="B747" s="4">
        <v>0</v>
      </c>
      <c r="C747" s="4">
        <v>0</v>
      </c>
      <c r="D747" s="4">
        <v>1</v>
      </c>
      <c r="E747" s="4">
        <v>214</v>
      </c>
      <c r="F747" s="4">
        <f>ROUND(Source!AS730,O747)</f>
        <v>1540258.79</v>
      </c>
      <c r="G747" s="4" t="s">
        <v>145</v>
      </c>
      <c r="H747" s="4" t="s">
        <v>146</v>
      </c>
      <c r="I747" s="4"/>
      <c r="J747" s="4"/>
      <c r="K747" s="4">
        <v>214</v>
      </c>
      <c r="L747" s="4">
        <v>16</v>
      </c>
      <c r="M747" s="4">
        <v>3</v>
      </c>
      <c r="N747" s="4" t="s">
        <v>6</v>
      </c>
      <c r="O747" s="4">
        <v>2</v>
      </c>
      <c r="P747" s="4"/>
      <c r="Q747" s="4"/>
      <c r="R747" s="4"/>
      <c r="S747" s="4"/>
      <c r="T747" s="4"/>
      <c r="U747" s="4"/>
      <c r="V747" s="4"/>
      <c r="W747" s="4"/>
    </row>
    <row r="748" spans="1:23" x14ac:dyDescent="0.2">
      <c r="A748" s="4">
        <v>50</v>
      </c>
      <c r="B748" s="4">
        <v>0</v>
      </c>
      <c r="C748" s="4">
        <v>0</v>
      </c>
      <c r="D748" s="4">
        <v>1</v>
      </c>
      <c r="E748" s="4">
        <v>215</v>
      </c>
      <c r="F748" s="4">
        <f>ROUND(Source!AT730,O748)</f>
        <v>588860.31999999995</v>
      </c>
      <c r="G748" s="4" t="s">
        <v>147</v>
      </c>
      <c r="H748" s="4" t="s">
        <v>148</v>
      </c>
      <c r="I748" s="4"/>
      <c r="J748" s="4"/>
      <c r="K748" s="4">
        <v>215</v>
      </c>
      <c r="L748" s="4">
        <v>17</v>
      </c>
      <c r="M748" s="4">
        <v>3</v>
      </c>
      <c r="N748" s="4" t="s">
        <v>6</v>
      </c>
      <c r="O748" s="4">
        <v>2</v>
      </c>
      <c r="P748" s="4"/>
      <c r="Q748" s="4"/>
      <c r="R748" s="4"/>
      <c r="S748" s="4"/>
      <c r="T748" s="4"/>
      <c r="U748" s="4"/>
      <c r="V748" s="4"/>
      <c r="W748" s="4"/>
    </row>
    <row r="749" spans="1:23" x14ac:dyDescent="0.2">
      <c r="A749" s="4">
        <v>50</v>
      </c>
      <c r="B749" s="4">
        <v>0</v>
      </c>
      <c r="C749" s="4">
        <v>0</v>
      </c>
      <c r="D749" s="4">
        <v>1</v>
      </c>
      <c r="E749" s="4">
        <v>217</v>
      </c>
      <c r="F749" s="4">
        <f>ROUND(Source!AU730,O749)</f>
        <v>89382.03</v>
      </c>
      <c r="G749" s="4" t="s">
        <v>149</v>
      </c>
      <c r="H749" s="4" t="s">
        <v>150</v>
      </c>
      <c r="I749" s="4"/>
      <c r="J749" s="4"/>
      <c r="K749" s="4">
        <v>217</v>
      </c>
      <c r="L749" s="4">
        <v>18</v>
      </c>
      <c r="M749" s="4">
        <v>3</v>
      </c>
      <c r="N749" s="4" t="s">
        <v>6</v>
      </c>
      <c r="O749" s="4">
        <v>2</v>
      </c>
      <c r="P749" s="4"/>
      <c r="Q749" s="4"/>
      <c r="R749" s="4"/>
      <c r="S749" s="4"/>
      <c r="T749" s="4"/>
      <c r="U749" s="4"/>
      <c r="V749" s="4"/>
      <c r="W749" s="4"/>
    </row>
    <row r="750" spans="1:23" x14ac:dyDescent="0.2">
      <c r="A750" s="4">
        <v>50</v>
      </c>
      <c r="B750" s="4">
        <v>0</v>
      </c>
      <c r="C750" s="4">
        <v>0</v>
      </c>
      <c r="D750" s="4">
        <v>1</v>
      </c>
      <c r="E750" s="4">
        <v>230</v>
      </c>
      <c r="F750" s="4">
        <f>ROUND(Source!BA730,O750)</f>
        <v>0</v>
      </c>
      <c r="G750" s="4" t="s">
        <v>151</v>
      </c>
      <c r="H750" s="4" t="s">
        <v>152</v>
      </c>
      <c r="I750" s="4"/>
      <c r="J750" s="4"/>
      <c r="K750" s="4">
        <v>230</v>
      </c>
      <c r="L750" s="4">
        <v>19</v>
      </c>
      <c r="M750" s="4">
        <v>3</v>
      </c>
      <c r="N750" s="4" t="s">
        <v>6</v>
      </c>
      <c r="O750" s="4">
        <v>2</v>
      </c>
      <c r="P750" s="4"/>
      <c r="Q750" s="4"/>
      <c r="R750" s="4"/>
      <c r="S750" s="4"/>
      <c r="T750" s="4"/>
      <c r="U750" s="4"/>
      <c r="V750" s="4"/>
      <c r="W750" s="4"/>
    </row>
    <row r="751" spans="1:23" x14ac:dyDescent="0.2">
      <c r="A751" s="4">
        <v>50</v>
      </c>
      <c r="B751" s="4">
        <v>0</v>
      </c>
      <c r="C751" s="4">
        <v>0</v>
      </c>
      <c r="D751" s="4">
        <v>1</v>
      </c>
      <c r="E751" s="4">
        <v>206</v>
      </c>
      <c r="F751" s="4">
        <f>ROUND(Source!T730,O751)</f>
        <v>0</v>
      </c>
      <c r="G751" s="4" t="s">
        <v>153</v>
      </c>
      <c r="H751" s="4" t="s">
        <v>154</v>
      </c>
      <c r="I751" s="4"/>
      <c r="J751" s="4"/>
      <c r="K751" s="4">
        <v>206</v>
      </c>
      <c r="L751" s="4">
        <v>20</v>
      </c>
      <c r="M751" s="4">
        <v>3</v>
      </c>
      <c r="N751" s="4" t="s">
        <v>6</v>
      </c>
      <c r="O751" s="4">
        <v>2</v>
      </c>
      <c r="P751" s="4"/>
      <c r="Q751" s="4"/>
      <c r="R751" s="4"/>
      <c r="S751" s="4"/>
      <c r="T751" s="4"/>
      <c r="U751" s="4"/>
      <c r="V751" s="4"/>
      <c r="W751" s="4"/>
    </row>
    <row r="752" spans="1:23" x14ac:dyDescent="0.2">
      <c r="A752" s="4">
        <v>50</v>
      </c>
      <c r="B752" s="4">
        <v>0</v>
      </c>
      <c r="C752" s="4">
        <v>0</v>
      </c>
      <c r="D752" s="4">
        <v>1</v>
      </c>
      <c r="E752" s="4">
        <v>207</v>
      </c>
      <c r="F752" s="4">
        <f>Source!U730</f>
        <v>2256.7420697500002</v>
      </c>
      <c r="G752" s="4" t="s">
        <v>155</v>
      </c>
      <c r="H752" s="4" t="s">
        <v>156</v>
      </c>
      <c r="I752" s="4"/>
      <c r="J752" s="4"/>
      <c r="K752" s="4">
        <v>207</v>
      </c>
      <c r="L752" s="4">
        <v>21</v>
      </c>
      <c r="M752" s="4">
        <v>3</v>
      </c>
      <c r="N752" s="4" t="s">
        <v>6</v>
      </c>
      <c r="O752" s="4">
        <v>-1</v>
      </c>
      <c r="P752" s="4"/>
      <c r="Q752" s="4"/>
      <c r="R752" s="4"/>
      <c r="S752" s="4"/>
      <c r="T752" s="4"/>
      <c r="U752" s="4"/>
      <c r="V752" s="4"/>
      <c r="W752" s="4"/>
    </row>
    <row r="753" spans="1:23" x14ac:dyDescent="0.2">
      <c r="A753" s="4">
        <v>50</v>
      </c>
      <c r="B753" s="4">
        <v>0</v>
      </c>
      <c r="C753" s="4">
        <v>0</v>
      </c>
      <c r="D753" s="4">
        <v>1</v>
      </c>
      <c r="E753" s="4">
        <v>208</v>
      </c>
      <c r="F753" s="4">
        <f>Source!V730</f>
        <v>45.953571999999994</v>
      </c>
      <c r="G753" s="4" t="s">
        <v>157</v>
      </c>
      <c r="H753" s="4" t="s">
        <v>158</v>
      </c>
      <c r="I753" s="4"/>
      <c r="J753" s="4"/>
      <c r="K753" s="4">
        <v>208</v>
      </c>
      <c r="L753" s="4">
        <v>22</v>
      </c>
      <c r="M753" s="4">
        <v>3</v>
      </c>
      <c r="N753" s="4" t="s">
        <v>6</v>
      </c>
      <c r="O753" s="4">
        <v>-1</v>
      </c>
      <c r="P753" s="4"/>
      <c r="Q753" s="4"/>
      <c r="R753" s="4"/>
      <c r="S753" s="4"/>
      <c r="T753" s="4"/>
      <c r="U753" s="4"/>
      <c r="V753" s="4"/>
      <c r="W753" s="4"/>
    </row>
    <row r="754" spans="1:23" x14ac:dyDescent="0.2">
      <c r="A754" s="4">
        <v>50</v>
      </c>
      <c r="B754" s="4">
        <v>0</v>
      </c>
      <c r="C754" s="4">
        <v>0</v>
      </c>
      <c r="D754" s="4">
        <v>1</v>
      </c>
      <c r="E754" s="4">
        <v>209</v>
      </c>
      <c r="F754" s="4">
        <f>ROUND(Source!W730,O754)</f>
        <v>0</v>
      </c>
      <c r="G754" s="4" t="s">
        <v>159</v>
      </c>
      <c r="H754" s="4" t="s">
        <v>160</v>
      </c>
      <c r="I754" s="4"/>
      <c r="J754" s="4"/>
      <c r="K754" s="4">
        <v>209</v>
      </c>
      <c r="L754" s="4">
        <v>23</v>
      </c>
      <c r="M754" s="4">
        <v>3</v>
      </c>
      <c r="N754" s="4" t="s">
        <v>6</v>
      </c>
      <c r="O754" s="4">
        <v>2</v>
      </c>
      <c r="P754" s="4"/>
      <c r="Q754" s="4"/>
      <c r="R754" s="4"/>
      <c r="S754" s="4"/>
      <c r="T754" s="4"/>
      <c r="U754" s="4"/>
      <c r="V754" s="4"/>
      <c r="W754" s="4"/>
    </row>
    <row r="755" spans="1:23" x14ac:dyDescent="0.2">
      <c r="A755" s="4">
        <v>50</v>
      </c>
      <c r="B755" s="4">
        <v>0</v>
      </c>
      <c r="C755" s="4">
        <v>0</v>
      </c>
      <c r="D755" s="4">
        <v>1</v>
      </c>
      <c r="E755" s="4">
        <v>210</v>
      </c>
      <c r="F755" s="4">
        <f>ROUND(Source!X730,O755)</f>
        <v>149802.93</v>
      </c>
      <c r="G755" s="4" t="s">
        <v>161</v>
      </c>
      <c r="H755" s="4" t="s">
        <v>162</v>
      </c>
      <c r="I755" s="4"/>
      <c r="J755" s="4"/>
      <c r="K755" s="4">
        <v>210</v>
      </c>
      <c r="L755" s="4">
        <v>24</v>
      </c>
      <c r="M755" s="4">
        <v>3</v>
      </c>
      <c r="N755" s="4" t="s">
        <v>6</v>
      </c>
      <c r="O755" s="4">
        <v>2</v>
      </c>
      <c r="P755" s="4"/>
      <c r="Q755" s="4"/>
      <c r="R755" s="4"/>
      <c r="S755" s="4"/>
      <c r="T755" s="4"/>
      <c r="U755" s="4"/>
      <c r="V755" s="4"/>
      <c r="W755" s="4"/>
    </row>
    <row r="756" spans="1:23" x14ac:dyDescent="0.2">
      <c r="A756" s="4">
        <v>50</v>
      </c>
      <c r="B756" s="4">
        <v>0</v>
      </c>
      <c r="C756" s="4">
        <v>0</v>
      </c>
      <c r="D756" s="4">
        <v>1</v>
      </c>
      <c r="E756" s="4">
        <v>211</v>
      </c>
      <c r="F756" s="4">
        <f>ROUND(Source!Y730,O756)</f>
        <v>94412.99</v>
      </c>
      <c r="G756" s="4" t="s">
        <v>163</v>
      </c>
      <c r="H756" s="4" t="s">
        <v>164</v>
      </c>
      <c r="I756" s="4"/>
      <c r="J756" s="4"/>
      <c r="K756" s="4">
        <v>211</v>
      </c>
      <c r="L756" s="4">
        <v>25</v>
      </c>
      <c r="M756" s="4">
        <v>3</v>
      </c>
      <c r="N756" s="4" t="s">
        <v>6</v>
      </c>
      <c r="O756" s="4">
        <v>2</v>
      </c>
      <c r="P756" s="4"/>
      <c r="Q756" s="4"/>
      <c r="R756" s="4"/>
      <c r="S756" s="4"/>
      <c r="T756" s="4"/>
      <c r="U756" s="4"/>
      <c r="V756" s="4"/>
      <c r="W756" s="4"/>
    </row>
    <row r="757" spans="1:23" x14ac:dyDescent="0.2">
      <c r="A757" s="4">
        <v>50</v>
      </c>
      <c r="B757" s="4">
        <v>0</v>
      </c>
      <c r="C757" s="4">
        <v>0</v>
      </c>
      <c r="D757" s="4">
        <v>1</v>
      </c>
      <c r="E757" s="4">
        <v>224</v>
      </c>
      <c r="F757" s="4">
        <f>ROUND(Source!AR730,O757)</f>
        <v>2218501.14</v>
      </c>
      <c r="G757" s="4" t="s">
        <v>165</v>
      </c>
      <c r="H757" s="4" t="s">
        <v>166</v>
      </c>
      <c r="I757" s="4"/>
      <c r="J757" s="4"/>
      <c r="K757" s="4">
        <v>224</v>
      </c>
      <c r="L757" s="4">
        <v>26</v>
      </c>
      <c r="M757" s="4">
        <v>3</v>
      </c>
      <c r="N757" s="4" t="s">
        <v>6</v>
      </c>
      <c r="O757" s="4">
        <v>2</v>
      </c>
      <c r="P757" s="4"/>
      <c r="Q757" s="4"/>
      <c r="R757" s="4"/>
      <c r="S757" s="4"/>
      <c r="T757" s="4"/>
      <c r="U757" s="4"/>
      <c r="V757" s="4"/>
      <c r="W757" s="4"/>
    </row>
    <row r="760" spans="1:23" x14ac:dyDescent="0.2">
      <c r="A760">
        <v>70</v>
      </c>
      <c r="B760">
        <v>1</v>
      </c>
      <c r="D760">
        <v>1</v>
      </c>
      <c r="E760" t="s">
        <v>1006</v>
      </c>
      <c r="F760" t="s">
        <v>1007</v>
      </c>
      <c r="G760">
        <v>0</v>
      </c>
      <c r="H760">
        <v>0</v>
      </c>
      <c r="I760" t="s">
        <v>6</v>
      </c>
      <c r="J760">
        <v>1</v>
      </c>
      <c r="K760">
        <v>0</v>
      </c>
      <c r="L760" t="s">
        <v>6</v>
      </c>
      <c r="M760" t="s">
        <v>6</v>
      </c>
      <c r="N760">
        <v>0</v>
      </c>
    </row>
    <row r="761" spans="1:23" x14ac:dyDescent="0.2">
      <c r="A761">
        <v>70</v>
      </c>
      <c r="B761">
        <v>1</v>
      </c>
      <c r="D761">
        <v>2</v>
      </c>
      <c r="E761" t="s">
        <v>1008</v>
      </c>
      <c r="F761" t="s">
        <v>1009</v>
      </c>
      <c r="G761">
        <v>1</v>
      </c>
      <c r="H761">
        <v>0</v>
      </c>
      <c r="I761" t="s">
        <v>6</v>
      </c>
      <c r="J761">
        <v>1</v>
      </c>
      <c r="K761">
        <v>0</v>
      </c>
      <c r="L761" t="s">
        <v>6</v>
      </c>
      <c r="M761" t="s">
        <v>6</v>
      </c>
      <c r="N761">
        <v>0</v>
      </c>
    </row>
    <row r="762" spans="1:23" x14ac:dyDescent="0.2">
      <c r="A762">
        <v>70</v>
      </c>
      <c r="B762">
        <v>1</v>
      </c>
      <c r="D762">
        <v>3</v>
      </c>
      <c r="E762" t="s">
        <v>1010</v>
      </c>
      <c r="F762" t="s">
        <v>1011</v>
      </c>
      <c r="G762">
        <v>0</v>
      </c>
      <c r="H762">
        <v>0</v>
      </c>
      <c r="I762" t="s">
        <v>6</v>
      </c>
      <c r="J762">
        <v>1</v>
      </c>
      <c r="K762">
        <v>0</v>
      </c>
      <c r="L762" t="s">
        <v>6</v>
      </c>
      <c r="M762" t="s">
        <v>6</v>
      </c>
      <c r="N762">
        <v>0</v>
      </c>
    </row>
    <row r="763" spans="1:23" x14ac:dyDescent="0.2">
      <c r="A763">
        <v>70</v>
      </c>
      <c r="B763">
        <v>1</v>
      </c>
      <c r="D763">
        <v>4</v>
      </c>
      <c r="E763" t="s">
        <v>1012</v>
      </c>
      <c r="F763" t="s">
        <v>1013</v>
      </c>
      <c r="G763">
        <v>0</v>
      </c>
      <c r="H763">
        <v>0</v>
      </c>
      <c r="I763" t="s">
        <v>1014</v>
      </c>
      <c r="J763">
        <v>0</v>
      </c>
      <c r="K763">
        <v>0</v>
      </c>
      <c r="L763" t="s">
        <v>6</v>
      </c>
      <c r="M763" t="s">
        <v>6</v>
      </c>
      <c r="N763">
        <v>0</v>
      </c>
    </row>
    <row r="764" spans="1:23" x14ac:dyDescent="0.2">
      <c r="A764">
        <v>70</v>
      </c>
      <c r="B764">
        <v>1</v>
      </c>
      <c r="D764">
        <v>5</v>
      </c>
      <c r="E764" t="s">
        <v>1015</v>
      </c>
      <c r="F764" t="s">
        <v>1016</v>
      </c>
      <c r="G764">
        <v>0</v>
      </c>
      <c r="H764">
        <v>0</v>
      </c>
      <c r="I764" t="s">
        <v>1017</v>
      </c>
      <c r="J764">
        <v>0</v>
      </c>
      <c r="K764">
        <v>0</v>
      </c>
      <c r="L764" t="s">
        <v>6</v>
      </c>
      <c r="M764" t="s">
        <v>6</v>
      </c>
      <c r="N764">
        <v>0</v>
      </c>
    </row>
    <row r="765" spans="1:23" x14ac:dyDescent="0.2">
      <c r="A765">
        <v>70</v>
      </c>
      <c r="B765">
        <v>1</v>
      </c>
      <c r="D765">
        <v>6</v>
      </c>
      <c r="E765" t="s">
        <v>1018</v>
      </c>
      <c r="F765" t="s">
        <v>1019</v>
      </c>
      <c r="G765">
        <v>0</v>
      </c>
      <c r="H765">
        <v>0</v>
      </c>
      <c r="I765" t="s">
        <v>1020</v>
      </c>
      <c r="J765">
        <v>0</v>
      </c>
      <c r="K765">
        <v>0</v>
      </c>
      <c r="L765" t="s">
        <v>6</v>
      </c>
      <c r="M765" t="s">
        <v>6</v>
      </c>
      <c r="N765">
        <v>0</v>
      </c>
    </row>
    <row r="766" spans="1:23" x14ac:dyDescent="0.2">
      <c r="A766">
        <v>70</v>
      </c>
      <c r="B766">
        <v>1</v>
      </c>
      <c r="D766">
        <v>7</v>
      </c>
      <c r="E766" t="s">
        <v>1021</v>
      </c>
      <c r="F766" t="s">
        <v>1022</v>
      </c>
      <c r="G766">
        <v>0</v>
      </c>
      <c r="H766">
        <v>0</v>
      </c>
      <c r="I766" t="s">
        <v>6</v>
      </c>
      <c r="J766">
        <v>0</v>
      </c>
      <c r="K766">
        <v>0</v>
      </c>
      <c r="L766" t="s">
        <v>6</v>
      </c>
      <c r="M766" t="s">
        <v>6</v>
      </c>
      <c r="N766">
        <v>0</v>
      </c>
    </row>
    <row r="767" spans="1:23" x14ac:dyDescent="0.2">
      <c r="A767">
        <v>70</v>
      </c>
      <c r="B767">
        <v>1</v>
      </c>
      <c r="D767">
        <v>8</v>
      </c>
      <c r="E767" t="s">
        <v>1023</v>
      </c>
      <c r="F767" t="s">
        <v>1024</v>
      </c>
      <c r="G767">
        <v>0</v>
      </c>
      <c r="H767">
        <v>0</v>
      </c>
      <c r="I767" t="s">
        <v>1025</v>
      </c>
      <c r="J767">
        <v>0</v>
      </c>
      <c r="K767">
        <v>0</v>
      </c>
      <c r="L767" t="s">
        <v>6</v>
      </c>
      <c r="M767" t="s">
        <v>6</v>
      </c>
      <c r="N767">
        <v>0</v>
      </c>
    </row>
    <row r="768" spans="1:23" x14ac:dyDescent="0.2">
      <c r="A768">
        <v>70</v>
      </c>
      <c r="B768">
        <v>1</v>
      </c>
      <c r="D768">
        <v>9</v>
      </c>
      <c r="E768" t="s">
        <v>1026</v>
      </c>
      <c r="F768" t="s">
        <v>1027</v>
      </c>
      <c r="G768">
        <v>0</v>
      </c>
      <c r="H768">
        <v>0</v>
      </c>
      <c r="I768" t="s">
        <v>1028</v>
      </c>
      <c r="J768">
        <v>0</v>
      </c>
      <c r="K768">
        <v>0</v>
      </c>
      <c r="L768" t="s">
        <v>6</v>
      </c>
      <c r="M768" t="s">
        <v>6</v>
      </c>
      <c r="N768">
        <v>0</v>
      </c>
    </row>
    <row r="769" spans="1:14" x14ac:dyDescent="0.2">
      <c r="A769">
        <v>70</v>
      </c>
      <c r="B769">
        <v>1</v>
      </c>
      <c r="D769">
        <v>10</v>
      </c>
      <c r="E769" t="s">
        <v>1029</v>
      </c>
      <c r="F769" t="s">
        <v>1030</v>
      </c>
      <c r="G769">
        <v>0</v>
      </c>
      <c r="H769">
        <v>0</v>
      </c>
      <c r="I769" t="s">
        <v>1031</v>
      </c>
      <c r="J769">
        <v>0</v>
      </c>
      <c r="K769">
        <v>0</v>
      </c>
      <c r="L769" t="s">
        <v>6</v>
      </c>
      <c r="M769" t="s">
        <v>6</v>
      </c>
      <c r="N769">
        <v>0</v>
      </c>
    </row>
    <row r="770" spans="1:14" x14ac:dyDescent="0.2">
      <c r="A770">
        <v>70</v>
      </c>
      <c r="B770">
        <v>1</v>
      </c>
      <c r="D770">
        <v>11</v>
      </c>
      <c r="E770" t="s">
        <v>1032</v>
      </c>
      <c r="F770" t="s">
        <v>1033</v>
      </c>
      <c r="G770">
        <v>0</v>
      </c>
      <c r="H770">
        <v>0</v>
      </c>
      <c r="I770" t="s">
        <v>1034</v>
      </c>
      <c r="J770">
        <v>0</v>
      </c>
      <c r="K770">
        <v>0</v>
      </c>
      <c r="L770" t="s">
        <v>6</v>
      </c>
      <c r="M770" t="s">
        <v>6</v>
      </c>
      <c r="N770">
        <v>0</v>
      </c>
    </row>
    <row r="771" spans="1:14" x14ac:dyDescent="0.2">
      <c r="A771">
        <v>70</v>
      </c>
      <c r="B771">
        <v>1</v>
      </c>
      <c r="D771">
        <v>12</v>
      </c>
      <c r="E771" t="s">
        <v>1035</v>
      </c>
      <c r="F771" t="s">
        <v>1036</v>
      </c>
      <c r="G771">
        <v>0</v>
      </c>
      <c r="H771">
        <v>0</v>
      </c>
      <c r="I771" t="s">
        <v>6</v>
      </c>
      <c r="J771">
        <v>0</v>
      </c>
      <c r="K771">
        <v>0</v>
      </c>
      <c r="L771" t="s">
        <v>6</v>
      </c>
      <c r="M771" t="s">
        <v>6</v>
      </c>
      <c r="N771">
        <v>0</v>
      </c>
    </row>
    <row r="772" spans="1:14" x14ac:dyDescent="0.2">
      <c r="A772">
        <v>70</v>
      </c>
      <c r="B772">
        <v>1</v>
      </c>
      <c r="D772">
        <v>1</v>
      </c>
      <c r="E772" t="s">
        <v>1037</v>
      </c>
      <c r="F772" t="s">
        <v>1038</v>
      </c>
      <c r="G772">
        <v>0.9</v>
      </c>
      <c r="H772">
        <v>1</v>
      </c>
      <c r="I772" t="s">
        <v>1039</v>
      </c>
      <c r="J772">
        <v>0</v>
      </c>
      <c r="K772">
        <v>0</v>
      </c>
      <c r="L772" t="s">
        <v>6</v>
      </c>
      <c r="M772" t="s">
        <v>6</v>
      </c>
      <c r="N772">
        <v>0</v>
      </c>
    </row>
    <row r="773" spans="1:14" x14ac:dyDescent="0.2">
      <c r="A773">
        <v>70</v>
      </c>
      <c r="B773">
        <v>1</v>
      </c>
      <c r="D773">
        <v>2</v>
      </c>
      <c r="E773" t="s">
        <v>1040</v>
      </c>
      <c r="F773" t="s">
        <v>1041</v>
      </c>
      <c r="G773">
        <v>0.85</v>
      </c>
      <c r="H773">
        <v>1</v>
      </c>
      <c r="I773" t="s">
        <v>1042</v>
      </c>
      <c r="J773">
        <v>0</v>
      </c>
      <c r="K773">
        <v>0</v>
      </c>
      <c r="L773" t="s">
        <v>6</v>
      </c>
      <c r="M773" t="s">
        <v>6</v>
      </c>
      <c r="N773">
        <v>0</v>
      </c>
    </row>
    <row r="774" spans="1:14" x14ac:dyDescent="0.2">
      <c r="A774">
        <v>70</v>
      </c>
      <c r="B774">
        <v>1</v>
      </c>
      <c r="D774">
        <v>3</v>
      </c>
      <c r="E774" t="s">
        <v>1043</v>
      </c>
      <c r="F774" t="s">
        <v>1044</v>
      </c>
      <c r="G774">
        <v>1</v>
      </c>
      <c r="H774">
        <v>0.85</v>
      </c>
      <c r="I774" t="s">
        <v>1045</v>
      </c>
      <c r="J774">
        <v>0</v>
      </c>
      <c r="K774">
        <v>0</v>
      </c>
      <c r="L774" t="s">
        <v>6</v>
      </c>
      <c r="M774" t="s">
        <v>6</v>
      </c>
      <c r="N774">
        <v>0</v>
      </c>
    </row>
    <row r="775" spans="1:14" x14ac:dyDescent="0.2">
      <c r="A775">
        <v>70</v>
      </c>
      <c r="B775">
        <v>1</v>
      </c>
      <c r="D775">
        <v>4</v>
      </c>
      <c r="E775" t="s">
        <v>1046</v>
      </c>
      <c r="F775" t="s">
        <v>1047</v>
      </c>
      <c r="G775">
        <v>1</v>
      </c>
      <c r="H775">
        <v>0</v>
      </c>
      <c r="I775" t="s">
        <v>6</v>
      </c>
      <c r="J775">
        <v>0</v>
      </c>
      <c r="K775">
        <v>0</v>
      </c>
      <c r="L775" t="s">
        <v>6</v>
      </c>
      <c r="M775" t="s">
        <v>6</v>
      </c>
      <c r="N775">
        <v>0</v>
      </c>
    </row>
    <row r="776" spans="1:14" x14ac:dyDescent="0.2">
      <c r="A776">
        <v>70</v>
      </c>
      <c r="B776">
        <v>1</v>
      </c>
      <c r="D776">
        <v>5</v>
      </c>
      <c r="E776" t="s">
        <v>1048</v>
      </c>
      <c r="F776" t="s">
        <v>1049</v>
      </c>
      <c r="G776">
        <v>1</v>
      </c>
      <c r="H776">
        <v>0.8</v>
      </c>
      <c r="I776" t="s">
        <v>1050</v>
      </c>
      <c r="J776">
        <v>0</v>
      </c>
      <c r="K776">
        <v>0</v>
      </c>
      <c r="L776" t="s">
        <v>6</v>
      </c>
      <c r="M776" t="s">
        <v>6</v>
      </c>
      <c r="N776">
        <v>0</v>
      </c>
    </row>
    <row r="777" spans="1:14" x14ac:dyDescent="0.2">
      <c r="A777">
        <v>70</v>
      </c>
      <c r="B777">
        <v>1</v>
      </c>
      <c r="D777">
        <v>6</v>
      </c>
      <c r="E777" t="s">
        <v>1051</v>
      </c>
      <c r="F777" t="s">
        <v>1052</v>
      </c>
      <c r="G777">
        <v>0.85</v>
      </c>
      <c r="H777">
        <v>0</v>
      </c>
      <c r="I777" t="s">
        <v>6</v>
      </c>
      <c r="J777">
        <v>0</v>
      </c>
      <c r="K777">
        <v>0</v>
      </c>
      <c r="L777" t="s">
        <v>6</v>
      </c>
      <c r="M777" t="s">
        <v>6</v>
      </c>
      <c r="N777">
        <v>0</v>
      </c>
    </row>
    <row r="778" spans="1:14" x14ac:dyDescent="0.2">
      <c r="A778">
        <v>70</v>
      </c>
      <c r="B778">
        <v>1</v>
      </c>
      <c r="D778">
        <v>7</v>
      </c>
      <c r="E778" t="s">
        <v>1053</v>
      </c>
      <c r="F778" t="s">
        <v>1054</v>
      </c>
      <c r="G778">
        <v>0.8</v>
      </c>
      <c r="H778">
        <v>0</v>
      </c>
      <c r="I778" t="s">
        <v>6</v>
      </c>
      <c r="J778">
        <v>0</v>
      </c>
      <c r="K778">
        <v>0</v>
      </c>
      <c r="L778" t="s">
        <v>6</v>
      </c>
      <c r="M778" t="s">
        <v>6</v>
      </c>
      <c r="N778">
        <v>0</v>
      </c>
    </row>
    <row r="779" spans="1:14" x14ac:dyDescent="0.2">
      <c r="A779">
        <v>70</v>
      </c>
      <c r="B779">
        <v>1</v>
      </c>
      <c r="D779">
        <v>8</v>
      </c>
      <c r="E779" t="s">
        <v>1055</v>
      </c>
      <c r="F779" t="s">
        <v>1056</v>
      </c>
      <c r="G779">
        <v>0.94</v>
      </c>
      <c r="H779">
        <v>0</v>
      </c>
      <c r="I779" t="s">
        <v>6</v>
      </c>
      <c r="J779">
        <v>0</v>
      </c>
      <c r="K779">
        <v>0</v>
      </c>
      <c r="L779" t="s">
        <v>6</v>
      </c>
      <c r="M779" t="s">
        <v>6</v>
      </c>
      <c r="N779">
        <v>0</v>
      </c>
    </row>
    <row r="780" spans="1:14" x14ac:dyDescent="0.2">
      <c r="A780">
        <v>70</v>
      </c>
      <c r="B780">
        <v>1</v>
      </c>
      <c r="D780">
        <v>9</v>
      </c>
      <c r="E780" t="s">
        <v>1057</v>
      </c>
      <c r="F780" t="s">
        <v>1058</v>
      </c>
      <c r="G780">
        <v>0.9</v>
      </c>
      <c r="H780">
        <v>0</v>
      </c>
      <c r="I780" t="s">
        <v>6</v>
      </c>
      <c r="J780">
        <v>0</v>
      </c>
      <c r="K780">
        <v>0</v>
      </c>
      <c r="L780" t="s">
        <v>6</v>
      </c>
      <c r="M780" t="s">
        <v>6</v>
      </c>
      <c r="N780">
        <v>0</v>
      </c>
    </row>
    <row r="781" spans="1:14" x14ac:dyDescent="0.2">
      <c r="A781">
        <v>70</v>
      </c>
      <c r="B781">
        <v>1</v>
      </c>
      <c r="D781">
        <v>10</v>
      </c>
      <c r="E781" t="s">
        <v>1059</v>
      </c>
      <c r="F781" t="s">
        <v>1060</v>
      </c>
      <c r="G781">
        <v>0.6</v>
      </c>
      <c r="H781">
        <v>0</v>
      </c>
      <c r="I781" t="s">
        <v>6</v>
      </c>
      <c r="J781">
        <v>0</v>
      </c>
      <c r="K781">
        <v>0</v>
      </c>
      <c r="L781" t="s">
        <v>6</v>
      </c>
      <c r="M781" t="s">
        <v>6</v>
      </c>
      <c r="N781">
        <v>0</v>
      </c>
    </row>
    <row r="782" spans="1:14" x14ac:dyDescent="0.2">
      <c r="A782">
        <v>70</v>
      </c>
      <c r="B782">
        <v>1</v>
      </c>
      <c r="D782">
        <v>11</v>
      </c>
      <c r="E782" t="s">
        <v>1061</v>
      </c>
      <c r="F782" t="s">
        <v>1062</v>
      </c>
      <c r="G782">
        <v>1.2</v>
      </c>
      <c r="H782">
        <v>0</v>
      </c>
      <c r="I782" t="s">
        <v>6</v>
      </c>
      <c r="J782">
        <v>0</v>
      </c>
      <c r="K782">
        <v>0</v>
      </c>
      <c r="L782" t="s">
        <v>6</v>
      </c>
      <c r="M782" t="s">
        <v>6</v>
      </c>
      <c r="N782">
        <v>0</v>
      </c>
    </row>
    <row r="783" spans="1:14" x14ac:dyDescent="0.2">
      <c r="A783">
        <v>70</v>
      </c>
      <c r="B783">
        <v>1</v>
      </c>
      <c r="D783">
        <v>12</v>
      </c>
      <c r="E783" t="s">
        <v>1063</v>
      </c>
      <c r="F783" t="s">
        <v>1064</v>
      </c>
      <c r="G783">
        <v>0</v>
      </c>
      <c r="H783">
        <v>0</v>
      </c>
      <c r="I783" t="s">
        <v>6</v>
      </c>
      <c r="J783">
        <v>0</v>
      </c>
      <c r="K783">
        <v>0</v>
      </c>
      <c r="L783" t="s">
        <v>6</v>
      </c>
      <c r="M783" t="s">
        <v>6</v>
      </c>
      <c r="N783">
        <v>0</v>
      </c>
    </row>
    <row r="784" spans="1:14" x14ac:dyDescent="0.2">
      <c r="A784">
        <v>70</v>
      </c>
      <c r="B784">
        <v>1</v>
      </c>
      <c r="D784">
        <v>13</v>
      </c>
      <c r="E784" t="s">
        <v>1065</v>
      </c>
      <c r="F784" t="s">
        <v>1066</v>
      </c>
      <c r="G784">
        <v>0.94</v>
      </c>
      <c r="H784">
        <v>0</v>
      </c>
      <c r="I784" t="s">
        <v>6</v>
      </c>
      <c r="J784">
        <v>0</v>
      </c>
      <c r="K784">
        <v>0</v>
      </c>
      <c r="L784" t="s">
        <v>6</v>
      </c>
      <c r="M784" t="s">
        <v>6</v>
      </c>
      <c r="N784">
        <v>0</v>
      </c>
    </row>
    <row r="786" spans="1:34" x14ac:dyDescent="0.2">
      <c r="A786">
        <v>-1</v>
      </c>
    </row>
    <row r="788" spans="1:34" x14ac:dyDescent="0.2">
      <c r="A788" s="3">
        <v>75</v>
      </c>
      <c r="B788" s="3" t="s">
        <v>1067</v>
      </c>
      <c r="C788" s="3">
        <v>2018</v>
      </c>
      <c r="D788" s="3">
        <v>2</v>
      </c>
      <c r="E788" s="3">
        <v>0</v>
      </c>
      <c r="F788" s="3">
        <v>0</v>
      </c>
      <c r="G788" s="3">
        <v>0</v>
      </c>
      <c r="H788" s="3">
        <v>1</v>
      </c>
      <c r="I788" s="3">
        <v>0</v>
      </c>
      <c r="J788" s="3">
        <v>1</v>
      </c>
      <c r="K788" s="3">
        <v>0</v>
      </c>
      <c r="L788" s="3">
        <v>0</v>
      </c>
      <c r="M788" s="3">
        <v>0</v>
      </c>
      <c r="N788" s="3">
        <v>16748969</v>
      </c>
      <c r="O788" s="3">
        <v>1</v>
      </c>
    </row>
    <row r="789" spans="1:34" x14ac:dyDescent="0.2">
      <c r="A789" s="5">
        <v>3</v>
      </c>
      <c r="B789" s="5" t="s">
        <v>1068</v>
      </c>
      <c r="C789" s="5">
        <v>6.56</v>
      </c>
      <c r="D789" s="5">
        <v>1</v>
      </c>
      <c r="E789" s="5">
        <v>1</v>
      </c>
      <c r="F789" s="5">
        <v>1</v>
      </c>
      <c r="G789" s="5">
        <v>1</v>
      </c>
      <c r="H789" s="5">
        <v>1</v>
      </c>
      <c r="I789" s="5">
        <v>1</v>
      </c>
      <c r="J789" s="5">
        <v>1</v>
      </c>
      <c r="K789" s="5">
        <v>18.940000000000001</v>
      </c>
      <c r="L789" s="5">
        <v>1</v>
      </c>
      <c r="M789" s="5">
        <v>6.56</v>
      </c>
      <c r="N789" s="5">
        <v>1</v>
      </c>
      <c r="O789" s="5">
        <v>1</v>
      </c>
      <c r="P789" s="5">
        <v>1</v>
      </c>
      <c r="Q789" s="5">
        <v>18.940000000000001</v>
      </c>
      <c r="R789" s="5">
        <v>1</v>
      </c>
      <c r="S789" s="5" t="s">
        <v>6</v>
      </c>
      <c r="T789" s="5" t="s">
        <v>6</v>
      </c>
      <c r="U789" s="5" t="s">
        <v>6</v>
      </c>
      <c r="V789" s="5" t="s">
        <v>6</v>
      </c>
      <c r="W789" s="5" t="s">
        <v>6</v>
      </c>
      <c r="X789" s="5" t="s">
        <v>6</v>
      </c>
      <c r="Y789" s="5" t="s">
        <v>6</v>
      </c>
      <c r="Z789" s="5" t="s">
        <v>6</v>
      </c>
      <c r="AA789" s="5" t="s">
        <v>6</v>
      </c>
      <c r="AB789" s="5" t="s">
        <v>6</v>
      </c>
      <c r="AC789" s="5" t="s">
        <v>6</v>
      </c>
      <c r="AD789" s="5" t="s">
        <v>6</v>
      </c>
      <c r="AE789" s="5" t="s">
        <v>6</v>
      </c>
      <c r="AF789" s="5" t="s">
        <v>6</v>
      </c>
      <c r="AG789" s="5" t="s">
        <v>6</v>
      </c>
      <c r="AH789" s="5" t="s">
        <v>6</v>
      </c>
    </row>
    <row r="793" spans="1:34" x14ac:dyDescent="0.2">
      <c r="A793">
        <v>65</v>
      </c>
      <c r="C793">
        <v>1</v>
      </c>
      <c r="D793">
        <v>0</v>
      </c>
      <c r="E793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51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1069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27251</v>
      </c>
      <c r="M1">
        <v>10</v>
      </c>
      <c r="N1">
        <v>10</v>
      </c>
      <c r="O1">
        <v>1</v>
      </c>
      <c r="P1">
        <v>0</v>
      </c>
      <c r="Q1">
        <v>5</v>
      </c>
    </row>
    <row r="12" spans="1:133" x14ac:dyDescent="0.2">
      <c r="A12" s="1">
        <v>1</v>
      </c>
      <c r="B12" s="1">
        <v>50</v>
      </c>
      <c r="C12" s="1">
        <v>0</v>
      </c>
      <c r="D12" s="1"/>
      <c r="E12" s="1">
        <v>0</v>
      </c>
      <c r="F12" s="1" t="s">
        <v>4</v>
      </c>
      <c r="G12" s="1" t="s">
        <v>5</v>
      </c>
      <c r="H12" s="1" t="s">
        <v>6</v>
      </c>
      <c r="I12" s="1">
        <v>0</v>
      </c>
      <c r="J12" s="1" t="s">
        <v>6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/>
      <c r="T12" s="1"/>
      <c r="U12" s="1" t="s">
        <v>6</v>
      </c>
      <c r="V12" s="1">
        <v>0</v>
      </c>
      <c r="W12" s="1" t="s">
        <v>6</v>
      </c>
      <c r="X12" s="1" t="s">
        <v>6</v>
      </c>
      <c r="Y12" s="1" t="s">
        <v>6</v>
      </c>
      <c r="Z12" s="1" t="s">
        <v>6</v>
      </c>
      <c r="AA12" s="1" t="s">
        <v>6</v>
      </c>
      <c r="AB12" s="1" t="s">
        <v>6</v>
      </c>
      <c r="AC12" s="1" t="s">
        <v>6</v>
      </c>
      <c r="AD12" s="1" t="s">
        <v>6</v>
      </c>
      <c r="AE12" s="1" t="s">
        <v>6</v>
      </c>
      <c r="AF12" s="1" t="s">
        <v>6</v>
      </c>
      <c r="AG12" s="1" t="s">
        <v>6</v>
      </c>
      <c r="AH12" s="1" t="s">
        <v>6</v>
      </c>
      <c r="AI12" s="1" t="s">
        <v>6</v>
      </c>
      <c r="AJ12" s="1" t="s">
        <v>6</v>
      </c>
      <c r="AK12" s="1"/>
      <c r="AL12" s="1" t="s">
        <v>6</v>
      </c>
      <c r="AM12" s="1" t="s">
        <v>6</v>
      </c>
      <c r="AN12" s="1" t="s">
        <v>6</v>
      </c>
      <c r="AO12" s="1"/>
      <c r="AP12" s="1" t="s">
        <v>6</v>
      </c>
      <c r="AQ12" s="1" t="s">
        <v>6</v>
      </c>
      <c r="AR12" s="1" t="s">
        <v>6</v>
      </c>
      <c r="AS12" s="1"/>
      <c r="AT12" s="1"/>
      <c r="AU12" s="1"/>
      <c r="AV12" s="1"/>
      <c r="AW12" s="1"/>
      <c r="AX12" s="1" t="s">
        <v>6</v>
      </c>
      <c r="AY12" s="1" t="s">
        <v>6</v>
      </c>
      <c r="AZ12" s="1" t="s">
        <v>6</v>
      </c>
      <c r="BA12" s="1"/>
      <c r="BB12" s="1"/>
      <c r="BC12" s="1"/>
      <c r="BD12" s="1"/>
      <c r="BE12" s="1"/>
      <c r="BF12" s="1"/>
      <c r="BG12" s="1"/>
      <c r="BH12" s="1" t="s">
        <v>7</v>
      </c>
      <c r="BI12" s="1" t="s">
        <v>8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9</v>
      </c>
      <c r="BZ12" s="1" t="s">
        <v>10</v>
      </c>
      <c r="CA12" s="1" t="s">
        <v>9</v>
      </c>
      <c r="CB12" s="1" t="s">
        <v>9</v>
      </c>
      <c r="CC12" s="1" t="s">
        <v>9</v>
      </c>
      <c r="CD12" s="1" t="s">
        <v>9</v>
      </c>
      <c r="CE12" s="1" t="s">
        <v>11</v>
      </c>
      <c r="CF12" s="1">
        <v>0</v>
      </c>
      <c r="CG12" s="1">
        <v>0</v>
      </c>
      <c r="CH12" s="1">
        <v>524296</v>
      </c>
      <c r="CI12" s="1" t="s">
        <v>6</v>
      </c>
      <c r="CJ12" s="1" t="s">
        <v>6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4" spans="1:133" x14ac:dyDescent="0.2">
      <c r="A14" s="1">
        <v>22</v>
      </c>
      <c r="B14" s="1">
        <v>0</v>
      </c>
      <c r="C14" s="1">
        <v>0</v>
      </c>
      <c r="D14" s="1">
        <v>16748969</v>
      </c>
      <c r="E14" s="1">
        <v>0</v>
      </c>
      <c r="F14" s="1">
        <v>3</v>
      </c>
      <c r="G14" s="1"/>
      <c r="H14" s="1"/>
      <c r="I14" s="1"/>
      <c r="J14" s="1"/>
      <c r="K14" s="1"/>
      <c r="L14" s="1"/>
      <c r="M14" s="1"/>
      <c r="N14" s="1"/>
      <c r="O14" s="1"/>
    </row>
    <row r="16" spans="1:133" x14ac:dyDescent="0.2">
      <c r="A16" s="6">
        <v>3</v>
      </c>
      <c r="B16" s="6">
        <v>1</v>
      </c>
      <c r="C16" s="6" t="s">
        <v>12</v>
      </c>
      <c r="D16" s="6" t="s">
        <v>12</v>
      </c>
      <c r="E16" s="7">
        <f>(Source!F715)/1000</f>
        <v>1540.2587900000001</v>
      </c>
      <c r="F16" s="7">
        <f>(Source!F716)/1000</f>
        <v>588.86032</v>
      </c>
      <c r="G16" s="7">
        <f>(Source!F707)/1000</f>
        <v>0</v>
      </c>
      <c r="H16" s="7">
        <f>(Source!F717)/1000+(Source!F718)/1000</f>
        <v>89.38203</v>
      </c>
      <c r="I16" s="7">
        <f>E16+F16+G16+H16</f>
        <v>2218.5011400000003</v>
      </c>
      <c r="J16" s="7">
        <f>(Source!F713)/1000</f>
        <v>172.49758</v>
      </c>
      <c r="AI16" s="6">
        <v>0</v>
      </c>
      <c r="AJ16" s="6">
        <v>0</v>
      </c>
      <c r="AK16" s="6" t="s">
        <v>6</v>
      </c>
      <c r="AL16" s="6" t="s">
        <v>6</v>
      </c>
      <c r="AM16" s="6" t="s">
        <v>6</v>
      </c>
      <c r="AN16" s="6">
        <v>0</v>
      </c>
      <c r="AO16" s="6" t="s">
        <v>6</v>
      </c>
      <c r="AP16" s="6" t="s">
        <v>6</v>
      </c>
      <c r="AT16" s="7">
        <v>1966902.86</v>
      </c>
      <c r="AU16" s="7">
        <v>1774171.91</v>
      </c>
      <c r="AV16" s="7">
        <v>0</v>
      </c>
      <c r="AW16" s="7">
        <v>0</v>
      </c>
      <c r="AX16" s="7">
        <v>0</v>
      </c>
      <c r="AY16" s="7">
        <v>20233.37</v>
      </c>
      <c r="AZ16" s="7">
        <v>3538.3</v>
      </c>
      <c r="BA16" s="7">
        <v>172497.58</v>
      </c>
      <c r="BB16" s="7">
        <v>1540258.79</v>
      </c>
      <c r="BC16" s="7">
        <v>588860.31999999995</v>
      </c>
      <c r="BD16" s="7">
        <v>89382.03</v>
      </c>
      <c r="BE16" s="7">
        <v>0</v>
      </c>
      <c r="BF16" s="7">
        <v>2256.7420697499992</v>
      </c>
      <c r="BG16" s="7">
        <v>45.953571999999987</v>
      </c>
      <c r="BH16" s="7">
        <v>0</v>
      </c>
      <c r="BI16" s="7">
        <v>149802.93</v>
      </c>
      <c r="BJ16" s="7">
        <v>94412.99</v>
      </c>
      <c r="BK16" s="7">
        <v>2218501.14</v>
      </c>
    </row>
    <row r="18" spans="1:19" x14ac:dyDescent="0.2">
      <c r="A18">
        <v>51</v>
      </c>
      <c r="E18" s="8">
        <f>SUMIF(A16:A17,3,E16:E17)</f>
        <v>1540.2587900000001</v>
      </c>
      <c r="F18" s="8">
        <f>SUMIF(A16:A17,3,F16:F17)</f>
        <v>588.86032</v>
      </c>
      <c r="G18" s="8">
        <f>SUMIF(A16:A17,3,G16:G17)</f>
        <v>0</v>
      </c>
      <c r="H18" s="8">
        <f>SUMIF(A16:A17,3,H16:H17)</f>
        <v>89.38203</v>
      </c>
      <c r="I18" s="8">
        <f>SUMIF(A16:A17,3,I16:I17)</f>
        <v>2218.5011400000003</v>
      </c>
      <c r="J18" s="8">
        <f>SUMIF(A16:A17,3,J16:J17)</f>
        <v>172.49758</v>
      </c>
      <c r="K18" s="8"/>
      <c r="L18" s="8"/>
      <c r="M18" s="8"/>
      <c r="N18" s="8"/>
      <c r="O18" s="8"/>
      <c r="P18" s="8"/>
      <c r="Q18" s="8"/>
      <c r="R18" s="8"/>
      <c r="S18" s="8"/>
    </row>
    <row r="20" spans="1:19" x14ac:dyDescent="0.2">
      <c r="A20" s="4">
        <v>50</v>
      </c>
      <c r="B20" s="4">
        <v>0</v>
      </c>
      <c r="C20" s="4">
        <v>0</v>
      </c>
      <c r="D20" s="4">
        <v>1</v>
      </c>
      <c r="E20" s="4">
        <v>201</v>
      </c>
      <c r="F20" s="4">
        <v>1966902.86</v>
      </c>
      <c r="G20" s="4" t="s">
        <v>115</v>
      </c>
      <c r="H20" s="4" t="s">
        <v>116</v>
      </c>
      <c r="I20" s="4"/>
      <c r="J20" s="4"/>
      <c r="K20" s="4">
        <v>201</v>
      </c>
      <c r="L20" s="4">
        <v>1</v>
      </c>
      <c r="M20" s="4">
        <v>3</v>
      </c>
      <c r="N20" s="4" t="s">
        <v>6</v>
      </c>
      <c r="O20" s="4">
        <v>2</v>
      </c>
      <c r="P20" s="4"/>
    </row>
    <row r="21" spans="1:19" x14ac:dyDescent="0.2">
      <c r="A21" s="4">
        <v>50</v>
      </c>
      <c r="B21" s="4">
        <v>0</v>
      </c>
      <c r="C21" s="4">
        <v>0</v>
      </c>
      <c r="D21" s="4">
        <v>1</v>
      </c>
      <c r="E21" s="4">
        <v>202</v>
      </c>
      <c r="F21" s="4">
        <v>1774171.91</v>
      </c>
      <c r="G21" s="4" t="s">
        <v>117</v>
      </c>
      <c r="H21" s="4" t="s">
        <v>118</v>
      </c>
      <c r="I21" s="4"/>
      <c r="J21" s="4"/>
      <c r="K21" s="4">
        <v>202</v>
      </c>
      <c r="L21" s="4">
        <v>2</v>
      </c>
      <c r="M21" s="4">
        <v>3</v>
      </c>
      <c r="N21" s="4" t="s">
        <v>6</v>
      </c>
      <c r="O21" s="4">
        <v>2</v>
      </c>
      <c r="P21" s="4"/>
    </row>
    <row r="22" spans="1:19" x14ac:dyDescent="0.2">
      <c r="A22" s="4">
        <v>50</v>
      </c>
      <c r="B22" s="4">
        <v>0</v>
      </c>
      <c r="C22" s="4">
        <v>0</v>
      </c>
      <c r="D22" s="4">
        <v>1</v>
      </c>
      <c r="E22" s="4">
        <v>222</v>
      </c>
      <c r="F22" s="4">
        <v>0</v>
      </c>
      <c r="G22" s="4" t="s">
        <v>119</v>
      </c>
      <c r="H22" s="4" t="s">
        <v>120</v>
      </c>
      <c r="I22" s="4"/>
      <c r="J22" s="4"/>
      <c r="K22" s="4">
        <v>222</v>
      </c>
      <c r="L22" s="4">
        <v>3</v>
      </c>
      <c r="M22" s="4">
        <v>3</v>
      </c>
      <c r="N22" s="4" t="s">
        <v>6</v>
      </c>
      <c r="O22" s="4">
        <v>2</v>
      </c>
      <c r="P22" s="4"/>
    </row>
    <row r="23" spans="1:19" x14ac:dyDescent="0.2">
      <c r="A23" s="4">
        <v>50</v>
      </c>
      <c r="B23" s="4">
        <v>0</v>
      </c>
      <c r="C23" s="4">
        <v>0</v>
      </c>
      <c r="D23" s="4">
        <v>1</v>
      </c>
      <c r="E23" s="4">
        <v>225</v>
      </c>
      <c r="F23" s="4">
        <v>1774171.91</v>
      </c>
      <c r="G23" s="4" t="s">
        <v>121</v>
      </c>
      <c r="H23" s="4" t="s">
        <v>122</v>
      </c>
      <c r="I23" s="4"/>
      <c r="J23" s="4"/>
      <c r="K23" s="4">
        <v>225</v>
      </c>
      <c r="L23" s="4">
        <v>4</v>
      </c>
      <c r="M23" s="4">
        <v>3</v>
      </c>
      <c r="N23" s="4" t="s">
        <v>6</v>
      </c>
      <c r="O23" s="4">
        <v>2</v>
      </c>
      <c r="P23" s="4"/>
    </row>
    <row r="24" spans="1:19" x14ac:dyDescent="0.2">
      <c r="A24" s="4">
        <v>50</v>
      </c>
      <c r="B24" s="4">
        <v>0</v>
      </c>
      <c r="C24" s="4">
        <v>0</v>
      </c>
      <c r="D24" s="4">
        <v>1</v>
      </c>
      <c r="E24" s="4">
        <v>226</v>
      </c>
      <c r="F24" s="4">
        <v>1774171.91</v>
      </c>
      <c r="G24" s="4" t="s">
        <v>123</v>
      </c>
      <c r="H24" s="4" t="s">
        <v>124</v>
      </c>
      <c r="I24" s="4"/>
      <c r="J24" s="4"/>
      <c r="K24" s="4">
        <v>226</v>
      </c>
      <c r="L24" s="4">
        <v>5</v>
      </c>
      <c r="M24" s="4">
        <v>3</v>
      </c>
      <c r="N24" s="4" t="s">
        <v>6</v>
      </c>
      <c r="O24" s="4">
        <v>2</v>
      </c>
      <c r="P24" s="4"/>
    </row>
    <row r="25" spans="1:19" x14ac:dyDescent="0.2">
      <c r="A25" s="4">
        <v>50</v>
      </c>
      <c r="B25" s="4">
        <v>0</v>
      </c>
      <c r="C25" s="4">
        <v>0</v>
      </c>
      <c r="D25" s="4">
        <v>1</v>
      </c>
      <c r="E25" s="4">
        <v>227</v>
      </c>
      <c r="F25" s="4">
        <v>0</v>
      </c>
      <c r="G25" s="4" t="s">
        <v>125</v>
      </c>
      <c r="H25" s="4" t="s">
        <v>126</v>
      </c>
      <c r="I25" s="4"/>
      <c r="J25" s="4"/>
      <c r="K25" s="4">
        <v>227</v>
      </c>
      <c r="L25" s="4">
        <v>6</v>
      </c>
      <c r="M25" s="4">
        <v>3</v>
      </c>
      <c r="N25" s="4" t="s">
        <v>6</v>
      </c>
      <c r="O25" s="4">
        <v>2</v>
      </c>
      <c r="P25" s="4"/>
    </row>
    <row r="26" spans="1:19" x14ac:dyDescent="0.2">
      <c r="A26" s="4">
        <v>50</v>
      </c>
      <c r="B26" s="4">
        <v>0</v>
      </c>
      <c r="C26" s="4">
        <v>0</v>
      </c>
      <c r="D26" s="4">
        <v>1</v>
      </c>
      <c r="E26" s="4">
        <v>228</v>
      </c>
      <c r="F26" s="4">
        <v>1774171.91</v>
      </c>
      <c r="G26" s="4" t="s">
        <v>127</v>
      </c>
      <c r="H26" s="4" t="s">
        <v>128</v>
      </c>
      <c r="I26" s="4"/>
      <c r="J26" s="4"/>
      <c r="K26" s="4">
        <v>228</v>
      </c>
      <c r="L26" s="4">
        <v>7</v>
      </c>
      <c r="M26" s="4">
        <v>3</v>
      </c>
      <c r="N26" s="4" t="s">
        <v>6</v>
      </c>
      <c r="O26" s="4">
        <v>2</v>
      </c>
      <c r="P26" s="4"/>
    </row>
    <row r="27" spans="1:19" x14ac:dyDescent="0.2">
      <c r="A27" s="4">
        <v>50</v>
      </c>
      <c r="B27" s="4">
        <v>0</v>
      </c>
      <c r="C27" s="4">
        <v>0</v>
      </c>
      <c r="D27" s="4">
        <v>1</v>
      </c>
      <c r="E27" s="4">
        <v>216</v>
      </c>
      <c r="F27" s="4">
        <v>0</v>
      </c>
      <c r="G27" s="4" t="s">
        <v>129</v>
      </c>
      <c r="H27" s="4" t="s">
        <v>130</v>
      </c>
      <c r="I27" s="4"/>
      <c r="J27" s="4"/>
      <c r="K27" s="4">
        <v>216</v>
      </c>
      <c r="L27" s="4">
        <v>8</v>
      </c>
      <c r="M27" s="4">
        <v>3</v>
      </c>
      <c r="N27" s="4" t="s">
        <v>6</v>
      </c>
      <c r="O27" s="4">
        <v>2</v>
      </c>
      <c r="P27" s="4"/>
    </row>
    <row r="28" spans="1:19" x14ac:dyDescent="0.2">
      <c r="A28" s="4">
        <v>50</v>
      </c>
      <c r="B28" s="4">
        <v>0</v>
      </c>
      <c r="C28" s="4">
        <v>0</v>
      </c>
      <c r="D28" s="4">
        <v>1</v>
      </c>
      <c r="E28" s="4">
        <v>223</v>
      </c>
      <c r="F28" s="4">
        <v>0</v>
      </c>
      <c r="G28" s="4" t="s">
        <v>131</v>
      </c>
      <c r="H28" s="4" t="s">
        <v>132</v>
      </c>
      <c r="I28" s="4"/>
      <c r="J28" s="4"/>
      <c r="K28" s="4">
        <v>223</v>
      </c>
      <c r="L28" s="4">
        <v>9</v>
      </c>
      <c r="M28" s="4">
        <v>3</v>
      </c>
      <c r="N28" s="4" t="s">
        <v>6</v>
      </c>
      <c r="O28" s="4">
        <v>2</v>
      </c>
      <c r="P28" s="4"/>
    </row>
    <row r="29" spans="1:19" x14ac:dyDescent="0.2">
      <c r="A29" s="4">
        <v>50</v>
      </c>
      <c r="B29" s="4">
        <v>0</v>
      </c>
      <c r="C29" s="4">
        <v>0</v>
      </c>
      <c r="D29" s="4">
        <v>1</v>
      </c>
      <c r="E29" s="4">
        <v>229</v>
      </c>
      <c r="F29" s="4">
        <v>0</v>
      </c>
      <c r="G29" s="4" t="s">
        <v>133</v>
      </c>
      <c r="H29" s="4" t="s">
        <v>134</v>
      </c>
      <c r="I29" s="4"/>
      <c r="J29" s="4"/>
      <c r="K29" s="4">
        <v>229</v>
      </c>
      <c r="L29" s="4">
        <v>10</v>
      </c>
      <c r="M29" s="4">
        <v>3</v>
      </c>
      <c r="N29" s="4" t="s">
        <v>6</v>
      </c>
      <c r="O29" s="4">
        <v>2</v>
      </c>
      <c r="P29" s="4"/>
    </row>
    <row r="30" spans="1:19" x14ac:dyDescent="0.2">
      <c r="A30" s="4">
        <v>50</v>
      </c>
      <c r="B30" s="4">
        <v>0</v>
      </c>
      <c r="C30" s="4">
        <v>0</v>
      </c>
      <c r="D30" s="4">
        <v>1</v>
      </c>
      <c r="E30" s="4">
        <v>203</v>
      </c>
      <c r="F30" s="4">
        <v>20233.37</v>
      </c>
      <c r="G30" s="4" t="s">
        <v>135</v>
      </c>
      <c r="H30" s="4" t="s">
        <v>136</v>
      </c>
      <c r="I30" s="4"/>
      <c r="J30" s="4"/>
      <c r="K30" s="4">
        <v>203</v>
      </c>
      <c r="L30" s="4">
        <v>11</v>
      </c>
      <c r="M30" s="4">
        <v>3</v>
      </c>
      <c r="N30" s="4" t="s">
        <v>6</v>
      </c>
      <c r="O30" s="4">
        <v>2</v>
      </c>
      <c r="P30" s="4"/>
    </row>
    <row r="31" spans="1:19" x14ac:dyDescent="0.2">
      <c r="A31" s="4">
        <v>50</v>
      </c>
      <c r="B31" s="4">
        <v>0</v>
      </c>
      <c r="C31" s="4">
        <v>0</v>
      </c>
      <c r="D31" s="4">
        <v>1</v>
      </c>
      <c r="E31" s="4">
        <v>231</v>
      </c>
      <c r="F31" s="4">
        <v>0</v>
      </c>
      <c r="G31" s="4" t="s">
        <v>137</v>
      </c>
      <c r="H31" s="4" t="s">
        <v>138</v>
      </c>
      <c r="I31" s="4"/>
      <c r="J31" s="4"/>
      <c r="K31" s="4">
        <v>231</v>
      </c>
      <c r="L31" s="4">
        <v>12</v>
      </c>
      <c r="M31" s="4">
        <v>3</v>
      </c>
      <c r="N31" s="4" t="s">
        <v>6</v>
      </c>
      <c r="O31" s="4">
        <v>2</v>
      </c>
      <c r="P31" s="4"/>
    </row>
    <row r="32" spans="1:19" x14ac:dyDescent="0.2">
      <c r="A32" s="4">
        <v>50</v>
      </c>
      <c r="B32" s="4">
        <v>0</v>
      </c>
      <c r="C32" s="4">
        <v>0</v>
      </c>
      <c r="D32" s="4">
        <v>1</v>
      </c>
      <c r="E32" s="4">
        <v>204</v>
      </c>
      <c r="F32" s="4">
        <v>3538.3</v>
      </c>
      <c r="G32" s="4" t="s">
        <v>139</v>
      </c>
      <c r="H32" s="4" t="s">
        <v>140</v>
      </c>
      <c r="I32" s="4"/>
      <c r="J32" s="4"/>
      <c r="K32" s="4">
        <v>204</v>
      </c>
      <c r="L32" s="4">
        <v>13</v>
      </c>
      <c r="M32" s="4">
        <v>3</v>
      </c>
      <c r="N32" s="4" t="s">
        <v>6</v>
      </c>
      <c r="O32" s="4">
        <v>2</v>
      </c>
      <c r="P32" s="4"/>
    </row>
    <row r="33" spans="1:16" x14ac:dyDescent="0.2">
      <c r="A33" s="4">
        <v>50</v>
      </c>
      <c r="B33" s="4">
        <v>0</v>
      </c>
      <c r="C33" s="4">
        <v>0</v>
      </c>
      <c r="D33" s="4">
        <v>1</v>
      </c>
      <c r="E33" s="4">
        <v>205</v>
      </c>
      <c r="F33" s="4">
        <v>172497.58</v>
      </c>
      <c r="G33" s="4" t="s">
        <v>141</v>
      </c>
      <c r="H33" s="4" t="s">
        <v>142</v>
      </c>
      <c r="I33" s="4"/>
      <c r="J33" s="4"/>
      <c r="K33" s="4">
        <v>205</v>
      </c>
      <c r="L33" s="4">
        <v>14</v>
      </c>
      <c r="M33" s="4">
        <v>3</v>
      </c>
      <c r="N33" s="4" t="s">
        <v>6</v>
      </c>
      <c r="O33" s="4">
        <v>2</v>
      </c>
      <c r="P33" s="4"/>
    </row>
    <row r="34" spans="1:16" x14ac:dyDescent="0.2">
      <c r="A34" s="4">
        <v>50</v>
      </c>
      <c r="B34" s="4">
        <v>0</v>
      </c>
      <c r="C34" s="4">
        <v>0</v>
      </c>
      <c r="D34" s="4">
        <v>1</v>
      </c>
      <c r="E34" s="4">
        <v>232</v>
      </c>
      <c r="F34" s="4">
        <v>0</v>
      </c>
      <c r="G34" s="4" t="s">
        <v>143</v>
      </c>
      <c r="H34" s="4" t="s">
        <v>144</v>
      </c>
      <c r="I34" s="4"/>
      <c r="J34" s="4"/>
      <c r="K34" s="4">
        <v>232</v>
      </c>
      <c r="L34" s="4">
        <v>15</v>
      </c>
      <c r="M34" s="4">
        <v>3</v>
      </c>
      <c r="N34" s="4" t="s">
        <v>6</v>
      </c>
      <c r="O34" s="4">
        <v>2</v>
      </c>
      <c r="P34" s="4"/>
    </row>
    <row r="35" spans="1:16" x14ac:dyDescent="0.2">
      <c r="A35" s="4">
        <v>50</v>
      </c>
      <c r="B35" s="4">
        <v>0</v>
      </c>
      <c r="C35" s="4">
        <v>0</v>
      </c>
      <c r="D35" s="4">
        <v>1</v>
      </c>
      <c r="E35" s="4">
        <v>214</v>
      </c>
      <c r="F35" s="4">
        <v>1540258.79</v>
      </c>
      <c r="G35" s="4" t="s">
        <v>145</v>
      </c>
      <c r="H35" s="4" t="s">
        <v>146</v>
      </c>
      <c r="I35" s="4"/>
      <c r="J35" s="4"/>
      <c r="K35" s="4">
        <v>214</v>
      </c>
      <c r="L35" s="4">
        <v>16</v>
      </c>
      <c r="M35" s="4">
        <v>3</v>
      </c>
      <c r="N35" s="4" t="s">
        <v>6</v>
      </c>
      <c r="O35" s="4">
        <v>2</v>
      </c>
      <c r="P35" s="4"/>
    </row>
    <row r="36" spans="1:16" x14ac:dyDescent="0.2">
      <c r="A36" s="4">
        <v>50</v>
      </c>
      <c r="B36" s="4">
        <v>0</v>
      </c>
      <c r="C36" s="4">
        <v>0</v>
      </c>
      <c r="D36" s="4">
        <v>1</v>
      </c>
      <c r="E36" s="4">
        <v>215</v>
      </c>
      <c r="F36" s="4">
        <v>588860.31999999995</v>
      </c>
      <c r="G36" s="4" t="s">
        <v>147</v>
      </c>
      <c r="H36" s="4" t="s">
        <v>148</v>
      </c>
      <c r="I36" s="4"/>
      <c r="J36" s="4"/>
      <c r="K36" s="4">
        <v>215</v>
      </c>
      <c r="L36" s="4">
        <v>17</v>
      </c>
      <c r="M36" s="4">
        <v>3</v>
      </c>
      <c r="N36" s="4" t="s">
        <v>6</v>
      </c>
      <c r="O36" s="4">
        <v>2</v>
      </c>
      <c r="P36" s="4"/>
    </row>
    <row r="37" spans="1:16" x14ac:dyDescent="0.2">
      <c r="A37" s="4">
        <v>50</v>
      </c>
      <c r="B37" s="4">
        <v>0</v>
      </c>
      <c r="C37" s="4">
        <v>0</v>
      </c>
      <c r="D37" s="4">
        <v>1</v>
      </c>
      <c r="E37" s="4">
        <v>217</v>
      </c>
      <c r="F37" s="4">
        <v>89382.03</v>
      </c>
      <c r="G37" s="4" t="s">
        <v>149</v>
      </c>
      <c r="H37" s="4" t="s">
        <v>150</v>
      </c>
      <c r="I37" s="4"/>
      <c r="J37" s="4"/>
      <c r="K37" s="4">
        <v>217</v>
      </c>
      <c r="L37" s="4">
        <v>18</v>
      </c>
      <c r="M37" s="4">
        <v>3</v>
      </c>
      <c r="N37" s="4" t="s">
        <v>6</v>
      </c>
      <c r="O37" s="4">
        <v>2</v>
      </c>
      <c r="P37" s="4"/>
    </row>
    <row r="38" spans="1:16" x14ac:dyDescent="0.2">
      <c r="A38" s="4">
        <v>50</v>
      </c>
      <c r="B38" s="4">
        <v>0</v>
      </c>
      <c r="C38" s="4">
        <v>0</v>
      </c>
      <c r="D38" s="4">
        <v>1</v>
      </c>
      <c r="E38" s="4">
        <v>230</v>
      </c>
      <c r="F38" s="4">
        <v>0</v>
      </c>
      <c r="G38" s="4" t="s">
        <v>151</v>
      </c>
      <c r="H38" s="4" t="s">
        <v>152</v>
      </c>
      <c r="I38" s="4"/>
      <c r="J38" s="4"/>
      <c r="K38" s="4">
        <v>230</v>
      </c>
      <c r="L38" s="4">
        <v>19</v>
      </c>
      <c r="M38" s="4">
        <v>3</v>
      </c>
      <c r="N38" s="4" t="s">
        <v>6</v>
      </c>
      <c r="O38" s="4">
        <v>2</v>
      </c>
      <c r="P38" s="4"/>
    </row>
    <row r="39" spans="1:16" x14ac:dyDescent="0.2">
      <c r="A39" s="4">
        <v>50</v>
      </c>
      <c r="B39" s="4">
        <v>0</v>
      </c>
      <c r="C39" s="4">
        <v>0</v>
      </c>
      <c r="D39" s="4">
        <v>1</v>
      </c>
      <c r="E39" s="4">
        <v>206</v>
      </c>
      <c r="F39" s="4">
        <v>0</v>
      </c>
      <c r="G39" s="4" t="s">
        <v>153</v>
      </c>
      <c r="H39" s="4" t="s">
        <v>154</v>
      </c>
      <c r="I39" s="4"/>
      <c r="J39" s="4"/>
      <c r="K39" s="4">
        <v>206</v>
      </c>
      <c r="L39" s="4">
        <v>20</v>
      </c>
      <c r="M39" s="4">
        <v>3</v>
      </c>
      <c r="N39" s="4" t="s">
        <v>6</v>
      </c>
      <c r="O39" s="4">
        <v>2</v>
      </c>
      <c r="P39" s="4"/>
    </row>
    <row r="40" spans="1:16" x14ac:dyDescent="0.2">
      <c r="A40" s="4">
        <v>50</v>
      </c>
      <c r="B40" s="4">
        <v>0</v>
      </c>
      <c r="C40" s="4">
        <v>0</v>
      </c>
      <c r="D40" s="4">
        <v>1</v>
      </c>
      <c r="E40" s="4">
        <v>207</v>
      </c>
      <c r="F40" s="4">
        <v>2256.7420697499992</v>
      </c>
      <c r="G40" s="4" t="s">
        <v>155</v>
      </c>
      <c r="H40" s="4" t="s">
        <v>156</v>
      </c>
      <c r="I40" s="4"/>
      <c r="J40" s="4"/>
      <c r="K40" s="4">
        <v>207</v>
      </c>
      <c r="L40" s="4">
        <v>21</v>
      </c>
      <c r="M40" s="4">
        <v>3</v>
      </c>
      <c r="N40" s="4" t="s">
        <v>6</v>
      </c>
      <c r="O40" s="4">
        <v>-1</v>
      </c>
      <c r="P40" s="4"/>
    </row>
    <row r="41" spans="1:16" x14ac:dyDescent="0.2">
      <c r="A41" s="4">
        <v>50</v>
      </c>
      <c r="B41" s="4">
        <v>0</v>
      </c>
      <c r="C41" s="4">
        <v>0</v>
      </c>
      <c r="D41" s="4">
        <v>1</v>
      </c>
      <c r="E41" s="4">
        <v>208</v>
      </c>
      <c r="F41" s="4">
        <v>45.953571999999987</v>
      </c>
      <c r="G41" s="4" t="s">
        <v>157</v>
      </c>
      <c r="H41" s="4" t="s">
        <v>158</v>
      </c>
      <c r="I41" s="4"/>
      <c r="J41" s="4"/>
      <c r="K41" s="4">
        <v>208</v>
      </c>
      <c r="L41" s="4">
        <v>22</v>
      </c>
      <c r="M41" s="4">
        <v>3</v>
      </c>
      <c r="N41" s="4" t="s">
        <v>6</v>
      </c>
      <c r="O41" s="4">
        <v>-1</v>
      </c>
      <c r="P41" s="4"/>
    </row>
    <row r="42" spans="1:16" x14ac:dyDescent="0.2">
      <c r="A42" s="4">
        <v>50</v>
      </c>
      <c r="B42" s="4">
        <v>0</v>
      </c>
      <c r="C42" s="4">
        <v>0</v>
      </c>
      <c r="D42" s="4">
        <v>1</v>
      </c>
      <c r="E42" s="4">
        <v>209</v>
      </c>
      <c r="F42" s="4">
        <v>0</v>
      </c>
      <c r="G42" s="4" t="s">
        <v>159</v>
      </c>
      <c r="H42" s="4" t="s">
        <v>160</v>
      </c>
      <c r="I42" s="4"/>
      <c r="J42" s="4"/>
      <c r="K42" s="4">
        <v>209</v>
      </c>
      <c r="L42" s="4">
        <v>23</v>
      </c>
      <c r="M42" s="4">
        <v>3</v>
      </c>
      <c r="N42" s="4" t="s">
        <v>6</v>
      </c>
      <c r="O42" s="4">
        <v>2</v>
      </c>
      <c r="P42" s="4"/>
    </row>
    <row r="43" spans="1:16" x14ac:dyDescent="0.2">
      <c r="A43" s="4">
        <v>50</v>
      </c>
      <c r="B43" s="4">
        <v>0</v>
      </c>
      <c r="C43" s="4">
        <v>0</v>
      </c>
      <c r="D43" s="4">
        <v>1</v>
      </c>
      <c r="E43" s="4">
        <v>210</v>
      </c>
      <c r="F43" s="4">
        <v>149802.93</v>
      </c>
      <c r="G43" s="4" t="s">
        <v>161</v>
      </c>
      <c r="H43" s="4" t="s">
        <v>162</v>
      </c>
      <c r="I43" s="4"/>
      <c r="J43" s="4"/>
      <c r="K43" s="4">
        <v>210</v>
      </c>
      <c r="L43" s="4">
        <v>24</v>
      </c>
      <c r="M43" s="4">
        <v>3</v>
      </c>
      <c r="N43" s="4" t="s">
        <v>6</v>
      </c>
      <c r="O43" s="4">
        <v>2</v>
      </c>
      <c r="P43" s="4"/>
    </row>
    <row r="44" spans="1:16" x14ac:dyDescent="0.2">
      <c r="A44" s="4">
        <v>50</v>
      </c>
      <c r="B44" s="4">
        <v>0</v>
      </c>
      <c r="C44" s="4">
        <v>0</v>
      </c>
      <c r="D44" s="4">
        <v>1</v>
      </c>
      <c r="E44" s="4">
        <v>211</v>
      </c>
      <c r="F44" s="4">
        <v>94412.99</v>
      </c>
      <c r="G44" s="4" t="s">
        <v>163</v>
      </c>
      <c r="H44" s="4" t="s">
        <v>164</v>
      </c>
      <c r="I44" s="4"/>
      <c r="J44" s="4"/>
      <c r="K44" s="4">
        <v>211</v>
      </c>
      <c r="L44" s="4">
        <v>25</v>
      </c>
      <c r="M44" s="4">
        <v>3</v>
      </c>
      <c r="N44" s="4" t="s">
        <v>6</v>
      </c>
      <c r="O44" s="4">
        <v>2</v>
      </c>
      <c r="P44" s="4"/>
    </row>
    <row r="45" spans="1:16" x14ac:dyDescent="0.2">
      <c r="A45" s="4">
        <v>50</v>
      </c>
      <c r="B45" s="4">
        <v>0</v>
      </c>
      <c r="C45" s="4">
        <v>0</v>
      </c>
      <c r="D45" s="4">
        <v>1</v>
      </c>
      <c r="E45" s="4">
        <v>224</v>
      </c>
      <c r="F45" s="4">
        <v>2218501.14</v>
      </c>
      <c r="G45" s="4" t="s">
        <v>165</v>
      </c>
      <c r="H45" s="4" t="s">
        <v>166</v>
      </c>
      <c r="I45" s="4"/>
      <c r="J45" s="4"/>
      <c r="K45" s="4">
        <v>224</v>
      </c>
      <c r="L45" s="4">
        <v>26</v>
      </c>
      <c r="M45" s="4">
        <v>3</v>
      </c>
      <c r="N45" s="4" t="s">
        <v>6</v>
      </c>
      <c r="O45" s="4">
        <v>2</v>
      </c>
      <c r="P45" s="4"/>
    </row>
    <row r="47" spans="1:16" x14ac:dyDescent="0.2">
      <c r="A47">
        <v>-1</v>
      </c>
    </row>
    <row r="50" spans="1:34" x14ac:dyDescent="0.2">
      <c r="A50" s="3">
        <v>75</v>
      </c>
      <c r="B50" s="3" t="s">
        <v>1067</v>
      </c>
      <c r="C50" s="3">
        <v>2018</v>
      </c>
      <c r="D50" s="3">
        <v>2</v>
      </c>
      <c r="E50" s="3">
        <v>0</v>
      </c>
      <c r="F50" s="3">
        <v>0</v>
      </c>
      <c r="G50" s="3">
        <v>0</v>
      </c>
      <c r="H50" s="3">
        <v>1</v>
      </c>
      <c r="I50" s="3">
        <v>0</v>
      </c>
      <c r="J50" s="3">
        <v>1</v>
      </c>
      <c r="K50" s="3">
        <v>0</v>
      </c>
      <c r="L50" s="3">
        <v>0</v>
      </c>
      <c r="M50" s="3">
        <v>0</v>
      </c>
      <c r="N50" s="3">
        <v>16748969</v>
      </c>
      <c r="O50" s="3">
        <v>1</v>
      </c>
    </row>
    <row r="51" spans="1:34" x14ac:dyDescent="0.2">
      <c r="A51" s="5">
        <v>3</v>
      </c>
      <c r="B51" s="5" t="s">
        <v>1068</v>
      </c>
      <c r="C51" s="5">
        <v>6.56</v>
      </c>
      <c r="D51" s="5">
        <v>1</v>
      </c>
      <c r="E51" s="5">
        <v>1</v>
      </c>
      <c r="F51" s="5">
        <v>1</v>
      </c>
      <c r="G51" s="5">
        <v>1</v>
      </c>
      <c r="H51" s="5">
        <v>1</v>
      </c>
      <c r="I51" s="5">
        <v>1</v>
      </c>
      <c r="J51" s="5">
        <v>1</v>
      </c>
      <c r="K51" s="5">
        <v>18.940000000000001</v>
      </c>
      <c r="L51" s="5">
        <v>1</v>
      </c>
      <c r="M51" s="5">
        <v>6.56</v>
      </c>
      <c r="N51" s="5">
        <v>1</v>
      </c>
      <c r="O51" s="5">
        <v>1</v>
      </c>
      <c r="P51" s="5">
        <v>1</v>
      </c>
      <c r="Q51" s="5">
        <v>18.940000000000001</v>
      </c>
      <c r="R51" s="5">
        <v>1</v>
      </c>
      <c r="S51" s="5" t="s">
        <v>6</v>
      </c>
      <c r="T51" s="5" t="s">
        <v>6</v>
      </c>
      <c r="U51" s="5" t="s">
        <v>6</v>
      </c>
      <c r="V51" s="5" t="s">
        <v>6</v>
      </c>
      <c r="W51" s="5" t="s">
        <v>6</v>
      </c>
      <c r="X51" s="5" t="s">
        <v>6</v>
      </c>
      <c r="Y51" s="5" t="s">
        <v>6</v>
      </c>
      <c r="Z51" s="5" t="s">
        <v>6</v>
      </c>
      <c r="AA51" s="5" t="s">
        <v>6</v>
      </c>
      <c r="AB51" s="5" t="s">
        <v>6</v>
      </c>
      <c r="AC51" s="5" t="s">
        <v>6</v>
      </c>
      <c r="AD51" s="5" t="s">
        <v>6</v>
      </c>
      <c r="AE51" s="5" t="s">
        <v>6</v>
      </c>
      <c r="AF51" s="5" t="s">
        <v>6</v>
      </c>
      <c r="AG51" s="5" t="s">
        <v>6</v>
      </c>
      <c r="AH51" s="5" t="s">
        <v>6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C779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07" x14ac:dyDescent="0.2">
      <c r="A1">
        <f>ROW(Source!A36)</f>
        <v>36</v>
      </c>
      <c r="B1">
        <v>16748969</v>
      </c>
      <c r="C1">
        <v>16749787</v>
      </c>
      <c r="D1">
        <v>15430767</v>
      </c>
      <c r="E1">
        <v>1</v>
      </c>
      <c r="F1">
        <v>1</v>
      </c>
      <c r="G1">
        <v>1</v>
      </c>
      <c r="H1">
        <v>1</v>
      </c>
      <c r="I1" t="s">
        <v>1070</v>
      </c>
      <c r="J1" t="s">
        <v>6</v>
      </c>
      <c r="K1" t="s">
        <v>1071</v>
      </c>
      <c r="L1">
        <v>1191</v>
      </c>
      <c r="N1">
        <v>1013</v>
      </c>
      <c r="O1" t="s">
        <v>1072</v>
      </c>
      <c r="P1" t="s">
        <v>1072</v>
      </c>
      <c r="Q1">
        <v>1</v>
      </c>
      <c r="W1">
        <v>0</v>
      </c>
      <c r="X1">
        <v>-400197608</v>
      </c>
      <c r="Y1">
        <v>46.19</v>
      </c>
      <c r="AA1">
        <v>0</v>
      </c>
      <c r="AB1">
        <v>0</v>
      </c>
      <c r="AC1">
        <v>0</v>
      </c>
      <c r="AD1">
        <v>55.96</v>
      </c>
      <c r="AE1">
        <v>0</v>
      </c>
      <c r="AF1">
        <v>0</v>
      </c>
      <c r="AG1">
        <v>0</v>
      </c>
      <c r="AH1">
        <v>8.5299999999999994</v>
      </c>
      <c r="AI1">
        <v>1</v>
      </c>
      <c r="AJ1">
        <v>1</v>
      </c>
      <c r="AK1">
        <v>1</v>
      </c>
      <c r="AL1">
        <v>6.56</v>
      </c>
      <c r="AN1">
        <v>0</v>
      </c>
      <c r="AO1">
        <v>1</v>
      </c>
      <c r="AP1">
        <v>0</v>
      </c>
      <c r="AQ1">
        <v>0</v>
      </c>
      <c r="AR1">
        <v>0</v>
      </c>
      <c r="AS1" t="s">
        <v>6</v>
      </c>
      <c r="AT1">
        <v>46.19</v>
      </c>
      <c r="AU1" t="s">
        <v>6</v>
      </c>
      <c r="AV1">
        <v>1</v>
      </c>
      <c r="AW1">
        <v>2</v>
      </c>
      <c r="AX1">
        <v>16749795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X1">
        <f>Y1*Source!I36</f>
        <v>2.7713999999999999</v>
      </c>
      <c r="CY1">
        <f>AD1</f>
        <v>55.96</v>
      </c>
      <c r="CZ1">
        <f>AH1</f>
        <v>8.5299999999999994</v>
      </c>
      <c r="DA1">
        <f>AL1</f>
        <v>6.56</v>
      </c>
      <c r="DB1">
        <f t="shared" ref="DB1:DB21" si="0">ROUND(ROUND(AT1*CZ1,2),2)</f>
        <v>394</v>
      </c>
      <c r="DC1">
        <f t="shared" ref="DC1:DC21" si="1">ROUND(ROUND(AT1*AG1,2),2)</f>
        <v>0</v>
      </c>
    </row>
    <row r="2" spans="1:107" x14ac:dyDescent="0.2">
      <c r="A2">
        <f>ROW(Source!A36)</f>
        <v>36</v>
      </c>
      <c r="B2">
        <v>16748969</v>
      </c>
      <c r="C2">
        <v>16749787</v>
      </c>
      <c r="D2">
        <v>15430395</v>
      </c>
      <c r="E2">
        <v>1</v>
      </c>
      <c r="F2">
        <v>1</v>
      </c>
      <c r="G2">
        <v>1</v>
      </c>
      <c r="H2">
        <v>1</v>
      </c>
      <c r="I2" t="s">
        <v>1073</v>
      </c>
      <c r="J2" t="s">
        <v>6</v>
      </c>
      <c r="K2" t="s">
        <v>1074</v>
      </c>
      <c r="L2">
        <v>1191</v>
      </c>
      <c r="N2">
        <v>1013</v>
      </c>
      <c r="O2" t="s">
        <v>1072</v>
      </c>
      <c r="P2" t="s">
        <v>1072</v>
      </c>
      <c r="Q2">
        <v>1</v>
      </c>
      <c r="W2">
        <v>0</v>
      </c>
      <c r="X2">
        <v>-1417349443</v>
      </c>
      <c r="Y2">
        <v>0.01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1</v>
      </c>
      <c r="AJ2">
        <v>1</v>
      </c>
      <c r="AK2">
        <v>6.56</v>
      </c>
      <c r="AL2">
        <v>1</v>
      </c>
      <c r="AN2">
        <v>0</v>
      </c>
      <c r="AO2">
        <v>1</v>
      </c>
      <c r="AP2">
        <v>0</v>
      </c>
      <c r="AQ2">
        <v>0</v>
      </c>
      <c r="AR2">
        <v>0</v>
      </c>
      <c r="AS2" t="s">
        <v>6</v>
      </c>
      <c r="AT2">
        <v>0.01</v>
      </c>
      <c r="AU2" t="s">
        <v>6</v>
      </c>
      <c r="AV2">
        <v>2</v>
      </c>
      <c r="AW2">
        <v>2</v>
      </c>
      <c r="AX2">
        <v>16749796</v>
      </c>
      <c r="AY2">
        <v>1</v>
      </c>
      <c r="AZ2">
        <v>0</v>
      </c>
      <c r="BA2">
        <v>2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X2">
        <f>Y2*Source!I36</f>
        <v>5.9999999999999995E-4</v>
      </c>
      <c r="CY2">
        <f>AD2</f>
        <v>0</v>
      </c>
      <c r="CZ2">
        <f>AH2</f>
        <v>0</v>
      </c>
      <c r="DA2">
        <f>AL2</f>
        <v>1</v>
      </c>
      <c r="DB2">
        <f t="shared" si="0"/>
        <v>0</v>
      </c>
      <c r="DC2">
        <f t="shared" si="1"/>
        <v>0</v>
      </c>
    </row>
    <row r="3" spans="1:107" x14ac:dyDescent="0.2">
      <c r="A3">
        <f>ROW(Source!A36)</f>
        <v>36</v>
      </c>
      <c r="B3">
        <v>16748969</v>
      </c>
      <c r="C3">
        <v>16749787</v>
      </c>
      <c r="D3">
        <v>15247974</v>
      </c>
      <c r="E3">
        <v>1</v>
      </c>
      <c r="F3">
        <v>1</v>
      </c>
      <c r="G3">
        <v>1</v>
      </c>
      <c r="H3">
        <v>2</v>
      </c>
      <c r="I3" t="s">
        <v>1075</v>
      </c>
      <c r="J3" t="s">
        <v>1076</v>
      </c>
      <c r="K3" t="s">
        <v>1077</v>
      </c>
      <c r="L3">
        <v>1368</v>
      </c>
      <c r="N3">
        <v>1011</v>
      </c>
      <c r="O3" t="s">
        <v>1078</v>
      </c>
      <c r="P3" t="s">
        <v>1078</v>
      </c>
      <c r="Q3">
        <v>1</v>
      </c>
      <c r="W3">
        <v>0</v>
      </c>
      <c r="X3">
        <v>1188625873</v>
      </c>
      <c r="Y3">
        <v>0.01</v>
      </c>
      <c r="AA3">
        <v>0</v>
      </c>
      <c r="AB3">
        <v>205.07</v>
      </c>
      <c r="AC3">
        <v>13.5</v>
      </c>
      <c r="AD3">
        <v>0</v>
      </c>
      <c r="AE3">
        <v>0</v>
      </c>
      <c r="AF3">
        <v>31.26</v>
      </c>
      <c r="AG3">
        <v>13.5</v>
      </c>
      <c r="AH3">
        <v>0</v>
      </c>
      <c r="AI3">
        <v>1</v>
      </c>
      <c r="AJ3">
        <v>6.56</v>
      </c>
      <c r="AK3">
        <v>1</v>
      </c>
      <c r="AL3">
        <v>1</v>
      </c>
      <c r="AN3">
        <v>0</v>
      </c>
      <c r="AO3">
        <v>1</v>
      </c>
      <c r="AP3">
        <v>0</v>
      </c>
      <c r="AQ3">
        <v>0</v>
      </c>
      <c r="AR3">
        <v>0</v>
      </c>
      <c r="AS3" t="s">
        <v>6</v>
      </c>
      <c r="AT3">
        <v>0.01</v>
      </c>
      <c r="AU3" t="s">
        <v>6</v>
      </c>
      <c r="AV3">
        <v>0</v>
      </c>
      <c r="AW3">
        <v>2</v>
      </c>
      <c r="AX3">
        <v>16749797</v>
      </c>
      <c r="AY3">
        <v>1</v>
      </c>
      <c r="AZ3">
        <v>0</v>
      </c>
      <c r="BA3">
        <v>3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X3">
        <f>Y3*Source!I36</f>
        <v>5.9999999999999995E-4</v>
      </c>
      <c r="CY3">
        <f>AB3</f>
        <v>205.07</v>
      </c>
      <c r="CZ3">
        <f>AF3</f>
        <v>31.26</v>
      </c>
      <c r="DA3">
        <f>AJ3</f>
        <v>6.56</v>
      </c>
      <c r="DB3">
        <f t="shared" si="0"/>
        <v>0.31</v>
      </c>
      <c r="DC3">
        <f t="shared" si="1"/>
        <v>0.14000000000000001</v>
      </c>
    </row>
    <row r="4" spans="1:107" x14ac:dyDescent="0.2">
      <c r="A4">
        <f>ROW(Source!A36)</f>
        <v>36</v>
      </c>
      <c r="B4">
        <v>16748969</v>
      </c>
      <c r="C4">
        <v>16749787</v>
      </c>
      <c r="D4">
        <v>15167286</v>
      </c>
      <c r="E4">
        <v>1</v>
      </c>
      <c r="F4">
        <v>1</v>
      </c>
      <c r="G4">
        <v>1</v>
      </c>
      <c r="H4">
        <v>3</v>
      </c>
      <c r="I4" t="s">
        <v>1079</v>
      </c>
      <c r="J4" t="s">
        <v>1080</v>
      </c>
      <c r="K4" t="s">
        <v>1081</v>
      </c>
      <c r="L4">
        <v>1339</v>
      </c>
      <c r="N4">
        <v>1007</v>
      </c>
      <c r="O4" t="s">
        <v>283</v>
      </c>
      <c r="P4" t="s">
        <v>283</v>
      </c>
      <c r="Q4">
        <v>1</v>
      </c>
      <c r="W4">
        <v>0</v>
      </c>
      <c r="X4">
        <v>-1660354250</v>
      </c>
      <c r="Y4">
        <v>0.02</v>
      </c>
      <c r="AA4">
        <v>16.010000000000002</v>
      </c>
      <c r="AB4">
        <v>0</v>
      </c>
      <c r="AC4">
        <v>0</v>
      </c>
      <c r="AD4">
        <v>0</v>
      </c>
      <c r="AE4">
        <v>2.44</v>
      </c>
      <c r="AF4">
        <v>0</v>
      </c>
      <c r="AG4">
        <v>0</v>
      </c>
      <c r="AH4">
        <v>0</v>
      </c>
      <c r="AI4">
        <v>6.56</v>
      </c>
      <c r="AJ4">
        <v>1</v>
      </c>
      <c r="AK4">
        <v>1</v>
      </c>
      <c r="AL4">
        <v>1</v>
      </c>
      <c r="AN4">
        <v>0</v>
      </c>
      <c r="AO4">
        <v>1</v>
      </c>
      <c r="AP4">
        <v>0</v>
      </c>
      <c r="AQ4">
        <v>0</v>
      </c>
      <c r="AR4">
        <v>0</v>
      </c>
      <c r="AS4" t="s">
        <v>6</v>
      </c>
      <c r="AT4">
        <v>0.02</v>
      </c>
      <c r="AU4" t="s">
        <v>6</v>
      </c>
      <c r="AV4">
        <v>0</v>
      </c>
      <c r="AW4">
        <v>2</v>
      </c>
      <c r="AX4">
        <v>16749798</v>
      </c>
      <c r="AY4">
        <v>1</v>
      </c>
      <c r="AZ4">
        <v>0</v>
      </c>
      <c r="BA4">
        <v>4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X4">
        <f>Y4*Source!I36</f>
        <v>1.1999999999999999E-3</v>
      </c>
      <c r="CY4">
        <f>AA4</f>
        <v>16.010000000000002</v>
      </c>
      <c r="CZ4">
        <f>AE4</f>
        <v>2.44</v>
      </c>
      <c r="DA4">
        <f>AI4</f>
        <v>6.56</v>
      </c>
      <c r="DB4">
        <f t="shared" si="0"/>
        <v>0.05</v>
      </c>
      <c r="DC4">
        <f t="shared" si="1"/>
        <v>0</v>
      </c>
    </row>
    <row r="5" spans="1:107" x14ac:dyDescent="0.2">
      <c r="A5">
        <f>ROW(Source!A36)</f>
        <v>36</v>
      </c>
      <c r="B5">
        <v>16748969</v>
      </c>
      <c r="C5">
        <v>16749787</v>
      </c>
      <c r="D5">
        <v>15171982</v>
      </c>
      <c r="E5">
        <v>1</v>
      </c>
      <c r="F5">
        <v>1</v>
      </c>
      <c r="G5">
        <v>1</v>
      </c>
      <c r="H5">
        <v>3</v>
      </c>
      <c r="I5" t="s">
        <v>1082</v>
      </c>
      <c r="J5" t="s">
        <v>1083</v>
      </c>
      <c r="K5" t="s">
        <v>1084</v>
      </c>
      <c r="L5">
        <v>1348</v>
      </c>
      <c r="N5">
        <v>1009</v>
      </c>
      <c r="O5" t="s">
        <v>71</v>
      </c>
      <c r="P5" t="s">
        <v>71</v>
      </c>
      <c r="Q5">
        <v>1000</v>
      </c>
      <c r="W5">
        <v>0</v>
      </c>
      <c r="X5">
        <v>-1421715385</v>
      </c>
      <c r="Y5">
        <v>0.05</v>
      </c>
      <c r="AA5">
        <v>4788.67</v>
      </c>
      <c r="AB5">
        <v>0</v>
      </c>
      <c r="AC5">
        <v>0</v>
      </c>
      <c r="AD5">
        <v>0</v>
      </c>
      <c r="AE5">
        <v>729.98</v>
      </c>
      <c r="AF5">
        <v>0</v>
      </c>
      <c r="AG5">
        <v>0</v>
      </c>
      <c r="AH5">
        <v>0</v>
      </c>
      <c r="AI5">
        <v>6.56</v>
      </c>
      <c r="AJ5">
        <v>1</v>
      </c>
      <c r="AK5">
        <v>1</v>
      </c>
      <c r="AL5">
        <v>1</v>
      </c>
      <c r="AN5">
        <v>0</v>
      </c>
      <c r="AO5">
        <v>1</v>
      </c>
      <c r="AP5">
        <v>0</v>
      </c>
      <c r="AQ5">
        <v>0</v>
      </c>
      <c r="AR5">
        <v>0</v>
      </c>
      <c r="AS5" t="s">
        <v>6</v>
      </c>
      <c r="AT5">
        <v>0.05</v>
      </c>
      <c r="AU5" t="s">
        <v>6</v>
      </c>
      <c r="AV5">
        <v>0</v>
      </c>
      <c r="AW5">
        <v>2</v>
      </c>
      <c r="AX5">
        <v>16749800</v>
      </c>
      <c r="AY5">
        <v>1</v>
      </c>
      <c r="AZ5">
        <v>0</v>
      </c>
      <c r="BA5">
        <v>6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X5">
        <f>Y5*Source!I36</f>
        <v>3.0000000000000001E-3</v>
      </c>
      <c r="CY5">
        <f>AA5</f>
        <v>4788.67</v>
      </c>
      <c r="CZ5">
        <f>AE5</f>
        <v>729.98</v>
      </c>
      <c r="DA5">
        <f>AI5</f>
        <v>6.56</v>
      </c>
      <c r="DB5">
        <f t="shared" si="0"/>
        <v>36.5</v>
      </c>
      <c r="DC5">
        <f t="shared" si="1"/>
        <v>0</v>
      </c>
    </row>
    <row r="6" spans="1:107" x14ac:dyDescent="0.2">
      <c r="A6">
        <f>ROW(Source!A36)</f>
        <v>36</v>
      </c>
      <c r="B6">
        <v>16748969</v>
      </c>
      <c r="C6">
        <v>16749787</v>
      </c>
      <c r="D6">
        <v>15215411</v>
      </c>
      <c r="E6">
        <v>1</v>
      </c>
      <c r="F6">
        <v>1</v>
      </c>
      <c r="G6">
        <v>1</v>
      </c>
      <c r="H6">
        <v>3</v>
      </c>
      <c r="I6" t="s">
        <v>51</v>
      </c>
      <c r="J6" t="s">
        <v>54</v>
      </c>
      <c r="K6" t="s">
        <v>52</v>
      </c>
      <c r="L6">
        <v>1354</v>
      </c>
      <c r="N6">
        <v>1010</v>
      </c>
      <c r="O6" t="s">
        <v>53</v>
      </c>
      <c r="P6" t="s">
        <v>53</v>
      </c>
      <c r="Q6">
        <v>1</v>
      </c>
      <c r="W6">
        <v>0</v>
      </c>
      <c r="X6">
        <v>1245683594</v>
      </c>
      <c r="Y6">
        <v>100</v>
      </c>
      <c r="AA6">
        <v>122.48</v>
      </c>
      <c r="AB6">
        <v>0</v>
      </c>
      <c r="AC6">
        <v>0</v>
      </c>
      <c r="AD6">
        <v>0</v>
      </c>
      <c r="AE6">
        <v>18.670000000000002</v>
      </c>
      <c r="AF6">
        <v>0</v>
      </c>
      <c r="AG6">
        <v>0</v>
      </c>
      <c r="AH6">
        <v>0</v>
      </c>
      <c r="AI6">
        <v>6.56</v>
      </c>
      <c r="AJ6">
        <v>1</v>
      </c>
      <c r="AK6">
        <v>1</v>
      </c>
      <c r="AL6">
        <v>1</v>
      </c>
      <c r="AN6">
        <v>0</v>
      </c>
      <c r="AO6">
        <v>0</v>
      </c>
      <c r="AP6">
        <v>0</v>
      </c>
      <c r="AQ6">
        <v>0</v>
      </c>
      <c r="AR6">
        <v>0</v>
      </c>
      <c r="AS6" t="s">
        <v>6</v>
      </c>
      <c r="AT6">
        <v>100</v>
      </c>
      <c r="AU6" t="s">
        <v>6</v>
      </c>
      <c r="AV6">
        <v>0</v>
      </c>
      <c r="AW6">
        <v>1</v>
      </c>
      <c r="AX6">
        <v>-1</v>
      </c>
      <c r="AY6">
        <v>0</v>
      </c>
      <c r="AZ6">
        <v>0</v>
      </c>
      <c r="BA6" t="s">
        <v>6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X6">
        <f>Y6*Source!I36</f>
        <v>6</v>
      </c>
      <c r="CY6">
        <f>AA6</f>
        <v>122.48</v>
      </c>
      <c r="CZ6">
        <f>AE6</f>
        <v>18.670000000000002</v>
      </c>
      <c r="DA6">
        <f>AI6</f>
        <v>6.56</v>
      </c>
      <c r="DB6">
        <f t="shared" si="0"/>
        <v>1867</v>
      </c>
      <c r="DC6">
        <f t="shared" si="1"/>
        <v>0</v>
      </c>
    </row>
    <row r="7" spans="1:107" x14ac:dyDescent="0.2">
      <c r="A7">
        <f>ROW(Source!A36)</f>
        <v>36</v>
      </c>
      <c r="B7">
        <v>16748969</v>
      </c>
      <c r="C7">
        <v>16749787</v>
      </c>
      <c r="D7">
        <v>15162551</v>
      </c>
      <c r="E7">
        <v>17</v>
      </c>
      <c r="F7">
        <v>1</v>
      </c>
      <c r="G7">
        <v>1</v>
      </c>
      <c r="H7">
        <v>3</v>
      </c>
      <c r="I7" t="s">
        <v>56</v>
      </c>
      <c r="J7" t="s">
        <v>6</v>
      </c>
      <c r="K7" t="s">
        <v>57</v>
      </c>
      <c r="L7">
        <v>1354</v>
      </c>
      <c r="N7">
        <v>1010</v>
      </c>
      <c r="O7" t="s">
        <v>53</v>
      </c>
      <c r="P7" t="s">
        <v>53</v>
      </c>
      <c r="Q7">
        <v>1</v>
      </c>
      <c r="W7">
        <v>0</v>
      </c>
      <c r="X7">
        <v>-698526538</v>
      </c>
      <c r="Y7">
        <v>100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6.56</v>
      </c>
      <c r="AJ7">
        <v>1</v>
      </c>
      <c r="AK7">
        <v>1</v>
      </c>
      <c r="AL7">
        <v>1</v>
      </c>
      <c r="AN7">
        <v>0</v>
      </c>
      <c r="AO7">
        <v>0</v>
      </c>
      <c r="AP7">
        <v>0</v>
      </c>
      <c r="AQ7">
        <v>0</v>
      </c>
      <c r="AR7">
        <v>0</v>
      </c>
      <c r="AS7" t="s">
        <v>6</v>
      </c>
      <c r="AT7">
        <v>100</v>
      </c>
      <c r="AU7" t="s">
        <v>6</v>
      </c>
      <c r="AV7">
        <v>0</v>
      </c>
      <c r="AW7">
        <v>2</v>
      </c>
      <c r="AX7">
        <v>16749801</v>
      </c>
      <c r="AY7">
        <v>1</v>
      </c>
      <c r="AZ7">
        <v>0</v>
      </c>
      <c r="BA7">
        <v>7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X7">
        <f>Y7*Source!I36</f>
        <v>6</v>
      </c>
      <c r="CY7">
        <f>AA7</f>
        <v>0</v>
      </c>
      <c r="CZ7">
        <f>AE7</f>
        <v>0</v>
      </c>
      <c r="DA7">
        <f>AI7</f>
        <v>6.56</v>
      </c>
      <c r="DB7">
        <f t="shared" si="0"/>
        <v>0</v>
      </c>
      <c r="DC7">
        <f t="shared" si="1"/>
        <v>0</v>
      </c>
    </row>
    <row r="8" spans="1:107" x14ac:dyDescent="0.2">
      <c r="A8">
        <f>ROW(Source!A39)</f>
        <v>39</v>
      </c>
      <c r="B8">
        <v>16748969</v>
      </c>
      <c r="C8">
        <v>16749823</v>
      </c>
      <c r="D8">
        <v>15430517</v>
      </c>
      <c r="E8">
        <v>1</v>
      </c>
      <c r="F8">
        <v>1</v>
      </c>
      <c r="G8">
        <v>1</v>
      </c>
      <c r="H8">
        <v>1</v>
      </c>
      <c r="I8" t="s">
        <v>1085</v>
      </c>
      <c r="J8" t="s">
        <v>6</v>
      </c>
      <c r="K8" t="s">
        <v>1086</v>
      </c>
      <c r="L8">
        <v>1191</v>
      </c>
      <c r="N8">
        <v>1013</v>
      </c>
      <c r="O8" t="s">
        <v>1072</v>
      </c>
      <c r="P8" t="s">
        <v>1072</v>
      </c>
      <c r="Q8">
        <v>1</v>
      </c>
      <c r="W8">
        <v>0</v>
      </c>
      <c r="X8">
        <v>735429535</v>
      </c>
      <c r="Y8">
        <v>3.77</v>
      </c>
      <c r="AA8">
        <v>0</v>
      </c>
      <c r="AB8">
        <v>0</v>
      </c>
      <c r="AC8">
        <v>0</v>
      </c>
      <c r="AD8">
        <v>51.17</v>
      </c>
      <c r="AE8">
        <v>0</v>
      </c>
      <c r="AF8">
        <v>0</v>
      </c>
      <c r="AG8">
        <v>0</v>
      </c>
      <c r="AH8">
        <v>7.8</v>
      </c>
      <c r="AI8">
        <v>1</v>
      </c>
      <c r="AJ8">
        <v>1</v>
      </c>
      <c r="AK8">
        <v>1</v>
      </c>
      <c r="AL8">
        <v>6.56</v>
      </c>
      <c r="AN8">
        <v>0</v>
      </c>
      <c r="AO8">
        <v>1</v>
      </c>
      <c r="AP8">
        <v>0</v>
      </c>
      <c r="AQ8">
        <v>0</v>
      </c>
      <c r="AR8">
        <v>0</v>
      </c>
      <c r="AS8" t="s">
        <v>6</v>
      </c>
      <c r="AT8">
        <v>3.77</v>
      </c>
      <c r="AU8" t="s">
        <v>6</v>
      </c>
      <c r="AV8">
        <v>1</v>
      </c>
      <c r="AW8">
        <v>2</v>
      </c>
      <c r="AX8">
        <v>16749825</v>
      </c>
      <c r="AY8">
        <v>1</v>
      </c>
      <c r="AZ8">
        <v>0</v>
      </c>
      <c r="BA8">
        <v>8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X8">
        <f>Y8*Source!I39</f>
        <v>2.0463559999999998</v>
      </c>
      <c r="CY8">
        <f>AD8</f>
        <v>51.17</v>
      </c>
      <c r="CZ8">
        <f>AH8</f>
        <v>7.8</v>
      </c>
      <c r="DA8">
        <f>AL8</f>
        <v>6.56</v>
      </c>
      <c r="DB8">
        <f t="shared" si="0"/>
        <v>29.41</v>
      </c>
      <c r="DC8">
        <f t="shared" si="1"/>
        <v>0</v>
      </c>
    </row>
    <row r="9" spans="1:107" x14ac:dyDescent="0.2">
      <c r="A9">
        <f>ROW(Source!A40)</f>
        <v>40</v>
      </c>
      <c r="B9">
        <v>16748969</v>
      </c>
      <c r="C9">
        <v>16749827</v>
      </c>
      <c r="D9">
        <v>15430517</v>
      </c>
      <c r="E9">
        <v>1</v>
      </c>
      <c r="F9">
        <v>1</v>
      </c>
      <c r="G9">
        <v>1</v>
      </c>
      <c r="H9">
        <v>1</v>
      </c>
      <c r="I9" t="s">
        <v>1085</v>
      </c>
      <c r="J9" t="s">
        <v>6</v>
      </c>
      <c r="K9" t="s">
        <v>1086</v>
      </c>
      <c r="L9">
        <v>1191</v>
      </c>
      <c r="N9">
        <v>1013</v>
      </c>
      <c r="O9" t="s">
        <v>1072</v>
      </c>
      <c r="P9" t="s">
        <v>1072</v>
      </c>
      <c r="Q9">
        <v>1</v>
      </c>
      <c r="W9">
        <v>0</v>
      </c>
      <c r="X9">
        <v>735429535</v>
      </c>
      <c r="Y9">
        <v>11.39</v>
      </c>
      <c r="AA9">
        <v>0</v>
      </c>
      <c r="AB9">
        <v>0</v>
      </c>
      <c r="AC9">
        <v>0</v>
      </c>
      <c r="AD9">
        <v>51.17</v>
      </c>
      <c r="AE9">
        <v>0</v>
      </c>
      <c r="AF9">
        <v>0</v>
      </c>
      <c r="AG9">
        <v>0</v>
      </c>
      <c r="AH9">
        <v>7.8</v>
      </c>
      <c r="AI9">
        <v>1</v>
      </c>
      <c r="AJ9">
        <v>1</v>
      </c>
      <c r="AK9">
        <v>1</v>
      </c>
      <c r="AL9">
        <v>6.56</v>
      </c>
      <c r="AN9">
        <v>0</v>
      </c>
      <c r="AO9">
        <v>1</v>
      </c>
      <c r="AP9">
        <v>0</v>
      </c>
      <c r="AQ9">
        <v>0</v>
      </c>
      <c r="AR9">
        <v>0</v>
      </c>
      <c r="AS9" t="s">
        <v>6</v>
      </c>
      <c r="AT9">
        <v>11.39</v>
      </c>
      <c r="AU9" t="s">
        <v>6</v>
      </c>
      <c r="AV9">
        <v>1</v>
      </c>
      <c r="AW9">
        <v>2</v>
      </c>
      <c r="AX9">
        <v>16749832</v>
      </c>
      <c r="AY9">
        <v>1</v>
      </c>
      <c r="AZ9">
        <v>0</v>
      </c>
      <c r="BA9">
        <v>10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X9">
        <f>Y9*Source!I40</f>
        <v>11.51529</v>
      </c>
      <c r="CY9">
        <f>AD9</f>
        <v>51.17</v>
      </c>
      <c r="CZ9">
        <f>AH9</f>
        <v>7.8</v>
      </c>
      <c r="DA9">
        <f>AL9</f>
        <v>6.56</v>
      </c>
      <c r="DB9">
        <f t="shared" si="0"/>
        <v>88.84</v>
      </c>
      <c r="DC9">
        <f t="shared" si="1"/>
        <v>0</v>
      </c>
    </row>
    <row r="10" spans="1:107" x14ac:dyDescent="0.2">
      <c r="A10">
        <f>ROW(Source!A40)</f>
        <v>40</v>
      </c>
      <c r="B10">
        <v>16748969</v>
      </c>
      <c r="C10">
        <v>16749827</v>
      </c>
      <c r="D10">
        <v>15430395</v>
      </c>
      <c r="E10">
        <v>1</v>
      </c>
      <c r="F10">
        <v>1</v>
      </c>
      <c r="G10">
        <v>1</v>
      </c>
      <c r="H10">
        <v>1</v>
      </c>
      <c r="I10" t="s">
        <v>1073</v>
      </c>
      <c r="J10" t="s">
        <v>6</v>
      </c>
      <c r="K10" t="s">
        <v>1074</v>
      </c>
      <c r="L10">
        <v>1191</v>
      </c>
      <c r="N10">
        <v>1013</v>
      </c>
      <c r="O10" t="s">
        <v>1072</v>
      </c>
      <c r="P10" t="s">
        <v>1072</v>
      </c>
      <c r="Q10">
        <v>1</v>
      </c>
      <c r="W10">
        <v>0</v>
      </c>
      <c r="X10">
        <v>-1417349443</v>
      </c>
      <c r="Y10">
        <v>0.13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1</v>
      </c>
      <c r="AJ10">
        <v>1</v>
      </c>
      <c r="AK10">
        <v>6.56</v>
      </c>
      <c r="AL10">
        <v>1</v>
      </c>
      <c r="AN10">
        <v>0</v>
      </c>
      <c r="AO10">
        <v>1</v>
      </c>
      <c r="AP10">
        <v>0</v>
      </c>
      <c r="AQ10">
        <v>0</v>
      </c>
      <c r="AR10">
        <v>0</v>
      </c>
      <c r="AS10" t="s">
        <v>6</v>
      </c>
      <c r="AT10">
        <v>0.13</v>
      </c>
      <c r="AU10" t="s">
        <v>6</v>
      </c>
      <c r="AV10">
        <v>2</v>
      </c>
      <c r="AW10">
        <v>2</v>
      </c>
      <c r="AX10">
        <v>16749833</v>
      </c>
      <c r="AY10">
        <v>1</v>
      </c>
      <c r="AZ10">
        <v>0</v>
      </c>
      <c r="BA10">
        <v>11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X10">
        <f>Y10*Source!I40</f>
        <v>0.13142999999999999</v>
      </c>
      <c r="CY10">
        <f>AD10</f>
        <v>0</v>
      </c>
      <c r="CZ10">
        <f>AH10</f>
        <v>0</v>
      </c>
      <c r="DA10">
        <f>AL10</f>
        <v>1</v>
      </c>
      <c r="DB10">
        <f t="shared" si="0"/>
        <v>0</v>
      </c>
      <c r="DC10">
        <f t="shared" si="1"/>
        <v>0</v>
      </c>
    </row>
    <row r="11" spans="1:107" x14ac:dyDescent="0.2">
      <c r="A11">
        <f>ROW(Source!A40)</f>
        <v>40</v>
      </c>
      <c r="B11">
        <v>16748969</v>
      </c>
      <c r="C11">
        <v>16749827</v>
      </c>
      <c r="D11">
        <v>15247974</v>
      </c>
      <c r="E11">
        <v>1</v>
      </c>
      <c r="F11">
        <v>1</v>
      </c>
      <c r="G11">
        <v>1</v>
      </c>
      <c r="H11">
        <v>2</v>
      </c>
      <c r="I11" t="s">
        <v>1075</v>
      </c>
      <c r="J11" t="s">
        <v>1076</v>
      </c>
      <c r="K11" t="s">
        <v>1077</v>
      </c>
      <c r="L11">
        <v>1368</v>
      </c>
      <c r="N11">
        <v>1011</v>
      </c>
      <c r="O11" t="s">
        <v>1078</v>
      </c>
      <c r="P11" t="s">
        <v>1078</v>
      </c>
      <c r="Q11">
        <v>1</v>
      </c>
      <c r="W11">
        <v>0</v>
      </c>
      <c r="X11">
        <v>1188625873</v>
      </c>
      <c r="Y11">
        <v>0.13</v>
      </c>
      <c r="AA11">
        <v>0</v>
      </c>
      <c r="AB11">
        <v>205.07</v>
      </c>
      <c r="AC11">
        <v>13.5</v>
      </c>
      <c r="AD11">
        <v>0</v>
      </c>
      <c r="AE11">
        <v>0</v>
      </c>
      <c r="AF11">
        <v>31.26</v>
      </c>
      <c r="AG11">
        <v>13.5</v>
      </c>
      <c r="AH11">
        <v>0</v>
      </c>
      <c r="AI11">
        <v>1</v>
      </c>
      <c r="AJ11">
        <v>6.56</v>
      </c>
      <c r="AK11">
        <v>1</v>
      </c>
      <c r="AL11">
        <v>1</v>
      </c>
      <c r="AN11">
        <v>0</v>
      </c>
      <c r="AO11">
        <v>1</v>
      </c>
      <c r="AP11">
        <v>0</v>
      </c>
      <c r="AQ11">
        <v>0</v>
      </c>
      <c r="AR11">
        <v>0</v>
      </c>
      <c r="AS11" t="s">
        <v>6</v>
      </c>
      <c r="AT11">
        <v>0.13</v>
      </c>
      <c r="AU11" t="s">
        <v>6</v>
      </c>
      <c r="AV11">
        <v>0</v>
      </c>
      <c r="AW11">
        <v>2</v>
      </c>
      <c r="AX11">
        <v>16749834</v>
      </c>
      <c r="AY11">
        <v>1</v>
      </c>
      <c r="AZ11">
        <v>0</v>
      </c>
      <c r="BA11">
        <v>12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X11">
        <f>Y11*Source!I40</f>
        <v>0.13142999999999999</v>
      </c>
      <c r="CY11">
        <f>AB11</f>
        <v>205.07</v>
      </c>
      <c r="CZ11">
        <f>AF11</f>
        <v>31.26</v>
      </c>
      <c r="DA11">
        <f>AJ11</f>
        <v>6.56</v>
      </c>
      <c r="DB11">
        <f t="shared" si="0"/>
        <v>4.0599999999999996</v>
      </c>
      <c r="DC11">
        <f t="shared" si="1"/>
        <v>1.76</v>
      </c>
    </row>
    <row r="12" spans="1:107" x14ac:dyDescent="0.2">
      <c r="A12">
        <f>ROW(Source!A40)</f>
        <v>40</v>
      </c>
      <c r="B12">
        <v>16748969</v>
      </c>
      <c r="C12">
        <v>16749827</v>
      </c>
      <c r="D12">
        <v>15164566</v>
      </c>
      <c r="E12">
        <v>17</v>
      </c>
      <c r="F12">
        <v>1</v>
      </c>
      <c r="G12">
        <v>1</v>
      </c>
      <c r="H12">
        <v>3</v>
      </c>
      <c r="I12" t="s">
        <v>69</v>
      </c>
      <c r="J12" t="s">
        <v>6</v>
      </c>
      <c r="K12" t="s">
        <v>70</v>
      </c>
      <c r="L12">
        <v>1348</v>
      </c>
      <c r="N12">
        <v>1009</v>
      </c>
      <c r="O12" t="s">
        <v>71</v>
      </c>
      <c r="P12" t="s">
        <v>71</v>
      </c>
      <c r="Q12">
        <v>1000</v>
      </c>
      <c r="W12">
        <v>0</v>
      </c>
      <c r="X12">
        <v>-179832266</v>
      </c>
      <c r="Y12">
        <v>0.47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6.56</v>
      </c>
      <c r="AJ12">
        <v>1</v>
      </c>
      <c r="AK12">
        <v>1</v>
      </c>
      <c r="AL12">
        <v>1</v>
      </c>
      <c r="AN12">
        <v>0</v>
      </c>
      <c r="AO12">
        <v>0</v>
      </c>
      <c r="AP12">
        <v>0</v>
      </c>
      <c r="AQ12">
        <v>0</v>
      </c>
      <c r="AR12">
        <v>0</v>
      </c>
      <c r="AS12" t="s">
        <v>6</v>
      </c>
      <c r="AT12">
        <v>0.47</v>
      </c>
      <c r="AU12" t="s">
        <v>6</v>
      </c>
      <c r="AV12">
        <v>0</v>
      </c>
      <c r="AW12">
        <v>2</v>
      </c>
      <c r="AX12">
        <v>16749835</v>
      </c>
      <c r="AY12">
        <v>1</v>
      </c>
      <c r="AZ12">
        <v>0</v>
      </c>
      <c r="BA12">
        <v>13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X12">
        <f>Y12*Source!I40</f>
        <v>0.47516999999999993</v>
      </c>
      <c r="CY12">
        <f>AA12</f>
        <v>0</v>
      </c>
      <c r="CZ12">
        <f>AE12</f>
        <v>0</v>
      </c>
      <c r="DA12">
        <f>AI12</f>
        <v>6.56</v>
      </c>
      <c r="DB12">
        <f t="shared" si="0"/>
        <v>0</v>
      </c>
      <c r="DC12">
        <f t="shared" si="1"/>
        <v>0</v>
      </c>
    </row>
    <row r="13" spans="1:107" x14ac:dyDescent="0.2">
      <c r="A13">
        <f>ROW(Source!A42)</f>
        <v>42</v>
      </c>
      <c r="B13">
        <v>16748969</v>
      </c>
      <c r="C13">
        <v>16749837</v>
      </c>
      <c r="D13">
        <v>15430517</v>
      </c>
      <c r="E13">
        <v>1</v>
      </c>
      <c r="F13">
        <v>1</v>
      </c>
      <c r="G13">
        <v>1</v>
      </c>
      <c r="H13">
        <v>1</v>
      </c>
      <c r="I13" t="s">
        <v>1085</v>
      </c>
      <c r="J13" t="s">
        <v>6</v>
      </c>
      <c r="K13" t="s">
        <v>1086</v>
      </c>
      <c r="L13">
        <v>1191</v>
      </c>
      <c r="N13">
        <v>1013</v>
      </c>
      <c r="O13" t="s">
        <v>1072</v>
      </c>
      <c r="P13" t="s">
        <v>1072</v>
      </c>
      <c r="Q13">
        <v>1</v>
      </c>
      <c r="W13">
        <v>0</v>
      </c>
      <c r="X13">
        <v>735429535</v>
      </c>
      <c r="Y13">
        <v>17.440000000000001</v>
      </c>
      <c r="AA13">
        <v>0</v>
      </c>
      <c r="AB13">
        <v>0</v>
      </c>
      <c r="AC13">
        <v>0</v>
      </c>
      <c r="AD13">
        <v>51.17</v>
      </c>
      <c r="AE13">
        <v>0</v>
      </c>
      <c r="AF13">
        <v>0</v>
      </c>
      <c r="AG13">
        <v>0</v>
      </c>
      <c r="AH13">
        <v>7.8</v>
      </c>
      <c r="AI13">
        <v>1</v>
      </c>
      <c r="AJ13">
        <v>1</v>
      </c>
      <c r="AK13">
        <v>1</v>
      </c>
      <c r="AL13">
        <v>6.56</v>
      </c>
      <c r="AN13">
        <v>0</v>
      </c>
      <c r="AO13">
        <v>1</v>
      </c>
      <c r="AP13">
        <v>0</v>
      </c>
      <c r="AQ13">
        <v>0</v>
      </c>
      <c r="AR13">
        <v>0</v>
      </c>
      <c r="AS13" t="s">
        <v>6</v>
      </c>
      <c r="AT13">
        <v>17.440000000000001</v>
      </c>
      <c r="AU13" t="s">
        <v>6</v>
      </c>
      <c r="AV13">
        <v>1</v>
      </c>
      <c r="AW13">
        <v>2</v>
      </c>
      <c r="AX13">
        <v>16749839</v>
      </c>
      <c r="AY13">
        <v>1</v>
      </c>
      <c r="AZ13">
        <v>0</v>
      </c>
      <c r="BA13">
        <v>14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X13">
        <f>Y13*Source!I42</f>
        <v>19.388048000000001</v>
      </c>
      <c r="CY13">
        <f>AD13</f>
        <v>51.17</v>
      </c>
      <c r="CZ13">
        <f>AH13</f>
        <v>7.8</v>
      </c>
      <c r="DA13">
        <f>AL13</f>
        <v>6.56</v>
      </c>
      <c r="DB13">
        <f t="shared" si="0"/>
        <v>136.03</v>
      </c>
      <c r="DC13">
        <f t="shared" si="1"/>
        <v>0</v>
      </c>
    </row>
    <row r="14" spans="1:107" x14ac:dyDescent="0.2">
      <c r="A14">
        <f>ROW(Source!A43)</f>
        <v>43</v>
      </c>
      <c r="B14">
        <v>16748969</v>
      </c>
      <c r="C14">
        <v>16749841</v>
      </c>
      <c r="D14">
        <v>15430767</v>
      </c>
      <c r="E14">
        <v>1</v>
      </c>
      <c r="F14">
        <v>1</v>
      </c>
      <c r="G14">
        <v>1</v>
      </c>
      <c r="H14">
        <v>1</v>
      </c>
      <c r="I14" t="s">
        <v>1070</v>
      </c>
      <c r="J14" t="s">
        <v>6</v>
      </c>
      <c r="K14" t="s">
        <v>1071</v>
      </c>
      <c r="L14">
        <v>1191</v>
      </c>
      <c r="N14">
        <v>1013</v>
      </c>
      <c r="O14" t="s">
        <v>1072</v>
      </c>
      <c r="P14" t="s">
        <v>1072</v>
      </c>
      <c r="Q14">
        <v>1</v>
      </c>
      <c r="W14">
        <v>0</v>
      </c>
      <c r="X14">
        <v>-400197608</v>
      </c>
      <c r="Y14">
        <v>69.87</v>
      </c>
      <c r="AA14">
        <v>0</v>
      </c>
      <c r="AB14">
        <v>0</v>
      </c>
      <c r="AC14">
        <v>0</v>
      </c>
      <c r="AD14">
        <v>55.96</v>
      </c>
      <c r="AE14">
        <v>0</v>
      </c>
      <c r="AF14">
        <v>0</v>
      </c>
      <c r="AG14">
        <v>0</v>
      </c>
      <c r="AH14">
        <v>8.5299999999999994</v>
      </c>
      <c r="AI14">
        <v>1</v>
      </c>
      <c r="AJ14">
        <v>1</v>
      </c>
      <c r="AK14">
        <v>1</v>
      </c>
      <c r="AL14">
        <v>6.56</v>
      </c>
      <c r="AN14">
        <v>0</v>
      </c>
      <c r="AO14">
        <v>1</v>
      </c>
      <c r="AP14">
        <v>0</v>
      </c>
      <c r="AQ14">
        <v>0</v>
      </c>
      <c r="AR14">
        <v>0</v>
      </c>
      <c r="AS14" t="s">
        <v>6</v>
      </c>
      <c r="AT14">
        <v>69.87</v>
      </c>
      <c r="AU14" t="s">
        <v>6</v>
      </c>
      <c r="AV14">
        <v>1</v>
      </c>
      <c r="AW14">
        <v>2</v>
      </c>
      <c r="AX14">
        <v>16749845</v>
      </c>
      <c r="AY14">
        <v>1</v>
      </c>
      <c r="AZ14">
        <v>0</v>
      </c>
      <c r="BA14">
        <v>16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X14">
        <f>Y14*Source!I43</f>
        <v>7.7555700000000005</v>
      </c>
      <c r="CY14">
        <f>AD14</f>
        <v>55.96</v>
      </c>
      <c r="CZ14">
        <f>AH14</f>
        <v>8.5299999999999994</v>
      </c>
      <c r="DA14">
        <f>AL14</f>
        <v>6.56</v>
      </c>
      <c r="DB14">
        <f t="shared" si="0"/>
        <v>595.99</v>
      </c>
      <c r="DC14">
        <f t="shared" si="1"/>
        <v>0</v>
      </c>
    </row>
    <row r="15" spans="1:107" x14ac:dyDescent="0.2">
      <c r="A15">
        <f>ROW(Source!A43)</f>
        <v>43</v>
      </c>
      <c r="B15">
        <v>16748969</v>
      </c>
      <c r="C15">
        <v>16749841</v>
      </c>
      <c r="D15">
        <v>15430395</v>
      </c>
      <c r="E15">
        <v>1</v>
      </c>
      <c r="F15">
        <v>1</v>
      </c>
      <c r="G15">
        <v>1</v>
      </c>
      <c r="H15">
        <v>1</v>
      </c>
      <c r="I15" t="s">
        <v>1073</v>
      </c>
      <c r="J15" t="s">
        <v>6</v>
      </c>
      <c r="K15" t="s">
        <v>1074</v>
      </c>
      <c r="L15">
        <v>1191</v>
      </c>
      <c r="N15">
        <v>1013</v>
      </c>
      <c r="O15" t="s">
        <v>1072</v>
      </c>
      <c r="P15" t="s">
        <v>1072</v>
      </c>
      <c r="Q15">
        <v>1</v>
      </c>
      <c r="W15">
        <v>0</v>
      </c>
      <c r="X15">
        <v>-1417349443</v>
      </c>
      <c r="Y15">
        <v>1.44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1</v>
      </c>
      <c r="AJ15">
        <v>1</v>
      </c>
      <c r="AK15">
        <v>6.56</v>
      </c>
      <c r="AL15">
        <v>1</v>
      </c>
      <c r="AN15">
        <v>0</v>
      </c>
      <c r="AO15">
        <v>1</v>
      </c>
      <c r="AP15">
        <v>0</v>
      </c>
      <c r="AQ15">
        <v>0</v>
      </c>
      <c r="AR15">
        <v>0</v>
      </c>
      <c r="AS15" t="s">
        <v>6</v>
      </c>
      <c r="AT15">
        <v>1.44</v>
      </c>
      <c r="AU15" t="s">
        <v>6</v>
      </c>
      <c r="AV15">
        <v>2</v>
      </c>
      <c r="AW15">
        <v>2</v>
      </c>
      <c r="AX15">
        <v>16749846</v>
      </c>
      <c r="AY15">
        <v>1</v>
      </c>
      <c r="AZ15">
        <v>0</v>
      </c>
      <c r="BA15">
        <v>17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X15">
        <f>Y15*Source!I43</f>
        <v>0.15984000000000001</v>
      </c>
      <c r="CY15">
        <f>AD15</f>
        <v>0</v>
      </c>
      <c r="CZ15">
        <f>AH15</f>
        <v>0</v>
      </c>
      <c r="DA15">
        <f>AL15</f>
        <v>1</v>
      </c>
      <c r="DB15">
        <f t="shared" si="0"/>
        <v>0</v>
      </c>
      <c r="DC15">
        <f t="shared" si="1"/>
        <v>0</v>
      </c>
    </row>
    <row r="16" spans="1:107" x14ac:dyDescent="0.2">
      <c r="A16">
        <f>ROW(Source!A43)</f>
        <v>43</v>
      </c>
      <c r="B16">
        <v>16748969</v>
      </c>
      <c r="C16">
        <v>16749841</v>
      </c>
      <c r="D16">
        <v>15247974</v>
      </c>
      <c r="E16">
        <v>1</v>
      </c>
      <c r="F16">
        <v>1</v>
      </c>
      <c r="G16">
        <v>1</v>
      </c>
      <c r="H16">
        <v>2</v>
      </c>
      <c r="I16" t="s">
        <v>1075</v>
      </c>
      <c r="J16" t="s">
        <v>1076</v>
      </c>
      <c r="K16" t="s">
        <v>1077</v>
      </c>
      <c r="L16">
        <v>1368</v>
      </c>
      <c r="N16">
        <v>1011</v>
      </c>
      <c r="O16" t="s">
        <v>1078</v>
      </c>
      <c r="P16" t="s">
        <v>1078</v>
      </c>
      <c r="Q16">
        <v>1</v>
      </c>
      <c r="W16">
        <v>0</v>
      </c>
      <c r="X16">
        <v>1188625873</v>
      </c>
      <c r="Y16">
        <v>1.44</v>
      </c>
      <c r="AA16">
        <v>0</v>
      </c>
      <c r="AB16">
        <v>205.07</v>
      </c>
      <c r="AC16">
        <v>13.5</v>
      </c>
      <c r="AD16">
        <v>0</v>
      </c>
      <c r="AE16">
        <v>0</v>
      </c>
      <c r="AF16">
        <v>31.26</v>
      </c>
      <c r="AG16">
        <v>13.5</v>
      </c>
      <c r="AH16">
        <v>0</v>
      </c>
      <c r="AI16">
        <v>1</v>
      </c>
      <c r="AJ16">
        <v>6.56</v>
      </c>
      <c r="AK16">
        <v>1</v>
      </c>
      <c r="AL16">
        <v>1</v>
      </c>
      <c r="AN16">
        <v>0</v>
      </c>
      <c r="AO16">
        <v>1</v>
      </c>
      <c r="AP16">
        <v>0</v>
      </c>
      <c r="AQ16">
        <v>0</v>
      </c>
      <c r="AR16">
        <v>0</v>
      </c>
      <c r="AS16" t="s">
        <v>6</v>
      </c>
      <c r="AT16">
        <v>1.44</v>
      </c>
      <c r="AU16" t="s">
        <v>6</v>
      </c>
      <c r="AV16">
        <v>0</v>
      </c>
      <c r="AW16">
        <v>2</v>
      </c>
      <c r="AX16">
        <v>16749847</v>
      </c>
      <c r="AY16">
        <v>1</v>
      </c>
      <c r="AZ16">
        <v>0</v>
      </c>
      <c r="BA16">
        <v>18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X16">
        <f>Y16*Source!I43</f>
        <v>0.15984000000000001</v>
      </c>
      <c r="CY16">
        <f>AB16</f>
        <v>205.07</v>
      </c>
      <c r="CZ16">
        <f>AF16</f>
        <v>31.26</v>
      </c>
      <c r="DA16">
        <f>AJ16</f>
        <v>6.56</v>
      </c>
      <c r="DB16">
        <f t="shared" si="0"/>
        <v>45.01</v>
      </c>
      <c r="DC16">
        <f t="shared" si="1"/>
        <v>19.440000000000001</v>
      </c>
    </row>
    <row r="17" spans="1:107" x14ac:dyDescent="0.2">
      <c r="A17">
        <f>ROW(Source!A44)</f>
        <v>44</v>
      </c>
      <c r="B17">
        <v>16748969</v>
      </c>
      <c r="C17">
        <v>16749849</v>
      </c>
      <c r="D17">
        <v>15431465</v>
      </c>
      <c r="E17">
        <v>1</v>
      </c>
      <c r="F17">
        <v>1</v>
      </c>
      <c r="G17">
        <v>1</v>
      </c>
      <c r="H17">
        <v>1</v>
      </c>
      <c r="I17" t="s">
        <v>1087</v>
      </c>
      <c r="J17" t="s">
        <v>6</v>
      </c>
      <c r="K17" t="s">
        <v>1088</v>
      </c>
      <c r="L17">
        <v>1191</v>
      </c>
      <c r="N17">
        <v>1013</v>
      </c>
      <c r="O17" t="s">
        <v>1072</v>
      </c>
      <c r="P17" t="s">
        <v>1072</v>
      </c>
      <c r="Q17">
        <v>1</v>
      </c>
      <c r="W17">
        <v>0</v>
      </c>
      <c r="X17">
        <v>152375061</v>
      </c>
      <c r="Y17">
        <v>74.3</v>
      </c>
      <c r="AA17">
        <v>0</v>
      </c>
      <c r="AB17">
        <v>0</v>
      </c>
      <c r="AC17">
        <v>0</v>
      </c>
      <c r="AD17">
        <v>51.63</v>
      </c>
      <c r="AE17">
        <v>0</v>
      </c>
      <c r="AF17">
        <v>0</v>
      </c>
      <c r="AG17">
        <v>0</v>
      </c>
      <c r="AH17">
        <v>7.87</v>
      </c>
      <c r="AI17">
        <v>1</v>
      </c>
      <c r="AJ17">
        <v>1</v>
      </c>
      <c r="AK17">
        <v>1</v>
      </c>
      <c r="AL17">
        <v>6.56</v>
      </c>
      <c r="AN17">
        <v>0</v>
      </c>
      <c r="AO17">
        <v>1</v>
      </c>
      <c r="AP17">
        <v>0</v>
      </c>
      <c r="AQ17">
        <v>0</v>
      </c>
      <c r="AR17">
        <v>0</v>
      </c>
      <c r="AS17" t="s">
        <v>6</v>
      </c>
      <c r="AT17">
        <v>74.3</v>
      </c>
      <c r="AU17" t="s">
        <v>6</v>
      </c>
      <c r="AV17">
        <v>1</v>
      </c>
      <c r="AW17">
        <v>2</v>
      </c>
      <c r="AX17">
        <v>16749855</v>
      </c>
      <c r="AY17">
        <v>1</v>
      </c>
      <c r="AZ17">
        <v>0</v>
      </c>
      <c r="BA17">
        <v>20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CX17">
        <f>Y17*Source!I44</f>
        <v>37.595799999999997</v>
      </c>
      <c r="CY17">
        <f>AD17</f>
        <v>51.63</v>
      </c>
      <c r="CZ17">
        <f>AH17</f>
        <v>7.87</v>
      </c>
      <c r="DA17">
        <f>AL17</f>
        <v>6.56</v>
      </c>
      <c r="DB17">
        <f t="shared" si="0"/>
        <v>584.74</v>
      </c>
      <c r="DC17">
        <f t="shared" si="1"/>
        <v>0</v>
      </c>
    </row>
    <row r="18" spans="1:107" x14ac:dyDescent="0.2">
      <c r="A18">
        <f>ROW(Source!A44)</f>
        <v>44</v>
      </c>
      <c r="B18">
        <v>16748969</v>
      </c>
      <c r="C18">
        <v>16749849</v>
      </c>
      <c r="D18">
        <v>15430395</v>
      </c>
      <c r="E18">
        <v>1</v>
      </c>
      <c r="F18">
        <v>1</v>
      </c>
      <c r="G18">
        <v>1</v>
      </c>
      <c r="H18">
        <v>1</v>
      </c>
      <c r="I18" t="s">
        <v>1073</v>
      </c>
      <c r="J18" t="s">
        <v>6</v>
      </c>
      <c r="K18" t="s">
        <v>1074</v>
      </c>
      <c r="L18">
        <v>1191</v>
      </c>
      <c r="N18">
        <v>1013</v>
      </c>
      <c r="O18" t="s">
        <v>1072</v>
      </c>
      <c r="P18" t="s">
        <v>1072</v>
      </c>
      <c r="Q18">
        <v>1</v>
      </c>
      <c r="W18">
        <v>0</v>
      </c>
      <c r="X18">
        <v>-1417349443</v>
      </c>
      <c r="Y18">
        <v>0.35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1</v>
      </c>
      <c r="AJ18">
        <v>1</v>
      </c>
      <c r="AK18">
        <v>6.56</v>
      </c>
      <c r="AL18">
        <v>1</v>
      </c>
      <c r="AN18">
        <v>0</v>
      </c>
      <c r="AO18">
        <v>1</v>
      </c>
      <c r="AP18">
        <v>0</v>
      </c>
      <c r="AQ18">
        <v>0</v>
      </c>
      <c r="AR18">
        <v>0</v>
      </c>
      <c r="AS18" t="s">
        <v>6</v>
      </c>
      <c r="AT18">
        <v>0.35</v>
      </c>
      <c r="AU18" t="s">
        <v>6</v>
      </c>
      <c r="AV18">
        <v>2</v>
      </c>
      <c r="AW18">
        <v>2</v>
      </c>
      <c r="AX18">
        <v>16749856</v>
      </c>
      <c r="AY18">
        <v>1</v>
      </c>
      <c r="AZ18">
        <v>0</v>
      </c>
      <c r="BA18">
        <v>21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CX18">
        <f>Y18*Source!I44</f>
        <v>0.17709999999999998</v>
      </c>
      <c r="CY18">
        <f>AD18</f>
        <v>0</v>
      </c>
      <c r="CZ18">
        <f>AH18</f>
        <v>0</v>
      </c>
      <c r="DA18">
        <f>AL18</f>
        <v>1</v>
      </c>
      <c r="DB18">
        <f t="shared" si="0"/>
        <v>0</v>
      </c>
      <c r="DC18">
        <f t="shared" si="1"/>
        <v>0</v>
      </c>
    </row>
    <row r="19" spans="1:107" x14ac:dyDescent="0.2">
      <c r="A19">
        <f>ROW(Source!A44)</f>
        <v>44</v>
      </c>
      <c r="B19">
        <v>16748969</v>
      </c>
      <c r="C19">
        <v>16749849</v>
      </c>
      <c r="D19">
        <v>15247974</v>
      </c>
      <c r="E19">
        <v>1</v>
      </c>
      <c r="F19">
        <v>1</v>
      </c>
      <c r="G19">
        <v>1</v>
      </c>
      <c r="H19">
        <v>2</v>
      </c>
      <c r="I19" t="s">
        <v>1075</v>
      </c>
      <c r="J19" t="s">
        <v>1076</v>
      </c>
      <c r="K19" t="s">
        <v>1077</v>
      </c>
      <c r="L19">
        <v>1368</v>
      </c>
      <c r="N19">
        <v>1011</v>
      </c>
      <c r="O19" t="s">
        <v>1078</v>
      </c>
      <c r="P19" t="s">
        <v>1078</v>
      </c>
      <c r="Q19">
        <v>1</v>
      </c>
      <c r="W19">
        <v>0</v>
      </c>
      <c r="X19">
        <v>1188625873</v>
      </c>
      <c r="Y19">
        <v>0.35</v>
      </c>
      <c r="AA19">
        <v>0</v>
      </c>
      <c r="AB19">
        <v>205.07</v>
      </c>
      <c r="AC19">
        <v>13.5</v>
      </c>
      <c r="AD19">
        <v>0</v>
      </c>
      <c r="AE19">
        <v>0</v>
      </c>
      <c r="AF19">
        <v>31.26</v>
      </c>
      <c r="AG19">
        <v>13.5</v>
      </c>
      <c r="AH19">
        <v>0</v>
      </c>
      <c r="AI19">
        <v>1</v>
      </c>
      <c r="AJ19">
        <v>6.56</v>
      </c>
      <c r="AK19">
        <v>1</v>
      </c>
      <c r="AL19">
        <v>1</v>
      </c>
      <c r="AN19">
        <v>0</v>
      </c>
      <c r="AO19">
        <v>1</v>
      </c>
      <c r="AP19">
        <v>0</v>
      </c>
      <c r="AQ19">
        <v>0</v>
      </c>
      <c r="AR19">
        <v>0</v>
      </c>
      <c r="AS19" t="s">
        <v>6</v>
      </c>
      <c r="AT19">
        <v>0.35</v>
      </c>
      <c r="AU19" t="s">
        <v>6</v>
      </c>
      <c r="AV19">
        <v>0</v>
      </c>
      <c r="AW19">
        <v>2</v>
      </c>
      <c r="AX19">
        <v>16749857</v>
      </c>
      <c r="AY19">
        <v>1</v>
      </c>
      <c r="AZ19">
        <v>0</v>
      </c>
      <c r="BA19">
        <v>22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CX19">
        <f>Y19*Source!I44</f>
        <v>0.17709999999999998</v>
      </c>
      <c r="CY19">
        <f>AB19</f>
        <v>205.07</v>
      </c>
      <c r="CZ19">
        <f>AF19</f>
        <v>31.26</v>
      </c>
      <c r="DA19">
        <f>AJ19</f>
        <v>6.56</v>
      </c>
      <c r="DB19">
        <f t="shared" si="0"/>
        <v>10.94</v>
      </c>
      <c r="DC19">
        <f t="shared" si="1"/>
        <v>4.7300000000000004</v>
      </c>
    </row>
    <row r="20" spans="1:107" x14ac:dyDescent="0.2">
      <c r="A20">
        <f>ROW(Source!A44)</f>
        <v>44</v>
      </c>
      <c r="B20">
        <v>16748969</v>
      </c>
      <c r="C20">
        <v>16749849</v>
      </c>
      <c r="D20">
        <v>15249402</v>
      </c>
      <c r="E20">
        <v>1</v>
      </c>
      <c r="F20">
        <v>1</v>
      </c>
      <c r="G20">
        <v>1</v>
      </c>
      <c r="H20">
        <v>2</v>
      </c>
      <c r="I20" t="s">
        <v>1089</v>
      </c>
      <c r="J20" t="s">
        <v>1090</v>
      </c>
      <c r="K20" t="s">
        <v>1091</v>
      </c>
      <c r="L20">
        <v>1368</v>
      </c>
      <c r="N20">
        <v>1011</v>
      </c>
      <c r="O20" t="s">
        <v>1078</v>
      </c>
      <c r="P20" t="s">
        <v>1078</v>
      </c>
      <c r="Q20">
        <v>1</v>
      </c>
      <c r="W20">
        <v>0</v>
      </c>
      <c r="X20">
        <v>-2111251057</v>
      </c>
      <c r="Y20">
        <v>1.64</v>
      </c>
      <c r="AA20">
        <v>0</v>
      </c>
      <c r="AB20">
        <v>213.2</v>
      </c>
      <c r="AC20">
        <v>0</v>
      </c>
      <c r="AD20">
        <v>0</v>
      </c>
      <c r="AE20">
        <v>0</v>
      </c>
      <c r="AF20">
        <v>32.5</v>
      </c>
      <c r="AG20">
        <v>0</v>
      </c>
      <c r="AH20">
        <v>0</v>
      </c>
      <c r="AI20">
        <v>1</v>
      </c>
      <c r="AJ20">
        <v>6.56</v>
      </c>
      <c r="AK20">
        <v>1</v>
      </c>
      <c r="AL20">
        <v>1</v>
      </c>
      <c r="AN20">
        <v>0</v>
      </c>
      <c r="AO20">
        <v>1</v>
      </c>
      <c r="AP20">
        <v>0</v>
      </c>
      <c r="AQ20">
        <v>0</v>
      </c>
      <c r="AR20">
        <v>0</v>
      </c>
      <c r="AS20" t="s">
        <v>6</v>
      </c>
      <c r="AT20">
        <v>1.64</v>
      </c>
      <c r="AU20" t="s">
        <v>6</v>
      </c>
      <c r="AV20">
        <v>0</v>
      </c>
      <c r="AW20">
        <v>2</v>
      </c>
      <c r="AX20">
        <v>16749858</v>
      </c>
      <c r="AY20">
        <v>1</v>
      </c>
      <c r="AZ20">
        <v>0</v>
      </c>
      <c r="BA20">
        <v>23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CX20">
        <f>Y20*Source!I44</f>
        <v>0.82983999999999991</v>
      </c>
      <c r="CY20">
        <f>AB20</f>
        <v>213.2</v>
      </c>
      <c r="CZ20">
        <f>AF20</f>
        <v>32.5</v>
      </c>
      <c r="DA20">
        <f>AJ20</f>
        <v>6.56</v>
      </c>
      <c r="DB20">
        <f t="shared" si="0"/>
        <v>53.3</v>
      </c>
      <c r="DC20">
        <f t="shared" si="1"/>
        <v>0</v>
      </c>
    </row>
    <row r="21" spans="1:107" x14ac:dyDescent="0.2">
      <c r="A21">
        <f>ROW(Source!A44)</f>
        <v>44</v>
      </c>
      <c r="B21">
        <v>16748969</v>
      </c>
      <c r="C21">
        <v>16749849</v>
      </c>
      <c r="D21">
        <v>15249998</v>
      </c>
      <c r="E21">
        <v>1</v>
      </c>
      <c r="F21">
        <v>1</v>
      </c>
      <c r="G21">
        <v>1</v>
      </c>
      <c r="H21">
        <v>2</v>
      </c>
      <c r="I21" t="s">
        <v>1092</v>
      </c>
      <c r="J21" t="s">
        <v>1093</v>
      </c>
      <c r="K21" t="s">
        <v>1094</v>
      </c>
      <c r="L21">
        <v>1368</v>
      </c>
      <c r="N21">
        <v>1011</v>
      </c>
      <c r="O21" t="s">
        <v>1078</v>
      </c>
      <c r="P21" t="s">
        <v>1078</v>
      </c>
      <c r="Q21">
        <v>1</v>
      </c>
      <c r="W21">
        <v>0</v>
      </c>
      <c r="X21">
        <v>1518765163</v>
      </c>
      <c r="Y21">
        <v>3.28</v>
      </c>
      <c r="AA21">
        <v>0</v>
      </c>
      <c r="AB21">
        <v>10.039999999999999</v>
      </c>
      <c r="AC21">
        <v>0</v>
      </c>
      <c r="AD21">
        <v>0</v>
      </c>
      <c r="AE21">
        <v>0</v>
      </c>
      <c r="AF21">
        <v>1.53</v>
      </c>
      <c r="AG21">
        <v>0</v>
      </c>
      <c r="AH21">
        <v>0</v>
      </c>
      <c r="AI21">
        <v>1</v>
      </c>
      <c r="AJ21">
        <v>6.56</v>
      </c>
      <c r="AK21">
        <v>1</v>
      </c>
      <c r="AL21">
        <v>1</v>
      </c>
      <c r="AN21">
        <v>0</v>
      </c>
      <c r="AO21">
        <v>1</v>
      </c>
      <c r="AP21">
        <v>0</v>
      </c>
      <c r="AQ21">
        <v>0</v>
      </c>
      <c r="AR21">
        <v>0</v>
      </c>
      <c r="AS21" t="s">
        <v>6</v>
      </c>
      <c r="AT21">
        <v>3.28</v>
      </c>
      <c r="AU21" t="s">
        <v>6</v>
      </c>
      <c r="AV21">
        <v>0</v>
      </c>
      <c r="AW21">
        <v>2</v>
      </c>
      <c r="AX21">
        <v>16749859</v>
      </c>
      <c r="AY21">
        <v>1</v>
      </c>
      <c r="AZ21">
        <v>0</v>
      </c>
      <c r="BA21">
        <v>24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CX21">
        <f>Y21*Source!I44</f>
        <v>1.6596799999999998</v>
      </c>
      <c r="CY21">
        <f>AB21</f>
        <v>10.039999999999999</v>
      </c>
      <c r="CZ21">
        <f>AF21</f>
        <v>1.53</v>
      </c>
      <c r="DA21">
        <f>AJ21</f>
        <v>6.56</v>
      </c>
      <c r="DB21">
        <f t="shared" si="0"/>
        <v>5.0199999999999996</v>
      </c>
      <c r="DC21">
        <f t="shared" si="1"/>
        <v>0</v>
      </c>
    </row>
    <row r="22" spans="1:107" x14ac:dyDescent="0.2">
      <c r="A22">
        <f>ROW(Source!A45)</f>
        <v>45</v>
      </c>
      <c r="B22">
        <v>16748969</v>
      </c>
      <c r="C22">
        <v>16752892</v>
      </c>
      <c r="D22">
        <v>15446300</v>
      </c>
      <c r="E22">
        <v>1</v>
      </c>
      <c r="F22">
        <v>1</v>
      </c>
      <c r="G22">
        <v>1</v>
      </c>
      <c r="H22">
        <v>1</v>
      </c>
      <c r="I22" t="s">
        <v>1095</v>
      </c>
      <c r="J22" t="s">
        <v>6</v>
      </c>
      <c r="K22" t="s">
        <v>1096</v>
      </c>
      <c r="L22">
        <v>1191</v>
      </c>
      <c r="N22">
        <v>1013</v>
      </c>
      <c r="O22" t="s">
        <v>1072</v>
      </c>
      <c r="P22" t="s">
        <v>1072</v>
      </c>
      <c r="Q22">
        <v>1</v>
      </c>
      <c r="W22">
        <v>0</v>
      </c>
      <c r="X22">
        <v>912892513</v>
      </c>
      <c r="Y22">
        <v>1.68</v>
      </c>
      <c r="AA22">
        <v>0</v>
      </c>
      <c r="AB22">
        <v>0</v>
      </c>
      <c r="AC22">
        <v>0</v>
      </c>
      <c r="AD22">
        <v>65.08</v>
      </c>
      <c r="AE22">
        <v>0</v>
      </c>
      <c r="AF22">
        <v>0</v>
      </c>
      <c r="AG22">
        <v>0</v>
      </c>
      <c r="AH22">
        <v>9.92</v>
      </c>
      <c r="AI22">
        <v>1</v>
      </c>
      <c r="AJ22">
        <v>1</v>
      </c>
      <c r="AK22">
        <v>1</v>
      </c>
      <c r="AL22">
        <v>6.56</v>
      </c>
      <c r="AN22">
        <v>0</v>
      </c>
      <c r="AO22">
        <v>1</v>
      </c>
      <c r="AP22">
        <v>1</v>
      </c>
      <c r="AQ22">
        <v>0</v>
      </c>
      <c r="AR22">
        <v>0</v>
      </c>
      <c r="AS22" t="s">
        <v>6</v>
      </c>
      <c r="AT22">
        <v>2.4</v>
      </c>
      <c r="AU22" t="s">
        <v>93</v>
      </c>
      <c r="AV22">
        <v>1</v>
      </c>
      <c r="AW22">
        <v>2</v>
      </c>
      <c r="AX22">
        <v>16752893</v>
      </c>
      <c r="AY22">
        <v>1</v>
      </c>
      <c r="AZ22">
        <v>0</v>
      </c>
      <c r="BA22">
        <v>25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CX22">
        <f>Y22*Source!I45</f>
        <v>15.489600000000001</v>
      </c>
      <c r="CY22">
        <f>AD22</f>
        <v>65.08</v>
      </c>
      <c r="CZ22">
        <f>AH22</f>
        <v>9.92</v>
      </c>
      <c r="DA22">
        <f>AL22</f>
        <v>6.56</v>
      </c>
      <c r="DB22">
        <f>ROUND((ROUND(AT22*CZ22,2)*0.7),2)</f>
        <v>16.670000000000002</v>
      </c>
      <c r="DC22">
        <f>ROUND((ROUND(AT22*AG22,2)*0.7),2)</f>
        <v>0</v>
      </c>
    </row>
    <row r="23" spans="1:107" x14ac:dyDescent="0.2">
      <c r="A23">
        <f>ROW(Source!A45)</f>
        <v>45</v>
      </c>
      <c r="B23">
        <v>16748969</v>
      </c>
      <c r="C23">
        <v>16752892</v>
      </c>
      <c r="D23">
        <v>15430395</v>
      </c>
      <c r="E23">
        <v>1</v>
      </c>
      <c r="F23">
        <v>1</v>
      </c>
      <c r="G23">
        <v>1</v>
      </c>
      <c r="H23">
        <v>1</v>
      </c>
      <c r="I23" t="s">
        <v>1073</v>
      </c>
      <c r="J23" t="s">
        <v>6</v>
      </c>
      <c r="K23" t="s">
        <v>1074</v>
      </c>
      <c r="L23">
        <v>1191</v>
      </c>
      <c r="N23">
        <v>1013</v>
      </c>
      <c r="O23" t="s">
        <v>1072</v>
      </c>
      <c r="P23" t="s">
        <v>1072</v>
      </c>
      <c r="Q23">
        <v>1</v>
      </c>
      <c r="W23">
        <v>0</v>
      </c>
      <c r="X23">
        <v>-1417349443</v>
      </c>
      <c r="Y23">
        <v>0.17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1</v>
      </c>
      <c r="AJ23">
        <v>1</v>
      </c>
      <c r="AK23">
        <v>6.56</v>
      </c>
      <c r="AL23">
        <v>1</v>
      </c>
      <c r="AN23">
        <v>0</v>
      </c>
      <c r="AO23">
        <v>1</v>
      </c>
      <c r="AP23">
        <v>0</v>
      </c>
      <c r="AQ23">
        <v>0</v>
      </c>
      <c r="AR23">
        <v>0</v>
      </c>
      <c r="AS23" t="s">
        <v>6</v>
      </c>
      <c r="AT23">
        <v>0.17</v>
      </c>
      <c r="AU23" t="s">
        <v>6</v>
      </c>
      <c r="AV23">
        <v>2</v>
      </c>
      <c r="AW23">
        <v>2</v>
      </c>
      <c r="AX23">
        <v>16752894</v>
      </c>
      <c r="AY23">
        <v>1</v>
      </c>
      <c r="AZ23">
        <v>2048</v>
      </c>
      <c r="BA23">
        <v>26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CX23">
        <f>Y23*Source!I45</f>
        <v>1.5674000000000001</v>
      </c>
      <c r="CY23">
        <f>AD23</f>
        <v>0</v>
      </c>
      <c r="CZ23">
        <f>AH23</f>
        <v>0</v>
      </c>
      <c r="DA23">
        <f>AL23</f>
        <v>1</v>
      </c>
      <c r="DB23">
        <f>ROUND(ROUND(AT23*CZ23,2),2)</f>
        <v>0</v>
      </c>
      <c r="DC23">
        <f>ROUND(ROUND(AT23*AG23,2),2)</f>
        <v>0</v>
      </c>
    </row>
    <row r="24" spans="1:107" x14ac:dyDescent="0.2">
      <c r="A24">
        <f>ROW(Source!A45)</f>
        <v>45</v>
      </c>
      <c r="B24">
        <v>16748969</v>
      </c>
      <c r="C24">
        <v>16752892</v>
      </c>
      <c r="D24">
        <v>15249073</v>
      </c>
      <c r="E24">
        <v>1</v>
      </c>
      <c r="F24">
        <v>1</v>
      </c>
      <c r="G24">
        <v>1</v>
      </c>
      <c r="H24">
        <v>2</v>
      </c>
      <c r="I24" t="s">
        <v>1097</v>
      </c>
      <c r="J24" t="s">
        <v>1098</v>
      </c>
      <c r="K24" t="s">
        <v>1099</v>
      </c>
      <c r="L24">
        <v>1368</v>
      </c>
      <c r="N24">
        <v>1011</v>
      </c>
      <c r="O24" t="s">
        <v>1078</v>
      </c>
      <c r="P24" t="s">
        <v>1078</v>
      </c>
      <c r="Q24">
        <v>1</v>
      </c>
      <c r="W24">
        <v>0</v>
      </c>
      <c r="X24">
        <v>1372534845</v>
      </c>
      <c r="Y24">
        <v>0.11899999999999999</v>
      </c>
      <c r="AA24">
        <v>0</v>
      </c>
      <c r="AB24">
        <v>431.06</v>
      </c>
      <c r="AC24">
        <v>11.6</v>
      </c>
      <c r="AD24">
        <v>0</v>
      </c>
      <c r="AE24">
        <v>0</v>
      </c>
      <c r="AF24">
        <v>65.709999999999994</v>
      </c>
      <c r="AG24">
        <v>11.6</v>
      </c>
      <c r="AH24">
        <v>0</v>
      </c>
      <c r="AI24">
        <v>1</v>
      </c>
      <c r="AJ24">
        <v>6.56</v>
      </c>
      <c r="AK24">
        <v>1</v>
      </c>
      <c r="AL24">
        <v>1</v>
      </c>
      <c r="AN24">
        <v>0</v>
      </c>
      <c r="AO24">
        <v>1</v>
      </c>
      <c r="AP24">
        <v>1</v>
      </c>
      <c r="AQ24">
        <v>0</v>
      </c>
      <c r="AR24">
        <v>0</v>
      </c>
      <c r="AS24" t="s">
        <v>6</v>
      </c>
      <c r="AT24">
        <v>0.17</v>
      </c>
      <c r="AU24" t="s">
        <v>93</v>
      </c>
      <c r="AV24">
        <v>0</v>
      </c>
      <c r="AW24">
        <v>2</v>
      </c>
      <c r="AX24">
        <v>16752895</v>
      </c>
      <c r="AY24">
        <v>1</v>
      </c>
      <c r="AZ24">
        <v>0</v>
      </c>
      <c r="BA24">
        <v>27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CX24">
        <f>Y24*Source!I45</f>
        <v>1.09718</v>
      </c>
      <c r="CY24">
        <f>AB24</f>
        <v>431.06</v>
      </c>
      <c r="CZ24">
        <f>AF24</f>
        <v>65.709999999999994</v>
      </c>
      <c r="DA24">
        <f>AJ24</f>
        <v>6.56</v>
      </c>
      <c r="DB24">
        <f>ROUND((ROUND(AT24*CZ24,2)*0.7),2)</f>
        <v>7.82</v>
      </c>
      <c r="DC24">
        <f>ROUND((ROUND(AT24*AG24,2)*0.7),2)</f>
        <v>1.38</v>
      </c>
    </row>
    <row r="25" spans="1:107" x14ac:dyDescent="0.2">
      <c r="A25">
        <f>ROW(Source!A45)</f>
        <v>45</v>
      </c>
      <c r="B25">
        <v>16748969</v>
      </c>
      <c r="C25">
        <v>16752892</v>
      </c>
      <c r="D25">
        <v>15249377</v>
      </c>
      <c r="E25">
        <v>1</v>
      </c>
      <c r="F25">
        <v>1</v>
      </c>
      <c r="G25">
        <v>1</v>
      </c>
      <c r="H25">
        <v>2</v>
      </c>
      <c r="I25" t="s">
        <v>1100</v>
      </c>
      <c r="J25" t="s">
        <v>1101</v>
      </c>
      <c r="K25" t="s">
        <v>1102</v>
      </c>
      <c r="L25">
        <v>1368</v>
      </c>
      <c r="N25">
        <v>1011</v>
      </c>
      <c r="O25" t="s">
        <v>1078</v>
      </c>
      <c r="P25" t="s">
        <v>1078</v>
      </c>
      <c r="Q25">
        <v>1</v>
      </c>
      <c r="W25">
        <v>0</v>
      </c>
      <c r="X25">
        <v>-353815937</v>
      </c>
      <c r="Y25">
        <v>0.27999999999999997</v>
      </c>
      <c r="AA25">
        <v>0</v>
      </c>
      <c r="AB25">
        <v>53.14</v>
      </c>
      <c r="AC25">
        <v>0</v>
      </c>
      <c r="AD25">
        <v>0</v>
      </c>
      <c r="AE25">
        <v>0</v>
      </c>
      <c r="AF25">
        <v>8.1</v>
      </c>
      <c r="AG25">
        <v>0</v>
      </c>
      <c r="AH25">
        <v>0</v>
      </c>
      <c r="AI25">
        <v>1</v>
      </c>
      <c r="AJ25">
        <v>6.56</v>
      </c>
      <c r="AK25">
        <v>1</v>
      </c>
      <c r="AL25">
        <v>1</v>
      </c>
      <c r="AN25">
        <v>0</v>
      </c>
      <c r="AO25">
        <v>1</v>
      </c>
      <c r="AP25">
        <v>1</v>
      </c>
      <c r="AQ25">
        <v>0</v>
      </c>
      <c r="AR25">
        <v>0</v>
      </c>
      <c r="AS25" t="s">
        <v>6</v>
      </c>
      <c r="AT25">
        <v>0.4</v>
      </c>
      <c r="AU25" t="s">
        <v>93</v>
      </c>
      <c r="AV25">
        <v>0</v>
      </c>
      <c r="AW25">
        <v>2</v>
      </c>
      <c r="AX25">
        <v>16752896</v>
      </c>
      <c r="AY25">
        <v>1</v>
      </c>
      <c r="AZ25">
        <v>0</v>
      </c>
      <c r="BA25">
        <v>28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CX25">
        <f>Y25*Source!I45</f>
        <v>2.5815999999999999</v>
      </c>
      <c r="CY25">
        <f>AB25</f>
        <v>53.14</v>
      </c>
      <c r="CZ25">
        <f>AF25</f>
        <v>8.1</v>
      </c>
      <c r="DA25">
        <f>AJ25</f>
        <v>6.56</v>
      </c>
      <c r="DB25">
        <f>ROUND((ROUND(AT25*CZ25,2)*0.7),2)</f>
        <v>2.27</v>
      </c>
      <c r="DC25">
        <f>ROUND((ROUND(AT25*AG25,2)*0.7),2)</f>
        <v>0</v>
      </c>
    </row>
    <row r="26" spans="1:107" x14ac:dyDescent="0.2">
      <c r="A26">
        <f>ROW(Source!A45)</f>
        <v>45</v>
      </c>
      <c r="B26">
        <v>16748969</v>
      </c>
      <c r="C26">
        <v>16752892</v>
      </c>
      <c r="D26">
        <v>15168750</v>
      </c>
      <c r="E26">
        <v>1</v>
      </c>
      <c r="F26">
        <v>1</v>
      </c>
      <c r="G26">
        <v>1</v>
      </c>
      <c r="H26">
        <v>3</v>
      </c>
      <c r="I26" t="s">
        <v>1103</v>
      </c>
      <c r="J26" t="s">
        <v>1104</v>
      </c>
      <c r="K26" t="s">
        <v>1105</v>
      </c>
      <c r="L26">
        <v>1348</v>
      </c>
      <c r="N26">
        <v>1009</v>
      </c>
      <c r="O26" t="s">
        <v>71</v>
      </c>
      <c r="P26" t="s">
        <v>71</v>
      </c>
      <c r="Q26">
        <v>1000</v>
      </c>
      <c r="W26">
        <v>0</v>
      </c>
      <c r="X26">
        <v>-714836380</v>
      </c>
      <c r="Y26">
        <v>0</v>
      </c>
      <c r="AA26">
        <v>67666.47</v>
      </c>
      <c r="AB26">
        <v>0</v>
      </c>
      <c r="AC26">
        <v>0</v>
      </c>
      <c r="AD26">
        <v>0</v>
      </c>
      <c r="AE26">
        <v>10315.01</v>
      </c>
      <c r="AF26">
        <v>0</v>
      </c>
      <c r="AG26">
        <v>0</v>
      </c>
      <c r="AH26">
        <v>0</v>
      </c>
      <c r="AI26">
        <v>6.56</v>
      </c>
      <c r="AJ26">
        <v>1</v>
      </c>
      <c r="AK26">
        <v>1</v>
      </c>
      <c r="AL26">
        <v>1</v>
      </c>
      <c r="AN26">
        <v>0</v>
      </c>
      <c r="AO26">
        <v>1</v>
      </c>
      <c r="AP26">
        <v>1</v>
      </c>
      <c r="AQ26">
        <v>0</v>
      </c>
      <c r="AR26">
        <v>0</v>
      </c>
      <c r="AS26" t="s">
        <v>6</v>
      </c>
      <c r="AT26">
        <v>1E-4</v>
      </c>
      <c r="AU26" t="s">
        <v>92</v>
      </c>
      <c r="AV26">
        <v>0</v>
      </c>
      <c r="AW26">
        <v>2</v>
      </c>
      <c r="AX26">
        <v>16752898</v>
      </c>
      <c r="AY26">
        <v>1</v>
      </c>
      <c r="AZ26">
        <v>0</v>
      </c>
      <c r="BA26">
        <v>30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CX26">
        <f>Y26*Source!I45</f>
        <v>0</v>
      </c>
      <c r="CY26">
        <f>AA26</f>
        <v>67666.47</v>
      </c>
      <c r="CZ26">
        <f>AE26</f>
        <v>10315.01</v>
      </c>
      <c r="DA26">
        <f>AI26</f>
        <v>6.56</v>
      </c>
      <c r="DB26">
        <f>ROUND((ROUND(AT26*CZ26,2)*0),2)</f>
        <v>0</v>
      </c>
      <c r="DC26">
        <f>ROUND((ROUND(AT26*AG26,2)*0),2)</f>
        <v>0</v>
      </c>
    </row>
    <row r="27" spans="1:107" x14ac:dyDescent="0.2">
      <c r="A27">
        <f>ROW(Source!A45)</f>
        <v>45</v>
      </c>
      <c r="B27">
        <v>16748969</v>
      </c>
      <c r="C27">
        <v>16752892</v>
      </c>
      <c r="D27">
        <v>15192019</v>
      </c>
      <c r="E27">
        <v>1</v>
      </c>
      <c r="F27">
        <v>1</v>
      </c>
      <c r="G27">
        <v>1</v>
      </c>
      <c r="H27">
        <v>3</v>
      </c>
      <c r="I27" t="s">
        <v>1106</v>
      </c>
      <c r="J27" t="s">
        <v>1107</v>
      </c>
      <c r="K27" t="s">
        <v>1108</v>
      </c>
      <c r="L27">
        <v>1348</v>
      </c>
      <c r="N27">
        <v>1009</v>
      </c>
      <c r="O27" t="s">
        <v>71</v>
      </c>
      <c r="P27" t="s">
        <v>71</v>
      </c>
      <c r="Q27">
        <v>1000</v>
      </c>
      <c r="W27">
        <v>0</v>
      </c>
      <c r="X27">
        <v>-751617735</v>
      </c>
      <c r="Y27">
        <v>0</v>
      </c>
      <c r="AA27">
        <v>38074.239999999998</v>
      </c>
      <c r="AB27">
        <v>0</v>
      </c>
      <c r="AC27">
        <v>0</v>
      </c>
      <c r="AD27">
        <v>0</v>
      </c>
      <c r="AE27">
        <v>5804</v>
      </c>
      <c r="AF27">
        <v>0</v>
      </c>
      <c r="AG27">
        <v>0</v>
      </c>
      <c r="AH27">
        <v>0</v>
      </c>
      <c r="AI27">
        <v>6.56</v>
      </c>
      <c r="AJ27">
        <v>1</v>
      </c>
      <c r="AK27">
        <v>1</v>
      </c>
      <c r="AL27">
        <v>1</v>
      </c>
      <c r="AN27">
        <v>0</v>
      </c>
      <c r="AO27">
        <v>1</v>
      </c>
      <c r="AP27">
        <v>1</v>
      </c>
      <c r="AQ27">
        <v>0</v>
      </c>
      <c r="AR27">
        <v>0</v>
      </c>
      <c r="AS27" t="s">
        <v>6</v>
      </c>
      <c r="AT27">
        <v>3.0000000000000001E-3</v>
      </c>
      <c r="AU27" t="s">
        <v>92</v>
      </c>
      <c r="AV27">
        <v>0</v>
      </c>
      <c r="AW27">
        <v>2</v>
      </c>
      <c r="AX27">
        <v>16752900</v>
      </c>
      <c r="AY27">
        <v>1</v>
      </c>
      <c r="AZ27">
        <v>0</v>
      </c>
      <c r="BA27">
        <v>32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CX27">
        <f>Y27*Source!I45</f>
        <v>0</v>
      </c>
      <c r="CY27">
        <f>AA27</f>
        <v>38074.239999999998</v>
      </c>
      <c r="CZ27">
        <f>AE27</f>
        <v>5804</v>
      </c>
      <c r="DA27">
        <f>AI27</f>
        <v>6.56</v>
      </c>
      <c r="DB27">
        <f>ROUND((ROUND(AT27*CZ27,2)*0),2)</f>
        <v>0</v>
      </c>
      <c r="DC27">
        <f>ROUND((ROUND(AT27*AG27,2)*0),2)</f>
        <v>0</v>
      </c>
    </row>
    <row r="28" spans="1:107" x14ac:dyDescent="0.2">
      <c r="A28">
        <f>ROW(Source!A45)</f>
        <v>45</v>
      </c>
      <c r="B28">
        <v>16748969</v>
      </c>
      <c r="C28">
        <v>16752892</v>
      </c>
      <c r="D28">
        <v>15204330</v>
      </c>
      <c r="E28">
        <v>1</v>
      </c>
      <c r="F28">
        <v>1</v>
      </c>
      <c r="G28">
        <v>1</v>
      </c>
      <c r="H28">
        <v>3</v>
      </c>
      <c r="I28" t="s">
        <v>1109</v>
      </c>
      <c r="J28" t="s">
        <v>1110</v>
      </c>
      <c r="K28" t="s">
        <v>1111</v>
      </c>
      <c r="L28">
        <v>1354</v>
      </c>
      <c r="N28">
        <v>1010</v>
      </c>
      <c r="O28" t="s">
        <v>53</v>
      </c>
      <c r="P28" t="s">
        <v>53</v>
      </c>
      <c r="Q28">
        <v>1</v>
      </c>
      <c r="W28">
        <v>0</v>
      </c>
      <c r="X28">
        <v>-1075270488</v>
      </c>
      <c r="Y28">
        <v>0</v>
      </c>
      <c r="AA28">
        <v>477.57</v>
      </c>
      <c r="AB28">
        <v>0</v>
      </c>
      <c r="AC28">
        <v>0</v>
      </c>
      <c r="AD28">
        <v>0</v>
      </c>
      <c r="AE28">
        <v>72.8</v>
      </c>
      <c r="AF28">
        <v>0</v>
      </c>
      <c r="AG28">
        <v>0</v>
      </c>
      <c r="AH28">
        <v>0</v>
      </c>
      <c r="AI28">
        <v>6.56</v>
      </c>
      <c r="AJ28">
        <v>1</v>
      </c>
      <c r="AK28">
        <v>1</v>
      </c>
      <c r="AL28">
        <v>1</v>
      </c>
      <c r="AN28">
        <v>0</v>
      </c>
      <c r="AO28">
        <v>1</v>
      </c>
      <c r="AP28">
        <v>1</v>
      </c>
      <c r="AQ28">
        <v>0</v>
      </c>
      <c r="AR28">
        <v>0</v>
      </c>
      <c r="AS28" t="s">
        <v>6</v>
      </c>
      <c r="AT28">
        <v>0.1</v>
      </c>
      <c r="AU28" t="s">
        <v>92</v>
      </c>
      <c r="AV28">
        <v>0</v>
      </c>
      <c r="AW28">
        <v>2</v>
      </c>
      <c r="AX28">
        <v>16752901</v>
      </c>
      <c r="AY28">
        <v>1</v>
      </c>
      <c r="AZ28">
        <v>0</v>
      </c>
      <c r="BA28">
        <v>33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CX28">
        <f>Y28*Source!I45</f>
        <v>0</v>
      </c>
      <c r="CY28">
        <f>AA28</f>
        <v>477.57</v>
      </c>
      <c r="CZ28">
        <f>AE28</f>
        <v>72.8</v>
      </c>
      <c r="DA28">
        <f>AI28</f>
        <v>6.56</v>
      </c>
      <c r="DB28">
        <f>ROUND((ROUND(AT28*CZ28,2)*0),2)</f>
        <v>0</v>
      </c>
      <c r="DC28">
        <f>ROUND((ROUND(AT28*AG28,2)*0),2)</f>
        <v>0</v>
      </c>
    </row>
    <row r="29" spans="1:107" x14ac:dyDescent="0.2">
      <c r="A29">
        <f>ROW(Source!A46)</f>
        <v>46</v>
      </c>
      <c r="B29">
        <v>16748969</v>
      </c>
      <c r="C29">
        <v>16753569</v>
      </c>
      <c r="D29">
        <v>15432356</v>
      </c>
      <c r="E29">
        <v>1</v>
      </c>
      <c r="F29">
        <v>1</v>
      </c>
      <c r="G29">
        <v>1</v>
      </c>
      <c r="H29">
        <v>1</v>
      </c>
      <c r="I29" t="s">
        <v>1112</v>
      </c>
      <c r="J29" t="s">
        <v>6</v>
      </c>
      <c r="K29" t="s">
        <v>1113</v>
      </c>
      <c r="L29">
        <v>1191</v>
      </c>
      <c r="N29">
        <v>1013</v>
      </c>
      <c r="O29" t="s">
        <v>1072</v>
      </c>
      <c r="P29" t="s">
        <v>1072</v>
      </c>
      <c r="Q29">
        <v>1</v>
      </c>
      <c r="W29">
        <v>0</v>
      </c>
      <c r="X29">
        <v>1850719656</v>
      </c>
      <c r="Y29">
        <v>34.659999999999997</v>
      </c>
      <c r="AA29">
        <v>0</v>
      </c>
      <c r="AB29">
        <v>0</v>
      </c>
      <c r="AC29">
        <v>0</v>
      </c>
      <c r="AD29">
        <v>54.51</v>
      </c>
      <c r="AE29">
        <v>0</v>
      </c>
      <c r="AF29">
        <v>0</v>
      </c>
      <c r="AG29">
        <v>0</v>
      </c>
      <c r="AH29">
        <v>8.31</v>
      </c>
      <c r="AI29">
        <v>1</v>
      </c>
      <c r="AJ29">
        <v>1</v>
      </c>
      <c r="AK29">
        <v>1</v>
      </c>
      <c r="AL29">
        <v>6.56</v>
      </c>
      <c r="AN29">
        <v>0</v>
      </c>
      <c r="AO29">
        <v>1</v>
      </c>
      <c r="AP29">
        <v>0</v>
      </c>
      <c r="AQ29">
        <v>0</v>
      </c>
      <c r="AR29">
        <v>0</v>
      </c>
      <c r="AS29" t="s">
        <v>6</v>
      </c>
      <c r="AT29">
        <v>34.659999999999997</v>
      </c>
      <c r="AU29" t="s">
        <v>6</v>
      </c>
      <c r="AV29">
        <v>1</v>
      </c>
      <c r="AW29">
        <v>2</v>
      </c>
      <c r="AX29">
        <v>16753570</v>
      </c>
      <c r="AY29">
        <v>1</v>
      </c>
      <c r="AZ29">
        <v>0</v>
      </c>
      <c r="BA29">
        <v>34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CX29">
        <f>Y29*Source!I46</f>
        <v>5.833278</v>
      </c>
      <c r="CY29">
        <f>AD29</f>
        <v>54.51</v>
      </c>
      <c r="CZ29">
        <f>AH29</f>
        <v>8.31</v>
      </c>
      <c r="DA29">
        <f>AL29</f>
        <v>6.56</v>
      </c>
      <c r="DB29">
        <f t="shared" ref="DB29:DB40" si="2">ROUND(ROUND(AT29*CZ29,2),2)</f>
        <v>288.02</v>
      </c>
      <c r="DC29">
        <f t="shared" ref="DC29:DC40" si="3">ROUND(ROUND(AT29*AG29,2),2)</f>
        <v>0</v>
      </c>
    </row>
    <row r="30" spans="1:107" x14ac:dyDescent="0.2">
      <c r="A30">
        <f>ROW(Source!A46)</f>
        <v>46</v>
      </c>
      <c r="B30">
        <v>16748969</v>
      </c>
      <c r="C30">
        <v>16753569</v>
      </c>
      <c r="D30">
        <v>15430395</v>
      </c>
      <c r="E30">
        <v>1</v>
      </c>
      <c r="F30">
        <v>1</v>
      </c>
      <c r="G30">
        <v>1</v>
      </c>
      <c r="H30">
        <v>1</v>
      </c>
      <c r="I30" t="s">
        <v>1073</v>
      </c>
      <c r="J30" t="s">
        <v>6</v>
      </c>
      <c r="K30" t="s">
        <v>1074</v>
      </c>
      <c r="L30">
        <v>1191</v>
      </c>
      <c r="N30">
        <v>1013</v>
      </c>
      <c r="O30" t="s">
        <v>1072</v>
      </c>
      <c r="P30" t="s">
        <v>1072</v>
      </c>
      <c r="Q30">
        <v>1</v>
      </c>
      <c r="W30">
        <v>0</v>
      </c>
      <c r="X30">
        <v>-1417349443</v>
      </c>
      <c r="Y30">
        <v>0.1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1</v>
      </c>
      <c r="AJ30">
        <v>1</v>
      </c>
      <c r="AK30">
        <v>6.56</v>
      </c>
      <c r="AL30">
        <v>1</v>
      </c>
      <c r="AN30">
        <v>0</v>
      </c>
      <c r="AO30">
        <v>1</v>
      </c>
      <c r="AP30">
        <v>0</v>
      </c>
      <c r="AQ30">
        <v>0</v>
      </c>
      <c r="AR30">
        <v>0</v>
      </c>
      <c r="AS30" t="s">
        <v>6</v>
      </c>
      <c r="AT30">
        <v>0.1</v>
      </c>
      <c r="AU30" t="s">
        <v>6</v>
      </c>
      <c r="AV30">
        <v>2</v>
      </c>
      <c r="AW30">
        <v>2</v>
      </c>
      <c r="AX30">
        <v>16753571</v>
      </c>
      <c r="AY30">
        <v>1</v>
      </c>
      <c r="AZ30">
        <v>0</v>
      </c>
      <c r="BA30">
        <v>35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CX30">
        <f>Y30*Source!I46</f>
        <v>1.6830000000000001E-2</v>
      </c>
      <c r="CY30">
        <f>AD30</f>
        <v>0</v>
      </c>
      <c r="CZ30">
        <f>AH30</f>
        <v>0</v>
      </c>
      <c r="DA30">
        <f>AL30</f>
        <v>1</v>
      </c>
      <c r="DB30">
        <f t="shared" si="2"/>
        <v>0</v>
      </c>
      <c r="DC30">
        <f t="shared" si="3"/>
        <v>0</v>
      </c>
    </row>
    <row r="31" spans="1:107" x14ac:dyDescent="0.2">
      <c r="A31">
        <f>ROW(Source!A46)</f>
        <v>46</v>
      </c>
      <c r="B31">
        <v>16748969</v>
      </c>
      <c r="C31">
        <v>16753569</v>
      </c>
      <c r="D31">
        <v>15247974</v>
      </c>
      <c r="E31">
        <v>1</v>
      </c>
      <c r="F31">
        <v>1</v>
      </c>
      <c r="G31">
        <v>1</v>
      </c>
      <c r="H31">
        <v>2</v>
      </c>
      <c r="I31" t="s">
        <v>1075</v>
      </c>
      <c r="J31" t="s">
        <v>1076</v>
      </c>
      <c r="K31" t="s">
        <v>1077</v>
      </c>
      <c r="L31">
        <v>1368</v>
      </c>
      <c r="N31">
        <v>1011</v>
      </c>
      <c r="O31" t="s">
        <v>1078</v>
      </c>
      <c r="P31" t="s">
        <v>1078</v>
      </c>
      <c r="Q31">
        <v>1</v>
      </c>
      <c r="W31">
        <v>0</v>
      </c>
      <c r="X31">
        <v>1188625873</v>
      </c>
      <c r="Y31">
        <v>0.1</v>
      </c>
      <c r="AA31">
        <v>0</v>
      </c>
      <c r="AB31">
        <v>205.07</v>
      </c>
      <c r="AC31">
        <v>13.5</v>
      </c>
      <c r="AD31">
        <v>0</v>
      </c>
      <c r="AE31">
        <v>0</v>
      </c>
      <c r="AF31">
        <v>31.26</v>
      </c>
      <c r="AG31">
        <v>13.5</v>
      </c>
      <c r="AH31">
        <v>0</v>
      </c>
      <c r="AI31">
        <v>1</v>
      </c>
      <c r="AJ31">
        <v>6.56</v>
      </c>
      <c r="AK31">
        <v>1</v>
      </c>
      <c r="AL31">
        <v>1</v>
      </c>
      <c r="AN31">
        <v>0</v>
      </c>
      <c r="AO31">
        <v>1</v>
      </c>
      <c r="AP31">
        <v>0</v>
      </c>
      <c r="AQ31">
        <v>0</v>
      </c>
      <c r="AR31">
        <v>0</v>
      </c>
      <c r="AS31" t="s">
        <v>6</v>
      </c>
      <c r="AT31">
        <v>0.1</v>
      </c>
      <c r="AU31" t="s">
        <v>6</v>
      </c>
      <c r="AV31">
        <v>0</v>
      </c>
      <c r="AW31">
        <v>2</v>
      </c>
      <c r="AX31">
        <v>16753572</v>
      </c>
      <c r="AY31">
        <v>1</v>
      </c>
      <c r="AZ31">
        <v>0</v>
      </c>
      <c r="BA31">
        <v>36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CX31">
        <f>Y31*Source!I46</f>
        <v>1.6830000000000001E-2</v>
      </c>
      <c r="CY31">
        <f>AB31</f>
        <v>205.07</v>
      </c>
      <c r="CZ31">
        <f>AF31</f>
        <v>31.26</v>
      </c>
      <c r="DA31">
        <f>AJ31</f>
        <v>6.56</v>
      </c>
      <c r="DB31">
        <f t="shared" si="2"/>
        <v>3.13</v>
      </c>
      <c r="DC31">
        <f t="shared" si="3"/>
        <v>1.35</v>
      </c>
    </row>
    <row r="32" spans="1:107" x14ac:dyDescent="0.2">
      <c r="A32">
        <f>ROW(Source!A46)</f>
        <v>46</v>
      </c>
      <c r="B32">
        <v>16748969</v>
      </c>
      <c r="C32">
        <v>16753569</v>
      </c>
      <c r="D32">
        <v>15249308</v>
      </c>
      <c r="E32">
        <v>1</v>
      </c>
      <c r="F32">
        <v>1</v>
      </c>
      <c r="G32">
        <v>1</v>
      </c>
      <c r="H32">
        <v>2</v>
      </c>
      <c r="I32" t="s">
        <v>1114</v>
      </c>
      <c r="J32" t="s">
        <v>1115</v>
      </c>
      <c r="K32" t="s">
        <v>1116</v>
      </c>
      <c r="L32">
        <v>1368</v>
      </c>
      <c r="N32">
        <v>1011</v>
      </c>
      <c r="O32" t="s">
        <v>1078</v>
      </c>
      <c r="P32" t="s">
        <v>1078</v>
      </c>
      <c r="Q32">
        <v>1</v>
      </c>
      <c r="W32">
        <v>0</v>
      </c>
      <c r="X32">
        <v>792402865</v>
      </c>
      <c r="Y32">
        <v>3.3</v>
      </c>
      <c r="AA32">
        <v>0</v>
      </c>
      <c r="AB32">
        <v>7.87</v>
      </c>
      <c r="AC32">
        <v>0</v>
      </c>
      <c r="AD32">
        <v>0</v>
      </c>
      <c r="AE32">
        <v>0</v>
      </c>
      <c r="AF32">
        <v>1.2</v>
      </c>
      <c r="AG32">
        <v>0</v>
      </c>
      <c r="AH32">
        <v>0</v>
      </c>
      <c r="AI32">
        <v>1</v>
      </c>
      <c r="AJ32">
        <v>6.56</v>
      </c>
      <c r="AK32">
        <v>1</v>
      </c>
      <c r="AL32">
        <v>1</v>
      </c>
      <c r="AN32">
        <v>0</v>
      </c>
      <c r="AO32">
        <v>1</v>
      </c>
      <c r="AP32">
        <v>0</v>
      </c>
      <c r="AQ32">
        <v>0</v>
      </c>
      <c r="AR32">
        <v>0</v>
      </c>
      <c r="AS32" t="s">
        <v>6</v>
      </c>
      <c r="AT32">
        <v>3.3</v>
      </c>
      <c r="AU32" t="s">
        <v>6</v>
      </c>
      <c r="AV32">
        <v>0</v>
      </c>
      <c r="AW32">
        <v>2</v>
      </c>
      <c r="AX32">
        <v>16753573</v>
      </c>
      <c r="AY32">
        <v>1</v>
      </c>
      <c r="AZ32">
        <v>0</v>
      </c>
      <c r="BA32">
        <v>37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CX32">
        <f>Y32*Source!I46</f>
        <v>0.55538999999999994</v>
      </c>
      <c r="CY32">
        <f>AB32</f>
        <v>7.87</v>
      </c>
      <c r="CZ32">
        <f>AF32</f>
        <v>1.2</v>
      </c>
      <c r="DA32">
        <f>AJ32</f>
        <v>6.56</v>
      </c>
      <c r="DB32">
        <f t="shared" si="2"/>
        <v>3.96</v>
      </c>
      <c r="DC32">
        <f t="shared" si="3"/>
        <v>0</v>
      </c>
    </row>
    <row r="33" spans="1:107" x14ac:dyDescent="0.2">
      <c r="A33">
        <f>ROW(Source!A46)</f>
        <v>46</v>
      </c>
      <c r="B33">
        <v>16748969</v>
      </c>
      <c r="C33">
        <v>16753569</v>
      </c>
      <c r="D33">
        <v>15165634</v>
      </c>
      <c r="E33">
        <v>1</v>
      </c>
      <c r="F33">
        <v>1</v>
      </c>
      <c r="G33">
        <v>1</v>
      </c>
      <c r="H33">
        <v>3</v>
      </c>
      <c r="I33" t="s">
        <v>1117</v>
      </c>
      <c r="J33" t="s">
        <v>1118</v>
      </c>
      <c r="K33" t="s">
        <v>1119</v>
      </c>
      <c r="L33">
        <v>1339</v>
      </c>
      <c r="N33">
        <v>1007</v>
      </c>
      <c r="O33" t="s">
        <v>283</v>
      </c>
      <c r="P33" t="s">
        <v>283</v>
      </c>
      <c r="Q33">
        <v>1</v>
      </c>
      <c r="W33">
        <v>0</v>
      </c>
      <c r="X33">
        <v>1706747518</v>
      </c>
      <c r="Y33">
        <v>0.43</v>
      </c>
      <c r="AA33">
        <v>252.63</v>
      </c>
      <c r="AB33">
        <v>0</v>
      </c>
      <c r="AC33">
        <v>0</v>
      </c>
      <c r="AD33">
        <v>0</v>
      </c>
      <c r="AE33">
        <v>38.51</v>
      </c>
      <c r="AF33">
        <v>0</v>
      </c>
      <c r="AG33">
        <v>0</v>
      </c>
      <c r="AH33">
        <v>0</v>
      </c>
      <c r="AI33">
        <v>6.56</v>
      </c>
      <c r="AJ33">
        <v>1</v>
      </c>
      <c r="AK33">
        <v>1</v>
      </c>
      <c r="AL33">
        <v>1</v>
      </c>
      <c r="AN33">
        <v>0</v>
      </c>
      <c r="AO33">
        <v>1</v>
      </c>
      <c r="AP33">
        <v>0</v>
      </c>
      <c r="AQ33">
        <v>0</v>
      </c>
      <c r="AR33">
        <v>0</v>
      </c>
      <c r="AS33" t="s">
        <v>6</v>
      </c>
      <c r="AT33">
        <v>0.43</v>
      </c>
      <c r="AU33" t="s">
        <v>6</v>
      </c>
      <c r="AV33">
        <v>0</v>
      </c>
      <c r="AW33">
        <v>2</v>
      </c>
      <c r="AX33">
        <v>16753574</v>
      </c>
      <c r="AY33">
        <v>1</v>
      </c>
      <c r="AZ33">
        <v>0</v>
      </c>
      <c r="BA33">
        <v>38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CX33">
        <f>Y33*Source!I46</f>
        <v>7.2369000000000003E-2</v>
      </c>
      <c r="CY33">
        <f>AA33</f>
        <v>252.63</v>
      </c>
      <c r="CZ33">
        <f>AE33</f>
        <v>38.51</v>
      </c>
      <c r="DA33">
        <f>AI33</f>
        <v>6.56</v>
      </c>
      <c r="DB33">
        <f t="shared" si="2"/>
        <v>16.559999999999999</v>
      </c>
      <c r="DC33">
        <f t="shared" si="3"/>
        <v>0</v>
      </c>
    </row>
    <row r="34" spans="1:107" x14ac:dyDescent="0.2">
      <c r="A34">
        <f>ROW(Source!A46)</f>
        <v>46</v>
      </c>
      <c r="B34">
        <v>16748969</v>
      </c>
      <c r="C34">
        <v>16753569</v>
      </c>
      <c r="D34">
        <v>15165653</v>
      </c>
      <c r="E34">
        <v>1</v>
      </c>
      <c r="F34">
        <v>1</v>
      </c>
      <c r="G34">
        <v>1</v>
      </c>
      <c r="H34">
        <v>3</v>
      </c>
      <c r="I34" t="s">
        <v>1120</v>
      </c>
      <c r="J34" t="s">
        <v>1121</v>
      </c>
      <c r="K34" t="s">
        <v>1122</v>
      </c>
      <c r="L34">
        <v>1339</v>
      </c>
      <c r="N34">
        <v>1007</v>
      </c>
      <c r="O34" t="s">
        <v>283</v>
      </c>
      <c r="P34" t="s">
        <v>283</v>
      </c>
      <c r="Q34">
        <v>1</v>
      </c>
      <c r="W34">
        <v>0</v>
      </c>
      <c r="X34">
        <v>1262771840</v>
      </c>
      <c r="Y34">
        <v>2.74</v>
      </c>
      <c r="AA34">
        <v>40.799999999999997</v>
      </c>
      <c r="AB34">
        <v>0</v>
      </c>
      <c r="AC34">
        <v>0</v>
      </c>
      <c r="AD34">
        <v>0</v>
      </c>
      <c r="AE34">
        <v>6.22</v>
      </c>
      <c r="AF34">
        <v>0</v>
      </c>
      <c r="AG34">
        <v>0</v>
      </c>
      <c r="AH34">
        <v>0</v>
      </c>
      <c r="AI34">
        <v>6.56</v>
      </c>
      <c r="AJ34">
        <v>1</v>
      </c>
      <c r="AK34">
        <v>1</v>
      </c>
      <c r="AL34">
        <v>1</v>
      </c>
      <c r="AN34">
        <v>0</v>
      </c>
      <c r="AO34">
        <v>1</v>
      </c>
      <c r="AP34">
        <v>0</v>
      </c>
      <c r="AQ34">
        <v>0</v>
      </c>
      <c r="AR34">
        <v>0</v>
      </c>
      <c r="AS34" t="s">
        <v>6</v>
      </c>
      <c r="AT34">
        <v>2.74</v>
      </c>
      <c r="AU34" t="s">
        <v>6</v>
      </c>
      <c r="AV34">
        <v>0</v>
      </c>
      <c r="AW34">
        <v>2</v>
      </c>
      <c r="AX34">
        <v>16753575</v>
      </c>
      <c r="AY34">
        <v>1</v>
      </c>
      <c r="AZ34">
        <v>0</v>
      </c>
      <c r="BA34">
        <v>39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CX34">
        <f>Y34*Source!I46</f>
        <v>0.46114200000000005</v>
      </c>
      <c r="CY34">
        <f>AA34</f>
        <v>40.799999999999997</v>
      </c>
      <c r="CZ34">
        <f>AE34</f>
        <v>6.22</v>
      </c>
      <c r="DA34">
        <f>AI34</f>
        <v>6.56</v>
      </c>
      <c r="DB34">
        <f t="shared" si="2"/>
        <v>17.04</v>
      </c>
      <c r="DC34">
        <f t="shared" si="3"/>
        <v>0</v>
      </c>
    </row>
    <row r="35" spans="1:107" x14ac:dyDescent="0.2">
      <c r="A35">
        <f>ROW(Source!A46)</f>
        <v>46</v>
      </c>
      <c r="B35">
        <v>16748969</v>
      </c>
      <c r="C35">
        <v>16753569</v>
      </c>
      <c r="D35">
        <v>15164576</v>
      </c>
      <c r="E35">
        <v>17</v>
      </c>
      <c r="F35">
        <v>1</v>
      </c>
      <c r="G35">
        <v>1</v>
      </c>
      <c r="H35">
        <v>3</v>
      </c>
      <c r="I35" t="s">
        <v>69</v>
      </c>
      <c r="J35" t="s">
        <v>6</v>
      </c>
      <c r="K35" t="s">
        <v>103</v>
      </c>
      <c r="L35">
        <v>1348</v>
      </c>
      <c r="N35">
        <v>1009</v>
      </c>
      <c r="O35" t="s">
        <v>71</v>
      </c>
      <c r="P35" t="s">
        <v>71</v>
      </c>
      <c r="Q35">
        <v>1000</v>
      </c>
      <c r="W35">
        <v>0</v>
      </c>
      <c r="X35">
        <v>-66286256</v>
      </c>
      <c r="Y35">
        <v>0.22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6.56</v>
      </c>
      <c r="AJ35">
        <v>1</v>
      </c>
      <c r="AK35">
        <v>1</v>
      </c>
      <c r="AL35">
        <v>1</v>
      </c>
      <c r="AN35">
        <v>0</v>
      </c>
      <c r="AO35">
        <v>0</v>
      </c>
      <c r="AP35">
        <v>0</v>
      </c>
      <c r="AQ35">
        <v>0</v>
      </c>
      <c r="AR35">
        <v>0</v>
      </c>
      <c r="AS35" t="s">
        <v>6</v>
      </c>
      <c r="AT35">
        <v>0.22</v>
      </c>
      <c r="AU35" t="s">
        <v>6</v>
      </c>
      <c r="AV35">
        <v>0</v>
      </c>
      <c r="AW35">
        <v>2</v>
      </c>
      <c r="AX35">
        <v>16753576</v>
      </c>
      <c r="AY35">
        <v>1</v>
      </c>
      <c r="AZ35">
        <v>0</v>
      </c>
      <c r="BA35">
        <v>40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CX35">
        <f>Y35*Source!I46</f>
        <v>3.7026000000000003E-2</v>
      </c>
      <c r="CY35">
        <f>AA35</f>
        <v>0</v>
      </c>
      <c r="CZ35">
        <f>AE35</f>
        <v>0</v>
      </c>
      <c r="DA35">
        <f>AI35</f>
        <v>6.56</v>
      </c>
      <c r="DB35">
        <f t="shared" si="2"/>
        <v>0</v>
      </c>
      <c r="DC35">
        <f t="shared" si="3"/>
        <v>0</v>
      </c>
    </row>
    <row r="36" spans="1:107" x14ac:dyDescent="0.2">
      <c r="A36">
        <f>ROW(Source!A48)</f>
        <v>48</v>
      </c>
      <c r="B36">
        <v>16748969</v>
      </c>
      <c r="C36">
        <v>16753579</v>
      </c>
      <c r="D36">
        <v>15430767</v>
      </c>
      <c r="E36">
        <v>1</v>
      </c>
      <c r="F36">
        <v>1</v>
      </c>
      <c r="G36">
        <v>1</v>
      </c>
      <c r="H36">
        <v>1</v>
      </c>
      <c r="I36" t="s">
        <v>1070</v>
      </c>
      <c r="J36" t="s">
        <v>6</v>
      </c>
      <c r="K36" t="s">
        <v>1071</v>
      </c>
      <c r="L36">
        <v>1191</v>
      </c>
      <c r="N36">
        <v>1013</v>
      </c>
      <c r="O36" t="s">
        <v>1072</v>
      </c>
      <c r="P36" t="s">
        <v>1072</v>
      </c>
      <c r="Q36">
        <v>1</v>
      </c>
      <c r="W36">
        <v>0</v>
      </c>
      <c r="X36">
        <v>-400197608</v>
      </c>
      <c r="Y36">
        <v>141.19999999999999</v>
      </c>
      <c r="AA36">
        <v>0</v>
      </c>
      <c r="AB36">
        <v>0</v>
      </c>
      <c r="AC36">
        <v>0</v>
      </c>
      <c r="AD36">
        <v>55.96</v>
      </c>
      <c r="AE36">
        <v>0</v>
      </c>
      <c r="AF36">
        <v>0</v>
      </c>
      <c r="AG36">
        <v>0</v>
      </c>
      <c r="AH36">
        <v>8.5299999999999994</v>
      </c>
      <c r="AI36">
        <v>1</v>
      </c>
      <c r="AJ36">
        <v>1</v>
      </c>
      <c r="AK36">
        <v>1</v>
      </c>
      <c r="AL36">
        <v>6.56</v>
      </c>
      <c r="AN36">
        <v>0</v>
      </c>
      <c r="AO36">
        <v>1</v>
      </c>
      <c r="AP36">
        <v>0</v>
      </c>
      <c r="AQ36">
        <v>0</v>
      </c>
      <c r="AR36">
        <v>0</v>
      </c>
      <c r="AS36" t="s">
        <v>6</v>
      </c>
      <c r="AT36">
        <v>141.19999999999999</v>
      </c>
      <c r="AU36" t="s">
        <v>6</v>
      </c>
      <c r="AV36">
        <v>1</v>
      </c>
      <c r="AW36">
        <v>2</v>
      </c>
      <c r="AX36">
        <v>16753580</v>
      </c>
      <c r="AY36">
        <v>1</v>
      </c>
      <c r="AZ36">
        <v>0</v>
      </c>
      <c r="BA36">
        <v>41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CX36">
        <f>Y36*Source!I48</f>
        <v>30.357999999999997</v>
      </c>
      <c r="CY36">
        <f>AD36</f>
        <v>55.96</v>
      </c>
      <c r="CZ36">
        <f>AH36</f>
        <v>8.5299999999999994</v>
      </c>
      <c r="DA36">
        <f>AL36</f>
        <v>6.56</v>
      </c>
      <c r="DB36">
        <f t="shared" si="2"/>
        <v>1204.44</v>
      </c>
      <c r="DC36">
        <f t="shared" si="3"/>
        <v>0</v>
      </c>
    </row>
    <row r="37" spans="1:107" x14ac:dyDescent="0.2">
      <c r="A37">
        <f>ROW(Source!A48)</f>
        <v>48</v>
      </c>
      <c r="B37">
        <v>16748969</v>
      </c>
      <c r="C37">
        <v>16753579</v>
      </c>
      <c r="D37">
        <v>15249402</v>
      </c>
      <c r="E37">
        <v>1</v>
      </c>
      <c r="F37">
        <v>1</v>
      </c>
      <c r="G37">
        <v>1</v>
      </c>
      <c r="H37">
        <v>2</v>
      </c>
      <c r="I37" t="s">
        <v>1089</v>
      </c>
      <c r="J37" t="s">
        <v>1090</v>
      </c>
      <c r="K37" t="s">
        <v>1091</v>
      </c>
      <c r="L37">
        <v>1368</v>
      </c>
      <c r="N37">
        <v>1011</v>
      </c>
      <c r="O37" t="s">
        <v>1078</v>
      </c>
      <c r="P37" t="s">
        <v>1078</v>
      </c>
      <c r="Q37">
        <v>1</v>
      </c>
      <c r="W37">
        <v>0</v>
      </c>
      <c r="X37">
        <v>-2111251057</v>
      </c>
      <c r="Y37">
        <v>6.72</v>
      </c>
      <c r="AA37">
        <v>0</v>
      </c>
      <c r="AB37">
        <v>213.2</v>
      </c>
      <c r="AC37">
        <v>0</v>
      </c>
      <c r="AD37">
        <v>0</v>
      </c>
      <c r="AE37">
        <v>0</v>
      </c>
      <c r="AF37">
        <v>32.5</v>
      </c>
      <c r="AG37">
        <v>0</v>
      </c>
      <c r="AH37">
        <v>0</v>
      </c>
      <c r="AI37">
        <v>1</v>
      </c>
      <c r="AJ37">
        <v>6.56</v>
      </c>
      <c r="AK37">
        <v>1</v>
      </c>
      <c r="AL37">
        <v>1</v>
      </c>
      <c r="AN37">
        <v>0</v>
      </c>
      <c r="AO37">
        <v>1</v>
      </c>
      <c r="AP37">
        <v>0</v>
      </c>
      <c r="AQ37">
        <v>0</v>
      </c>
      <c r="AR37">
        <v>0</v>
      </c>
      <c r="AS37" t="s">
        <v>6</v>
      </c>
      <c r="AT37">
        <v>6.72</v>
      </c>
      <c r="AU37" t="s">
        <v>6</v>
      </c>
      <c r="AV37">
        <v>0</v>
      </c>
      <c r="AW37">
        <v>2</v>
      </c>
      <c r="AX37">
        <v>16753581</v>
      </c>
      <c r="AY37">
        <v>1</v>
      </c>
      <c r="AZ37">
        <v>0</v>
      </c>
      <c r="BA37">
        <v>42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CX37">
        <f>Y37*Source!I48</f>
        <v>1.4447999999999999</v>
      </c>
      <c r="CY37">
        <f>AB37</f>
        <v>213.2</v>
      </c>
      <c r="CZ37">
        <f>AF37</f>
        <v>32.5</v>
      </c>
      <c r="DA37">
        <f>AJ37</f>
        <v>6.56</v>
      </c>
      <c r="DB37">
        <f t="shared" si="2"/>
        <v>218.4</v>
      </c>
      <c r="DC37">
        <f t="shared" si="3"/>
        <v>0</v>
      </c>
    </row>
    <row r="38" spans="1:107" x14ac:dyDescent="0.2">
      <c r="A38">
        <f>ROW(Source!A48)</f>
        <v>48</v>
      </c>
      <c r="B38">
        <v>16748969</v>
      </c>
      <c r="C38">
        <v>16753579</v>
      </c>
      <c r="D38">
        <v>15249998</v>
      </c>
      <c r="E38">
        <v>1</v>
      </c>
      <c r="F38">
        <v>1</v>
      </c>
      <c r="G38">
        <v>1</v>
      </c>
      <c r="H38">
        <v>2</v>
      </c>
      <c r="I38" t="s">
        <v>1092</v>
      </c>
      <c r="J38" t="s">
        <v>1093</v>
      </c>
      <c r="K38" t="s">
        <v>1094</v>
      </c>
      <c r="L38">
        <v>1368</v>
      </c>
      <c r="N38">
        <v>1011</v>
      </c>
      <c r="O38" t="s">
        <v>1078</v>
      </c>
      <c r="P38" t="s">
        <v>1078</v>
      </c>
      <c r="Q38">
        <v>1</v>
      </c>
      <c r="W38">
        <v>0</v>
      </c>
      <c r="X38">
        <v>1518765163</v>
      </c>
      <c r="Y38">
        <v>13.44</v>
      </c>
      <c r="AA38">
        <v>0</v>
      </c>
      <c r="AB38">
        <v>10.039999999999999</v>
      </c>
      <c r="AC38">
        <v>0</v>
      </c>
      <c r="AD38">
        <v>0</v>
      </c>
      <c r="AE38">
        <v>0</v>
      </c>
      <c r="AF38">
        <v>1.53</v>
      </c>
      <c r="AG38">
        <v>0</v>
      </c>
      <c r="AH38">
        <v>0</v>
      </c>
      <c r="AI38">
        <v>1</v>
      </c>
      <c r="AJ38">
        <v>6.56</v>
      </c>
      <c r="AK38">
        <v>1</v>
      </c>
      <c r="AL38">
        <v>1</v>
      </c>
      <c r="AN38">
        <v>0</v>
      </c>
      <c r="AO38">
        <v>1</v>
      </c>
      <c r="AP38">
        <v>0</v>
      </c>
      <c r="AQ38">
        <v>0</v>
      </c>
      <c r="AR38">
        <v>0</v>
      </c>
      <c r="AS38" t="s">
        <v>6</v>
      </c>
      <c r="AT38">
        <v>13.44</v>
      </c>
      <c r="AU38" t="s">
        <v>6</v>
      </c>
      <c r="AV38">
        <v>0</v>
      </c>
      <c r="AW38">
        <v>2</v>
      </c>
      <c r="AX38">
        <v>16753582</v>
      </c>
      <c r="AY38">
        <v>1</v>
      </c>
      <c r="AZ38">
        <v>0</v>
      </c>
      <c r="BA38">
        <v>43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CX38">
        <f>Y38*Source!I48</f>
        <v>2.8895999999999997</v>
      </c>
      <c r="CY38">
        <f>AB38</f>
        <v>10.039999999999999</v>
      </c>
      <c r="CZ38">
        <f>AF38</f>
        <v>1.53</v>
      </c>
      <c r="DA38">
        <f>AJ38</f>
        <v>6.56</v>
      </c>
      <c r="DB38">
        <f t="shared" si="2"/>
        <v>20.56</v>
      </c>
      <c r="DC38">
        <f t="shared" si="3"/>
        <v>0</v>
      </c>
    </row>
    <row r="39" spans="1:107" x14ac:dyDescent="0.2">
      <c r="A39">
        <f>ROW(Source!A48)</f>
        <v>48</v>
      </c>
      <c r="B39">
        <v>16748969</v>
      </c>
      <c r="C39">
        <v>16753579</v>
      </c>
      <c r="D39">
        <v>15164576</v>
      </c>
      <c r="E39">
        <v>17</v>
      </c>
      <c r="F39">
        <v>1</v>
      </c>
      <c r="G39">
        <v>1</v>
      </c>
      <c r="H39">
        <v>3</v>
      </c>
      <c r="I39" t="s">
        <v>69</v>
      </c>
      <c r="J39" t="s">
        <v>6</v>
      </c>
      <c r="K39" t="s">
        <v>103</v>
      </c>
      <c r="L39">
        <v>1348</v>
      </c>
      <c r="N39">
        <v>1009</v>
      </c>
      <c r="O39" t="s">
        <v>71</v>
      </c>
      <c r="P39" t="s">
        <v>71</v>
      </c>
      <c r="Q39">
        <v>1000</v>
      </c>
      <c r="W39">
        <v>0</v>
      </c>
      <c r="X39">
        <v>-66286256</v>
      </c>
      <c r="Y39">
        <v>19.399999999999999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6.56</v>
      </c>
      <c r="AJ39">
        <v>1</v>
      </c>
      <c r="AK39">
        <v>1</v>
      </c>
      <c r="AL39">
        <v>1</v>
      </c>
      <c r="AN39">
        <v>0</v>
      </c>
      <c r="AO39">
        <v>0</v>
      </c>
      <c r="AP39">
        <v>0</v>
      </c>
      <c r="AQ39">
        <v>0</v>
      </c>
      <c r="AR39">
        <v>0</v>
      </c>
      <c r="AS39" t="s">
        <v>6</v>
      </c>
      <c r="AT39">
        <v>19.399999999999999</v>
      </c>
      <c r="AU39" t="s">
        <v>6</v>
      </c>
      <c r="AV39">
        <v>0</v>
      </c>
      <c r="AW39">
        <v>2</v>
      </c>
      <c r="AX39">
        <v>16753583</v>
      </c>
      <c r="AY39">
        <v>1</v>
      </c>
      <c r="AZ39">
        <v>0</v>
      </c>
      <c r="BA39">
        <v>44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CX39">
        <f>Y39*Source!I48</f>
        <v>4.1709999999999994</v>
      </c>
      <c r="CY39">
        <f>AA39</f>
        <v>0</v>
      </c>
      <c r="CZ39">
        <f>AE39</f>
        <v>0</v>
      </c>
      <c r="DA39">
        <f>AI39</f>
        <v>6.56</v>
      </c>
      <c r="DB39">
        <f t="shared" si="2"/>
        <v>0</v>
      </c>
      <c r="DC39">
        <f t="shared" si="3"/>
        <v>0</v>
      </c>
    </row>
    <row r="40" spans="1:107" x14ac:dyDescent="0.2">
      <c r="A40">
        <f>ROW(Source!A50)</f>
        <v>50</v>
      </c>
      <c r="B40">
        <v>16748969</v>
      </c>
      <c r="C40">
        <v>16753585</v>
      </c>
      <c r="D40">
        <v>15430517</v>
      </c>
      <c r="E40">
        <v>1</v>
      </c>
      <c r="F40">
        <v>1</v>
      </c>
      <c r="G40">
        <v>1</v>
      </c>
      <c r="H40">
        <v>1</v>
      </c>
      <c r="I40" t="s">
        <v>1085</v>
      </c>
      <c r="J40" t="s">
        <v>6</v>
      </c>
      <c r="K40" t="s">
        <v>1086</v>
      </c>
      <c r="L40">
        <v>1191</v>
      </c>
      <c r="N40">
        <v>1013</v>
      </c>
      <c r="O40" t="s">
        <v>1072</v>
      </c>
      <c r="P40" t="s">
        <v>1072</v>
      </c>
      <c r="Q40">
        <v>1</v>
      </c>
      <c r="W40">
        <v>0</v>
      </c>
      <c r="X40">
        <v>735429535</v>
      </c>
      <c r="Y40">
        <v>22.82</v>
      </c>
      <c r="AA40">
        <v>0</v>
      </c>
      <c r="AB40">
        <v>0</v>
      </c>
      <c r="AC40">
        <v>0</v>
      </c>
      <c r="AD40">
        <v>51.17</v>
      </c>
      <c r="AE40">
        <v>0</v>
      </c>
      <c r="AF40">
        <v>0</v>
      </c>
      <c r="AG40">
        <v>0</v>
      </c>
      <c r="AH40">
        <v>7.8</v>
      </c>
      <c r="AI40">
        <v>1</v>
      </c>
      <c r="AJ40">
        <v>1</v>
      </c>
      <c r="AK40">
        <v>1</v>
      </c>
      <c r="AL40">
        <v>6.56</v>
      </c>
      <c r="AN40">
        <v>0</v>
      </c>
      <c r="AO40">
        <v>1</v>
      </c>
      <c r="AP40">
        <v>0</v>
      </c>
      <c r="AQ40">
        <v>0</v>
      </c>
      <c r="AR40">
        <v>0</v>
      </c>
      <c r="AS40" t="s">
        <v>6</v>
      </c>
      <c r="AT40">
        <v>22.82</v>
      </c>
      <c r="AU40" t="s">
        <v>6</v>
      </c>
      <c r="AV40">
        <v>1</v>
      </c>
      <c r="AW40">
        <v>2</v>
      </c>
      <c r="AX40">
        <v>16753586</v>
      </c>
      <c r="AY40">
        <v>1</v>
      </c>
      <c r="AZ40">
        <v>0</v>
      </c>
      <c r="BA40">
        <v>45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CX40">
        <f>Y40*Source!I50</f>
        <v>35.713299999999997</v>
      </c>
      <c r="CY40">
        <f>AD40</f>
        <v>51.17</v>
      </c>
      <c r="CZ40">
        <f>AH40</f>
        <v>7.8</v>
      </c>
      <c r="DA40">
        <f>AL40</f>
        <v>6.56</v>
      </c>
      <c r="DB40">
        <f t="shared" si="2"/>
        <v>178</v>
      </c>
      <c r="DC40">
        <f t="shared" si="3"/>
        <v>0</v>
      </c>
    </row>
    <row r="41" spans="1:107" x14ac:dyDescent="0.2">
      <c r="A41">
        <f>ROW(Source!A85)</f>
        <v>85</v>
      </c>
      <c r="B41">
        <v>16748969</v>
      </c>
      <c r="C41">
        <v>16749902</v>
      </c>
      <c r="D41">
        <v>15436014</v>
      </c>
      <c r="E41">
        <v>1</v>
      </c>
      <c r="F41">
        <v>1</v>
      </c>
      <c r="G41">
        <v>1</v>
      </c>
      <c r="H41">
        <v>1</v>
      </c>
      <c r="I41" t="s">
        <v>1123</v>
      </c>
      <c r="J41" t="s">
        <v>6</v>
      </c>
      <c r="K41" t="s">
        <v>1124</v>
      </c>
      <c r="L41">
        <v>1191</v>
      </c>
      <c r="N41">
        <v>1013</v>
      </c>
      <c r="O41" t="s">
        <v>1072</v>
      </c>
      <c r="P41" t="s">
        <v>1072</v>
      </c>
      <c r="Q41">
        <v>1</v>
      </c>
      <c r="W41">
        <v>0</v>
      </c>
      <c r="X41">
        <v>-784637506</v>
      </c>
      <c r="Y41">
        <v>167.57799999999997</v>
      </c>
      <c r="AA41">
        <v>0</v>
      </c>
      <c r="AB41">
        <v>0</v>
      </c>
      <c r="AC41">
        <v>0</v>
      </c>
      <c r="AD41">
        <v>57.33</v>
      </c>
      <c r="AE41">
        <v>0</v>
      </c>
      <c r="AF41">
        <v>0</v>
      </c>
      <c r="AG41">
        <v>0</v>
      </c>
      <c r="AH41">
        <v>8.74</v>
      </c>
      <c r="AI41">
        <v>1</v>
      </c>
      <c r="AJ41">
        <v>1</v>
      </c>
      <c r="AK41">
        <v>1</v>
      </c>
      <c r="AL41">
        <v>6.56</v>
      </c>
      <c r="AN41">
        <v>0</v>
      </c>
      <c r="AO41">
        <v>1</v>
      </c>
      <c r="AP41">
        <v>1</v>
      </c>
      <c r="AQ41">
        <v>0</v>
      </c>
      <c r="AR41">
        <v>0</v>
      </c>
      <c r="AS41" t="s">
        <v>6</v>
      </c>
      <c r="AT41">
        <v>145.72</v>
      </c>
      <c r="AU41" t="s">
        <v>173</v>
      </c>
      <c r="AV41">
        <v>1</v>
      </c>
      <c r="AW41">
        <v>2</v>
      </c>
      <c r="AX41">
        <v>16749915</v>
      </c>
      <c r="AY41">
        <v>1</v>
      </c>
      <c r="AZ41">
        <v>0</v>
      </c>
      <c r="BA41">
        <v>46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CX41">
        <f>Y41*Source!I85</f>
        <v>39.715985999999994</v>
      </c>
      <c r="CY41">
        <f>AD41</f>
        <v>57.33</v>
      </c>
      <c r="CZ41">
        <f>AH41</f>
        <v>8.74</v>
      </c>
      <c r="DA41">
        <f>AL41</f>
        <v>6.56</v>
      </c>
      <c r="DB41">
        <f>ROUND((ROUND(AT41*CZ41,2)*1.15),2)</f>
        <v>1464.63</v>
      </c>
      <c r="DC41">
        <f>ROUND((ROUND(AT41*AG41,2)*1.15),2)</f>
        <v>0</v>
      </c>
    </row>
    <row r="42" spans="1:107" x14ac:dyDescent="0.2">
      <c r="A42">
        <f>ROW(Source!A85)</f>
        <v>85</v>
      </c>
      <c r="B42">
        <v>16748969</v>
      </c>
      <c r="C42">
        <v>16749902</v>
      </c>
      <c r="D42">
        <v>15430395</v>
      </c>
      <c r="E42">
        <v>1</v>
      </c>
      <c r="F42">
        <v>1</v>
      </c>
      <c r="G42">
        <v>1</v>
      </c>
      <c r="H42">
        <v>1</v>
      </c>
      <c r="I42" t="s">
        <v>1073</v>
      </c>
      <c r="J42" t="s">
        <v>6</v>
      </c>
      <c r="K42" t="s">
        <v>1074</v>
      </c>
      <c r="L42">
        <v>1191</v>
      </c>
      <c r="N42">
        <v>1013</v>
      </c>
      <c r="O42" t="s">
        <v>1072</v>
      </c>
      <c r="P42" t="s">
        <v>1072</v>
      </c>
      <c r="Q42">
        <v>1</v>
      </c>
      <c r="W42">
        <v>0</v>
      </c>
      <c r="X42">
        <v>-1417349443</v>
      </c>
      <c r="Y42">
        <v>4.2300000000000004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1</v>
      </c>
      <c r="AJ42">
        <v>1</v>
      </c>
      <c r="AK42">
        <v>6.56</v>
      </c>
      <c r="AL42">
        <v>1</v>
      </c>
      <c r="AN42">
        <v>0</v>
      </c>
      <c r="AO42">
        <v>1</v>
      </c>
      <c r="AP42">
        <v>0</v>
      </c>
      <c r="AQ42">
        <v>0</v>
      </c>
      <c r="AR42">
        <v>0</v>
      </c>
      <c r="AS42" t="s">
        <v>6</v>
      </c>
      <c r="AT42">
        <v>4.2300000000000004</v>
      </c>
      <c r="AU42" t="s">
        <v>6</v>
      </c>
      <c r="AV42">
        <v>2</v>
      </c>
      <c r="AW42">
        <v>2</v>
      </c>
      <c r="AX42">
        <v>16749916</v>
      </c>
      <c r="AY42">
        <v>1</v>
      </c>
      <c r="AZ42">
        <v>2048</v>
      </c>
      <c r="BA42">
        <v>47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CX42">
        <f>Y42*Source!I85</f>
        <v>1.00251</v>
      </c>
      <c r="CY42">
        <f>AD42</f>
        <v>0</v>
      </c>
      <c r="CZ42">
        <f>AH42</f>
        <v>0</v>
      </c>
      <c r="DA42">
        <f>AL42</f>
        <v>1</v>
      </c>
      <c r="DB42">
        <f>ROUND(ROUND(AT42*CZ42,2),2)</f>
        <v>0</v>
      </c>
      <c r="DC42">
        <f>ROUND(ROUND(AT42*AG42,2),2)</f>
        <v>0</v>
      </c>
    </row>
    <row r="43" spans="1:107" x14ac:dyDescent="0.2">
      <c r="A43">
        <f>ROW(Source!A85)</f>
        <v>85</v>
      </c>
      <c r="B43">
        <v>16748969</v>
      </c>
      <c r="C43">
        <v>16749902</v>
      </c>
      <c r="D43">
        <v>15247974</v>
      </c>
      <c r="E43">
        <v>1</v>
      </c>
      <c r="F43">
        <v>1</v>
      </c>
      <c r="G43">
        <v>1</v>
      </c>
      <c r="H43">
        <v>2</v>
      </c>
      <c r="I43" t="s">
        <v>1075</v>
      </c>
      <c r="J43" t="s">
        <v>1076</v>
      </c>
      <c r="K43" t="s">
        <v>1077</v>
      </c>
      <c r="L43">
        <v>1368</v>
      </c>
      <c r="N43">
        <v>1011</v>
      </c>
      <c r="O43" t="s">
        <v>1078</v>
      </c>
      <c r="P43" t="s">
        <v>1078</v>
      </c>
      <c r="Q43">
        <v>1</v>
      </c>
      <c r="W43">
        <v>0</v>
      </c>
      <c r="X43">
        <v>1188625873</v>
      </c>
      <c r="Y43">
        <v>0.82500000000000007</v>
      </c>
      <c r="AA43">
        <v>0</v>
      </c>
      <c r="AB43">
        <v>205.07</v>
      </c>
      <c r="AC43">
        <v>13.5</v>
      </c>
      <c r="AD43">
        <v>0</v>
      </c>
      <c r="AE43">
        <v>0</v>
      </c>
      <c r="AF43">
        <v>31.26</v>
      </c>
      <c r="AG43">
        <v>13.5</v>
      </c>
      <c r="AH43">
        <v>0</v>
      </c>
      <c r="AI43">
        <v>1</v>
      </c>
      <c r="AJ43">
        <v>6.56</v>
      </c>
      <c r="AK43">
        <v>1</v>
      </c>
      <c r="AL43">
        <v>1</v>
      </c>
      <c r="AN43">
        <v>0</v>
      </c>
      <c r="AO43">
        <v>1</v>
      </c>
      <c r="AP43">
        <v>1</v>
      </c>
      <c r="AQ43">
        <v>0</v>
      </c>
      <c r="AR43">
        <v>0</v>
      </c>
      <c r="AS43" t="s">
        <v>6</v>
      </c>
      <c r="AT43">
        <v>0.66</v>
      </c>
      <c r="AU43" t="s">
        <v>172</v>
      </c>
      <c r="AV43">
        <v>0</v>
      </c>
      <c r="AW43">
        <v>2</v>
      </c>
      <c r="AX43">
        <v>16749917</v>
      </c>
      <c r="AY43">
        <v>1</v>
      </c>
      <c r="AZ43">
        <v>0</v>
      </c>
      <c r="BA43">
        <v>48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CX43">
        <f>Y43*Source!I85</f>
        <v>0.195525</v>
      </c>
      <c r="CY43">
        <f>AB43</f>
        <v>205.07</v>
      </c>
      <c r="CZ43">
        <f>AF43</f>
        <v>31.26</v>
      </c>
      <c r="DA43">
        <f>AJ43</f>
        <v>6.56</v>
      </c>
      <c r="DB43">
        <f>ROUND((ROUND(AT43*CZ43,2)*1.25),2)</f>
        <v>25.79</v>
      </c>
      <c r="DC43">
        <f>ROUND((ROUND(AT43*AG43,2)*1.25),2)</f>
        <v>11.14</v>
      </c>
    </row>
    <row r="44" spans="1:107" x14ac:dyDescent="0.2">
      <c r="A44">
        <f>ROW(Source!A85)</f>
        <v>85</v>
      </c>
      <c r="B44">
        <v>16748969</v>
      </c>
      <c r="C44">
        <v>16749902</v>
      </c>
      <c r="D44">
        <v>15249073</v>
      </c>
      <c r="E44">
        <v>1</v>
      </c>
      <c r="F44">
        <v>1</v>
      </c>
      <c r="G44">
        <v>1</v>
      </c>
      <c r="H44">
        <v>2</v>
      </c>
      <c r="I44" t="s">
        <v>1097</v>
      </c>
      <c r="J44" t="s">
        <v>1098</v>
      </c>
      <c r="K44" t="s">
        <v>1099</v>
      </c>
      <c r="L44">
        <v>1368</v>
      </c>
      <c r="N44">
        <v>1011</v>
      </c>
      <c r="O44" t="s">
        <v>1078</v>
      </c>
      <c r="P44" t="s">
        <v>1078</v>
      </c>
      <c r="Q44">
        <v>1</v>
      </c>
      <c r="W44">
        <v>0</v>
      </c>
      <c r="X44">
        <v>1372534845</v>
      </c>
      <c r="Y44">
        <v>4.4624999999999995</v>
      </c>
      <c r="AA44">
        <v>0</v>
      </c>
      <c r="AB44">
        <v>431.06</v>
      </c>
      <c r="AC44">
        <v>11.6</v>
      </c>
      <c r="AD44">
        <v>0</v>
      </c>
      <c r="AE44">
        <v>0</v>
      </c>
      <c r="AF44">
        <v>65.709999999999994</v>
      </c>
      <c r="AG44">
        <v>11.6</v>
      </c>
      <c r="AH44">
        <v>0</v>
      </c>
      <c r="AI44">
        <v>1</v>
      </c>
      <c r="AJ44">
        <v>6.56</v>
      </c>
      <c r="AK44">
        <v>1</v>
      </c>
      <c r="AL44">
        <v>1</v>
      </c>
      <c r="AN44">
        <v>0</v>
      </c>
      <c r="AO44">
        <v>1</v>
      </c>
      <c r="AP44">
        <v>1</v>
      </c>
      <c r="AQ44">
        <v>0</v>
      </c>
      <c r="AR44">
        <v>0</v>
      </c>
      <c r="AS44" t="s">
        <v>6</v>
      </c>
      <c r="AT44">
        <v>3.57</v>
      </c>
      <c r="AU44" t="s">
        <v>172</v>
      </c>
      <c r="AV44">
        <v>0</v>
      </c>
      <c r="AW44">
        <v>2</v>
      </c>
      <c r="AX44">
        <v>16749918</v>
      </c>
      <c r="AY44">
        <v>1</v>
      </c>
      <c r="AZ44">
        <v>0</v>
      </c>
      <c r="BA44">
        <v>49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CX44">
        <f>Y44*Source!I85</f>
        <v>1.0576124999999998</v>
      </c>
      <c r="CY44">
        <f>AB44</f>
        <v>431.06</v>
      </c>
      <c r="CZ44">
        <f>AF44</f>
        <v>65.709999999999994</v>
      </c>
      <c r="DA44">
        <f>AJ44</f>
        <v>6.56</v>
      </c>
      <c r="DB44">
        <f>ROUND((ROUND(AT44*CZ44,2)*1.25),2)</f>
        <v>293.23</v>
      </c>
      <c r="DC44">
        <f>ROUND((ROUND(AT44*AG44,2)*1.25),2)</f>
        <v>51.76</v>
      </c>
    </row>
    <row r="45" spans="1:107" x14ac:dyDescent="0.2">
      <c r="A45">
        <f>ROW(Source!A85)</f>
        <v>85</v>
      </c>
      <c r="B45">
        <v>16748969</v>
      </c>
      <c r="C45">
        <v>16749902</v>
      </c>
      <c r="D45">
        <v>15167551</v>
      </c>
      <c r="E45">
        <v>1</v>
      </c>
      <c r="F45">
        <v>1</v>
      </c>
      <c r="G45">
        <v>1</v>
      </c>
      <c r="H45">
        <v>3</v>
      </c>
      <c r="I45" t="s">
        <v>1125</v>
      </c>
      <c r="J45" t="s">
        <v>1126</v>
      </c>
      <c r="K45" t="s">
        <v>1127</v>
      </c>
      <c r="L45">
        <v>1301</v>
      </c>
      <c r="N45">
        <v>1003</v>
      </c>
      <c r="O45" t="s">
        <v>206</v>
      </c>
      <c r="P45" t="s">
        <v>206</v>
      </c>
      <c r="Q45">
        <v>1</v>
      </c>
      <c r="W45">
        <v>0</v>
      </c>
      <c r="X45">
        <v>751777312</v>
      </c>
      <c r="Y45">
        <v>244</v>
      </c>
      <c r="AA45">
        <v>41.85</v>
      </c>
      <c r="AB45">
        <v>0</v>
      </c>
      <c r="AC45">
        <v>0</v>
      </c>
      <c r="AD45">
        <v>0</v>
      </c>
      <c r="AE45">
        <v>6.38</v>
      </c>
      <c r="AF45">
        <v>0</v>
      </c>
      <c r="AG45">
        <v>0</v>
      </c>
      <c r="AH45">
        <v>0</v>
      </c>
      <c r="AI45">
        <v>6.56</v>
      </c>
      <c r="AJ45">
        <v>1</v>
      </c>
      <c r="AK45">
        <v>1</v>
      </c>
      <c r="AL45">
        <v>1</v>
      </c>
      <c r="AN45">
        <v>0</v>
      </c>
      <c r="AO45">
        <v>1</v>
      </c>
      <c r="AP45">
        <v>0</v>
      </c>
      <c r="AQ45">
        <v>0</v>
      </c>
      <c r="AR45">
        <v>0</v>
      </c>
      <c r="AS45" t="s">
        <v>6</v>
      </c>
      <c r="AT45">
        <v>244</v>
      </c>
      <c r="AU45" t="s">
        <v>6</v>
      </c>
      <c r="AV45">
        <v>0</v>
      </c>
      <c r="AW45">
        <v>2</v>
      </c>
      <c r="AX45">
        <v>16749919</v>
      </c>
      <c r="AY45">
        <v>1</v>
      </c>
      <c r="AZ45">
        <v>0</v>
      </c>
      <c r="BA45">
        <v>50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CX45">
        <f>Y45*Source!I85</f>
        <v>57.827999999999996</v>
      </c>
      <c r="CY45">
        <f t="shared" ref="CY45:CY52" si="4">AA45</f>
        <v>41.85</v>
      </c>
      <c r="CZ45">
        <f t="shared" ref="CZ45:CZ52" si="5">AE45</f>
        <v>6.38</v>
      </c>
      <c r="DA45">
        <f t="shared" ref="DA45:DA52" si="6">AI45</f>
        <v>6.56</v>
      </c>
      <c r="DB45">
        <f t="shared" ref="DB45:DB52" si="7">ROUND(ROUND(AT45*CZ45,2),2)</f>
        <v>1556.72</v>
      </c>
      <c r="DC45">
        <f t="shared" ref="DC45:DC52" si="8">ROUND(ROUND(AT45*AG45,2),2)</f>
        <v>0</v>
      </c>
    </row>
    <row r="46" spans="1:107" x14ac:dyDescent="0.2">
      <c r="A46">
        <f>ROW(Source!A85)</f>
        <v>85</v>
      </c>
      <c r="B46">
        <v>16748969</v>
      </c>
      <c r="C46">
        <v>16749902</v>
      </c>
      <c r="D46">
        <v>15167552</v>
      </c>
      <c r="E46">
        <v>1</v>
      </c>
      <c r="F46">
        <v>1</v>
      </c>
      <c r="G46">
        <v>1</v>
      </c>
      <c r="H46">
        <v>3</v>
      </c>
      <c r="I46" t="s">
        <v>1128</v>
      </c>
      <c r="J46" t="s">
        <v>1129</v>
      </c>
      <c r="K46" t="s">
        <v>1130</v>
      </c>
      <c r="L46">
        <v>1301</v>
      </c>
      <c r="N46">
        <v>1003</v>
      </c>
      <c r="O46" t="s">
        <v>206</v>
      </c>
      <c r="P46" t="s">
        <v>206</v>
      </c>
      <c r="Q46">
        <v>1</v>
      </c>
      <c r="W46">
        <v>0</v>
      </c>
      <c r="X46">
        <v>1744203244</v>
      </c>
      <c r="Y46">
        <v>56</v>
      </c>
      <c r="AA46">
        <v>52.15</v>
      </c>
      <c r="AB46">
        <v>0</v>
      </c>
      <c r="AC46">
        <v>0</v>
      </c>
      <c r="AD46">
        <v>0</v>
      </c>
      <c r="AE46">
        <v>7.95</v>
      </c>
      <c r="AF46">
        <v>0</v>
      </c>
      <c r="AG46">
        <v>0</v>
      </c>
      <c r="AH46">
        <v>0</v>
      </c>
      <c r="AI46">
        <v>6.56</v>
      </c>
      <c r="AJ46">
        <v>1</v>
      </c>
      <c r="AK46">
        <v>1</v>
      </c>
      <c r="AL46">
        <v>1</v>
      </c>
      <c r="AN46">
        <v>0</v>
      </c>
      <c r="AO46">
        <v>1</v>
      </c>
      <c r="AP46">
        <v>0</v>
      </c>
      <c r="AQ46">
        <v>0</v>
      </c>
      <c r="AR46">
        <v>0</v>
      </c>
      <c r="AS46" t="s">
        <v>6</v>
      </c>
      <c r="AT46">
        <v>56</v>
      </c>
      <c r="AU46" t="s">
        <v>6</v>
      </c>
      <c r="AV46">
        <v>0</v>
      </c>
      <c r="AW46">
        <v>2</v>
      </c>
      <c r="AX46">
        <v>16749920</v>
      </c>
      <c r="AY46">
        <v>1</v>
      </c>
      <c r="AZ46">
        <v>0</v>
      </c>
      <c r="BA46">
        <v>51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CX46">
        <f>Y46*Source!I85</f>
        <v>13.271999999999998</v>
      </c>
      <c r="CY46">
        <f t="shared" si="4"/>
        <v>52.15</v>
      </c>
      <c r="CZ46">
        <f t="shared" si="5"/>
        <v>7.95</v>
      </c>
      <c r="DA46">
        <f t="shared" si="6"/>
        <v>6.56</v>
      </c>
      <c r="DB46">
        <f t="shared" si="7"/>
        <v>445.2</v>
      </c>
      <c r="DC46">
        <f t="shared" si="8"/>
        <v>0</v>
      </c>
    </row>
    <row r="47" spans="1:107" x14ac:dyDescent="0.2">
      <c r="A47">
        <f>ROW(Source!A85)</f>
        <v>85</v>
      </c>
      <c r="B47">
        <v>16748969</v>
      </c>
      <c r="C47">
        <v>16749902</v>
      </c>
      <c r="D47">
        <v>15167640</v>
      </c>
      <c r="E47">
        <v>1</v>
      </c>
      <c r="F47">
        <v>1</v>
      </c>
      <c r="G47">
        <v>1</v>
      </c>
      <c r="H47">
        <v>3</v>
      </c>
      <c r="I47" t="s">
        <v>1131</v>
      </c>
      <c r="J47" t="s">
        <v>1132</v>
      </c>
      <c r="K47" t="s">
        <v>1133</v>
      </c>
      <c r="L47">
        <v>1302</v>
      </c>
      <c r="N47">
        <v>1003</v>
      </c>
      <c r="O47" t="s">
        <v>632</v>
      </c>
      <c r="P47" t="s">
        <v>632</v>
      </c>
      <c r="Q47">
        <v>10</v>
      </c>
      <c r="W47">
        <v>0</v>
      </c>
      <c r="X47">
        <v>-405326455</v>
      </c>
      <c r="Y47">
        <v>15.6</v>
      </c>
      <c r="AA47">
        <v>420.5</v>
      </c>
      <c r="AB47">
        <v>0</v>
      </c>
      <c r="AC47">
        <v>0</v>
      </c>
      <c r="AD47">
        <v>0</v>
      </c>
      <c r="AE47">
        <v>64.099999999999994</v>
      </c>
      <c r="AF47">
        <v>0</v>
      </c>
      <c r="AG47">
        <v>0</v>
      </c>
      <c r="AH47">
        <v>0</v>
      </c>
      <c r="AI47">
        <v>6.56</v>
      </c>
      <c r="AJ47">
        <v>1</v>
      </c>
      <c r="AK47">
        <v>1</v>
      </c>
      <c r="AL47">
        <v>1</v>
      </c>
      <c r="AN47">
        <v>0</v>
      </c>
      <c r="AO47">
        <v>1</v>
      </c>
      <c r="AP47">
        <v>0</v>
      </c>
      <c r="AQ47">
        <v>0</v>
      </c>
      <c r="AR47">
        <v>0</v>
      </c>
      <c r="AS47" t="s">
        <v>6</v>
      </c>
      <c r="AT47">
        <v>15.6</v>
      </c>
      <c r="AU47" t="s">
        <v>6</v>
      </c>
      <c r="AV47">
        <v>0</v>
      </c>
      <c r="AW47">
        <v>2</v>
      </c>
      <c r="AX47">
        <v>16749921</v>
      </c>
      <c r="AY47">
        <v>1</v>
      </c>
      <c r="AZ47">
        <v>0</v>
      </c>
      <c r="BA47">
        <v>52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CX47">
        <f>Y47*Source!I85</f>
        <v>3.6971999999999996</v>
      </c>
      <c r="CY47">
        <f t="shared" si="4"/>
        <v>420.5</v>
      </c>
      <c r="CZ47">
        <f t="shared" si="5"/>
        <v>64.099999999999994</v>
      </c>
      <c r="DA47">
        <f t="shared" si="6"/>
        <v>6.56</v>
      </c>
      <c r="DB47">
        <f t="shared" si="7"/>
        <v>999.96</v>
      </c>
      <c r="DC47">
        <f t="shared" si="8"/>
        <v>0</v>
      </c>
    </row>
    <row r="48" spans="1:107" x14ac:dyDescent="0.2">
      <c r="A48">
        <f>ROW(Source!A85)</f>
        <v>85</v>
      </c>
      <c r="B48">
        <v>16748969</v>
      </c>
      <c r="C48">
        <v>16749902</v>
      </c>
      <c r="D48">
        <v>15170065</v>
      </c>
      <c r="E48">
        <v>1</v>
      </c>
      <c r="F48">
        <v>1</v>
      </c>
      <c r="G48">
        <v>1</v>
      </c>
      <c r="H48">
        <v>3</v>
      </c>
      <c r="I48" t="s">
        <v>1134</v>
      </c>
      <c r="J48" t="s">
        <v>1135</v>
      </c>
      <c r="K48" t="s">
        <v>1136</v>
      </c>
      <c r="L48">
        <v>1358</v>
      </c>
      <c r="N48">
        <v>1010</v>
      </c>
      <c r="O48" t="s">
        <v>615</v>
      </c>
      <c r="P48" t="s">
        <v>615</v>
      </c>
      <c r="Q48">
        <v>10</v>
      </c>
      <c r="W48">
        <v>0</v>
      </c>
      <c r="X48">
        <v>-858120743</v>
      </c>
      <c r="Y48">
        <v>38.9</v>
      </c>
      <c r="AA48">
        <v>46.12</v>
      </c>
      <c r="AB48">
        <v>0</v>
      </c>
      <c r="AC48">
        <v>0</v>
      </c>
      <c r="AD48">
        <v>0</v>
      </c>
      <c r="AE48">
        <v>7.03</v>
      </c>
      <c r="AF48">
        <v>0</v>
      </c>
      <c r="AG48">
        <v>0</v>
      </c>
      <c r="AH48">
        <v>0</v>
      </c>
      <c r="AI48">
        <v>6.56</v>
      </c>
      <c r="AJ48">
        <v>1</v>
      </c>
      <c r="AK48">
        <v>1</v>
      </c>
      <c r="AL48">
        <v>1</v>
      </c>
      <c r="AN48">
        <v>0</v>
      </c>
      <c r="AO48">
        <v>1</v>
      </c>
      <c r="AP48">
        <v>0</v>
      </c>
      <c r="AQ48">
        <v>0</v>
      </c>
      <c r="AR48">
        <v>0</v>
      </c>
      <c r="AS48" t="s">
        <v>6</v>
      </c>
      <c r="AT48">
        <v>38.9</v>
      </c>
      <c r="AU48" t="s">
        <v>6</v>
      </c>
      <c r="AV48">
        <v>0</v>
      </c>
      <c r="AW48">
        <v>2</v>
      </c>
      <c r="AX48">
        <v>16749922</v>
      </c>
      <c r="AY48">
        <v>1</v>
      </c>
      <c r="AZ48">
        <v>0</v>
      </c>
      <c r="BA48">
        <v>53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CX48">
        <f>Y48*Source!I85</f>
        <v>9.2192999999999987</v>
      </c>
      <c r="CY48">
        <f t="shared" si="4"/>
        <v>46.12</v>
      </c>
      <c r="CZ48">
        <f t="shared" si="5"/>
        <v>7.03</v>
      </c>
      <c r="DA48">
        <f t="shared" si="6"/>
        <v>6.56</v>
      </c>
      <c r="DB48">
        <f t="shared" si="7"/>
        <v>273.47000000000003</v>
      </c>
      <c r="DC48">
        <f t="shared" si="8"/>
        <v>0</v>
      </c>
    </row>
    <row r="49" spans="1:107" x14ac:dyDescent="0.2">
      <c r="A49">
        <f>ROW(Source!A85)</f>
        <v>85</v>
      </c>
      <c r="B49">
        <v>16748969</v>
      </c>
      <c r="C49">
        <v>16749902</v>
      </c>
      <c r="D49">
        <v>15197463</v>
      </c>
      <c r="E49">
        <v>1</v>
      </c>
      <c r="F49">
        <v>1</v>
      </c>
      <c r="G49">
        <v>1</v>
      </c>
      <c r="H49">
        <v>3</v>
      </c>
      <c r="I49" t="s">
        <v>178</v>
      </c>
      <c r="J49" t="s">
        <v>180</v>
      </c>
      <c r="K49" t="s">
        <v>179</v>
      </c>
      <c r="L49">
        <v>1327</v>
      </c>
      <c r="N49">
        <v>1005</v>
      </c>
      <c r="O49" t="s">
        <v>89</v>
      </c>
      <c r="P49" t="s">
        <v>89</v>
      </c>
      <c r="Q49">
        <v>1</v>
      </c>
      <c r="W49">
        <v>0</v>
      </c>
      <c r="X49">
        <v>-565097724</v>
      </c>
      <c r="Y49">
        <v>100</v>
      </c>
      <c r="AA49">
        <v>16759.03</v>
      </c>
      <c r="AB49">
        <v>0</v>
      </c>
      <c r="AC49">
        <v>0</v>
      </c>
      <c r="AD49">
        <v>0</v>
      </c>
      <c r="AE49">
        <v>2554.73</v>
      </c>
      <c r="AF49">
        <v>0</v>
      </c>
      <c r="AG49">
        <v>0</v>
      </c>
      <c r="AH49">
        <v>0</v>
      </c>
      <c r="AI49">
        <v>6.56</v>
      </c>
      <c r="AJ49">
        <v>1</v>
      </c>
      <c r="AK49">
        <v>1</v>
      </c>
      <c r="AL49">
        <v>1</v>
      </c>
      <c r="AN49">
        <v>0</v>
      </c>
      <c r="AO49">
        <v>0</v>
      </c>
      <c r="AP49">
        <v>0</v>
      </c>
      <c r="AQ49">
        <v>0</v>
      </c>
      <c r="AR49">
        <v>0</v>
      </c>
      <c r="AS49" t="s">
        <v>6</v>
      </c>
      <c r="AT49">
        <v>100</v>
      </c>
      <c r="AU49" t="s">
        <v>6</v>
      </c>
      <c r="AV49">
        <v>0</v>
      </c>
      <c r="AW49">
        <v>1</v>
      </c>
      <c r="AX49">
        <v>-1</v>
      </c>
      <c r="AY49">
        <v>0</v>
      </c>
      <c r="AZ49">
        <v>0</v>
      </c>
      <c r="BA49" t="s">
        <v>6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CX49">
        <f>Y49*Source!I85</f>
        <v>23.7</v>
      </c>
      <c r="CY49">
        <f t="shared" si="4"/>
        <v>16759.03</v>
      </c>
      <c r="CZ49">
        <f t="shared" si="5"/>
        <v>2554.73</v>
      </c>
      <c r="DA49">
        <f t="shared" si="6"/>
        <v>6.56</v>
      </c>
      <c r="DB49">
        <f t="shared" si="7"/>
        <v>255473</v>
      </c>
      <c r="DC49">
        <f t="shared" si="8"/>
        <v>0</v>
      </c>
    </row>
    <row r="50" spans="1:107" x14ac:dyDescent="0.2">
      <c r="A50">
        <f>ROW(Source!A85)</f>
        <v>85</v>
      </c>
      <c r="B50">
        <v>16748969</v>
      </c>
      <c r="C50">
        <v>16749902</v>
      </c>
      <c r="D50">
        <v>15162466</v>
      </c>
      <c r="E50">
        <v>17</v>
      </c>
      <c r="F50">
        <v>1</v>
      </c>
      <c r="G50">
        <v>1</v>
      </c>
      <c r="H50">
        <v>3</v>
      </c>
      <c r="I50" t="s">
        <v>182</v>
      </c>
      <c r="J50" t="s">
        <v>6</v>
      </c>
      <c r="K50" t="s">
        <v>183</v>
      </c>
      <c r="L50">
        <v>1327</v>
      </c>
      <c r="N50">
        <v>1005</v>
      </c>
      <c r="O50" t="s">
        <v>89</v>
      </c>
      <c r="P50" t="s">
        <v>89</v>
      </c>
      <c r="Q50">
        <v>1</v>
      </c>
      <c r="W50">
        <v>0</v>
      </c>
      <c r="X50">
        <v>1219964505</v>
      </c>
      <c r="Y50">
        <v>100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6.56</v>
      </c>
      <c r="AJ50">
        <v>1</v>
      </c>
      <c r="AK50">
        <v>1</v>
      </c>
      <c r="AL50">
        <v>1</v>
      </c>
      <c r="AN50">
        <v>0</v>
      </c>
      <c r="AO50">
        <v>0</v>
      </c>
      <c r="AP50">
        <v>0</v>
      </c>
      <c r="AQ50">
        <v>0</v>
      </c>
      <c r="AR50">
        <v>0</v>
      </c>
      <c r="AS50" t="s">
        <v>6</v>
      </c>
      <c r="AT50">
        <v>100</v>
      </c>
      <c r="AU50" t="s">
        <v>6</v>
      </c>
      <c r="AV50">
        <v>0</v>
      </c>
      <c r="AW50">
        <v>2</v>
      </c>
      <c r="AX50">
        <v>16749923</v>
      </c>
      <c r="AY50">
        <v>1</v>
      </c>
      <c r="AZ50">
        <v>0</v>
      </c>
      <c r="BA50">
        <v>54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CX50">
        <f>Y50*Source!I85</f>
        <v>23.7</v>
      </c>
      <c r="CY50">
        <f t="shared" si="4"/>
        <v>0</v>
      </c>
      <c r="CZ50">
        <f t="shared" si="5"/>
        <v>0</v>
      </c>
      <c r="DA50">
        <f t="shared" si="6"/>
        <v>6.56</v>
      </c>
      <c r="DB50">
        <f t="shared" si="7"/>
        <v>0</v>
      </c>
      <c r="DC50">
        <f t="shared" si="8"/>
        <v>0</v>
      </c>
    </row>
    <row r="51" spans="1:107" x14ac:dyDescent="0.2">
      <c r="A51">
        <f>ROW(Source!A85)</f>
        <v>85</v>
      </c>
      <c r="B51">
        <v>16748969</v>
      </c>
      <c r="C51">
        <v>16749902</v>
      </c>
      <c r="D51">
        <v>15197780</v>
      </c>
      <c r="E51">
        <v>1</v>
      </c>
      <c r="F51">
        <v>1</v>
      </c>
      <c r="G51">
        <v>1</v>
      </c>
      <c r="H51">
        <v>3</v>
      </c>
      <c r="I51" t="s">
        <v>1137</v>
      </c>
      <c r="J51" t="s">
        <v>1138</v>
      </c>
      <c r="K51" t="s">
        <v>1139</v>
      </c>
      <c r="L51">
        <v>1355</v>
      </c>
      <c r="N51">
        <v>1010</v>
      </c>
      <c r="O51" t="s">
        <v>724</v>
      </c>
      <c r="P51" t="s">
        <v>724</v>
      </c>
      <c r="Q51">
        <v>100</v>
      </c>
      <c r="W51">
        <v>0</v>
      </c>
      <c r="X51">
        <v>1709713925</v>
      </c>
      <c r="Y51">
        <v>8</v>
      </c>
      <c r="AA51">
        <v>328</v>
      </c>
      <c r="AB51">
        <v>0</v>
      </c>
      <c r="AC51">
        <v>0</v>
      </c>
      <c r="AD51">
        <v>0</v>
      </c>
      <c r="AE51">
        <v>50</v>
      </c>
      <c r="AF51">
        <v>0</v>
      </c>
      <c r="AG51">
        <v>0</v>
      </c>
      <c r="AH51">
        <v>0</v>
      </c>
      <c r="AI51">
        <v>6.56</v>
      </c>
      <c r="AJ51">
        <v>1</v>
      </c>
      <c r="AK51">
        <v>1</v>
      </c>
      <c r="AL51">
        <v>1</v>
      </c>
      <c r="AN51">
        <v>0</v>
      </c>
      <c r="AO51">
        <v>1</v>
      </c>
      <c r="AP51">
        <v>0</v>
      </c>
      <c r="AQ51">
        <v>0</v>
      </c>
      <c r="AR51">
        <v>0</v>
      </c>
      <c r="AS51" t="s">
        <v>6</v>
      </c>
      <c r="AT51">
        <v>8</v>
      </c>
      <c r="AU51" t="s">
        <v>6</v>
      </c>
      <c r="AV51">
        <v>0</v>
      </c>
      <c r="AW51">
        <v>2</v>
      </c>
      <c r="AX51">
        <v>16749924</v>
      </c>
      <c r="AY51">
        <v>1</v>
      </c>
      <c r="AZ51">
        <v>0</v>
      </c>
      <c r="BA51">
        <v>55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CX51">
        <f>Y51*Source!I85</f>
        <v>1.8959999999999999</v>
      </c>
      <c r="CY51">
        <f t="shared" si="4"/>
        <v>328</v>
      </c>
      <c r="CZ51">
        <f t="shared" si="5"/>
        <v>50</v>
      </c>
      <c r="DA51">
        <f t="shared" si="6"/>
        <v>6.56</v>
      </c>
      <c r="DB51">
        <f t="shared" si="7"/>
        <v>400</v>
      </c>
      <c r="DC51">
        <f t="shared" si="8"/>
        <v>0</v>
      </c>
    </row>
    <row r="52" spans="1:107" x14ac:dyDescent="0.2">
      <c r="A52">
        <f>ROW(Source!A85)</f>
        <v>85</v>
      </c>
      <c r="B52">
        <v>16748969</v>
      </c>
      <c r="C52">
        <v>16749902</v>
      </c>
      <c r="D52">
        <v>15204239</v>
      </c>
      <c r="E52">
        <v>1</v>
      </c>
      <c r="F52">
        <v>1</v>
      </c>
      <c r="G52">
        <v>1</v>
      </c>
      <c r="H52">
        <v>3</v>
      </c>
      <c r="I52" t="s">
        <v>1140</v>
      </c>
      <c r="J52" t="s">
        <v>1141</v>
      </c>
      <c r="K52" t="s">
        <v>1142</v>
      </c>
      <c r="L52">
        <v>1354</v>
      </c>
      <c r="N52">
        <v>1010</v>
      </c>
      <c r="O52" t="s">
        <v>53</v>
      </c>
      <c r="P52" t="s">
        <v>53</v>
      </c>
      <c r="Q52">
        <v>1</v>
      </c>
      <c r="W52">
        <v>0</v>
      </c>
      <c r="X52">
        <v>-1018551266</v>
      </c>
      <c r="Y52">
        <v>69</v>
      </c>
      <c r="AA52">
        <v>439.52</v>
      </c>
      <c r="AB52">
        <v>0</v>
      </c>
      <c r="AC52">
        <v>0</v>
      </c>
      <c r="AD52">
        <v>0</v>
      </c>
      <c r="AE52">
        <v>67</v>
      </c>
      <c r="AF52">
        <v>0</v>
      </c>
      <c r="AG52">
        <v>0</v>
      </c>
      <c r="AH52">
        <v>0</v>
      </c>
      <c r="AI52">
        <v>6.56</v>
      </c>
      <c r="AJ52">
        <v>1</v>
      </c>
      <c r="AK52">
        <v>1</v>
      </c>
      <c r="AL52">
        <v>1</v>
      </c>
      <c r="AN52">
        <v>0</v>
      </c>
      <c r="AO52">
        <v>1</v>
      </c>
      <c r="AP52">
        <v>0</v>
      </c>
      <c r="AQ52">
        <v>0</v>
      </c>
      <c r="AR52">
        <v>0</v>
      </c>
      <c r="AS52" t="s">
        <v>6</v>
      </c>
      <c r="AT52">
        <v>69</v>
      </c>
      <c r="AU52" t="s">
        <v>6</v>
      </c>
      <c r="AV52">
        <v>0</v>
      </c>
      <c r="AW52">
        <v>2</v>
      </c>
      <c r="AX52">
        <v>16749925</v>
      </c>
      <c r="AY52">
        <v>1</v>
      </c>
      <c r="AZ52">
        <v>0</v>
      </c>
      <c r="BA52">
        <v>56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CX52">
        <f>Y52*Source!I85</f>
        <v>16.352999999999998</v>
      </c>
      <c r="CY52">
        <f t="shared" si="4"/>
        <v>439.52</v>
      </c>
      <c r="CZ52">
        <f t="shared" si="5"/>
        <v>67</v>
      </c>
      <c r="DA52">
        <f t="shared" si="6"/>
        <v>6.56</v>
      </c>
      <c r="DB52">
        <f t="shared" si="7"/>
        <v>4623</v>
      </c>
      <c r="DC52">
        <f t="shared" si="8"/>
        <v>0</v>
      </c>
    </row>
    <row r="53" spans="1:107" x14ac:dyDescent="0.2">
      <c r="A53">
        <f>ROW(Source!A88)</f>
        <v>88</v>
      </c>
      <c r="B53">
        <v>16748969</v>
      </c>
      <c r="C53">
        <v>16749928</v>
      </c>
      <c r="D53">
        <v>15436014</v>
      </c>
      <c r="E53">
        <v>1</v>
      </c>
      <c r="F53">
        <v>1</v>
      </c>
      <c r="G53">
        <v>1</v>
      </c>
      <c r="H53">
        <v>1</v>
      </c>
      <c r="I53" t="s">
        <v>1123</v>
      </c>
      <c r="J53" t="s">
        <v>6</v>
      </c>
      <c r="K53" t="s">
        <v>1124</v>
      </c>
      <c r="L53">
        <v>1191</v>
      </c>
      <c r="N53">
        <v>1013</v>
      </c>
      <c r="O53" t="s">
        <v>1072</v>
      </c>
      <c r="P53" t="s">
        <v>1072</v>
      </c>
      <c r="Q53">
        <v>1</v>
      </c>
      <c r="W53">
        <v>0</v>
      </c>
      <c r="X53">
        <v>-784637506</v>
      </c>
      <c r="Y53">
        <v>248.49199999999999</v>
      </c>
      <c r="AA53">
        <v>0</v>
      </c>
      <c r="AB53">
        <v>0</v>
      </c>
      <c r="AC53">
        <v>0</v>
      </c>
      <c r="AD53">
        <v>57.33</v>
      </c>
      <c r="AE53">
        <v>0</v>
      </c>
      <c r="AF53">
        <v>0</v>
      </c>
      <c r="AG53">
        <v>0</v>
      </c>
      <c r="AH53">
        <v>8.74</v>
      </c>
      <c r="AI53">
        <v>1</v>
      </c>
      <c r="AJ53">
        <v>1</v>
      </c>
      <c r="AK53">
        <v>1</v>
      </c>
      <c r="AL53">
        <v>6.56</v>
      </c>
      <c r="AN53">
        <v>0</v>
      </c>
      <c r="AO53">
        <v>1</v>
      </c>
      <c r="AP53">
        <v>1</v>
      </c>
      <c r="AQ53">
        <v>0</v>
      </c>
      <c r="AR53">
        <v>0</v>
      </c>
      <c r="AS53" t="s">
        <v>6</v>
      </c>
      <c r="AT53">
        <v>216.08</v>
      </c>
      <c r="AU53" t="s">
        <v>173</v>
      </c>
      <c r="AV53">
        <v>1</v>
      </c>
      <c r="AW53">
        <v>2</v>
      </c>
      <c r="AX53">
        <v>16749941</v>
      </c>
      <c r="AY53">
        <v>1</v>
      </c>
      <c r="AZ53">
        <v>0</v>
      </c>
      <c r="BA53">
        <v>57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CX53">
        <f>Y53*Source!I88</f>
        <v>2.2364279999999996</v>
      </c>
      <c r="CY53">
        <f>AD53</f>
        <v>57.33</v>
      </c>
      <c r="CZ53">
        <f>AH53</f>
        <v>8.74</v>
      </c>
      <c r="DA53">
        <f>AL53</f>
        <v>6.56</v>
      </c>
      <c r="DB53">
        <f>ROUND((ROUND(AT53*CZ53,2)*1.15),2)</f>
        <v>2171.8200000000002</v>
      </c>
      <c r="DC53">
        <f>ROUND((ROUND(AT53*AG53,2)*1.15),2)</f>
        <v>0</v>
      </c>
    </row>
    <row r="54" spans="1:107" x14ac:dyDescent="0.2">
      <c r="A54">
        <f>ROW(Source!A88)</f>
        <v>88</v>
      </c>
      <c r="B54">
        <v>16748969</v>
      </c>
      <c r="C54">
        <v>16749928</v>
      </c>
      <c r="D54">
        <v>15430395</v>
      </c>
      <c r="E54">
        <v>1</v>
      </c>
      <c r="F54">
        <v>1</v>
      </c>
      <c r="G54">
        <v>1</v>
      </c>
      <c r="H54">
        <v>1</v>
      </c>
      <c r="I54" t="s">
        <v>1073</v>
      </c>
      <c r="J54" t="s">
        <v>6</v>
      </c>
      <c r="K54" t="s">
        <v>1074</v>
      </c>
      <c r="L54">
        <v>1191</v>
      </c>
      <c r="N54">
        <v>1013</v>
      </c>
      <c r="O54" t="s">
        <v>1072</v>
      </c>
      <c r="P54" t="s">
        <v>1072</v>
      </c>
      <c r="Q54">
        <v>1</v>
      </c>
      <c r="W54">
        <v>0</v>
      </c>
      <c r="X54">
        <v>-1417349443</v>
      </c>
      <c r="Y54">
        <v>5.33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1</v>
      </c>
      <c r="AJ54">
        <v>1</v>
      </c>
      <c r="AK54">
        <v>6.56</v>
      </c>
      <c r="AL54">
        <v>1</v>
      </c>
      <c r="AN54">
        <v>0</v>
      </c>
      <c r="AO54">
        <v>1</v>
      </c>
      <c r="AP54">
        <v>0</v>
      </c>
      <c r="AQ54">
        <v>0</v>
      </c>
      <c r="AR54">
        <v>0</v>
      </c>
      <c r="AS54" t="s">
        <v>6</v>
      </c>
      <c r="AT54">
        <v>5.33</v>
      </c>
      <c r="AU54" t="s">
        <v>6</v>
      </c>
      <c r="AV54">
        <v>2</v>
      </c>
      <c r="AW54">
        <v>2</v>
      </c>
      <c r="AX54">
        <v>16749942</v>
      </c>
      <c r="AY54">
        <v>1</v>
      </c>
      <c r="AZ54">
        <v>2048</v>
      </c>
      <c r="BA54">
        <v>58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CX54">
        <f>Y54*Source!I88</f>
        <v>4.7969999999999999E-2</v>
      </c>
      <c r="CY54">
        <f>AD54</f>
        <v>0</v>
      </c>
      <c r="CZ54">
        <f>AH54</f>
        <v>0</v>
      </c>
      <c r="DA54">
        <f>AL54</f>
        <v>1</v>
      </c>
      <c r="DB54">
        <f>ROUND(ROUND(AT54*CZ54,2),2)</f>
        <v>0</v>
      </c>
      <c r="DC54">
        <f>ROUND(ROUND(AT54*AG54,2),2)</f>
        <v>0</v>
      </c>
    </row>
    <row r="55" spans="1:107" x14ac:dyDescent="0.2">
      <c r="A55">
        <f>ROW(Source!A88)</f>
        <v>88</v>
      </c>
      <c r="B55">
        <v>16748969</v>
      </c>
      <c r="C55">
        <v>16749928</v>
      </c>
      <c r="D55">
        <v>15247974</v>
      </c>
      <c r="E55">
        <v>1</v>
      </c>
      <c r="F55">
        <v>1</v>
      </c>
      <c r="G55">
        <v>1</v>
      </c>
      <c r="H55">
        <v>2</v>
      </c>
      <c r="I55" t="s">
        <v>1075</v>
      </c>
      <c r="J55" t="s">
        <v>1076</v>
      </c>
      <c r="K55" t="s">
        <v>1077</v>
      </c>
      <c r="L55">
        <v>1368</v>
      </c>
      <c r="N55">
        <v>1011</v>
      </c>
      <c r="O55" t="s">
        <v>1078</v>
      </c>
      <c r="P55" t="s">
        <v>1078</v>
      </c>
      <c r="Q55">
        <v>1</v>
      </c>
      <c r="W55">
        <v>0</v>
      </c>
      <c r="X55">
        <v>1188625873</v>
      </c>
      <c r="Y55">
        <v>2.2000000000000002</v>
      </c>
      <c r="AA55">
        <v>0</v>
      </c>
      <c r="AB55">
        <v>205.07</v>
      </c>
      <c r="AC55">
        <v>13.5</v>
      </c>
      <c r="AD55">
        <v>0</v>
      </c>
      <c r="AE55">
        <v>0</v>
      </c>
      <c r="AF55">
        <v>31.26</v>
      </c>
      <c r="AG55">
        <v>13.5</v>
      </c>
      <c r="AH55">
        <v>0</v>
      </c>
      <c r="AI55">
        <v>1</v>
      </c>
      <c r="AJ55">
        <v>6.56</v>
      </c>
      <c r="AK55">
        <v>1</v>
      </c>
      <c r="AL55">
        <v>1</v>
      </c>
      <c r="AN55">
        <v>0</v>
      </c>
      <c r="AO55">
        <v>1</v>
      </c>
      <c r="AP55">
        <v>1</v>
      </c>
      <c r="AQ55">
        <v>0</v>
      </c>
      <c r="AR55">
        <v>0</v>
      </c>
      <c r="AS55" t="s">
        <v>6</v>
      </c>
      <c r="AT55">
        <v>1.76</v>
      </c>
      <c r="AU55" t="s">
        <v>172</v>
      </c>
      <c r="AV55">
        <v>0</v>
      </c>
      <c r="AW55">
        <v>2</v>
      </c>
      <c r="AX55">
        <v>16749943</v>
      </c>
      <c r="AY55">
        <v>1</v>
      </c>
      <c r="AZ55">
        <v>0</v>
      </c>
      <c r="BA55">
        <v>59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CX55">
        <f>Y55*Source!I88</f>
        <v>1.9800000000000002E-2</v>
      </c>
      <c r="CY55">
        <f>AB55</f>
        <v>205.07</v>
      </c>
      <c r="CZ55">
        <f>AF55</f>
        <v>31.26</v>
      </c>
      <c r="DA55">
        <f>AJ55</f>
        <v>6.56</v>
      </c>
      <c r="DB55">
        <f>ROUND((ROUND(AT55*CZ55,2)*1.25),2)</f>
        <v>68.78</v>
      </c>
      <c r="DC55">
        <f>ROUND((ROUND(AT55*AG55,2)*1.25),2)</f>
        <v>29.7</v>
      </c>
    </row>
    <row r="56" spans="1:107" x14ac:dyDescent="0.2">
      <c r="A56">
        <f>ROW(Source!A88)</f>
        <v>88</v>
      </c>
      <c r="B56">
        <v>16748969</v>
      </c>
      <c r="C56">
        <v>16749928</v>
      </c>
      <c r="D56">
        <v>15249073</v>
      </c>
      <c r="E56">
        <v>1</v>
      </c>
      <c r="F56">
        <v>1</v>
      </c>
      <c r="G56">
        <v>1</v>
      </c>
      <c r="H56">
        <v>2</v>
      </c>
      <c r="I56" t="s">
        <v>1097</v>
      </c>
      <c r="J56" t="s">
        <v>1098</v>
      </c>
      <c r="K56" t="s">
        <v>1099</v>
      </c>
      <c r="L56">
        <v>1368</v>
      </c>
      <c r="N56">
        <v>1011</v>
      </c>
      <c r="O56" t="s">
        <v>1078</v>
      </c>
      <c r="P56" t="s">
        <v>1078</v>
      </c>
      <c r="Q56">
        <v>1</v>
      </c>
      <c r="W56">
        <v>0</v>
      </c>
      <c r="X56">
        <v>1372534845</v>
      </c>
      <c r="Y56">
        <v>4.4624999999999995</v>
      </c>
      <c r="AA56">
        <v>0</v>
      </c>
      <c r="AB56">
        <v>431.06</v>
      </c>
      <c r="AC56">
        <v>11.6</v>
      </c>
      <c r="AD56">
        <v>0</v>
      </c>
      <c r="AE56">
        <v>0</v>
      </c>
      <c r="AF56">
        <v>65.709999999999994</v>
      </c>
      <c r="AG56">
        <v>11.6</v>
      </c>
      <c r="AH56">
        <v>0</v>
      </c>
      <c r="AI56">
        <v>1</v>
      </c>
      <c r="AJ56">
        <v>6.56</v>
      </c>
      <c r="AK56">
        <v>1</v>
      </c>
      <c r="AL56">
        <v>1</v>
      </c>
      <c r="AN56">
        <v>0</v>
      </c>
      <c r="AO56">
        <v>1</v>
      </c>
      <c r="AP56">
        <v>1</v>
      </c>
      <c r="AQ56">
        <v>0</v>
      </c>
      <c r="AR56">
        <v>0</v>
      </c>
      <c r="AS56" t="s">
        <v>6</v>
      </c>
      <c r="AT56">
        <v>3.57</v>
      </c>
      <c r="AU56" t="s">
        <v>172</v>
      </c>
      <c r="AV56">
        <v>0</v>
      </c>
      <c r="AW56">
        <v>2</v>
      </c>
      <c r="AX56">
        <v>16749944</v>
      </c>
      <c r="AY56">
        <v>1</v>
      </c>
      <c r="AZ56">
        <v>0</v>
      </c>
      <c r="BA56">
        <v>60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CX56">
        <f>Y56*Source!I88</f>
        <v>4.016249999999999E-2</v>
      </c>
      <c r="CY56">
        <f>AB56</f>
        <v>431.06</v>
      </c>
      <c r="CZ56">
        <f>AF56</f>
        <v>65.709999999999994</v>
      </c>
      <c r="DA56">
        <f>AJ56</f>
        <v>6.56</v>
      </c>
      <c r="DB56">
        <f>ROUND((ROUND(AT56*CZ56,2)*1.25),2)</f>
        <v>293.23</v>
      </c>
      <c r="DC56">
        <f>ROUND((ROUND(AT56*AG56,2)*1.25),2)</f>
        <v>51.76</v>
      </c>
    </row>
    <row r="57" spans="1:107" x14ac:dyDescent="0.2">
      <c r="A57">
        <f>ROW(Source!A88)</f>
        <v>88</v>
      </c>
      <c r="B57">
        <v>16748969</v>
      </c>
      <c r="C57">
        <v>16749928</v>
      </c>
      <c r="D57">
        <v>15167551</v>
      </c>
      <c r="E57">
        <v>1</v>
      </c>
      <c r="F57">
        <v>1</v>
      </c>
      <c r="G57">
        <v>1</v>
      </c>
      <c r="H57">
        <v>3</v>
      </c>
      <c r="I57" t="s">
        <v>1125</v>
      </c>
      <c r="J57" t="s">
        <v>1126</v>
      </c>
      <c r="K57" t="s">
        <v>1127</v>
      </c>
      <c r="L57">
        <v>1301</v>
      </c>
      <c r="N57">
        <v>1003</v>
      </c>
      <c r="O57" t="s">
        <v>206</v>
      </c>
      <c r="P57" t="s">
        <v>206</v>
      </c>
      <c r="Q57">
        <v>1</v>
      </c>
      <c r="W57">
        <v>0</v>
      </c>
      <c r="X57">
        <v>751777312</v>
      </c>
      <c r="Y57">
        <v>429</v>
      </c>
      <c r="AA57">
        <v>41.85</v>
      </c>
      <c r="AB57">
        <v>0</v>
      </c>
      <c r="AC57">
        <v>0</v>
      </c>
      <c r="AD57">
        <v>0</v>
      </c>
      <c r="AE57">
        <v>6.38</v>
      </c>
      <c r="AF57">
        <v>0</v>
      </c>
      <c r="AG57">
        <v>0</v>
      </c>
      <c r="AH57">
        <v>0</v>
      </c>
      <c r="AI57">
        <v>6.56</v>
      </c>
      <c r="AJ57">
        <v>1</v>
      </c>
      <c r="AK57">
        <v>1</v>
      </c>
      <c r="AL57">
        <v>1</v>
      </c>
      <c r="AN57">
        <v>0</v>
      </c>
      <c r="AO57">
        <v>1</v>
      </c>
      <c r="AP57">
        <v>0</v>
      </c>
      <c r="AQ57">
        <v>0</v>
      </c>
      <c r="AR57">
        <v>0</v>
      </c>
      <c r="AS57" t="s">
        <v>6</v>
      </c>
      <c r="AT57">
        <v>429</v>
      </c>
      <c r="AU57" t="s">
        <v>6</v>
      </c>
      <c r="AV57">
        <v>0</v>
      </c>
      <c r="AW57">
        <v>2</v>
      </c>
      <c r="AX57">
        <v>16749945</v>
      </c>
      <c r="AY57">
        <v>1</v>
      </c>
      <c r="AZ57">
        <v>0</v>
      </c>
      <c r="BA57">
        <v>61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CX57">
        <f>Y57*Source!I88</f>
        <v>3.8609999999999998</v>
      </c>
      <c r="CY57">
        <f t="shared" ref="CY57:CY64" si="9">AA57</f>
        <v>41.85</v>
      </c>
      <c r="CZ57">
        <f t="shared" ref="CZ57:CZ64" si="10">AE57</f>
        <v>6.38</v>
      </c>
      <c r="DA57">
        <f t="shared" ref="DA57:DA64" si="11">AI57</f>
        <v>6.56</v>
      </c>
      <c r="DB57">
        <f t="shared" ref="DB57:DB64" si="12">ROUND(ROUND(AT57*CZ57,2),2)</f>
        <v>2737.02</v>
      </c>
      <c r="DC57">
        <f t="shared" ref="DC57:DC64" si="13">ROUND(ROUND(AT57*AG57,2),2)</f>
        <v>0</v>
      </c>
    </row>
    <row r="58" spans="1:107" x14ac:dyDescent="0.2">
      <c r="A58">
        <f>ROW(Source!A88)</f>
        <v>88</v>
      </c>
      <c r="B58">
        <v>16748969</v>
      </c>
      <c r="C58">
        <v>16749928</v>
      </c>
      <c r="D58">
        <v>15167552</v>
      </c>
      <c r="E58">
        <v>1</v>
      </c>
      <c r="F58">
        <v>1</v>
      </c>
      <c r="G58">
        <v>1</v>
      </c>
      <c r="H58">
        <v>3</v>
      </c>
      <c r="I58" t="s">
        <v>1128</v>
      </c>
      <c r="J58" t="s">
        <v>1129</v>
      </c>
      <c r="K58" t="s">
        <v>1130</v>
      </c>
      <c r="L58">
        <v>1301</v>
      </c>
      <c r="N58">
        <v>1003</v>
      </c>
      <c r="O58" t="s">
        <v>206</v>
      </c>
      <c r="P58" t="s">
        <v>206</v>
      </c>
      <c r="Q58">
        <v>1</v>
      </c>
      <c r="W58">
        <v>0</v>
      </c>
      <c r="X58">
        <v>1744203244</v>
      </c>
      <c r="Y58">
        <v>71</v>
      </c>
      <c r="AA58">
        <v>52.15</v>
      </c>
      <c r="AB58">
        <v>0</v>
      </c>
      <c r="AC58">
        <v>0</v>
      </c>
      <c r="AD58">
        <v>0</v>
      </c>
      <c r="AE58">
        <v>7.95</v>
      </c>
      <c r="AF58">
        <v>0</v>
      </c>
      <c r="AG58">
        <v>0</v>
      </c>
      <c r="AH58">
        <v>0</v>
      </c>
      <c r="AI58">
        <v>6.56</v>
      </c>
      <c r="AJ58">
        <v>1</v>
      </c>
      <c r="AK58">
        <v>1</v>
      </c>
      <c r="AL58">
        <v>1</v>
      </c>
      <c r="AN58">
        <v>0</v>
      </c>
      <c r="AO58">
        <v>1</v>
      </c>
      <c r="AP58">
        <v>0</v>
      </c>
      <c r="AQ58">
        <v>0</v>
      </c>
      <c r="AR58">
        <v>0</v>
      </c>
      <c r="AS58" t="s">
        <v>6</v>
      </c>
      <c r="AT58">
        <v>71</v>
      </c>
      <c r="AU58" t="s">
        <v>6</v>
      </c>
      <c r="AV58">
        <v>0</v>
      </c>
      <c r="AW58">
        <v>2</v>
      </c>
      <c r="AX58">
        <v>16749946</v>
      </c>
      <c r="AY58">
        <v>1</v>
      </c>
      <c r="AZ58">
        <v>0</v>
      </c>
      <c r="BA58">
        <v>62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CX58">
        <f>Y58*Source!I88</f>
        <v>0.6389999999999999</v>
      </c>
      <c r="CY58">
        <f t="shared" si="9"/>
        <v>52.15</v>
      </c>
      <c r="CZ58">
        <f t="shared" si="10"/>
        <v>7.95</v>
      </c>
      <c r="DA58">
        <f t="shared" si="11"/>
        <v>6.56</v>
      </c>
      <c r="DB58">
        <f t="shared" si="12"/>
        <v>564.45000000000005</v>
      </c>
      <c r="DC58">
        <f t="shared" si="13"/>
        <v>0</v>
      </c>
    </row>
    <row r="59" spans="1:107" x14ac:dyDescent="0.2">
      <c r="A59">
        <f>ROW(Source!A88)</f>
        <v>88</v>
      </c>
      <c r="B59">
        <v>16748969</v>
      </c>
      <c r="C59">
        <v>16749928</v>
      </c>
      <c r="D59">
        <v>15167640</v>
      </c>
      <c r="E59">
        <v>1</v>
      </c>
      <c r="F59">
        <v>1</v>
      </c>
      <c r="G59">
        <v>1</v>
      </c>
      <c r="H59">
        <v>3</v>
      </c>
      <c r="I59" t="s">
        <v>1131</v>
      </c>
      <c r="J59" t="s">
        <v>1132</v>
      </c>
      <c r="K59" t="s">
        <v>1133</v>
      </c>
      <c r="L59">
        <v>1302</v>
      </c>
      <c r="N59">
        <v>1003</v>
      </c>
      <c r="O59" t="s">
        <v>632</v>
      </c>
      <c r="P59" t="s">
        <v>632</v>
      </c>
      <c r="Q59">
        <v>10</v>
      </c>
      <c r="W59">
        <v>0</v>
      </c>
      <c r="X59">
        <v>-405326455</v>
      </c>
      <c r="Y59">
        <v>27.1</v>
      </c>
      <c r="AA59">
        <v>420.5</v>
      </c>
      <c r="AB59">
        <v>0</v>
      </c>
      <c r="AC59">
        <v>0</v>
      </c>
      <c r="AD59">
        <v>0</v>
      </c>
      <c r="AE59">
        <v>64.099999999999994</v>
      </c>
      <c r="AF59">
        <v>0</v>
      </c>
      <c r="AG59">
        <v>0</v>
      </c>
      <c r="AH59">
        <v>0</v>
      </c>
      <c r="AI59">
        <v>6.56</v>
      </c>
      <c r="AJ59">
        <v>1</v>
      </c>
      <c r="AK59">
        <v>1</v>
      </c>
      <c r="AL59">
        <v>1</v>
      </c>
      <c r="AN59">
        <v>0</v>
      </c>
      <c r="AO59">
        <v>1</v>
      </c>
      <c r="AP59">
        <v>0</v>
      </c>
      <c r="AQ59">
        <v>0</v>
      </c>
      <c r="AR59">
        <v>0</v>
      </c>
      <c r="AS59" t="s">
        <v>6</v>
      </c>
      <c r="AT59">
        <v>27.1</v>
      </c>
      <c r="AU59" t="s">
        <v>6</v>
      </c>
      <c r="AV59">
        <v>0</v>
      </c>
      <c r="AW59">
        <v>2</v>
      </c>
      <c r="AX59">
        <v>16749947</v>
      </c>
      <c r="AY59">
        <v>1</v>
      </c>
      <c r="AZ59">
        <v>0</v>
      </c>
      <c r="BA59">
        <v>63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CX59">
        <f>Y59*Source!I88</f>
        <v>0.24390000000000001</v>
      </c>
      <c r="CY59">
        <f t="shared" si="9"/>
        <v>420.5</v>
      </c>
      <c r="CZ59">
        <f t="shared" si="10"/>
        <v>64.099999999999994</v>
      </c>
      <c r="DA59">
        <f t="shared" si="11"/>
        <v>6.56</v>
      </c>
      <c r="DB59">
        <f t="shared" si="12"/>
        <v>1737.11</v>
      </c>
      <c r="DC59">
        <f t="shared" si="13"/>
        <v>0</v>
      </c>
    </row>
    <row r="60" spans="1:107" x14ac:dyDescent="0.2">
      <c r="A60">
        <f>ROW(Source!A88)</f>
        <v>88</v>
      </c>
      <c r="B60">
        <v>16748969</v>
      </c>
      <c r="C60">
        <v>16749928</v>
      </c>
      <c r="D60">
        <v>15170065</v>
      </c>
      <c r="E60">
        <v>1</v>
      </c>
      <c r="F60">
        <v>1</v>
      </c>
      <c r="G60">
        <v>1</v>
      </c>
      <c r="H60">
        <v>3</v>
      </c>
      <c r="I60" t="s">
        <v>1134</v>
      </c>
      <c r="J60" t="s">
        <v>1135</v>
      </c>
      <c r="K60" t="s">
        <v>1136</v>
      </c>
      <c r="L60">
        <v>1358</v>
      </c>
      <c r="N60">
        <v>1010</v>
      </c>
      <c r="O60" t="s">
        <v>615</v>
      </c>
      <c r="P60" t="s">
        <v>615</v>
      </c>
      <c r="Q60">
        <v>10</v>
      </c>
      <c r="W60">
        <v>0</v>
      </c>
      <c r="X60">
        <v>-858120743</v>
      </c>
      <c r="Y60">
        <v>71.400000000000006</v>
      </c>
      <c r="AA60">
        <v>46.12</v>
      </c>
      <c r="AB60">
        <v>0</v>
      </c>
      <c r="AC60">
        <v>0</v>
      </c>
      <c r="AD60">
        <v>0</v>
      </c>
      <c r="AE60">
        <v>7.03</v>
      </c>
      <c r="AF60">
        <v>0</v>
      </c>
      <c r="AG60">
        <v>0</v>
      </c>
      <c r="AH60">
        <v>0</v>
      </c>
      <c r="AI60">
        <v>6.56</v>
      </c>
      <c r="AJ60">
        <v>1</v>
      </c>
      <c r="AK60">
        <v>1</v>
      </c>
      <c r="AL60">
        <v>1</v>
      </c>
      <c r="AN60">
        <v>0</v>
      </c>
      <c r="AO60">
        <v>1</v>
      </c>
      <c r="AP60">
        <v>0</v>
      </c>
      <c r="AQ60">
        <v>0</v>
      </c>
      <c r="AR60">
        <v>0</v>
      </c>
      <c r="AS60" t="s">
        <v>6</v>
      </c>
      <c r="AT60">
        <v>71.400000000000006</v>
      </c>
      <c r="AU60" t="s">
        <v>6</v>
      </c>
      <c r="AV60">
        <v>0</v>
      </c>
      <c r="AW60">
        <v>2</v>
      </c>
      <c r="AX60">
        <v>16749948</v>
      </c>
      <c r="AY60">
        <v>1</v>
      </c>
      <c r="AZ60">
        <v>0</v>
      </c>
      <c r="BA60">
        <v>64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CX60">
        <f>Y60*Source!I88</f>
        <v>0.64259999999999995</v>
      </c>
      <c r="CY60">
        <f t="shared" si="9"/>
        <v>46.12</v>
      </c>
      <c r="CZ60">
        <f t="shared" si="10"/>
        <v>7.03</v>
      </c>
      <c r="DA60">
        <f t="shared" si="11"/>
        <v>6.56</v>
      </c>
      <c r="DB60">
        <f t="shared" si="12"/>
        <v>501.94</v>
      </c>
      <c r="DC60">
        <f t="shared" si="13"/>
        <v>0</v>
      </c>
    </row>
    <row r="61" spans="1:107" x14ac:dyDescent="0.2">
      <c r="A61">
        <f>ROW(Source!A88)</f>
        <v>88</v>
      </c>
      <c r="B61">
        <v>16748969</v>
      </c>
      <c r="C61">
        <v>16749928</v>
      </c>
      <c r="D61">
        <v>15197498</v>
      </c>
      <c r="E61">
        <v>1</v>
      </c>
      <c r="F61">
        <v>1</v>
      </c>
      <c r="G61">
        <v>1</v>
      </c>
      <c r="H61">
        <v>3</v>
      </c>
      <c r="I61" t="s">
        <v>189</v>
      </c>
      <c r="J61" t="s">
        <v>191</v>
      </c>
      <c r="K61" t="s">
        <v>190</v>
      </c>
      <c r="L61">
        <v>1327</v>
      </c>
      <c r="N61">
        <v>1005</v>
      </c>
      <c r="O61" t="s">
        <v>89</v>
      </c>
      <c r="P61" t="s">
        <v>89</v>
      </c>
      <c r="Q61">
        <v>1</v>
      </c>
      <c r="W61">
        <v>0</v>
      </c>
      <c r="X61">
        <v>-409793117</v>
      </c>
      <c r="Y61">
        <v>100</v>
      </c>
      <c r="AA61">
        <v>30057</v>
      </c>
      <c r="AB61">
        <v>0</v>
      </c>
      <c r="AC61">
        <v>0</v>
      </c>
      <c r="AD61">
        <v>0</v>
      </c>
      <c r="AE61">
        <v>4581.8599999999997</v>
      </c>
      <c r="AF61">
        <v>0</v>
      </c>
      <c r="AG61">
        <v>0</v>
      </c>
      <c r="AH61">
        <v>0</v>
      </c>
      <c r="AI61">
        <v>6.56</v>
      </c>
      <c r="AJ61">
        <v>1</v>
      </c>
      <c r="AK61">
        <v>1</v>
      </c>
      <c r="AL61">
        <v>1</v>
      </c>
      <c r="AN61">
        <v>0</v>
      </c>
      <c r="AO61">
        <v>0</v>
      </c>
      <c r="AP61">
        <v>0</v>
      </c>
      <c r="AQ61">
        <v>0</v>
      </c>
      <c r="AR61">
        <v>0</v>
      </c>
      <c r="AS61" t="s">
        <v>6</v>
      </c>
      <c r="AT61">
        <v>100</v>
      </c>
      <c r="AU61" t="s">
        <v>6</v>
      </c>
      <c r="AV61">
        <v>0</v>
      </c>
      <c r="AW61">
        <v>1</v>
      </c>
      <c r="AX61">
        <v>-1</v>
      </c>
      <c r="AY61">
        <v>0</v>
      </c>
      <c r="AZ61">
        <v>0</v>
      </c>
      <c r="BA61" t="s">
        <v>6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CX61">
        <f>Y61*Source!I88</f>
        <v>0.89999999999999991</v>
      </c>
      <c r="CY61">
        <f t="shared" si="9"/>
        <v>30057</v>
      </c>
      <c r="CZ61">
        <f t="shared" si="10"/>
        <v>4581.8599999999997</v>
      </c>
      <c r="DA61">
        <f t="shared" si="11"/>
        <v>6.56</v>
      </c>
      <c r="DB61">
        <f t="shared" si="12"/>
        <v>458186</v>
      </c>
      <c r="DC61">
        <f t="shared" si="13"/>
        <v>0</v>
      </c>
    </row>
    <row r="62" spans="1:107" x14ac:dyDescent="0.2">
      <c r="A62">
        <f>ROW(Source!A88)</f>
        <v>88</v>
      </c>
      <c r="B62">
        <v>16748969</v>
      </c>
      <c r="C62">
        <v>16749928</v>
      </c>
      <c r="D62">
        <v>15162466</v>
      </c>
      <c r="E62">
        <v>17</v>
      </c>
      <c r="F62">
        <v>1</v>
      </c>
      <c r="G62">
        <v>1</v>
      </c>
      <c r="H62">
        <v>3</v>
      </c>
      <c r="I62" t="s">
        <v>182</v>
      </c>
      <c r="J62" t="s">
        <v>6</v>
      </c>
      <c r="K62" t="s">
        <v>183</v>
      </c>
      <c r="L62">
        <v>1327</v>
      </c>
      <c r="N62">
        <v>1005</v>
      </c>
      <c r="O62" t="s">
        <v>89</v>
      </c>
      <c r="P62" t="s">
        <v>89</v>
      </c>
      <c r="Q62">
        <v>1</v>
      </c>
      <c r="W62">
        <v>0</v>
      </c>
      <c r="X62">
        <v>1219964505</v>
      </c>
      <c r="Y62">
        <v>100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6.56</v>
      </c>
      <c r="AJ62">
        <v>1</v>
      </c>
      <c r="AK62">
        <v>1</v>
      </c>
      <c r="AL62">
        <v>1</v>
      </c>
      <c r="AN62">
        <v>0</v>
      </c>
      <c r="AO62">
        <v>0</v>
      </c>
      <c r="AP62">
        <v>0</v>
      </c>
      <c r="AQ62">
        <v>0</v>
      </c>
      <c r="AR62">
        <v>0</v>
      </c>
      <c r="AS62" t="s">
        <v>6</v>
      </c>
      <c r="AT62">
        <v>100</v>
      </c>
      <c r="AU62" t="s">
        <v>6</v>
      </c>
      <c r="AV62">
        <v>0</v>
      </c>
      <c r="AW62">
        <v>2</v>
      </c>
      <c r="AX62">
        <v>16749949</v>
      </c>
      <c r="AY62">
        <v>1</v>
      </c>
      <c r="AZ62">
        <v>0</v>
      </c>
      <c r="BA62">
        <v>65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CX62">
        <f>Y62*Source!I88</f>
        <v>0.89999999999999991</v>
      </c>
      <c r="CY62">
        <f t="shared" si="9"/>
        <v>0</v>
      </c>
      <c r="CZ62">
        <f t="shared" si="10"/>
        <v>0</v>
      </c>
      <c r="DA62">
        <f t="shared" si="11"/>
        <v>6.56</v>
      </c>
      <c r="DB62">
        <f t="shared" si="12"/>
        <v>0</v>
      </c>
      <c r="DC62">
        <f t="shared" si="13"/>
        <v>0</v>
      </c>
    </row>
    <row r="63" spans="1:107" x14ac:dyDescent="0.2">
      <c r="A63">
        <f>ROW(Source!A88)</f>
        <v>88</v>
      </c>
      <c r="B63">
        <v>16748969</v>
      </c>
      <c r="C63">
        <v>16749928</v>
      </c>
      <c r="D63">
        <v>15197780</v>
      </c>
      <c r="E63">
        <v>1</v>
      </c>
      <c r="F63">
        <v>1</v>
      </c>
      <c r="G63">
        <v>1</v>
      </c>
      <c r="H63">
        <v>3</v>
      </c>
      <c r="I63" t="s">
        <v>1137</v>
      </c>
      <c r="J63" t="s">
        <v>1138</v>
      </c>
      <c r="K63" t="s">
        <v>1139</v>
      </c>
      <c r="L63">
        <v>1355</v>
      </c>
      <c r="N63">
        <v>1010</v>
      </c>
      <c r="O63" t="s">
        <v>724</v>
      </c>
      <c r="P63" t="s">
        <v>724</v>
      </c>
      <c r="Q63">
        <v>100</v>
      </c>
      <c r="W63">
        <v>0</v>
      </c>
      <c r="X63">
        <v>1709713925</v>
      </c>
      <c r="Y63">
        <v>8</v>
      </c>
      <c r="AA63">
        <v>328</v>
      </c>
      <c r="AB63">
        <v>0</v>
      </c>
      <c r="AC63">
        <v>0</v>
      </c>
      <c r="AD63">
        <v>0</v>
      </c>
      <c r="AE63">
        <v>50</v>
      </c>
      <c r="AF63">
        <v>0</v>
      </c>
      <c r="AG63">
        <v>0</v>
      </c>
      <c r="AH63">
        <v>0</v>
      </c>
      <c r="AI63">
        <v>6.56</v>
      </c>
      <c r="AJ63">
        <v>1</v>
      </c>
      <c r="AK63">
        <v>1</v>
      </c>
      <c r="AL63">
        <v>1</v>
      </c>
      <c r="AN63">
        <v>0</v>
      </c>
      <c r="AO63">
        <v>1</v>
      </c>
      <c r="AP63">
        <v>0</v>
      </c>
      <c r="AQ63">
        <v>0</v>
      </c>
      <c r="AR63">
        <v>0</v>
      </c>
      <c r="AS63" t="s">
        <v>6</v>
      </c>
      <c r="AT63">
        <v>8</v>
      </c>
      <c r="AU63" t="s">
        <v>6</v>
      </c>
      <c r="AV63">
        <v>0</v>
      </c>
      <c r="AW63">
        <v>2</v>
      </c>
      <c r="AX63">
        <v>16749950</v>
      </c>
      <c r="AY63">
        <v>1</v>
      </c>
      <c r="AZ63">
        <v>0</v>
      </c>
      <c r="BA63">
        <v>66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CX63">
        <f>Y63*Source!I88</f>
        <v>7.1999999999999995E-2</v>
      </c>
      <c r="CY63">
        <f t="shared" si="9"/>
        <v>328</v>
      </c>
      <c r="CZ63">
        <f t="shared" si="10"/>
        <v>50</v>
      </c>
      <c r="DA63">
        <f t="shared" si="11"/>
        <v>6.56</v>
      </c>
      <c r="DB63">
        <f t="shared" si="12"/>
        <v>400</v>
      </c>
      <c r="DC63">
        <f t="shared" si="13"/>
        <v>0</v>
      </c>
    </row>
    <row r="64" spans="1:107" x14ac:dyDescent="0.2">
      <c r="A64">
        <f>ROW(Source!A88)</f>
        <v>88</v>
      </c>
      <c r="B64">
        <v>16748969</v>
      </c>
      <c r="C64">
        <v>16749928</v>
      </c>
      <c r="D64">
        <v>15204239</v>
      </c>
      <c r="E64">
        <v>1</v>
      </c>
      <c r="F64">
        <v>1</v>
      </c>
      <c r="G64">
        <v>1</v>
      </c>
      <c r="H64">
        <v>3</v>
      </c>
      <c r="I64" t="s">
        <v>1140</v>
      </c>
      <c r="J64" t="s">
        <v>1141</v>
      </c>
      <c r="K64" t="s">
        <v>1142</v>
      </c>
      <c r="L64">
        <v>1354</v>
      </c>
      <c r="N64">
        <v>1010</v>
      </c>
      <c r="O64" t="s">
        <v>53</v>
      </c>
      <c r="P64" t="s">
        <v>53</v>
      </c>
      <c r="Q64">
        <v>1</v>
      </c>
      <c r="W64">
        <v>0</v>
      </c>
      <c r="X64">
        <v>-1018551266</v>
      </c>
      <c r="Y64">
        <v>114</v>
      </c>
      <c r="AA64">
        <v>439.52</v>
      </c>
      <c r="AB64">
        <v>0</v>
      </c>
      <c r="AC64">
        <v>0</v>
      </c>
      <c r="AD64">
        <v>0</v>
      </c>
      <c r="AE64">
        <v>67</v>
      </c>
      <c r="AF64">
        <v>0</v>
      </c>
      <c r="AG64">
        <v>0</v>
      </c>
      <c r="AH64">
        <v>0</v>
      </c>
      <c r="AI64">
        <v>6.56</v>
      </c>
      <c r="AJ64">
        <v>1</v>
      </c>
      <c r="AK64">
        <v>1</v>
      </c>
      <c r="AL64">
        <v>1</v>
      </c>
      <c r="AN64">
        <v>0</v>
      </c>
      <c r="AO64">
        <v>1</v>
      </c>
      <c r="AP64">
        <v>0</v>
      </c>
      <c r="AQ64">
        <v>0</v>
      </c>
      <c r="AR64">
        <v>0</v>
      </c>
      <c r="AS64" t="s">
        <v>6</v>
      </c>
      <c r="AT64">
        <v>114</v>
      </c>
      <c r="AU64" t="s">
        <v>6</v>
      </c>
      <c r="AV64">
        <v>0</v>
      </c>
      <c r="AW64">
        <v>2</v>
      </c>
      <c r="AX64">
        <v>16749951</v>
      </c>
      <c r="AY64">
        <v>1</v>
      </c>
      <c r="AZ64">
        <v>0</v>
      </c>
      <c r="BA64">
        <v>67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CX64">
        <f>Y64*Source!I88</f>
        <v>1.026</v>
      </c>
      <c r="CY64">
        <f t="shared" si="9"/>
        <v>439.52</v>
      </c>
      <c r="CZ64">
        <f t="shared" si="10"/>
        <v>67</v>
      </c>
      <c r="DA64">
        <f t="shared" si="11"/>
        <v>6.56</v>
      </c>
      <c r="DB64">
        <f t="shared" si="12"/>
        <v>7638</v>
      </c>
      <c r="DC64">
        <f t="shared" si="13"/>
        <v>0</v>
      </c>
    </row>
    <row r="65" spans="1:107" x14ac:dyDescent="0.2">
      <c r="A65">
        <f>ROW(Source!A91)</f>
        <v>91</v>
      </c>
      <c r="B65">
        <v>16748969</v>
      </c>
      <c r="C65">
        <v>16749954</v>
      </c>
      <c r="D65">
        <v>15430767</v>
      </c>
      <c r="E65">
        <v>1</v>
      </c>
      <c r="F65">
        <v>1</v>
      </c>
      <c r="G65">
        <v>1</v>
      </c>
      <c r="H65">
        <v>1</v>
      </c>
      <c r="I65" t="s">
        <v>1070</v>
      </c>
      <c r="J65" t="s">
        <v>6</v>
      </c>
      <c r="K65" t="s">
        <v>1071</v>
      </c>
      <c r="L65">
        <v>1191</v>
      </c>
      <c r="N65">
        <v>1013</v>
      </c>
      <c r="O65" t="s">
        <v>1072</v>
      </c>
      <c r="P65" t="s">
        <v>1072</v>
      </c>
      <c r="Q65">
        <v>1</v>
      </c>
      <c r="W65">
        <v>0</v>
      </c>
      <c r="X65">
        <v>-400197608</v>
      </c>
      <c r="Y65">
        <v>129.66249999999999</v>
      </c>
      <c r="AA65">
        <v>0</v>
      </c>
      <c r="AB65">
        <v>0</v>
      </c>
      <c r="AC65">
        <v>0</v>
      </c>
      <c r="AD65">
        <v>55.96</v>
      </c>
      <c r="AE65">
        <v>0</v>
      </c>
      <c r="AF65">
        <v>0</v>
      </c>
      <c r="AG65">
        <v>0</v>
      </c>
      <c r="AH65">
        <v>8.5299999999999994</v>
      </c>
      <c r="AI65">
        <v>1</v>
      </c>
      <c r="AJ65">
        <v>1</v>
      </c>
      <c r="AK65">
        <v>1</v>
      </c>
      <c r="AL65">
        <v>6.56</v>
      </c>
      <c r="AN65">
        <v>0</v>
      </c>
      <c r="AO65">
        <v>1</v>
      </c>
      <c r="AP65">
        <v>1</v>
      </c>
      <c r="AQ65">
        <v>0</v>
      </c>
      <c r="AR65">
        <v>0</v>
      </c>
      <c r="AS65" t="s">
        <v>6</v>
      </c>
      <c r="AT65">
        <v>112.75</v>
      </c>
      <c r="AU65" t="s">
        <v>173</v>
      </c>
      <c r="AV65">
        <v>1</v>
      </c>
      <c r="AW65">
        <v>2</v>
      </c>
      <c r="AX65">
        <v>16749962</v>
      </c>
      <c r="AY65">
        <v>1</v>
      </c>
      <c r="AZ65">
        <v>0</v>
      </c>
      <c r="BA65">
        <v>68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CX65">
        <f>Y65*Source!I91</f>
        <v>3.4360562499999996</v>
      </c>
      <c r="CY65">
        <f>AD65</f>
        <v>55.96</v>
      </c>
      <c r="CZ65">
        <f>AH65</f>
        <v>8.5299999999999994</v>
      </c>
      <c r="DA65">
        <f>AL65</f>
        <v>6.56</v>
      </c>
      <c r="DB65">
        <f>ROUND((ROUND(AT65*CZ65,2)*1.15),2)</f>
        <v>1106.02</v>
      </c>
      <c r="DC65">
        <f>ROUND((ROUND(AT65*AG65,2)*1.15),2)</f>
        <v>0</v>
      </c>
    </row>
    <row r="66" spans="1:107" x14ac:dyDescent="0.2">
      <c r="A66">
        <f>ROW(Source!A91)</f>
        <v>91</v>
      </c>
      <c r="B66">
        <v>16748969</v>
      </c>
      <c r="C66">
        <v>16749954</v>
      </c>
      <c r="D66">
        <v>15430395</v>
      </c>
      <c r="E66">
        <v>1</v>
      </c>
      <c r="F66">
        <v>1</v>
      </c>
      <c r="G66">
        <v>1</v>
      </c>
      <c r="H66">
        <v>1</v>
      </c>
      <c r="I66" t="s">
        <v>1073</v>
      </c>
      <c r="J66" t="s">
        <v>6</v>
      </c>
      <c r="K66" t="s">
        <v>1074</v>
      </c>
      <c r="L66">
        <v>1191</v>
      </c>
      <c r="N66">
        <v>1013</v>
      </c>
      <c r="O66" t="s">
        <v>1072</v>
      </c>
      <c r="P66" t="s">
        <v>1072</v>
      </c>
      <c r="Q66">
        <v>1</v>
      </c>
      <c r="W66">
        <v>0</v>
      </c>
      <c r="X66">
        <v>-1417349443</v>
      </c>
      <c r="Y66">
        <v>0.27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1</v>
      </c>
      <c r="AJ66">
        <v>1</v>
      </c>
      <c r="AK66">
        <v>6.56</v>
      </c>
      <c r="AL66">
        <v>1</v>
      </c>
      <c r="AN66">
        <v>0</v>
      </c>
      <c r="AO66">
        <v>1</v>
      </c>
      <c r="AP66">
        <v>0</v>
      </c>
      <c r="AQ66">
        <v>0</v>
      </c>
      <c r="AR66">
        <v>0</v>
      </c>
      <c r="AS66" t="s">
        <v>6</v>
      </c>
      <c r="AT66">
        <v>0.27</v>
      </c>
      <c r="AU66" t="s">
        <v>6</v>
      </c>
      <c r="AV66">
        <v>2</v>
      </c>
      <c r="AW66">
        <v>2</v>
      </c>
      <c r="AX66">
        <v>16749963</v>
      </c>
      <c r="AY66">
        <v>1</v>
      </c>
      <c r="AZ66">
        <v>2048</v>
      </c>
      <c r="BA66">
        <v>69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CX66">
        <f>Y66*Source!I91</f>
        <v>7.1549999999999999E-3</v>
      </c>
      <c r="CY66">
        <f>AD66</f>
        <v>0</v>
      </c>
      <c r="CZ66">
        <f>AH66</f>
        <v>0</v>
      </c>
      <c r="DA66">
        <f>AL66</f>
        <v>1</v>
      </c>
      <c r="DB66">
        <f>ROUND(ROUND(AT66*CZ66,2),2)</f>
        <v>0</v>
      </c>
      <c r="DC66">
        <f>ROUND(ROUND(AT66*AG66,2),2)</f>
        <v>0</v>
      </c>
    </row>
    <row r="67" spans="1:107" x14ac:dyDescent="0.2">
      <c r="A67">
        <f>ROW(Source!A91)</f>
        <v>91</v>
      </c>
      <c r="B67">
        <v>16748969</v>
      </c>
      <c r="C67">
        <v>16749954</v>
      </c>
      <c r="D67">
        <v>15247578</v>
      </c>
      <c r="E67">
        <v>1</v>
      </c>
      <c r="F67">
        <v>1</v>
      </c>
      <c r="G67">
        <v>1</v>
      </c>
      <c r="H67">
        <v>2</v>
      </c>
      <c r="I67" t="s">
        <v>1143</v>
      </c>
      <c r="J67" t="s">
        <v>1144</v>
      </c>
      <c r="K67" t="s">
        <v>1145</v>
      </c>
      <c r="L67">
        <v>1368</v>
      </c>
      <c r="N67">
        <v>1011</v>
      </c>
      <c r="O67" t="s">
        <v>1078</v>
      </c>
      <c r="P67" t="s">
        <v>1078</v>
      </c>
      <c r="Q67">
        <v>1</v>
      </c>
      <c r="W67">
        <v>0</v>
      </c>
      <c r="X67">
        <v>-1460065968</v>
      </c>
      <c r="Y67">
        <v>0.25</v>
      </c>
      <c r="AA67">
        <v>0</v>
      </c>
      <c r="AB67">
        <v>566.78</v>
      </c>
      <c r="AC67">
        <v>13.5</v>
      </c>
      <c r="AD67">
        <v>0</v>
      </c>
      <c r="AE67">
        <v>0</v>
      </c>
      <c r="AF67">
        <v>86.4</v>
      </c>
      <c r="AG67">
        <v>13.5</v>
      </c>
      <c r="AH67">
        <v>0</v>
      </c>
      <c r="AI67">
        <v>1</v>
      </c>
      <c r="AJ67">
        <v>6.56</v>
      </c>
      <c r="AK67">
        <v>1</v>
      </c>
      <c r="AL67">
        <v>1</v>
      </c>
      <c r="AN67">
        <v>0</v>
      </c>
      <c r="AO67">
        <v>1</v>
      </c>
      <c r="AP67">
        <v>1</v>
      </c>
      <c r="AQ67">
        <v>0</v>
      </c>
      <c r="AR67">
        <v>0</v>
      </c>
      <c r="AS67" t="s">
        <v>6</v>
      </c>
      <c r="AT67">
        <v>0.2</v>
      </c>
      <c r="AU67" t="s">
        <v>172</v>
      </c>
      <c r="AV67">
        <v>0</v>
      </c>
      <c r="AW67">
        <v>2</v>
      </c>
      <c r="AX67">
        <v>16749964</v>
      </c>
      <c r="AY67">
        <v>1</v>
      </c>
      <c r="AZ67">
        <v>0</v>
      </c>
      <c r="BA67">
        <v>70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CX67">
        <f>Y67*Source!I91</f>
        <v>6.6249999999999998E-3</v>
      </c>
      <c r="CY67">
        <f>AB67</f>
        <v>566.78</v>
      </c>
      <c r="CZ67">
        <f>AF67</f>
        <v>86.4</v>
      </c>
      <c r="DA67">
        <f>AJ67</f>
        <v>6.56</v>
      </c>
      <c r="DB67">
        <f>ROUND((ROUND(AT67*CZ67,2)*1.25),2)</f>
        <v>21.6</v>
      </c>
      <c r="DC67">
        <f>ROUND((ROUND(AT67*AG67,2)*1.25),2)</f>
        <v>3.38</v>
      </c>
    </row>
    <row r="68" spans="1:107" x14ac:dyDescent="0.2">
      <c r="A68">
        <f>ROW(Source!A91)</f>
        <v>91</v>
      </c>
      <c r="B68">
        <v>16748969</v>
      </c>
      <c r="C68">
        <v>16749954</v>
      </c>
      <c r="D68">
        <v>15249073</v>
      </c>
      <c r="E68">
        <v>1</v>
      </c>
      <c r="F68">
        <v>1</v>
      </c>
      <c r="G68">
        <v>1</v>
      </c>
      <c r="H68">
        <v>2</v>
      </c>
      <c r="I68" t="s">
        <v>1097</v>
      </c>
      <c r="J68" t="s">
        <v>1098</v>
      </c>
      <c r="K68" t="s">
        <v>1099</v>
      </c>
      <c r="L68">
        <v>1368</v>
      </c>
      <c r="N68">
        <v>1011</v>
      </c>
      <c r="O68" t="s">
        <v>1078</v>
      </c>
      <c r="P68" t="s">
        <v>1078</v>
      </c>
      <c r="Q68">
        <v>1</v>
      </c>
      <c r="W68">
        <v>0</v>
      </c>
      <c r="X68">
        <v>1372534845</v>
      </c>
      <c r="Y68">
        <v>8.7500000000000008E-2</v>
      </c>
      <c r="AA68">
        <v>0</v>
      </c>
      <c r="AB68">
        <v>431.06</v>
      </c>
      <c r="AC68">
        <v>11.6</v>
      </c>
      <c r="AD68">
        <v>0</v>
      </c>
      <c r="AE68">
        <v>0</v>
      </c>
      <c r="AF68">
        <v>65.709999999999994</v>
      </c>
      <c r="AG68">
        <v>11.6</v>
      </c>
      <c r="AH68">
        <v>0</v>
      </c>
      <c r="AI68">
        <v>1</v>
      </c>
      <c r="AJ68">
        <v>6.56</v>
      </c>
      <c r="AK68">
        <v>1</v>
      </c>
      <c r="AL68">
        <v>1</v>
      </c>
      <c r="AN68">
        <v>0</v>
      </c>
      <c r="AO68">
        <v>1</v>
      </c>
      <c r="AP68">
        <v>1</v>
      </c>
      <c r="AQ68">
        <v>0</v>
      </c>
      <c r="AR68">
        <v>0</v>
      </c>
      <c r="AS68" t="s">
        <v>6</v>
      </c>
      <c r="AT68">
        <v>7.0000000000000007E-2</v>
      </c>
      <c r="AU68" t="s">
        <v>172</v>
      </c>
      <c r="AV68">
        <v>0</v>
      </c>
      <c r="AW68">
        <v>2</v>
      </c>
      <c r="AX68">
        <v>16749965</v>
      </c>
      <c r="AY68">
        <v>1</v>
      </c>
      <c r="AZ68">
        <v>0</v>
      </c>
      <c r="BA68">
        <v>71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CX68">
        <f>Y68*Source!I91</f>
        <v>2.3187500000000001E-3</v>
      </c>
      <c r="CY68">
        <f>AB68</f>
        <v>431.06</v>
      </c>
      <c r="CZ68">
        <f>AF68</f>
        <v>65.709999999999994</v>
      </c>
      <c r="DA68">
        <f>AJ68</f>
        <v>6.56</v>
      </c>
      <c r="DB68">
        <f>ROUND((ROUND(AT68*CZ68,2)*1.25),2)</f>
        <v>5.75</v>
      </c>
      <c r="DC68">
        <f>ROUND((ROUND(AT68*AG68,2)*1.25),2)</f>
        <v>1.01</v>
      </c>
    </row>
    <row r="69" spans="1:107" x14ac:dyDescent="0.2">
      <c r="A69">
        <f>ROW(Source!A91)</f>
        <v>91</v>
      </c>
      <c r="B69">
        <v>16748969</v>
      </c>
      <c r="C69">
        <v>16749954</v>
      </c>
      <c r="D69">
        <v>15170059</v>
      </c>
      <c r="E69">
        <v>1</v>
      </c>
      <c r="F69">
        <v>1</v>
      </c>
      <c r="G69">
        <v>1</v>
      </c>
      <c r="H69">
        <v>3</v>
      </c>
      <c r="I69" t="s">
        <v>1146</v>
      </c>
      <c r="J69" t="s">
        <v>1147</v>
      </c>
      <c r="K69" t="s">
        <v>1148</v>
      </c>
      <c r="L69">
        <v>1348</v>
      </c>
      <c r="N69">
        <v>1009</v>
      </c>
      <c r="O69" t="s">
        <v>71</v>
      </c>
      <c r="P69" t="s">
        <v>71</v>
      </c>
      <c r="Q69">
        <v>1000</v>
      </c>
      <c r="W69">
        <v>0</v>
      </c>
      <c r="X69">
        <v>-1818623805</v>
      </c>
      <c r="Y69">
        <v>4.0000000000000001E-3</v>
      </c>
      <c r="AA69">
        <v>55596</v>
      </c>
      <c r="AB69">
        <v>0</v>
      </c>
      <c r="AC69">
        <v>0</v>
      </c>
      <c r="AD69">
        <v>0</v>
      </c>
      <c r="AE69">
        <v>8475</v>
      </c>
      <c r="AF69">
        <v>0</v>
      </c>
      <c r="AG69">
        <v>0</v>
      </c>
      <c r="AH69">
        <v>0</v>
      </c>
      <c r="AI69">
        <v>6.56</v>
      </c>
      <c r="AJ69">
        <v>1</v>
      </c>
      <c r="AK69">
        <v>1</v>
      </c>
      <c r="AL69">
        <v>1</v>
      </c>
      <c r="AN69">
        <v>0</v>
      </c>
      <c r="AO69">
        <v>1</v>
      </c>
      <c r="AP69">
        <v>0</v>
      </c>
      <c r="AQ69">
        <v>0</v>
      </c>
      <c r="AR69">
        <v>0</v>
      </c>
      <c r="AS69" t="s">
        <v>6</v>
      </c>
      <c r="AT69">
        <v>4.0000000000000001E-3</v>
      </c>
      <c r="AU69" t="s">
        <v>6</v>
      </c>
      <c r="AV69">
        <v>0</v>
      </c>
      <c r="AW69">
        <v>2</v>
      </c>
      <c r="AX69">
        <v>16749966</v>
      </c>
      <c r="AY69">
        <v>1</v>
      </c>
      <c r="AZ69">
        <v>0</v>
      </c>
      <c r="BA69">
        <v>72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CX69">
        <f>Y69*Source!I91</f>
        <v>1.06E-4</v>
      </c>
      <c r="CY69">
        <f>AA69</f>
        <v>55596</v>
      </c>
      <c r="CZ69">
        <f>AE69</f>
        <v>8475</v>
      </c>
      <c r="DA69">
        <f>AI69</f>
        <v>6.56</v>
      </c>
      <c r="DB69">
        <f>ROUND(ROUND(AT69*CZ69,2),2)</f>
        <v>33.9</v>
      </c>
      <c r="DC69">
        <f>ROUND(ROUND(AT69*AG69,2),2)</f>
        <v>0</v>
      </c>
    </row>
    <row r="70" spans="1:107" x14ac:dyDescent="0.2">
      <c r="A70">
        <f>ROW(Source!A91)</f>
        <v>91</v>
      </c>
      <c r="B70">
        <v>16748969</v>
      </c>
      <c r="C70">
        <v>16749954</v>
      </c>
      <c r="D70">
        <v>15191140</v>
      </c>
      <c r="E70">
        <v>1</v>
      </c>
      <c r="F70">
        <v>1</v>
      </c>
      <c r="G70">
        <v>1</v>
      </c>
      <c r="H70">
        <v>3</v>
      </c>
      <c r="I70" t="s">
        <v>1149</v>
      </c>
      <c r="J70" t="s">
        <v>1150</v>
      </c>
      <c r="K70" t="s">
        <v>1151</v>
      </c>
      <c r="L70">
        <v>1348</v>
      </c>
      <c r="N70">
        <v>1009</v>
      </c>
      <c r="O70" t="s">
        <v>71</v>
      </c>
      <c r="P70" t="s">
        <v>71</v>
      </c>
      <c r="Q70">
        <v>1000</v>
      </c>
      <c r="W70">
        <v>0</v>
      </c>
      <c r="X70">
        <v>-177380457</v>
      </c>
      <c r="Y70">
        <v>1.2E-2</v>
      </c>
      <c r="AA70">
        <v>53726.400000000001</v>
      </c>
      <c r="AB70">
        <v>0</v>
      </c>
      <c r="AC70">
        <v>0</v>
      </c>
      <c r="AD70">
        <v>0</v>
      </c>
      <c r="AE70">
        <v>8190</v>
      </c>
      <c r="AF70">
        <v>0</v>
      </c>
      <c r="AG70">
        <v>0</v>
      </c>
      <c r="AH70">
        <v>0</v>
      </c>
      <c r="AI70">
        <v>6.56</v>
      </c>
      <c r="AJ70">
        <v>1</v>
      </c>
      <c r="AK70">
        <v>1</v>
      </c>
      <c r="AL70">
        <v>1</v>
      </c>
      <c r="AN70">
        <v>0</v>
      </c>
      <c r="AO70">
        <v>1</v>
      </c>
      <c r="AP70">
        <v>0</v>
      </c>
      <c r="AQ70">
        <v>0</v>
      </c>
      <c r="AR70">
        <v>0</v>
      </c>
      <c r="AS70" t="s">
        <v>6</v>
      </c>
      <c r="AT70">
        <v>1.2E-2</v>
      </c>
      <c r="AU70" t="s">
        <v>6</v>
      </c>
      <c r="AV70">
        <v>0</v>
      </c>
      <c r="AW70">
        <v>2</v>
      </c>
      <c r="AX70">
        <v>16749967</v>
      </c>
      <c r="AY70">
        <v>1</v>
      </c>
      <c r="AZ70">
        <v>0</v>
      </c>
      <c r="BA70">
        <v>73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CX70">
        <f>Y70*Source!I91</f>
        <v>3.1799999999999998E-4</v>
      </c>
      <c r="CY70">
        <f>AA70</f>
        <v>53726.400000000001</v>
      </c>
      <c r="CZ70">
        <f>AE70</f>
        <v>8190</v>
      </c>
      <c r="DA70">
        <f>AI70</f>
        <v>6.56</v>
      </c>
      <c r="DB70">
        <f>ROUND(ROUND(AT70*CZ70,2),2)</f>
        <v>98.28</v>
      </c>
      <c r="DC70">
        <f>ROUND(ROUND(AT70*AG70,2),2)</f>
        <v>0</v>
      </c>
    </row>
    <row r="71" spans="1:107" x14ac:dyDescent="0.2">
      <c r="A71">
        <f>ROW(Source!A91)</f>
        <v>91</v>
      </c>
      <c r="B71">
        <v>16748969</v>
      </c>
      <c r="C71">
        <v>16749954</v>
      </c>
      <c r="D71">
        <v>15191387</v>
      </c>
      <c r="E71">
        <v>1</v>
      </c>
      <c r="F71">
        <v>1</v>
      </c>
      <c r="G71">
        <v>1</v>
      </c>
      <c r="H71">
        <v>3</v>
      </c>
      <c r="I71" t="s">
        <v>1152</v>
      </c>
      <c r="J71" t="s">
        <v>1153</v>
      </c>
      <c r="K71" t="s">
        <v>1154</v>
      </c>
      <c r="L71">
        <v>1348</v>
      </c>
      <c r="N71">
        <v>1009</v>
      </c>
      <c r="O71" t="s">
        <v>71</v>
      </c>
      <c r="P71" t="s">
        <v>71</v>
      </c>
      <c r="Q71">
        <v>1000</v>
      </c>
      <c r="W71">
        <v>0</v>
      </c>
      <c r="X71">
        <v>-272931147</v>
      </c>
      <c r="Y71">
        <v>0.78200000000000003</v>
      </c>
      <c r="AA71">
        <v>73472</v>
      </c>
      <c r="AB71">
        <v>0</v>
      </c>
      <c r="AC71">
        <v>0</v>
      </c>
      <c r="AD71">
        <v>0</v>
      </c>
      <c r="AE71">
        <v>11200</v>
      </c>
      <c r="AF71">
        <v>0</v>
      </c>
      <c r="AG71">
        <v>0</v>
      </c>
      <c r="AH71">
        <v>0</v>
      </c>
      <c r="AI71">
        <v>6.56</v>
      </c>
      <c r="AJ71">
        <v>1</v>
      </c>
      <c r="AK71">
        <v>1</v>
      </c>
      <c r="AL71">
        <v>1</v>
      </c>
      <c r="AN71">
        <v>0</v>
      </c>
      <c r="AO71">
        <v>1</v>
      </c>
      <c r="AP71">
        <v>0</v>
      </c>
      <c r="AQ71">
        <v>0</v>
      </c>
      <c r="AR71">
        <v>0</v>
      </c>
      <c r="AS71" t="s">
        <v>6</v>
      </c>
      <c r="AT71">
        <v>0.78200000000000003</v>
      </c>
      <c r="AU71" t="s">
        <v>6</v>
      </c>
      <c r="AV71">
        <v>0</v>
      </c>
      <c r="AW71">
        <v>2</v>
      </c>
      <c r="AX71">
        <v>16749968</v>
      </c>
      <c r="AY71">
        <v>1</v>
      </c>
      <c r="AZ71">
        <v>0</v>
      </c>
      <c r="BA71">
        <v>74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CX71">
        <f>Y71*Source!I91</f>
        <v>2.0723000000000002E-2</v>
      </c>
      <c r="CY71">
        <f>AA71</f>
        <v>73472</v>
      </c>
      <c r="CZ71">
        <f>AE71</f>
        <v>11200</v>
      </c>
      <c r="DA71">
        <f>AI71</f>
        <v>6.56</v>
      </c>
      <c r="DB71">
        <f>ROUND(ROUND(AT71*CZ71,2),2)</f>
        <v>8758.4</v>
      </c>
      <c r="DC71">
        <f>ROUND(ROUND(AT71*AG71,2),2)</f>
        <v>0</v>
      </c>
    </row>
    <row r="72" spans="1:107" x14ac:dyDescent="0.2">
      <c r="A72">
        <f>ROW(Source!A92)</f>
        <v>92</v>
      </c>
      <c r="B72">
        <v>16748969</v>
      </c>
      <c r="C72">
        <v>16749969</v>
      </c>
      <c r="D72">
        <v>15430767</v>
      </c>
      <c r="E72">
        <v>1</v>
      </c>
      <c r="F72">
        <v>1</v>
      </c>
      <c r="G72">
        <v>1</v>
      </c>
      <c r="H72">
        <v>1</v>
      </c>
      <c r="I72" t="s">
        <v>1070</v>
      </c>
      <c r="J72" t="s">
        <v>6</v>
      </c>
      <c r="K72" t="s">
        <v>1071</v>
      </c>
      <c r="L72">
        <v>1191</v>
      </c>
      <c r="N72">
        <v>1013</v>
      </c>
      <c r="O72" t="s">
        <v>1072</v>
      </c>
      <c r="P72" t="s">
        <v>1072</v>
      </c>
      <c r="Q72">
        <v>1</v>
      </c>
      <c r="W72">
        <v>0</v>
      </c>
      <c r="X72">
        <v>-400197608</v>
      </c>
      <c r="Y72">
        <v>24.368500000000001</v>
      </c>
      <c r="AA72">
        <v>0</v>
      </c>
      <c r="AB72">
        <v>0</v>
      </c>
      <c r="AC72">
        <v>0</v>
      </c>
      <c r="AD72">
        <v>55.96</v>
      </c>
      <c r="AE72">
        <v>0</v>
      </c>
      <c r="AF72">
        <v>0</v>
      </c>
      <c r="AG72">
        <v>0</v>
      </c>
      <c r="AH72">
        <v>8.5299999999999994</v>
      </c>
      <c r="AI72">
        <v>1</v>
      </c>
      <c r="AJ72">
        <v>1</v>
      </c>
      <c r="AK72">
        <v>1</v>
      </c>
      <c r="AL72">
        <v>6.56</v>
      </c>
      <c r="AN72">
        <v>0</v>
      </c>
      <c r="AO72">
        <v>1</v>
      </c>
      <c r="AP72">
        <v>1</v>
      </c>
      <c r="AQ72">
        <v>0</v>
      </c>
      <c r="AR72">
        <v>0</v>
      </c>
      <c r="AS72" t="s">
        <v>6</v>
      </c>
      <c r="AT72">
        <v>21.19</v>
      </c>
      <c r="AU72" t="s">
        <v>173</v>
      </c>
      <c r="AV72">
        <v>1</v>
      </c>
      <c r="AW72">
        <v>2</v>
      </c>
      <c r="AX72">
        <v>16749978</v>
      </c>
      <c r="AY72">
        <v>1</v>
      </c>
      <c r="AZ72">
        <v>0</v>
      </c>
      <c r="BA72">
        <v>75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CX72">
        <f>Y72*Source!I92</f>
        <v>1.2915304999999999</v>
      </c>
      <c r="CY72">
        <f>AD72</f>
        <v>55.96</v>
      </c>
      <c r="CZ72">
        <f>AH72</f>
        <v>8.5299999999999994</v>
      </c>
      <c r="DA72">
        <f>AL72</f>
        <v>6.56</v>
      </c>
      <c r="DB72">
        <f>ROUND((ROUND(AT72*CZ72,2)*1.15),2)</f>
        <v>207.86</v>
      </c>
      <c r="DC72">
        <f>ROUND((ROUND(AT72*AG72,2)*1.15),2)</f>
        <v>0</v>
      </c>
    </row>
    <row r="73" spans="1:107" x14ac:dyDescent="0.2">
      <c r="A73">
        <f>ROW(Source!A92)</f>
        <v>92</v>
      </c>
      <c r="B73">
        <v>16748969</v>
      </c>
      <c r="C73">
        <v>16749969</v>
      </c>
      <c r="D73">
        <v>15430395</v>
      </c>
      <c r="E73">
        <v>1</v>
      </c>
      <c r="F73">
        <v>1</v>
      </c>
      <c r="G73">
        <v>1</v>
      </c>
      <c r="H73">
        <v>1</v>
      </c>
      <c r="I73" t="s">
        <v>1073</v>
      </c>
      <c r="J73" t="s">
        <v>6</v>
      </c>
      <c r="K73" t="s">
        <v>1074</v>
      </c>
      <c r="L73">
        <v>1191</v>
      </c>
      <c r="N73">
        <v>1013</v>
      </c>
      <c r="O73" t="s">
        <v>1072</v>
      </c>
      <c r="P73" t="s">
        <v>1072</v>
      </c>
      <c r="Q73">
        <v>1</v>
      </c>
      <c r="W73">
        <v>0</v>
      </c>
      <c r="X73">
        <v>-1417349443</v>
      </c>
      <c r="Y73">
        <v>0.19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1</v>
      </c>
      <c r="AJ73">
        <v>1</v>
      </c>
      <c r="AK73">
        <v>6.56</v>
      </c>
      <c r="AL73">
        <v>1</v>
      </c>
      <c r="AN73">
        <v>0</v>
      </c>
      <c r="AO73">
        <v>1</v>
      </c>
      <c r="AP73">
        <v>0</v>
      </c>
      <c r="AQ73">
        <v>0</v>
      </c>
      <c r="AR73">
        <v>0</v>
      </c>
      <c r="AS73" t="s">
        <v>6</v>
      </c>
      <c r="AT73">
        <v>0.19</v>
      </c>
      <c r="AU73" t="s">
        <v>6</v>
      </c>
      <c r="AV73">
        <v>2</v>
      </c>
      <c r="AW73">
        <v>2</v>
      </c>
      <c r="AX73">
        <v>16749979</v>
      </c>
      <c r="AY73">
        <v>1</v>
      </c>
      <c r="AZ73">
        <v>2048</v>
      </c>
      <c r="BA73">
        <v>76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CX73">
        <f>Y73*Source!I92</f>
        <v>1.0069999999999999E-2</v>
      </c>
      <c r="CY73">
        <f>AD73</f>
        <v>0</v>
      </c>
      <c r="CZ73">
        <f>AH73</f>
        <v>0</v>
      </c>
      <c r="DA73">
        <f>AL73</f>
        <v>1</v>
      </c>
      <c r="DB73">
        <f>ROUND(ROUND(AT73*CZ73,2),2)</f>
        <v>0</v>
      </c>
      <c r="DC73">
        <f>ROUND(ROUND(AT73*AG73,2),2)</f>
        <v>0</v>
      </c>
    </row>
    <row r="74" spans="1:107" x14ac:dyDescent="0.2">
      <c r="A74">
        <f>ROW(Source!A92)</f>
        <v>92</v>
      </c>
      <c r="B74">
        <v>16748969</v>
      </c>
      <c r="C74">
        <v>16749969</v>
      </c>
      <c r="D74">
        <v>15247974</v>
      </c>
      <c r="E74">
        <v>1</v>
      </c>
      <c r="F74">
        <v>1</v>
      </c>
      <c r="G74">
        <v>1</v>
      </c>
      <c r="H74">
        <v>2</v>
      </c>
      <c r="I74" t="s">
        <v>1075</v>
      </c>
      <c r="J74" t="s">
        <v>1076</v>
      </c>
      <c r="K74" t="s">
        <v>1077</v>
      </c>
      <c r="L74">
        <v>1368</v>
      </c>
      <c r="N74">
        <v>1011</v>
      </c>
      <c r="O74" t="s">
        <v>1078</v>
      </c>
      <c r="P74" t="s">
        <v>1078</v>
      </c>
      <c r="Q74">
        <v>1</v>
      </c>
      <c r="W74">
        <v>0</v>
      </c>
      <c r="X74">
        <v>1188625873</v>
      </c>
      <c r="Y74">
        <v>0.05</v>
      </c>
      <c r="AA74">
        <v>0</v>
      </c>
      <c r="AB74">
        <v>205.07</v>
      </c>
      <c r="AC74">
        <v>13.5</v>
      </c>
      <c r="AD74">
        <v>0</v>
      </c>
      <c r="AE74">
        <v>0</v>
      </c>
      <c r="AF74">
        <v>31.26</v>
      </c>
      <c r="AG74">
        <v>13.5</v>
      </c>
      <c r="AH74">
        <v>0</v>
      </c>
      <c r="AI74">
        <v>1</v>
      </c>
      <c r="AJ74">
        <v>6.56</v>
      </c>
      <c r="AK74">
        <v>1</v>
      </c>
      <c r="AL74">
        <v>1</v>
      </c>
      <c r="AN74">
        <v>0</v>
      </c>
      <c r="AO74">
        <v>1</v>
      </c>
      <c r="AP74">
        <v>1</v>
      </c>
      <c r="AQ74">
        <v>0</v>
      </c>
      <c r="AR74">
        <v>0</v>
      </c>
      <c r="AS74" t="s">
        <v>6</v>
      </c>
      <c r="AT74">
        <v>0.04</v>
      </c>
      <c r="AU74" t="s">
        <v>172</v>
      </c>
      <c r="AV74">
        <v>0</v>
      </c>
      <c r="AW74">
        <v>2</v>
      </c>
      <c r="AX74">
        <v>16749980</v>
      </c>
      <c r="AY74">
        <v>1</v>
      </c>
      <c r="AZ74">
        <v>0</v>
      </c>
      <c r="BA74">
        <v>77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CX74">
        <f>Y74*Source!I92</f>
        <v>2.65E-3</v>
      </c>
      <c r="CY74">
        <f>AB74</f>
        <v>205.07</v>
      </c>
      <c r="CZ74">
        <f>AF74</f>
        <v>31.26</v>
      </c>
      <c r="DA74">
        <f>AJ74</f>
        <v>6.56</v>
      </c>
      <c r="DB74">
        <f>ROUND((ROUND(AT74*CZ74,2)*1.25),2)</f>
        <v>1.56</v>
      </c>
      <c r="DC74">
        <f>ROUND((ROUND(AT74*AG74,2)*1.25),2)</f>
        <v>0.68</v>
      </c>
    </row>
    <row r="75" spans="1:107" x14ac:dyDescent="0.2">
      <c r="A75">
        <f>ROW(Source!A92)</f>
        <v>92</v>
      </c>
      <c r="B75">
        <v>16748969</v>
      </c>
      <c r="C75">
        <v>16749969</v>
      </c>
      <c r="D75">
        <v>15249073</v>
      </c>
      <c r="E75">
        <v>1</v>
      </c>
      <c r="F75">
        <v>1</v>
      </c>
      <c r="G75">
        <v>1</v>
      </c>
      <c r="H75">
        <v>2</v>
      </c>
      <c r="I75" t="s">
        <v>1097</v>
      </c>
      <c r="J75" t="s">
        <v>1098</v>
      </c>
      <c r="K75" t="s">
        <v>1099</v>
      </c>
      <c r="L75">
        <v>1368</v>
      </c>
      <c r="N75">
        <v>1011</v>
      </c>
      <c r="O75" t="s">
        <v>1078</v>
      </c>
      <c r="P75" t="s">
        <v>1078</v>
      </c>
      <c r="Q75">
        <v>1</v>
      </c>
      <c r="W75">
        <v>0</v>
      </c>
      <c r="X75">
        <v>1372534845</v>
      </c>
      <c r="Y75">
        <v>0.1875</v>
      </c>
      <c r="AA75">
        <v>0</v>
      </c>
      <c r="AB75">
        <v>431.06</v>
      </c>
      <c r="AC75">
        <v>11.6</v>
      </c>
      <c r="AD75">
        <v>0</v>
      </c>
      <c r="AE75">
        <v>0</v>
      </c>
      <c r="AF75">
        <v>65.709999999999994</v>
      </c>
      <c r="AG75">
        <v>11.6</v>
      </c>
      <c r="AH75">
        <v>0</v>
      </c>
      <c r="AI75">
        <v>1</v>
      </c>
      <c r="AJ75">
        <v>6.56</v>
      </c>
      <c r="AK75">
        <v>1</v>
      </c>
      <c r="AL75">
        <v>1</v>
      </c>
      <c r="AN75">
        <v>0</v>
      </c>
      <c r="AO75">
        <v>1</v>
      </c>
      <c r="AP75">
        <v>1</v>
      </c>
      <c r="AQ75">
        <v>0</v>
      </c>
      <c r="AR75">
        <v>0</v>
      </c>
      <c r="AS75" t="s">
        <v>6</v>
      </c>
      <c r="AT75">
        <v>0.15</v>
      </c>
      <c r="AU75" t="s">
        <v>172</v>
      </c>
      <c r="AV75">
        <v>0</v>
      </c>
      <c r="AW75">
        <v>2</v>
      </c>
      <c r="AX75">
        <v>16749981</v>
      </c>
      <c r="AY75">
        <v>1</v>
      </c>
      <c r="AZ75">
        <v>0</v>
      </c>
      <c r="BA75">
        <v>78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CX75">
        <f>Y75*Source!I92</f>
        <v>9.9375000000000002E-3</v>
      </c>
      <c r="CY75">
        <f>AB75</f>
        <v>431.06</v>
      </c>
      <c r="CZ75">
        <f>AF75</f>
        <v>65.709999999999994</v>
      </c>
      <c r="DA75">
        <f>AJ75</f>
        <v>6.56</v>
      </c>
      <c r="DB75">
        <f>ROUND((ROUND(AT75*CZ75,2)*1.25),2)</f>
        <v>12.33</v>
      </c>
      <c r="DC75">
        <f>ROUND((ROUND(AT75*AG75,2)*1.25),2)</f>
        <v>2.1800000000000002</v>
      </c>
    </row>
    <row r="76" spans="1:107" x14ac:dyDescent="0.2">
      <c r="A76">
        <f>ROW(Source!A92)</f>
        <v>92</v>
      </c>
      <c r="B76">
        <v>16748969</v>
      </c>
      <c r="C76">
        <v>16749969</v>
      </c>
      <c r="D76">
        <v>15197630</v>
      </c>
      <c r="E76">
        <v>1</v>
      </c>
      <c r="F76">
        <v>1</v>
      </c>
      <c r="G76">
        <v>1</v>
      </c>
      <c r="H76">
        <v>3</v>
      </c>
      <c r="I76" t="s">
        <v>204</v>
      </c>
      <c r="J76" t="s">
        <v>207</v>
      </c>
      <c r="K76" t="s">
        <v>205</v>
      </c>
      <c r="L76">
        <v>1301</v>
      </c>
      <c r="N76">
        <v>1003</v>
      </c>
      <c r="O76" t="s">
        <v>206</v>
      </c>
      <c r="P76" t="s">
        <v>206</v>
      </c>
      <c r="Q76">
        <v>1</v>
      </c>
      <c r="W76">
        <v>0</v>
      </c>
      <c r="X76">
        <v>1369221803</v>
      </c>
      <c r="Y76">
        <v>100</v>
      </c>
      <c r="AA76">
        <v>422.14</v>
      </c>
      <c r="AB76">
        <v>0</v>
      </c>
      <c r="AC76">
        <v>0</v>
      </c>
      <c r="AD76">
        <v>0</v>
      </c>
      <c r="AE76">
        <v>64.349999999999994</v>
      </c>
      <c r="AF76">
        <v>0</v>
      </c>
      <c r="AG76">
        <v>0</v>
      </c>
      <c r="AH76">
        <v>0</v>
      </c>
      <c r="AI76">
        <v>6.56</v>
      </c>
      <c r="AJ76">
        <v>1</v>
      </c>
      <c r="AK76">
        <v>1</v>
      </c>
      <c r="AL76">
        <v>1</v>
      </c>
      <c r="AN76">
        <v>0</v>
      </c>
      <c r="AO76">
        <v>0</v>
      </c>
      <c r="AP76">
        <v>0</v>
      </c>
      <c r="AQ76">
        <v>0</v>
      </c>
      <c r="AR76">
        <v>0</v>
      </c>
      <c r="AS76" t="s">
        <v>6</v>
      </c>
      <c r="AT76">
        <v>100</v>
      </c>
      <c r="AU76" t="s">
        <v>6</v>
      </c>
      <c r="AV76">
        <v>0</v>
      </c>
      <c r="AW76">
        <v>1</v>
      </c>
      <c r="AX76">
        <v>-1</v>
      </c>
      <c r="AY76">
        <v>0</v>
      </c>
      <c r="AZ76">
        <v>0</v>
      </c>
      <c r="BA76" t="s">
        <v>6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CX76">
        <f>Y76*Source!I92</f>
        <v>5.3</v>
      </c>
      <c r="CY76">
        <f>AA76</f>
        <v>422.14</v>
      </c>
      <c r="CZ76">
        <f>AE76</f>
        <v>64.349999999999994</v>
      </c>
      <c r="DA76">
        <f>AI76</f>
        <v>6.56</v>
      </c>
      <c r="DB76">
        <f>ROUND(ROUND(AT76*CZ76,2),2)</f>
        <v>6435</v>
      </c>
      <c r="DC76">
        <f>ROUND(ROUND(AT76*AG76,2),2)</f>
        <v>0</v>
      </c>
    </row>
    <row r="77" spans="1:107" x14ac:dyDescent="0.2">
      <c r="A77">
        <f>ROW(Source!A92)</f>
        <v>92</v>
      </c>
      <c r="B77">
        <v>16748969</v>
      </c>
      <c r="C77">
        <v>16749969</v>
      </c>
      <c r="D77">
        <v>15197780</v>
      </c>
      <c r="E77">
        <v>1</v>
      </c>
      <c r="F77">
        <v>1</v>
      </c>
      <c r="G77">
        <v>1</v>
      </c>
      <c r="H77">
        <v>3</v>
      </c>
      <c r="I77" t="s">
        <v>1137</v>
      </c>
      <c r="J77" t="s">
        <v>1138</v>
      </c>
      <c r="K77" t="s">
        <v>1139</v>
      </c>
      <c r="L77">
        <v>1355</v>
      </c>
      <c r="N77">
        <v>1010</v>
      </c>
      <c r="O77" t="s">
        <v>724</v>
      </c>
      <c r="P77" t="s">
        <v>724</v>
      </c>
      <c r="Q77">
        <v>100</v>
      </c>
      <c r="W77">
        <v>0</v>
      </c>
      <c r="X77">
        <v>1709713925</v>
      </c>
      <c r="Y77">
        <v>4</v>
      </c>
      <c r="AA77">
        <v>328</v>
      </c>
      <c r="AB77">
        <v>0</v>
      </c>
      <c r="AC77">
        <v>0</v>
      </c>
      <c r="AD77">
        <v>0</v>
      </c>
      <c r="AE77">
        <v>50</v>
      </c>
      <c r="AF77">
        <v>0</v>
      </c>
      <c r="AG77">
        <v>0</v>
      </c>
      <c r="AH77">
        <v>0</v>
      </c>
      <c r="AI77">
        <v>6.56</v>
      </c>
      <c r="AJ77">
        <v>1</v>
      </c>
      <c r="AK77">
        <v>1</v>
      </c>
      <c r="AL77">
        <v>1</v>
      </c>
      <c r="AN77">
        <v>0</v>
      </c>
      <c r="AO77">
        <v>1</v>
      </c>
      <c r="AP77">
        <v>0</v>
      </c>
      <c r="AQ77">
        <v>0</v>
      </c>
      <c r="AR77">
        <v>0</v>
      </c>
      <c r="AS77" t="s">
        <v>6</v>
      </c>
      <c r="AT77">
        <v>4</v>
      </c>
      <c r="AU77" t="s">
        <v>6</v>
      </c>
      <c r="AV77">
        <v>0</v>
      </c>
      <c r="AW77">
        <v>2</v>
      </c>
      <c r="AX77">
        <v>16749983</v>
      </c>
      <c r="AY77">
        <v>1</v>
      </c>
      <c r="AZ77">
        <v>0</v>
      </c>
      <c r="BA77">
        <v>80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CX77">
        <f>Y77*Source!I92</f>
        <v>0.21199999999999999</v>
      </c>
      <c r="CY77">
        <f>AA77</f>
        <v>328</v>
      </c>
      <c r="CZ77">
        <f>AE77</f>
        <v>50</v>
      </c>
      <c r="DA77">
        <f>AI77</f>
        <v>6.56</v>
      </c>
      <c r="DB77">
        <f>ROUND(ROUND(AT77*CZ77,2),2)</f>
        <v>200</v>
      </c>
      <c r="DC77">
        <f>ROUND(ROUND(AT77*AG77,2),2)</f>
        <v>0</v>
      </c>
    </row>
    <row r="78" spans="1:107" x14ac:dyDescent="0.2">
      <c r="A78">
        <f>ROW(Source!A92)</f>
        <v>92</v>
      </c>
      <c r="B78">
        <v>16748969</v>
      </c>
      <c r="C78">
        <v>16749969</v>
      </c>
      <c r="D78">
        <v>15204239</v>
      </c>
      <c r="E78">
        <v>1</v>
      </c>
      <c r="F78">
        <v>1</v>
      </c>
      <c r="G78">
        <v>1</v>
      </c>
      <c r="H78">
        <v>3</v>
      </c>
      <c r="I78" t="s">
        <v>1140</v>
      </c>
      <c r="J78" t="s">
        <v>1141</v>
      </c>
      <c r="K78" t="s">
        <v>1142</v>
      </c>
      <c r="L78">
        <v>1354</v>
      </c>
      <c r="N78">
        <v>1010</v>
      </c>
      <c r="O78" t="s">
        <v>53</v>
      </c>
      <c r="P78" t="s">
        <v>53</v>
      </c>
      <c r="Q78">
        <v>1</v>
      </c>
      <c r="W78">
        <v>0</v>
      </c>
      <c r="X78">
        <v>-1018551266</v>
      </c>
      <c r="Y78">
        <v>56.6</v>
      </c>
      <c r="AA78">
        <v>439.52</v>
      </c>
      <c r="AB78">
        <v>0</v>
      </c>
      <c r="AC78">
        <v>0</v>
      </c>
      <c r="AD78">
        <v>0</v>
      </c>
      <c r="AE78">
        <v>67</v>
      </c>
      <c r="AF78">
        <v>0</v>
      </c>
      <c r="AG78">
        <v>0</v>
      </c>
      <c r="AH78">
        <v>0</v>
      </c>
      <c r="AI78">
        <v>6.56</v>
      </c>
      <c r="AJ78">
        <v>1</v>
      </c>
      <c r="AK78">
        <v>1</v>
      </c>
      <c r="AL78">
        <v>1</v>
      </c>
      <c r="AN78">
        <v>0</v>
      </c>
      <c r="AO78">
        <v>1</v>
      </c>
      <c r="AP78">
        <v>0</v>
      </c>
      <c r="AQ78">
        <v>0</v>
      </c>
      <c r="AR78">
        <v>0</v>
      </c>
      <c r="AS78" t="s">
        <v>6</v>
      </c>
      <c r="AT78">
        <v>56.6</v>
      </c>
      <c r="AU78" t="s">
        <v>6</v>
      </c>
      <c r="AV78">
        <v>0</v>
      </c>
      <c r="AW78">
        <v>2</v>
      </c>
      <c r="AX78">
        <v>16749984</v>
      </c>
      <c r="AY78">
        <v>1</v>
      </c>
      <c r="AZ78">
        <v>0</v>
      </c>
      <c r="BA78">
        <v>81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CX78">
        <f>Y78*Source!I92</f>
        <v>2.9998</v>
      </c>
      <c r="CY78">
        <f>AA78</f>
        <v>439.52</v>
      </c>
      <c r="CZ78">
        <f>AE78</f>
        <v>67</v>
      </c>
      <c r="DA78">
        <f>AI78</f>
        <v>6.56</v>
      </c>
      <c r="DB78">
        <f>ROUND(ROUND(AT78*CZ78,2),2)</f>
        <v>3792.2</v>
      </c>
      <c r="DC78">
        <f>ROUND(ROUND(AT78*AG78,2),2)</f>
        <v>0</v>
      </c>
    </row>
    <row r="79" spans="1:107" x14ac:dyDescent="0.2">
      <c r="A79">
        <f>ROW(Source!A94)</f>
        <v>94</v>
      </c>
      <c r="B79">
        <v>16748969</v>
      </c>
      <c r="C79">
        <v>16749987</v>
      </c>
      <c r="D79">
        <v>15435683</v>
      </c>
      <c r="E79">
        <v>1</v>
      </c>
      <c r="F79">
        <v>1</v>
      </c>
      <c r="G79">
        <v>1</v>
      </c>
      <c r="H79">
        <v>1</v>
      </c>
      <c r="I79" t="s">
        <v>1155</v>
      </c>
      <c r="J79" t="s">
        <v>6</v>
      </c>
      <c r="K79" t="s">
        <v>1156</v>
      </c>
      <c r="L79">
        <v>1191</v>
      </c>
      <c r="N79">
        <v>1013</v>
      </c>
      <c r="O79" t="s">
        <v>1072</v>
      </c>
      <c r="P79" t="s">
        <v>1072</v>
      </c>
      <c r="Q79">
        <v>1</v>
      </c>
      <c r="W79">
        <v>0</v>
      </c>
      <c r="X79">
        <v>-598469600</v>
      </c>
      <c r="Y79">
        <v>234.66899999999998</v>
      </c>
      <c r="AA79">
        <v>0</v>
      </c>
      <c r="AB79">
        <v>0</v>
      </c>
      <c r="AC79">
        <v>0</v>
      </c>
      <c r="AD79">
        <v>60.94</v>
      </c>
      <c r="AE79">
        <v>0</v>
      </c>
      <c r="AF79">
        <v>0</v>
      </c>
      <c r="AG79">
        <v>0</v>
      </c>
      <c r="AH79">
        <v>9.2899999999999991</v>
      </c>
      <c r="AI79">
        <v>1</v>
      </c>
      <c r="AJ79">
        <v>1</v>
      </c>
      <c r="AK79">
        <v>1</v>
      </c>
      <c r="AL79">
        <v>6.56</v>
      </c>
      <c r="AN79">
        <v>0</v>
      </c>
      <c r="AO79">
        <v>1</v>
      </c>
      <c r="AP79">
        <v>1</v>
      </c>
      <c r="AQ79">
        <v>0</v>
      </c>
      <c r="AR79">
        <v>0</v>
      </c>
      <c r="AS79" t="s">
        <v>6</v>
      </c>
      <c r="AT79">
        <v>204.06</v>
      </c>
      <c r="AU79" t="s">
        <v>173</v>
      </c>
      <c r="AV79">
        <v>1</v>
      </c>
      <c r="AW79">
        <v>2</v>
      </c>
      <c r="AX79">
        <v>16749993</v>
      </c>
      <c r="AY79">
        <v>1</v>
      </c>
      <c r="AZ79">
        <v>0</v>
      </c>
      <c r="BA79">
        <v>82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CX79">
        <f>Y79*Source!I94</f>
        <v>49.6090266</v>
      </c>
      <c r="CY79">
        <f>AD79</f>
        <v>60.94</v>
      </c>
      <c r="CZ79">
        <f>AH79</f>
        <v>9.2899999999999991</v>
      </c>
      <c r="DA79">
        <f>AL79</f>
        <v>6.56</v>
      </c>
      <c r="DB79">
        <f>ROUND((ROUND(AT79*CZ79,2)*1.15),2)</f>
        <v>2180.08</v>
      </c>
      <c r="DC79">
        <f>ROUND((ROUND(AT79*AG79,2)*1.15),2)</f>
        <v>0</v>
      </c>
    </row>
    <row r="80" spans="1:107" x14ac:dyDescent="0.2">
      <c r="A80">
        <f>ROW(Source!A94)</f>
        <v>94</v>
      </c>
      <c r="B80">
        <v>16748969</v>
      </c>
      <c r="C80">
        <v>16749987</v>
      </c>
      <c r="D80">
        <v>15430395</v>
      </c>
      <c r="E80">
        <v>1</v>
      </c>
      <c r="F80">
        <v>1</v>
      </c>
      <c r="G80">
        <v>1</v>
      </c>
      <c r="H80">
        <v>1</v>
      </c>
      <c r="I80" t="s">
        <v>1073</v>
      </c>
      <c r="J80" t="s">
        <v>6</v>
      </c>
      <c r="K80" t="s">
        <v>1074</v>
      </c>
      <c r="L80">
        <v>1191</v>
      </c>
      <c r="N80">
        <v>1013</v>
      </c>
      <c r="O80" t="s">
        <v>1072</v>
      </c>
      <c r="P80" t="s">
        <v>1072</v>
      </c>
      <c r="Q80">
        <v>1</v>
      </c>
      <c r="W80">
        <v>0</v>
      </c>
      <c r="X80">
        <v>-1417349443</v>
      </c>
      <c r="Y80">
        <v>2.06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1</v>
      </c>
      <c r="AJ80">
        <v>1</v>
      </c>
      <c r="AK80">
        <v>6.56</v>
      </c>
      <c r="AL80">
        <v>1</v>
      </c>
      <c r="AN80">
        <v>0</v>
      </c>
      <c r="AO80">
        <v>1</v>
      </c>
      <c r="AP80">
        <v>0</v>
      </c>
      <c r="AQ80">
        <v>0</v>
      </c>
      <c r="AR80">
        <v>0</v>
      </c>
      <c r="AS80" t="s">
        <v>6</v>
      </c>
      <c r="AT80">
        <v>2.06</v>
      </c>
      <c r="AU80" t="s">
        <v>6</v>
      </c>
      <c r="AV80">
        <v>2</v>
      </c>
      <c r="AW80">
        <v>2</v>
      </c>
      <c r="AX80">
        <v>16749994</v>
      </c>
      <c r="AY80">
        <v>1</v>
      </c>
      <c r="AZ80">
        <v>2048</v>
      </c>
      <c r="BA80">
        <v>83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CX80">
        <f>Y80*Source!I94</f>
        <v>0.43548400000000004</v>
      </c>
      <c r="CY80">
        <f>AD80</f>
        <v>0</v>
      </c>
      <c r="CZ80">
        <f>AH80</f>
        <v>0</v>
      </c>
      <c r="DA80">
        <f>AL80</f>
        <v>1</v>
      </c>
      <c r="DB80">
        <f>ROUND(ROUND(AT80*CZ80,2),2)</f>
        <v>0</v>
      </c>
      <c r="DC80">
        <f>ROUND(ROUND(AT80*AG80,2),2)</f>
        <v>0</v>
      </c>
    </row>
    <row r="81" spans="1:107" x14ac:dyDescent="0.2">
      <c r="A81">
        <f>ROW(Source!A94)</f>
        <v>94</v>
      </c>
      <c r="B81">
        <v>16748969</v>
      </c>
      <c r="C81">
        <v>16749987</v>
      </c>
      <c r="D81">
        <v>15247974</v>
      </c>
      <c r="E81">
        <v>1</v>
      </c>
      <c r="F81">
        <v>1</v>
      </c>
      <c r="G81">
        <v>1</v>
      </c>
      <c r="H81">
        <v>2</v>
      </c>
      <c r="I81" t="s">
        <v>1075</v>
      </c>
      <c r="J81" t="s">
        <v>1076</v>
      </c>
      <c r="K81" t="s">
        <v>1077</v>
      </c>
      <c r="L81">
        <v>1368</v>
      </c>
      <c r="N81">
        <v>1011</v>
      </c>
      <c r="O81" t="s">
        <v>1078</v>
      </c>
      <c r="P81" t="s">
        <v>1078</v>
      </c>
      <c r="Q81">
        <v>1</v>
      </c>
      <c r="W81">
        <v>0</v>
      </c>
      <c r="X81">
        <v>1188625873</v>
      </c>
      <c r="Y81">
        <v>2.5750000000000002</v>
      </c>
      <c r="AA81">
        <v>0</v>
      </c>
      <c r="AB81">
        <v>205.07</v>
      </c>
      <c r="AC81">
        <v>13.5</v>
      </c>
      <c r="AD81">
        <v>0</v>
      </c>
      <c r="AE81">
        <v>0</v>
      </c>
      <c r="AF81">
        <v>31.26</v>
      </c>
      <c r="AG81">
        <v>13.5</v>
      </c>
      <c r="AH81">
        <v>0</v>
      </c>
      <c r="AI81">
        <v>1</v>
      </c>
      <c r="AJ81">
        <v>6.56</v>
      </c>
      <c r="AK81">
        <v>1</v>
      </c>
      <c r="AL81">
        <v>1</v>
      </c>
      <c r="AN81">
        <v>0</v>
      </c>
      <c r="AO81">
        <v>1</v>
      </c>
      <c r="AP81">
        <v>1</v>
      </c>
      <c r="AQ81">
        <v>0</v>
      </c>
      <c r="AR81">
        <v>0</v>
      </c>
      <c r="AS81" t="s">
        <v>6</v>
      </c>
      <c r="AT81">
        <v>2.06</v>
      </c>
      <c r="AU81" t="s">
        <v>172</v>
      </c>
      <c r="AV81">
        <v>0</v>
      </c>
      <c r="AW81">
        <v>2</v>
      </c>
      <c r="AX81">
        <v>16749995</v>
      </c>
      <c r="AY81">
        <v>1</v>
      </c>
      <c r="AZ81">
        <v>0</v>
      </c>
      <c r="BA81">
        <v>84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CX81">
        <f>Y81*Source!I94</f>
        <v>0.54435500000000003</v>
      </c>
      <c r="CY81">
        <f>AB81</f>
        <v>205.07</v>
      </c>
      <c r="CZ81">
        <f>AF81</f>
        <v>31.26</v>
      </c>
      <c r="DA81">
        <f>AJ81</f>
        <v>6.56</v>
      </c>
      <c r="DB81">
        <f>ROUND((ROUND(AT81*CZ81,2)*1.25),2)</f>
        <v>80.5</v>
      </c>
      <c r="DC81">
        <f>ROUND((ROUND(AT81*AG81,2)*1.25),2)</f>
        <v>34.76</v>
      </c>
    </row>
    <row r="82" spans="1:107" x14ac:dyDescent="0.2">
      <c r="A82">
        <f>ROW(Source!A94)</f>
        <v>94</v>
      </c>
      <c r="B82">
        <v>16748969</v>
      </c>
      <c r="C82">
        <v>16749987</v>
      </c>
      <c r="D82">
        <v>15172819</v>
      </c>
      <c r="E82">
        <v>1</v>
      </c>
      <c r="F82">
        <v>1</v>
      </c>
      <c r="G82">
        <v>1</v>
      </c>
      <c r="H82">
        <v>3</v>
      </c>
      <c r="I82" t="s">
        <v>1157</v>
      </c>
      <c r="J82" t="s">
        <v>1158</v>
      </c>
      <c r="K82" t="s">
        <v>1159</v>
      </c>
      <c r="L82">
        <v>1339</v>
      </c>
      <c r="N82">
        <v>1007</v>
      </c>
      <c r="O82" t="s">
        <v>283</v>
      </c>
      <c r="P82" t="s">
        <v>283</v>
      </c>
      <c r="Q82">
        <v>1</v>
      </c>
      <c r="W82">
        <v>0</v>
      </c>
      <c r="X82">
        <v>-1813551736</v>
      </c>
      <c r="Y82">
        <v>4.3</v>
      </c>
      <c r="AA82">
        <v>3348.22</v>
      </c>
      <c r="AB82">
        <v>0</v>
      </c>
      <c r="AC82">
        <v>0</v>
      </c>
      <c r="AD82">
        <v>0</v>
      </c>
      <c r="AE82">
        <v>510.4</v>
      </c>
      <c r="AF82">
        <v>0</v>
      </c>
      <c r="AG82">
        <v>0</v>
      </c>
      <c r="AH82">
        <v>0</v>
      </c>
      <c r="AI82">
        <v>6.56</v>
      </c>
      <c r="AJ82">
        <v>1</v>
      </c>
      <c r="AK82">
        <v>1</v>
      </c>
      <c r="AL82">
        <v>1</v>
      </c>
      <c r="AN82">
        <v>0</v>
      </c>
      <c r="AO82">
        <v>1</v>
      </c>
      <c r="AP82">
        <v>0</v>
      </c>
      <c r="AQ82">
        <v>0</v>
      </c>
      <c r="AR82">
        <v>0</v>
      </c>
      <c r="AS82" t="s">
        <v>6</v>
      </c>
      <c r="AT82">
        <v>4.3</v>
      </c>
      <c r="AU82" t="s">
        <v>6</v>
      </c>
      <c r="AV82">
        <v>0</v>
      </c>
      <c r="AW82">
        <v>2</v>
      </c>
      <c r="AX82">
        <v>16749996</v>
      </c>
      <c r="AY82">
        <v>1</v>
      </c>
      <c r="AZ82">
        <v>0</v>
      </c>
      <c r="BA82">
        <v>85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CX82">
        <f>Y82*Source!I94</f>
        <v>0.90901999999999994</v>
      </c>
      <c r="CY82">
        <f>AA82</f>
        <v>3348.22</v>
      </c>
      <c r="CZ82">
        <f>AE82</f>
        <v>510.4</v>
      </c>
      <c r="DA82">
        <f>AI82</f>
        <v>6.56</v>
      </c>
      <c r="DB82">
        <f>ROUND(ROUND(AT82*CZ82,2),2)</f>
        <v>2194.7199999999998</v>
      </c>
      <c r="DC82">
        <f>ROUND(ROUND(AT82*AG82,2),2)</f>
        <v>0</v>
      </c>
    </row>
    <row r="83" spans="1:107" x14ac:dyDescent="0.2">
      <c r="A83">
        <f>ROW(Source!A94)</f>
        <v>94</v>
      </c>
      <c r="B83">
        <v>16748969</v>
      </c>
      <c r="C83">
        <v>16749987</v>
      </c>
      <c r="D83">
        <v>15172875</v>
      </c>
      <c r="E83">
        <v>1</v>
      </c>
      <c r="F83">
        <v>1</v>
      </c>
      <c r="G83">
        <v>1</v>
      </c>
      <c r="H83">
        <v>3</v>
      </c>
      <c r="I83" t="s">
        <v>1160</v>
      </c>
      <c r="J83" t="s">
        <v>1161</v>
      </c>
      <c r="K83" t="s">
        <v>1162</v>
      </c>
      <c r="L83">
        <v>1339</v>
      </c>
      <c r="N83">
        <v>1007</v>
      </c>
      <c r="O83" t="s">
        <v>283</v>
      </c>
      <c r="P83" t="s">
        <v>283</v>
      </c>
      <c r="Q83">
        <v>1</v>
      </c>
      <c r="W83">
        <v>0</v>
      </c>
      <c r="X83">
        <v>-1001479081</v>
      </c>
      <c r="Y83">
        <v>0.1</v>
      </c>
      <c r="AA83">
        <v>3397.49</v>
      </c>
      <c r="AB83">
        <v>0</v>
      </c>
      <c r="AC83">
        <v>0</v>
      </c>
      <c r="AD83">
        <v>0</v>
      </c>
      <c r="AE83">
        <v>517.91</v>
      </c>
      <c r="AF83">
        <v>0</v>
      </c>
      <c r="AG83">
        <v>0</v>
      </c>
      <c r="AH83">
        <v>0</v>
      </c>
      <c r="AI83">
        <v>6.56</v>
      </c>
      <c r="AJ83">
        <v>1</v>
      </c>
      <c r="AK83">
        <v>1</v>
      </c>
      <c r="AL83">
        <v>1</v>
      </c>
      <c r="AN83">
        <v>0</v>
      </c>
      <c r="AO83">
        <v>1</v>
      </c>
      <c r="AP83">
        <v>0</v>
      </c>
      <c r="AQ83">
        <v>0</v>
      </c>
      <c r="AR83">
        <v>0</v>
      </c>
      <c r="AS83" t="s">
        <v>6</v>
      </c>
      <c r="AT83">
        <v>0.1</v>
      </c>
      <c r="AU83" t="s">
        <v>6</v>
      </c>
      <c r="AV83">
        <v>0</v>
      </c>
      <c r="AW83">
        <v>2</v>
      </c>
      <c r="AX83">
        <v>16749997</v>
      </c>
      <c r="AY83">
        <v>1</v>
      </c>
      <c r="AZ83">
        <v>0</v>
      </c>
      <c r="BA83">
        <v>86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CX83">
        <f>Y83*Source!I94</f>
        <v>2.1140000000000003E-2</v>
      </c>
      <c r="CY83">
        <f>AA83</f>
        <v>3397.49</v>
      </c>
      <c r="CZ83">
        <f>AE83</f>
        <v>517.91</v>
      </c>
      <c r="DA83">
        <f>AI83</f>
        <v>6.56</v>
      </c>
      <c r="DB83">
        <f>ROUND(ROUND(AT83*CZ83,2),2)</f>
        <v>51.79</v>
      </c>
      <c r="DC83">
        <f>ROUND(ROUND(AT83*AG83,2),2)</f>
        <v>0</v>
      </c>
    </row>
    <row r="84" spans="1:107" x14ac:dyDescent="0.2">
      <c r="A84">
        <f>ROW(Source!A95)</f>
        <v>95</v>
      </c>
      <c r="B84">
        <v>16748969</v>
      </c>
      <c r="C84">
        <v>16749998</v>
      </c>
      <c r="D84">
        <v>15435609</v>
      </c>
      <c r="E84">
        <v>1</v>
      </c>
      <c r="F84">
        <v>1</v>
      </c>
      <c r="G84">
        <v>1</v>
      </c>
      <c r="H84">
        <v>1</v>
      </c>
      <c r="I84" t="s">
        <v>1163</v>
      </c>
      <c r="J84" t="s">
        <v>6</v>
      </c>
      <c r="K84" t="s">
        <v>1164</v>
      </c>
      <c r="L84">
        <v>1191</v>
      </c>
      <c r="N84">
        <v>1013</v>
      </c>
      <c r="O84" t="s">
        <v>1072</v>
      </c>
      <c r="P84" t="s">
        <v>1072</v>
      </c>
      <c r="Q84">
        <v>1</v>
      </c>
      <c r="W84">
        <v>0</v>
      </c>
      <c r="X84">
        <v>-814890593</v>
      </c>
      <c r="Y84">
        <v>49.334999999999994</v>
      </c>
      <c r="AA84">
        <v>0</v>
      </c>
      <c r="AB84">
        <v>0</v>
      </c>
      <c r="AC84">
        <v>0</v>
      </c>
      <c r="AD84">
        <v>58.84</v>
      </c>
      <c r="AE84">
        <v>0</v>
      </c>
      <c r="AF84">
        <v>0</v>
      </c>
      <c r="AG84">
        <v>0</v>
      </c>
      <c r="AH84">
        <v>8.9700000000000006</v>
      </c>
      <c r="AI84">
        <v>1</v>
      </c>
      <c r="AJ84">
        <v>1</v>
      </c>
      <c r="AK84">
        <v>1</v>
      </c>
      <c r="AL84">
        <v>6.56</v>
      </c>
      <c r="AN84">
        <v>0</v>
      </c>
      <c r="AO84">
        <v>1</v>
      </c>
      <c r="AP84">
        <v>1</v>
      </c>
      <c r="AQ84">
        <v>0</v>
      </c>
      <c r="AR84">
        <v>0</v>
      </c>
      <c r="AS84" t="s">
        <v>6</v>
      </c>
      <c r="AT84">
        <v>42.9</v>
      </c>
      <c r="AU84" t="s">
        <v>173</v>
      </c>
      <c r="AV84">
        <v>1</v>
      </c>
      <c r="AW84">
        <v>2</v>
      </c>
      <c r="AX84">
        <v>16750008</v>
      </c>
      <c r="AY84">
        <v>1</v>
      </c>
      <c r="AZ84">
        <v>0</v>
      </c>
      <c r="BA84">
        <v>87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CX84">
        <f>Y84*Source!I95</f>
        <v>14.040740999999999</v>
      </c>
      <c r="CY84">
        <f>AD84</f>
        <v>58.84</v>
      </c>
      <c r="CZ84">
        <f>AH84</f>
        <v>8.9700000000000006</v>
      </c>
      <c r="DA84">
        <f>AL84</f>
        <v>6.56</v>
      </c>
      <c r="DB84">
        <f>ROUND((ROUND(AT84*CZ84,2)*1.15),2)</f>
        <v>442.53</v>
      </c>
      <c r="DC84">
        <f>ROUND((ROUND(AT84*AG84,2)*1.15),2)</f>
        <v>0</v>
      </c>
    </row>
    <row r="85" spans="1:107" x14ac:dyDescent="0.2">
      <c r="A85">
        <f>ROW(Source!A95)</f>
        <v>95</v>
      </c>
      <c r="B85">
        <v>16748969</v>
      </c>
      <c r="C85">
        <v>16749998</v>
      </c>
      <c r="D85">
        <v>15430395</v>
      </c>
      <c r="E85">
        <v>1</v>
      </c>
      <c r="F85">
        <v>1</v>
      </c>
      <c r="G85">
        <v>1</v>
      </c>
      <c r="H85">
        <v>1</v>
      </c>
      <c r="I85" t="s">
        <v>1073</v>
      </c>
      <c r="J85" t="s">
        <v>6</v>
      </c>
      <c r="K85" t="s">
        <v>1074</v>
      </c>
      <c r="L85">
        <v>1191</v>
      </c>
      <c r="N85">
        <v>1013</v>
      </c>
      <c r="O85" t="s">
        <v>1072</v>
      </c>
      <c r="P85" t="s">
        <v>1072</v>
      </c>
      <c r="Q85">
        <v>1</v>
      </c>
      <c r="W85">
        <v>0</v>
      </c>
      <c r="X85">
        <v>-1417349443</v>
      </c>
      <c r="Y85">
        <v>0.17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1</v>
      </c>
      <c r="AJ85">
        <v>1</v>
      </c>
      <c r="AK85">
        <v>6.56</v>
      </c>
      <c r="AL85">
        <v>1</v>
      </c>
      <c r="AN85">
        <v>0</v>
      </c>
      <c r="AO85">
        <v>1</v>
      </c>
      <c r="AP85">
        <v>0</v>
      </c>
      <c r="AQ85">
        <v>0</v>
      </c>
      <c r="AR85">
        <v>0</v>
      </c>
      <c r="AS85" t="s">
        <v>6</v>
      </c>
      <c r="AT85">
        <v>0.17</v>
      </c>
      <c r="AU85" t="s">
        <v>6</v>
      </c>
      <c r="AV85">
        <v>2</v>
      </c>
      <c r="AW85">
        <v>2</v>
      </c>
      <c r="AX85">
        <v>16750009</v>
      </c>
      <c r="AY85">
        <v>1</v>
      </c>
      <c r="AZ85">
        <v>2048</v>
      </c>
      <c r="BA85">
        <v>88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CX85">
        <f>Y85*Source!I95</f>
        <v>4.8382000000000008E-2</v>
      </c>
      <c r="CY85">
        <f>AD85</f>
        <v>0</v>
      </c>
      <c r="CZ85">
        <f>AH85</f>
        <v>0</v>
      </c>
      <c r="DA85">
        <f>AL85</f>
        <v>1</v>
      </c>
      <c r="DB85">
        <f>ROUND(ROUND(AT85*CZ85,2),2)</f>
        <v>0</v>
      </c>
      <c r="DC85">
        <f>ROUND(ROUND(AT85*AG85,2),2)</f>
        <v>0</v>
      </c>
    </row>
    <row r="86" spans="1:107" x14ac:dyDescent="0.2">
      <c r="A86">
        <f>ROW(Source!A95)</f>
        <v>95</v>
      </c>
      <c r="B86">
        <v>16748969</v>
      </c>
      <c r="C86">
        <v>16749998</v>
      </c>
      <c r="D86">
        <v>15247974</v>
      </c>
      <c r="E86">
        <v>1</v>
      </c>
      <c r="F86">
        <v>1</v>
      </c>
      <c r="G86">
        <v>1</v>
      </c>
      <c r="H86">
        <v>2</v>
      </c>
      <c r="I86" t="s">
        <v>1075</v>
      </c>
      <c r="J86" t="s">
        <v>1076</v>
      </c>
      <c r="K86" t="s">
        <v>1077</v>
      </c>
      <c r="L86">
        <v>1368</v>
      </c>
      <c r="N86">
        <v>1011</v>
      </c>
      <c r="O86" t="s">
        <v>1078</v>
      </c>
      <c r="P86" t="s">
        <v>1078</v>
      </c>
      <c r="Q86">
        <v>1</v>
      </c>
      <c r="W86">
        <v>0</v>
      </c>
      <c r="X86">
        <v>1188625873</v>
      </c>
      <c r="Y86">
        <v>2.5000000000000001E-2</v>
      </c>
      <c r="AA86">
        <v>0</v>
      </c>
      <c r="AB86">
        <v>205.07</v>
      </c>
      <c r="AC86">
        <v>13.5</v>
      </c>
      <c r="AD86">
        <v>0</v>
      </c>
      <c r="AE86">
        <v>0</v>
      </c>
      <c r="AF86">
        <v>31.26</v>
      </c>
      <c r="AG86">
        <v>13.5</v>
      </c>
      <c r="AH86">
        <v>0</v>
      </c>
      <c r="AI86">
        <v>1</v>
      </c>
      <c r="AJ86">
        <v>6.56</v>
      </c>
      <c r="AK86">
        <v>1</v>
      </c>
      <c r="AL86">
        <v>1</v>
      </c>
      <c r="AN86">
        <v>0</v>
      </c>
      <c r="AO86">
        <v>1</v>
      </c>
      <c r="AP86">
        <v>1</v>
      </c>
      <c r="AQ86">
        <v>0</v>
      </c>
      <c r="AR86">
        <v>0</v>
      </c>
      <c r="AS86" t="s">
        <v>6</v>
      </c>
      <c r="AT86">
        <v>0.02</v>
      </c>
      <c r="AU86" t="s">
        <v>172</v>
      </c>
      <c r="AV86">
        <v>0</v>
      </c>
      <c r="AW86">
        <v>2</v>
      </c>
      <c r="AX86">
        <v>16750010</v>
      </c>
      <c r="AY86">
        <v>1</v>
      </c>
      <c r="AZ86">
        <v>0</v>
      </c>
      <c r="BA86">
        <v>89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CX86">
        <f>Y86*Source!I95</f>
        <v>7.1150000000000007E-3</v>
      </c>
      <c r="CY86">
        <f>AB86</f>
        <v>205.07</v>
      </c>
      <c r="CZ86">
        <f>AF86</f>
        <v>31.26</v>
      </c>
      <c r="DA86">
        <f>AJ86</f>
        <v>6.56</v>
      </c>
      <c r="DB86">
        <f>ROUND((ROUND(AT86*CZ86,2)*1.25),2)</f>
        <v>0.79</v>
      </c>
      <c r="DC86">
        <f>ROUND((ROUND(AT86*AG86,2)*1.25),2)</f>
        <v>0.34</v>
      </c>
    </row>
    <row r="87" spans="1:107" x14ac:dyDescent="0.2">
      <c r="A87">
        <f>ROW(Source!A95)</f>
        <v>95</v>
      </c>
      <c r="B87">
        <v>16748969</v>
      </c>
      <c r="C87">
        <v>16749998</v>
      </c>
      <c r="D87">
        <v>15249073</v>
      </c>
      <c r="E87">
        <v>1</v>
      </c>
      <c r="F87">
        <v>1</v>
      </c>
      <c r="G87">
        <v>1</v>
      </c>
      <c r="H87">
        <v>2</v>
      </c>
      <c r="I87" t="s">
        <v>1097</v>
      </c>
      <c r="J87" t="s">
        <v>1098</v>
      </c>
      <c r="K87" t="s">
        <v>1099</v>
      </c>
      <c r="L87">
        <v>1368</v>
      </c>
      <c r="N87">
        <v>1011</v>
      </c>
      <c r="O87" t="s">
        <v>1078</v>
      </c>
      <c r="P87" t="s">
        <v>1078</v>
      </c>
      <c r="Q87">
        <v>1</v>
      </c>
      <c r="W87">
        <v>0</v>
      </c>
      <c r="X87">
        <v>1372534845</v>
      </c>
      <c r="Y87">
        <v>0.1875</v>
      </c>
      <c r="AA87">
        <v>0</v>
      </c>
      <c r="AB87">
        <v>431.06</v>
      </c>
      <c r="AC87">
        <v>11.6</v>
      </c>
      <c r="AD87">
        <v>0</v>
      </c>
      <c r="AE87">
        <v>0</v>
      </c>
      <c r="AF87">
        <v>65.709999999999994</v>
      </c>
      <c r="AG87">
        <v>11.6</v>
      </c>
      <c r="AH87">
        <v>0</v>
      </c>
      <c r="AI87">
        <v>1</v>
      </c>
      <c r="AJ87">
        <v>6.56</v>
      </c>
      <c r="AK87">
        <v>1</v>
      </c>
      <c r="AL87">
        <v>1</v>
      </c>
      <c r="AN87">
        <v>0</v>
      </c>
      <c r="AO87">
        <v>1</v>
      </c>
      <c r="AP87">
        <v>1</v>
      </c>
      <c r="AQ87">
        <v>0</v>
      </c>
      <c r="AR87">
        <v>0</v>
      </c>
      <c r="AS87" t="s">
        <v>6</v>
      </c>
      <c r="AT87">
        <v>0.15</v>
      </c>
      <c r="AU87" t="s">
        <v>172</v>
      </c>
      <c r="AV87">
        <v>0</v>
      </c>
      <c r="AW87">
        <v>2</v>
      </c>
      <c r="AX87">
        <v>16750011</v>
      </c>
      <c r="AY87">
        <v>1</v>
      </c>
      <c r="AZ87">
        <v>0</v>
      </c>
      <c r="BA87">
        <v>90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CX87">
        <f>Y87*Source!I95</f>
        <v>5.3362500000000007E-2</v>
      </c>
      <c r="CY87">
        <f>AB87</f>
        <v>431.06</v>
      </c>
      <c r="CZ87">
        <f>AF87</f>
        <v>65.709999999999994</v>
      </c>
      <c r="DA87">
        <f>AJ87</f>
        <v>6.56</v>
      </c>
      <c r="DB87">
        <f>ROUND((ROUND(AT87*CZ87,2)*1.25),2)</f>
        <v>12.33</v>
      </c>
      <c r="DC87">
        <f>ROUND((ROUND(AT87*AG87,2)*1.25),2)</f>
        <v>2.1800000000000002</v>
      </c>
    </row>
    <row r="88" spans="1:107" x14ac:dyDescent="0.2">
      <c r="A88">
        <f>ROW(Source!A95)</f>
        <v>95</v>
      </c>
      <c r="B88">
        <v>16748969</v>
      </c>
      <c r="C88">
        <v>16749998</v>
      </c>
      <c r="D88">
        <v>15170682</v>
      </c>
      <c r="E88">
        <v>1</v>
      </c>
      <c r="F88">
        <v>1</v>
      </c>
      <c r="G88">
        <v>1</v>
      </c>
      <c r="H88">
        <v>3</v>
      </c>
      <c r="I88" t="s">
        <v>1165</v>
      </c>
      <c r="J88" t="s">
        <v>1166</v>
      </c>
      <c r="K88" t="s">
        <v>1167</v>
      </c>
      <c r="L88">
        <v>1327</v>
      </c>
      <c r="N88">
        <v>1005</v>
      </c>
      <c r="O88" t="s">
        <v>89</v>
      </c>
      <c r="P88" t="s">
        <v>89</v>
      </c>
      <c r="Q88">
        <v>1</v>
      </c>
      <c r="W88">
        <v>0</v>
      </c>
      <c r="X88">
        <v>-1987926685</v>
      </c>
      <c r="Y88">
        <v>0.84</v>
      </c>
      <c r="AA88">
        <v>474.42</v>
      </c>
      <c r="AB88">
        <v>0</v>
      </c>
      <c r="AC88">
        <v>0</v>
      </c>
      <c r="AD88">
        <v>0</v>
      </c>
      <c r="AE88">
        <v>72.319999999999993</v>
      </c>
      <c r="AF88">
        <v>0</v>
      </c>
      <c r="AG88">
        <v>0</v>
      </c>
      <c r="AH88">
        <v>0</v>
      </c>
      <c r="AI88">
        <v>6.56</v>
      </c>
      <c r="AJ88">
        <v>1</v>
      </c>
      <c r="AK88">
        <v>1</v>
      </c>
      <c r="AL88">
        <v>1</v>
      </c>
      <c r="AN88">
        <v>0</v>
      </c>
      <c r="AO88">
        <v>1</v>
      </c>
      <c r="AP88">
        <v>0</v>
      </c>
      <c r="AQ88">
        <v>0</v>
      </c>
      <c r="AR88">
        <v>0</v>
      </c>
      <c r="AS88" t="s">
        <v>6</v>
      </c>
      <c r="AT88">
        <v>0.84</v>
      </c>
      <c r="AU88" t="s">
        <v>6</v>
      </c>
      <c r="AV88">
        <v>0</v>
      </c>
      <c r="AW88">
        <v>2</v>
      </c>
      <c r="AX88">
        <v>16750012</v>
      </c>
      <c r="AY88">
        <v>1</v>
      </c>
      <c r="AZ88">
        <v>0</v>
      </c>
      <c r="BA88">
        <v>91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CX88">
        <f>Y88*Source!I95</f>
        <v>0.239064</v>
      </c>
      <c r="CY88">
        <f>AA88</f>
        <v>474.42</v>
      </c>
      <c r="CZ88">
        <f>AE88</f>
        <v>72.319999999999993</v>
      </c>
      <c r="DA88">
        <f>AI88</f>
        <v>6.56</v>
      </c>
      <c r="DB88">
        <f>ROUND(ROUND(AT88*CZ88,2),2)</f>
        <v>60.75</v>
      </c>
      <c r="DC88">
        <f>ROUND(ROUND(AT88*AG88,2),2)</f>
        <v>0</v>
      </c>
    </row>
    <row r="89" spans="1:107" x14ac:dyDescent="0.2">
      <c r="A89">
        <f>ROW(Source!A95)</f>
        <v>95</v>
      </c>
      <c r="B89">
        <v>16748969</v>
      </c>
      <c r="C89">
        <v>16749998</v>
      </c>
      <c r="D89">
        <v>15171018</v>
      </c>
      <c r="E89">
        <v>1</v>
      </c>
      <c r="F89">
        <v>1</v>
      </c>
      <c r="G89">
        <v>1</v>
      </c>
      <c r="H89">
        <v>3</v>
      </c>
      <c r="I89" t="s">
        <v>1168</v>
      </c>
      <c r="J89" t="s">
        <v>1169</v>
      </c>
      <c r="K89" t="s">
        <v>1170</v>
      </c>
      <c r="L89">
        <v>1346</v>
      </c>
      <c r="N89">
        <v>1009</v>
      </c>
      <c r="O89" t="s">
        <v>323</v>
      </c>
      <c r="P89" t="s">
        <v>323</v>
      </c>
      <c r="Q89">
        <v>1</v>
      </c>
      <c r="W89">
        <v>0</v>
      </c>
      <c r="X89">
        <v>813963326</v>
      </c>
      <c r="Y89">
        <v>0.31</v>
      </c>
      <c r="AA89">
        <v>11.94</v>
      </c>
      <c r="AB89">
        <v>0</v>
      </c>
      <c r="AC89">
        <v>0</v>
      </c>
      <c r="AD89">
        <v>0</v>
      </c>
      <c r="AE89">
        <v>1.82</v>
      </c>
      <c r="AF89">
        <v>0</v>
      </c>
      <c r="AG89">
        <v>0</v>
      </c>
      <c r="AH89">
        <v>0</v>
      </c>
      <c r="AI89">
        <v>6.56</v>
      </c>
      <c r="AJ89">
        <v>1</v>
      </c>
      <c r="AK89">
        <v>1</v>
      </c>
      <c r="AL89">
        <v>1</v>
      </c>
      <c r="AN89">
        <v>0</v>
      </c>
      <c r="AO89">
        <v>1</v>
      </c>
      <c r="AP89">
        <v>0</v>
      </c>
      <c r="AQ89">
        <v>0</v>
      </c>
      <c r="AR89">
        <v>0</v>
      </c>
      <c r="AS89" t="s">
        <v>6</v>
      </c>
      <c r="AT89">
        <v>0.31</v>
      </c>
      <c r="AU89" t="s">
        <v>6</v>
      </c>
      <c r="AV89">
        <v>0</v>
      </c>
      <c r="AW89">
        <v>2</v>
      </c>
      <c r="AX89">
        <v>16750013</v>
      </c>
      <c r="AY89">
        <v>1</v>
      </c>
      <c r="AZ89">
        <v>0</v>
      </c>
      <c r="BA89">
        <v>92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CX89">
        <f>Y89*Source!I95</f>
        <v>8.8225999999999999E-2</v>
      </c>
      <c r="CY89">
        <f>AA89</f>
        <v>11.94</v>
      </c>
      <c r="CZ89">
        <f>AE89</f>
        <v>1.82</v>
      </c>
      <c r="DA89">
        <f>AI89</f>
        <v>6.56</v>
      </c>
      <c r="DB89">
        <f>ROUND(ROUND(AT89*CZ89,2),2)</f>
        <v>0.56000000000000005</v>
      </c>
      <c r="DC89">
        <f>ROUND(ROUND(AT89*AG89,2),2)</f>
        <v>0</v>
      </c>
    </row>
    <row r="90" spans="1:107" x14ac:dyDescent="0.2">
      <c r="A90">
        <f>ROW(Source!A95)</f>
        <v>95</v>
      </c>
      <c r="B90">
        <v>16748969</v>
      </c>
      <c r="C90">
        <v>16749998</v>
      </c>
      <c r="D90">
        <v>15163054</v>
      </c>
      <c r="E90">
        <v>17</v>
      </c>
      <c r="F90">
        <v>1</v>
      </c>
      <c r="G90">
        <v>1</v>
      </c>
      <c r="H90">
        <v>3</v>
      </c>
      <c r="I90" t="s">
        <v>223</v>
      </c>
      <c r="J90" t="s">
        <v>6</v>
      </c>
      <c r="K90" t="s">
        <v>224</v>
      </c>
      <c r="L90">
        <v>1348</v>
      </c>
      <c r="N90">
        <v>1009</v>
      </c>
      <c r="O90" t="s">
        <v>71</v>
      </c>
      <c r="P90" t="s">
        <v>71</v>
      </c>
      <c r="Q90">
        <v>1000</v>
      </c>
      <c r="W90">
        <v>0</v>
      </c>
      <c r="X90">
        <v>1891904026</v>
      </c>
      <c r="Y90">
        <v>6.3E-2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6.56</v>
      </c>
      <c r="AJ90">
        <v>1</v>
      </c>
      <c r="AK90">
        <v>1</v>
      </c>
      <c r="AL90">
        <v>1</v>
      </c>
      <c r="AN90">
        <v>0</v>
      </c>
      <c r="AO90">
        <v>0</v>
      </c>
      <c r="AP90">
        <v>0</v>
      </c>
      <c r="AQ90">
        <v>0</v>
      </c>
      <c r="AR90">
        <v>0</v>
      </c>
      <c r="AS90" t="s">
        <v>6</v>
      </c>
      <c r="AT90">
        <v>6.3E-2</v>
      </c>
      <c r="AU90" t="s">
        <v>6</v>
      </c>
      <c r="AV90">
        <v>0</v>
      </c>
      <c r="AW90">
        <v>2</v>
      </c>
      <c r="AX90">
        <v>16750014</v>
      </c>
      <c r="AY90">
        <v>1</v>
      </c>
      <c r="AZ90">
        <v>0</v>
      </c>
      <c r="BA90">
        <v>93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CX90">
        <f>Y90*Source!I95</f>
        <v>1.7929800000000003E-2</v>
      </c>
      <c r="CY90">
        <f>AA90</f>
        <v>0</v>
      </c>
      <c r="CZ90">
        <f>AE90</f>
        <v>0</v>
      </c>
      <c r="DA90">
        <f>AI90</f>
        <v>6.56</v>
      </c>
      <c r="DB90">
        <f>ROUND(ROUND(AT90*CZ90,2),2)</f>
        <v>0</v>
      </c>
      <c r="DC90">
        <f>ROUND(ROUND(AT90*AG90,2),2)</f>
        <v>0</v>
      </c>
    </row>
    <row r="91" spans="1:107" x14ac:dyDescent="0.2">
      <c r="A91">
        <f>ROW(Source!A95)</f>
        <v>95</v>
      </c>
      <c r="B91">
        <v>16748969</v>
      </c>
      <c r="C91">
        <v>16749998</v>
      </c>
      <c r="D91">
        <v>15203294</v>
      </c>
      <c r="E91">
        <v>1</v>
      </c>
      <c r="F91">
        <v>1</v>
      </c>
      <c r="G91">
        <v>1</v>
      </c>
      <c r="H91">
        <v>3</v>
      </c>
      <c r="I91" t="s">
        <v>219</v>
      </c>
      <c r="J91" t="s">
        <v>221</v>
      </c>
      <c r="K91" t="s">
        <v>220</v>
      </c>
      <c r="L91">
        <v>1348</v>
      </c>
      <c r="N91">
        <v>1009</v>
      </c>
      <c r="O91" t="s">
        <v>71</v>
      </c>
      <c r="P91" t="s">
        <v>71</v>
      </c>
      <c r="Q91">
        <v>1000</v>
      </c>
      <c r="W91">
        <v>0</v>
      </c>
      <c r="X91">
        <v>-906614062</v>
      </c>
      <c r="Y91">
        <v>6.3E-2</v>
      </c>
      <c r="AA91">
        <v>101325.1</v>
      </c>
      <c r="AB91">
        <v>0</v>
      </c>
      <c r="AC91">
        <v>0</v>
      </c>
      <c r="AD91">
        <v>0</v>
      </c>
      <c r="AE91">
        <v>15445.9</v>
      </c>
      <c r="AF91">
        <v>0</v>
      </c>
      <c r="AG91">
        <v>0</v>
      </c>
      <c r="AH91">
        <v>0</v>
      </c>
      <c r="AI91">
        <v>6.56</v>
      </c>
      <c r="AJ91">
        <v>1</v>
      </c>
      <c r="AK91">
        <v>1</v>
      </c>
      <c r="AL91">
        <v>1</v>
      </c>
      <c r="AN91">
        <v>0</v>
      </c>
      <c r="AO91">
        <v>0</v>
      </c>
      <c r="AP91">
        <v>0</v>
      </c>
      <c r="AQ91">
        <v>0</v>
      </c>
      <c r="AR91">
        <v>0</v>
      </c>
      <c r="AS91" t="s">
        <v>6</v>
      </c>
      <c r="AT91">
        <v>6.3E-2</v>
      </c>
      <c r="AU91" t="s">
        <v>6</v>
      </c>
      <c r="AV91">
        <v>0</v>
      </c>
      <c r="AW91">
        <v>1</v>
      </c>
      <c r="AX91">
        <v>-1</v>
      </c>
      <c r="AY91">
        <v>0</v>
      </c>
      <c r="AZ91">
        <v>0</v>
      </c>
      <c r="BA91" t="s">
        <v>6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CX91">
        <f>Y91*Source!I95</f>
        <v>1.7929800000000003E-2</v>
      </c>
      <c r="CY91">
        <f>AA91</f>
        <v>101325.1</v>
      </c>
      <c r="CZ91">
        <f>AE91</f>
        <v>15445.9</v>
      </c>
      <c r="DA91">
        <f>AI91</f>
        <v>6.56</v>
      </c>
      <c r="DB91">
        <f>ROUND(ROUND(AT91*CZ91,2),2)</f>
        <v>973.09</v>
      </c>
      <c r="DC91">
        <f>ROUND(ROUND(AT91*AG91,2),2)</f>
        <v>0</v>
      </c>
    </row>
    <row r="92" spans="1:107" x14ac:dyDescent="0.2">
      <c r="A92">
        <f>ROW(Source!A95)</f>
        <v>95</v>
      </c>
      <c r="B92">
        <v>16748969</v>
      </c>
      <c r="C92">
        <v>16749998</v>
      </c>
      <c r="D92">
        <v>15204729</v>
      </c>
      <c r="E92">
        <v>1</v>
      </c>
      <c r="F92">
        <v>1</v>
      </c>
      <c r="G92">
        <v>1</v>
      </c>
      <c r="H92">
        <v>3</v>
      </c>
      <c r="I92" t="s">
        <v>1171</v>
      </c>
      <c r="J92" t="s">
        <v>1172</v>
      </c>
      <c r="K92" t="s">
        <v>1173</v>
      </c>
      <c r="L92">
        <v>1348</v>
      </c>
      <c r="N92">
        <v>1009</v>
      </c>
      <c r="O92" t="s">
        <v>71</v>
      </c>
      <c r="P92" t="s">
        <v>71</v>
      </c>
      <c r="Q92">
        <v>1000</v>
      </c>
      <c r="W92">
        <v>0</v>
      </c>
      <c r="X92">
        <v>-2084827333</v>
      </c>
      <c r="Y92">
        <v>5.0999999999999997E-2</v>
      </c>
      <c r="AA92">
        <v>28168.639999999999</v>
      </c>
      <c r="AB92">
        <v>0</v>
      </c>
      <c r="AC92">
        <v>0</v>
      </c>
      <c r="AD92">
        <v>0</v>
      </c>
      <c r="AE92">
        <v>4294</v>
      </c>
      <c r="AF92">
        <v>0</v>
      </c>
      <c r="AG92">
        <v>0</v>
      </c>
      <c r="AH92">
        <v>0</v>
      </c>
      <c r="AI92">
        <v>6.56</v>
      </c>
      <c r="AJ92">
        <v>1</v>
      </c>
      <c r="AK92">
        <v>1</v>
      </c>
      <c r="AL92">
        <v>1</v>
      </c>
      <c r="AN92">
        <v>0</v>
      </c>
      <c r="AO92">
        <v>1</v>
      </c>
      <c r="AP92">
        <v>0</v>
      </c>
      <c r="AQ92">
        <v>0</v>
      </c>
      <c r="AR92">
        <v>0</v>
      </c>
      <c r="AS92" t="s">
        <v>6</v>
      </c>
      <c r="AT92">
        <v>5.0999999999999997E-2</v>
      </c>
      <c r="AU92" t="s">
        <v>6</v>
      </c>
      <c r="AV92">
        <v>0</v>
      </c>
      <c r="AW92">
        <v>2</v>
      </c>
      <c r="AX92">
        <v>16750015</v>
      </c>
      <c r="AY92">
        <v>1</v>
      </c>
      <c r="AZ92">
        <v>0</v>
      </c>
      <c r="BA92">
        <v>94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CX92">
        <f>Y92*Source!I95</f>
        <v>1.4514600000000001E-2</v>
      </c>
      <c r="CY92">
        <f>AA92</f>
        <v>28168.639999999999</v>
      </c>
      <c r="CZ92">
        <f>AE92</f>
        <v>4294</v>
      </c>
      <c r="DA92">
        <f>AI92</f>
        <v>6.56</v>
      </c>
      <c r="DB92">
        <f>ROUND(ROUND(AT92*CZ92,2),2)</f>
        <v>218.99</v>
      </c>
      <c r="DC92">
        <f>ROUND(ROUND(AT92*AG92,2),2)</f>
        <v>0</v>
      </c>
    </row>
    <row r="93" spans="1:107" x14ac:dyDescent="0.2">
      <c r="A93">
        <f>ROW(Source!A98)</f>
        <v>98</v>
      </c>
      <c r="B93">
        <v>16748969</v>
      </c>
      <c r="C93">
        <v>16750018</v>
      </c>
      <c r="D93">
        <v>15446300</v>
      </c>
      <c r="E93">
        <v>1</v>
      </c>
      <c r="F93">
        <v>1</v>
      </c>
      <c r="G93">
        <v>1</v>
      </c>
      <c r="H93">
        <v>1</v>
      </c>
      <c r="I93" t="s">
        <v>1095</v>
      </c>
      <c r="J93" t="s">
        <v>6</v>
      </c>
      <c r="K93" t="s">
        <v>1096</v>
      </c>
      <c r="L93">
        <v>1191</v>
      </c>
      <c r="N93">
        <v>1013</v>
      </c>
      <c r="O93" t="s">
        <v>1072</v>
      </c>
      <c r="P93" t="s">
        <v>1072</v>
      </c>
      <c r="Q93">
        <v>1</v>
      </c>
      <c r="W93">
        <v>0</v>
      </c>
      <c r="X93">
        <v>912892513</v>
      </c>
      <c r="Y93">
        <v>2.76</v>
      </c>
      <c r="AA93">
        <v>0</v>
      </c>
      <c r="AB93">
        <v>0</v>
      </c>
      <c r="AC93">
        <v>0</v>
      </c>
      <c r="AD93">
        <v>65.08</v>
      </c>
      <c r="AE93">
        <v>0</v>
      </c>
      <c r="AF93">
        <v>0</v>
      </c>
      <c r="AG93">
        <v>0</v>
      </c>
      <c r="AH93">
        <v>9.92</v>
      </c>
      <c r="AI93">
        <v>1</v>
      </c>
      <c r="AJ93">
        <v>1</v>
      </c>
      <c r="AK93">
        <v>1</v>
      </c>
      <c r="AL93">
        <v>6.56</v>
      </c>
      <c r="AN93">
        <v>0</v>
      </c>
      <c r="AO93">
        <v>1</v>
      </c>
      <c r="AP93">
        <v>1</v>
      </c>
      <c r="AQ93">
        <v>0</v>
      </c>
      <c r="AR93">
        <v>0</v>
      </c>
      <c r="AS93" t="s">
        <v>6</v>
      </c>
      <c r="AT93">
        <v>2.4</v>
      </c>
      <c r="AU93" t="s">
        <v>173</v>
      </c>
      <c r="AV93">
        <v>1</v>
      </c>
      <c r="AW93">
        <v>2</v>
      </c>
      <c r="AX93">
        <v>16750029</v>
      </c>
      <c r="AY93">
        <v>1</v>
      </c>
      <c r="AZ93">
        <v>0</v>
      </c>
      <c r="BA93">
        <v>95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CX93">
        <f>Y93*Source!I98</f>
        <v>31.132799999999996</v>
      </c>
      <c r="CY93">
        <f>AD93</f>
        <v>65.08</v>
      </c>
      <c r="CZ93">
        <f>AH93</f>
        <v>9.92</v>
      </c>
      <c r="DA93">
        <f>AL93</f>
        <v>6.56</v>
      </c>
      <c r="DB93">
        <f>ROUND((ROUND(AT93*CZ93,2)*1.15),2)</f>
        <v>27.38</v>
      </c>
      <c r="DC93">
        <f>ROUND((ROUND(AT93*AG93,2)*1.15),2)</f>
        <v>0</v>
      </c>
    </row>
    <row r="94" spans="1:107" x14ac:dyDescent="0.2">
      <c r="A94">
        <f>ROW(Source!A98)</f>
        <v>98</v>
      </c>
      <c r="B94">
        <v>16748969</v>
      </c>
      <c r="C94">
        <v>16750018</v>
      </c>
      <c r="D94">
        <v>15430395</v>
      </c>
      <c r="E94">
        <v>1</v>
      </c>
      <c r="F94">
        <v>1</v>
      </c>
      <c r="G94">
        <v>1</v>
      </c>
      <c r="H94">
        <v>1</v>
      </c>
      <c r="I94" t="s">
        <v>1073</v>
      </c>
      <c r="J94" t="s">
        <v>6</v>
      </c>
      <c r="K94" t="s">
        <v>1074</v>
      </c>
      <c r="L94">
        <v>1191</v>
      </c>
      <c r="N94">
        <v>1013</v>
      </c>
      <c r="O94" t="s">
        <v>1072</v>
      </c>
      <c r="P94" t="s">
        <v>1072</v>
      </c>
      <c r="Q94">
        <v>1</v>
      </c>
      <c r="W94">
        <v>0</v>
      </c>
      <c r="X94">
        <v>-1417349443</v>
      </c>
      <c r="Y94">
        <v>0.17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1</v>
      </c>
      <c r="AJ94">
        <v>1</v>
      </c>
      <c r="AK94">
        <v>6.56</v>
      </c>
      <c r="AL94">
        <v>1</v>
      </c>
      <c r="AN94">
        <v>0</v>
      </c>
      <c r="AO94">
        <v>1</v>
      </c>
      <c r="AP94">
        <v>0</v>
      </c>
      <c r="AQ94">
        <v>0</v>
      </c>
      <c r="AR94">
        <v>0</v>
      </c>
      <c r="AS94" t="s">
        <v>6</v>
      </c>
      <c r="AT94">
        <v>0.17</v>
      </c>
      <c r="AU94" t="s">
        <v>6</v>
      </c>
      <c r="AV94">
        <v>2</v>
      </c>
      <c r="AW94">
        <v>2</v>
      </c>
      <c r="AX94">
        <v>16750030</v>
      </c>
      <c r="AY94">
        <v>1</v>
      </c>
      <c r="AZ94">
        <v>2048</v>
      </c>
      <c r="BA94">
        <v>96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CX94">
        <f>Y94*Source!I98</f>
        <v>1.9176</v>
      </c>
      <c r="CY94">
        <f>AD94</f>
        <v>0</v>
      </c>
      <c r="CZ94">
        <f>AH94</f>
        <v>0</v>
      </c>
      <c r="DA94">
        <f>AL94</f>
        <v>1</v>
      </c>
      <c r="DB94">
        <f>ROUND(ROUND(AT94*CZ94,2),2)</f>
        <v>0</v>
      </c>
      <c r="DC94">
        <f>ROUND(ROUND(AT94*AG94,2),2)</f>
        <v>0</v>
      </c>
    </row>
    <row r="95" spans="1:107" x14ac:dyDescent="0.2">
      <c r="A95">
        <f>ROW(Source!A98)</f>
        <v>98</v>
      </c>
      <c r="B95">
        <v>16748969</v>
      </c>
      <c r="C95">
        <v>16750018</v>
      </c>
      <c r="D95">
        <v>15249073</v>
      </c>
      <c r="E95">
        <v>1</v>
      </c>
      <c r="F95">
        <v>1</v>
      </c>
      <c r="G95">
        <v>1</v>
      </c>
      <c r="H95">
        <v>2</v>
      </c>
      <c r="I95" t="s">
        <v>1097</v>
      </c>
      <c r="J95" t="s">
        <v>1098</v>
      </c>
      <c r="K95" t="s">
        <v>1099</v>
      </c>
      <c r="L95">
        <v>1368</v>
      </c>
      <c r="N95">
        <v>1011</v>
      </c>
      <c r="O95" t="s">
        <v>1078</v>
      </c>
      <c r="P95" t="s">
        <v>1078</v>
      </c>
      <c r="Q95">
        <v>1</v>
      </c>
      <c r="W95">
        <v>0</v>
      </c>
      <c r="X95">
        <v>1372534845</v>
      </c>
      <c r="Y95">
        <v>0.21250000000000002</v>
      </c>
      <c r="AA95">
        <v>0</v>
      </c>
      <c r="AB95">
        <v>431.06</v>
      </c>
      <c r="AC95">
        <v>11.6</v>
      </c>
      <c r="AD95">
        <v>0</v>
      </c>
      <c r="AE95">
        <v>0</v>
      </c>
      <c r="AF95">
        <v>65.709999999999994</v>
      </c>
      <c r="AG95">
        <v>11.6</v>
      </c>
      <c r="AH95">
        <v>0</v>
      </c>
      <c r="AI95">
        <v>1</v>
      </c>
      <c r="AJ95">
        <v>6.56</v>
      </c>
      <c r="AK95">
        <v>1</v>
      </c>
      <c r="AL95">
        <v>1</v>
      </c>
      <c r="AN95">
        <v>0</v>
      </c>
      <c r="AO95">
        <v>1</v>
      </c>
      <c r="AP95">
        <v>1</v>
      </c>
      <c r="AQ95">
        <v>0</v>
      </c>
      <c r="AR95">
        <v>0</v>
      </c>
      <c r="AS95" t="s">
        <v>6</v>
      </c>
      <c r="AT95">
        <v>0.17</v>
      </c>
      <c r="AU95" t="s">
        <v>172</v>
      </c>
      <c r="AV95">
        <v>0</v>
      </c>
      <c r="AW95">
        <v>2</v>
      </c>
      <c r="AX95">
        <v>16750031</v>
      </c>
      <c r="AY95">
        <v>1</v>
      </c>
      <c r="AZ95">
        <v>0</v>
      </c>
      <c r="BA95">
        <v>97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CX95">
        <f>Y95*Source!I98</f>
        <v>2.3970000000000002</v>
      </c>
      <c r="CY95">
        <f>AB95</f>
        <v>431.06</v>
      </c>
      <c r="CZ95">
        <f>AF95</f>
        <v>65.709999999999994</v>
      </c>
      <c r="DA95">
        <f>AJ95</f>
        <v>6.56</v>
      </c>
      <c r="DB95">
        <f>ROUND((ROUND(AT95*CZ95,2)*1.25),2)</f>
        <v>13.96</v>
      </c>
      <c r="DC95">
        <f>ROUND((ROUND(AT95*AG95,2)*1.25),2)</f>
        <v>2.46</v>
      </c>
    </row>
    <row r="96" spans="1:107" x14ac:dyDescent="0.2">
      <c r="A96">
        <f>ROW(Source!A98)</f>
        <v>98</v>
      </c>
      <c r="B96">
        <v>16748969</v>
      </c>
      <c r="C96">
        <v>16750018</v>
      </c>
      <c r="D96">
        <v>15249377</v>
      </c>
      <c r="E96">
        <v>1</v>
      </c>
      <c r="F96">
        <v>1</v>
      </c>
      <c r="G96">
        <v>1</v>
      </c>
      <c r="H96">
        <v>2</v>
      </c>
      <c r="I96" t="s">
        <v>1100</v>
      </c>
      <c r="J96" t="s">
        <v>1101</v>
      </c>
      <c r="K96" t="s">
        <v>1102</v>
      </c>
      <c r="L96">
        <v>1368</v>
      </c>
      <c r="N96">
        <v>1011</v>
      </c>
      <c r="O96" t="s">
        <v>1078</v>
      </c>
      <c r="P96" t="s">
        <v>1078</v>
      </c>
      <c r="Q96">
        <v>1</v>
      </c>
      <c r="W96">
        <v>0</v>
      </c>
      <c r="X96">
        <v>-353815937</v>
      </c>
      <c r="Y96">
        <v>0.5</v>
      </c>
      <c r="AA96">
        <v>0</v>
      </c>
      <c r="AB96">
        <v>53.14</v>
      </c>
      <c r="AC96">
        <v>0</v>
      </c>
      <c r="AD96">
        <v>0</v>
      </c>
      <c r="AE96">
        <v>0</v>
      </c>
      <c r="AF96">
        <v>8.1</v>
      </c>
      <c r="AG96">
        <v>0</v>
      </c>
      <c r="AH96">
        <v>0</v>
      </c>
      <c r="AI96">
        <v>1</v>
      </c>
      <c r="AJ96">
        <v>6.56</v>
      </c>
      <c r="AK96">
        <v>1</v>
      </c>
      <c r="AL96">
        <v>1</v>
      </c>
      <c r="AN96">
        <v>0</v>
      </c>
      <c r="AO96">
        <v>1</v>
      </c>
      <c r="AP96">
        <v>1</v>
      </c>
      <c r="AQ96">
        <v>0</v>
      </c>
      <c r="AR96">
        <v>0</v>
      </c>
      <c r="AS96" t="s">
        <v>6</v>
      </c>
      <c r="AT96">
        <v>0.4</v>
      </c>
      <c r="AU96" t="s">
        <v>172</v>
      </c>
      <c r="AV96">
        <v>0</v>
      </c>
      <c r="AW96">
        <v>2</v>
      </c>
      <c r="AX96">
        <v>16750032</v>
      </c>
      <c r="AY96">
        <v>1</v>
      </c>
      <c r="AZ96">
        <v>0</v>
      </c>
      <c r="BA96">
        <v>98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CX96">
        <f>Y96*Source!I98</f>
        <v>5.64</v>
      </c>
      <c r="CY96">
        <f>AB96</f>
        <v>53.14</v>
      </c>
      <c r="CZ96">
        <f>AF96</f>
        <v>8.1</v>
      </c>
      <c r="DA96">
        <f>AJ96</f>
        <v>6.56</v>
      </c>
      <c r="DB96">
        <f>ROUND((ROUND(AT96*CZ96,2)*1.25),2)</f>
        <v>4.05</v>
      </c>
      <c r="DC96">
        <f>ROUND((ROUND(AT96*AG96,2)*1.25),2)</f>
        <v>0</v>
      </c>
    </row>
    <row r="97" spans="1:107" x14ac:dyDescent="0.2">
      <c r="A97">
        <f>ROW(Source!A98)</f>
        <v>98</v>
      </c>
      <c r="B97">
        <v>16748969</v>
      </c>
      <c r="C97">
        <v>16750018</v>
      </c>
      <c r="D97">
        <v>15167322</v>
      </c>
      <c r="E97">
        <v>1</v>
      </c>
      <c r="F97">
        <v>1</v>
      </c>
      <c r="G97">
        <v>1</v>
      </c>
      <c r="H97">
        <v>3</v>
      </c>
      <c r="I97" t="s">
        <v>228</v>
      </c>
      <c r="J97" t="s">
        <v>231</v>
      </c>
      <c r="K97" t="s">
        <v>229</v>
      </c>
      <c r="L97">
        <v>1035</v>
      </c>
      <c r="N97">
        <v>1013</v>
      </c>
      <c r="O97" t="s">
        <v>230</v>
      </c>
      <c r="P97" t="s">
        <v>230</v>
      </c>
      <c r="Q97">
        <v>1</v>
      </c>
      <c r="W97">
        <v>0</v>
      </c>
      <c r="X97">
        <v>203574032</v>
      </c>
      <c r="Y97">
        <v>0.35460999999999998</v>
      </c>
      <c r="AA97">
        <v>606.92999999999995</v>
      </c>
      <c r="AB97">
        <v>0</v>
      </c>
      <c r="AC97">
        <v>0</v>
      </c>
      <c r="AD97">
        <v>0</v>
      </c>
      <c r="AE97">
        <v>92.52</v>
      </c>
      <c r="AF97">
        <v>0</v>
      </c>
      <c r="AG97">
        <v>0</v>
      </c>
      <c r="AH97">
        <v>0</v>
      </c>
      <c r="AI97">
        <v>6.56</v>
      </c>
      <c r="AJ97">
        <v>1</v>
      </c>
      <c r="AK97">
        <v>1</v>
      </c>
      <c r="AL97">
        <v>1</v>
      </c>
      <c r="AN97">
        <v>0</v>
      </c>
      <c r="AO97">
        <v>0</v>
      </c>
      <c r="AP97">
        <v>0</v>
      </c>
      <c r="AQ97">
        <v>0</v>
      </c>
      <c r="AR97">
        <v>0</v>
      </c>
      <c r="AS97" t="s">
        <v>6</v>
      </c>
      <c r="AT97">
        <v>0.35460999999999998</v>
      </c>
      <c r="AU97" t="s">
        <v>6</v>
      </c>
      <c r="AV97">
        <v>0</v>
      </c>
      <c r="AW97">
        <v>1</v>
      </c>
      <c r="AX97">
        <v>-1</v>
      </c>
      <c r="AY97">
        <v>0</v>
      </c>
      <c r="AZ97">
        <v>0</v>
      </c>
      <c r="BA97" t="s">
        <v>6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CX97">
        <f>Y97*Source!I98</f>
        <v>4.0000007999999996</v>
      </c>
      <c r="CY97">
        <f t="shared" ref="CY97:CY102" si="14">AA97</f>
        <v>606.92999999999995</v>
      </c>
      <c r="CZ97">
        <f t="shared" ref="CZ97:CZ102" si="15">AE97</f>
        <v>92.52</v>
      </c>
      <c r="DA97">
        <f t="shared" ref="DA97:DA102" si="16">AI97</f>
        <v>6.56</v>
      </c>
      <c r="DB97">
        <f t="shared" ref="DB97:DB102" si="17">ROUND(ROUND(AT97*CZ97,2),2)</f>
        <v>32.81</v>
      </c>
      <c r="DC97">
        <f t="shared" ref="DC97:DC102" si="18">ROUND(ROUND(AT97*AG97,2),2)</f>
        <v>0</v>
      </c>
    </row>
    <row r="98" spans="1:107" x14ac:dyDescent="0.2">
      <c r="A98">
        <f>ROW(Source!A98)</f>
        <v>98</v>
      </c>
      <c r="B98">
        <v>16748969</v>
      </c>
      <c r="C98">
        <v>16750018</v>
      </c>
      <c r="D98">
        <v>15168750</v>
      </c>
      <c r="E98">
        <v>1</v>
      </c>
      <c r="F98">
        <v>1</v>
      </c>
      <c r="G98">
        <v>1</v>
      </c>
      <c r="H98">
        <v>3</v>
      </c>
      <c r="I98" t="s">
        <v>1103</v>
      </c>
      <c r="J98" t="s">
        <v>1104</v>
      </c>
      <c r="K98" t="s">
        <v>1105</v>
      </c>
      <c r="L98">
        <v>1348</v>
      </c>
      <c r="N98">
        <v>1009</v>
      </c>
      <c r="O98" t="s">
        <v>71</v>
      </c>
      <c r="P98" t="s">
        <v>71</v>
      </c>
      <c r="Q98">
        <v>1000</v>
      </c>
      <c r="W98">
        <v>0</v>
      </c>
      <c r="X98">
        <v>-714836380</v>
      </c>
      <c r="Y98">
        <v>1E-4</v>
      </c>
      <c r="AA98">
        <v>67666.47</v>
      </c>
      <c r="AB98">
        <v>0</v>
      </c>
      <c r="AC98">
        <v>0</v>
      </c>
      <c r="AD98">
        <v>0</v>
      </c>
      <c r="AE98">
        <v>10315.01</v>
      </c>
      <c r="AF98">
        <v>0</v>
      </c>
      <c r="AG98">
        <v>0</v>
      </c>
      <c r="AH98">
        <v>0</v>
      </c>
      <c r="AI98">
        <v>6.56</v>
      </c>
      <c r="AJ98">
        <v>1</v>
      </c>
      <c r="AK98">
        <v>1</v>
      </c>
      <c r="AL98">
        <v>1</v>
      </c>
      <c r="AN98">
        <v>0</v>
      </c>
      <c r="AO98">
        <v>1</v>
      </c>
      <c r="AP98">
        <v>0</v>
      </c>
      <c r="AQ98">
        <v>0</v>
      </c>
      <c r="AR98">
        <v>0</v>
      </c>
      <c r="AS98" t="s">
        <v>6</v>
      </c>
      <c r="AT98">
        <v>1E-4</v>
      </c>
      <c r="AU98" t="s">
        <v>6</v>
      </c>
      <c r="AV98">
        <v>0</v>
      </c>
      <c r="AW98">
        <v>2</v>
      </c>
      <c r="AX98">
        <v>16750034</v>
      </c>
      <c r="AY98">
        <v>1</v>
      </c>
      <c r="AZ98">
        <v>0</v>
      </c>
      <c r="BA98">
        <v>100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CX98">
        <f>Y98*Source!I98</f>
        <v>1.1280000000000001E-3</v>
      </c>
      <c r="CY98">
        <f t="shared" si="14"/>
        <v>67666.47</v>
      </c>
      <c r="CZ98">
        <f t="shared" si="15"/>
        <v>10315.01</v>
      </c>
      <c r="DA98">
        <f t="shared" si="16"/>
        <v>6.56</v>
      </c>
      <c r="DB98">
        <f t="shared" si="17"/>
        <v>1.03</v>
      </c>
      <c r="DC98">
        <f t="shared" si="18"/>
        <v>0</v>
      </c>
    </row>
    <row r="99" spans="1:107" x14ac:dyDescent="0.2">
      <c r="A99">
        <f>ROW(Source!A98)</f>
        <v>98</v>
      </c>
      <c r="B99">
        <v>16748969</v>
      </c>
      <c r="C99">
        <v>16750018</v>
      </c>
      <c r="D99">
        <v>15162386</v>
      </c>
      <c r="E99">
        <v>17</v>
      </c>
      <c r="F99">
        <v>1</v>
      </c>
      <c r="G99">
        <v>1</v>
      </c>
      <c r="H99">
        <v>3</v>
      </c>
      <c r="I99" t="s">
        <v>237</v>
      </c>
      <c r="J99" t="s">
        <v>6</v>
      </c>
      <c r="K99" t="s">
        <v>238</v>
      </c>
      <c r="L99">
        <v>1327</v>
      </c>
      <c r="N99">
        <v>1005</v>
      </c>
      <c r="O99" t="s">
        <v>89</v>
      </c>
      <c r="P99" t="s">
        <v>89</v>
      </c>
      <c r="Q99">
        <v>1</v>
      </c>
      <c r="W99">
        <v>0</v>
      </c>
      <c r="X99">
        <v>-1261857363</v>
      </c>
      <c r="Y99">
        <v>1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6.56</v>
      </c>
      <c r="AJ99">
        <v>1</v>
      </c>
      <c r="AK99">
        <v>1</v>
      </c>
      <c r="AL99">
        <v>1</v>
      </c>
      <c r="AN99">
        <v>0</v>
      </c>
      <c r="AO99">
        <v>0</v>
      </c>
      <c r="AP99">
        <v>0</v>
      </c>
      <c r="AQ99">
        <v>0</v>
      </c>
      <c r="AR99">
        <v>0</v>
      </c>
      <c r="AS99" t="s">
        <v>6</v>
      </c>
      <c r="AT99">
        <v>1</v>
      </c>
      <c r="AU99" t="s">
        <v>6</v>
      </c>
      <c r="AV99">
        <v>0</v>
      </c>
      <c r="AW99">
        <v>2</v>
      </c>
      <c r="AX99">
        <v>16750035</v>
      </c>
      <c r="AY99">
        <v>1</v>
      </c>
      <c r="AZ99">
        <v>0</v>
      </c>
      <c r="BA99">
        <v>101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CX99">
        <f>Y99*Source!I98</f>
        <v>11.28</v>
      </c>
      <c r="CY99">
        <f t="shared" si="14"/>
        <v>0</v>
      </c>
      <c r="CZ99">
        <f t="shared" si="15"/>
        <v>0</v>
      </c>
      <c r="DA99">
        <f t="shared" si="16"/>
        <v>6.56</v>
      </c>
      <c r="DB99">
        <f t="shared" si="17"/>
        <v>0</v>
      </c>
      <c r="DC99">
        <f t="shared" si="18"/>
        <v>0</v>
      </c>
    </row>
    <row r="100" spans="1:107" x14ac:dyDescent="0.2">
      <c r="A100">
        <f>ROW(Source!A98)</f>
        <v>98</v>
      </c>
      <c r="B100">
        <v>16748969</v>
      </c>
      <c r="C100">
        <v>16750018</v>
      </c>
      <c r="D100">
        <v>15187349</v>
      </c>
      <c r="E100">
        <v>1</v>
      </c>
      <c r="F100">
        <v>1</v>
      </c>
      <c r="G100">
        <v>1</v>
      </c>
      <c r="H100">
        <v>3</v>
      </c>
      <c r="I100" t="s">
        <v>233</v>
      </c>
      <c r="J100" t="s">
        <v>235</v>
      </c>
      <c r="K100" t="s">
        <v>234</v>
      </c>
      <c r="L100">
        <v>1327</v>
      </c>
      <c r="N100">
        <v>1005</v>
      </c>
      <c r="O100" t="s">
        <v>89</v>
      </c>
      <c r="P100" t="s">
        <v>89</v>
      </c>
      <c r="Q100">
        <v>1</v>
      </c>
      <c r="W100">
        <v>0</v>
      </c>
      <c r="X100">
        <v>-1051400886</v>
      </c>
      <c r="Y100">
        <v>1</v>
      </c>
      <c r="AA100">
        <v>9611.1200000000008</v>
      </c>
      <c r="AB100">
        <v>0</v>
      </c>
      <c r="AC100">
        <v>0</v>
      </c>
      <c r="AD100">
        <v>0</v>
      </c>
      <c r="AE100">
        <v>1465.11</v>
      </c>
      <c r="AF100">
        <v>0</v>
      </c>
      <c r="AG100">
        <v>0</v>
      </c>
      <c r="AH100">
        <v>0</v>
      </c>
      <c r="AI100">
        <v>6.56</v>
      </c>
      <c r="AJ100">
        <v>1</v>
      </c>
      <c r="AK100">
        <v>1</v>
      </c>
      <c r="AL100">
        <v>1</v>
      </c>
      <c r="AN100">
        <v>0</v>
      </c>
      <c r="AO100">
        <v>0</v>
      </c>
      <c r="AP100">
        <v>0</v>
      </c>
      <c r="AQ100">
        <v>0</v>
      </c>
      <c r="AR100">
        <v>0</v>
      </c>
      <c r="AS100" t="s">
        <v>6</v>
      </c>
      <c r="AT100">
        <v>1</v>
      </c>
      <c r="AU100" t="s">
        <v>6</v>
      </c>
      <c r="AV100">
        <v>0</v>
      </c>
      <c r="AW100">
        <v>1</v>
      </c>
      <c r="AX100">
        <v>-1</v>
      </c>
      <c r="AY100">
        <v>0</v>
      </c>
      <c r="AZ100">
        <v>0</v>
      </c>
      <c r="BA100" t="s">
        <v>6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CX100">
        <f>Y100*Source!I98</f>
        <v>11.28</v>
      </c>
      <c r="CY100">
        <f t="shared" si="14"/>
        <v>9611.1200000000008</v>
      </c>
      <c r="CZ100">
        <f t="shared" si="15"/>
        <v>1465.11</v>
      </c>
      <c r="DA100">
        <f t="shared" si="16"/>
        <v>6.56</v>
      </c>
      <c r="DB100">
        <f t="shared" si="17"/>
        <v>1465.11</v>
      </c>
      <c r="DC100">
        <f t="shared" si="18"/>
        <v>0</v>
      </c>
    </row>
    <row r="101" spans="1:107" x14ac:dyDescent="0.2">
      <c r="A101">
        <f>ROW(Source!A98)</f>
        <v>98</v>
      </c>
      <c r="B101">
        <v>16748969</v>
      </c>
      <c r="C101">
        <v>16750018</v>
      </c>
      <c r="D101">
        <v>15192019</v>
      </c>
      <c r="E101">
        <v>1</v>
      </c>
      <c r="F101">
        <v>1</v>
      </c>
      <c r="G101">
        <v>1</v>
      </c>
      <c r="H101">
        <v>3</v>
      </c>
      <c r="I101" t="s">
        <v>1106</v>
      </c>
      <c r="J101" t="s">
        <v>1107</v>
      </c>
      <c r="K101" t="s">
        <v>1108</v>
      </c>
      <c r="L101">
        <v>1348</v>
      </c>
      <c r="N101">
        <v>1009</v>
      </c>
      <c r="O101" t="s">
        <v>71</v>
      </c>
      <c r="P101" t="s">
        <v>71</v>
      </c>
      <c r="Q101">
        <v>1000</v>
      </c>
      <c r="W101">
        <v>0</v>
      </c>
      <c r="X101">
        <v>-751617735</v>
      </c>
      <c r="Y101">
        <v>3.0000000000000001E-3</v>
      </c>
      <c r="AA101">
        <v>38074.239999999998</v>
      </c>
      <c r="AB101">
        <v>0</v>
      </c>
      <c r="AC101">
        <v>0</v>
      </c>
      <c r="AD101">
        <v>0</v>
      </c>
      <c r="AE101">
        <v>5804</v>
      </c>
      <c r="AF101">
        <v>0</v>
      </c>
      <c r="AG101">
        <v>0</v>
      </c>
      <c r="AH101">
        <v>0</v>
      </c>
      <c r="AI101">
        <v>6.56</v>
      </c>
      <c r="AJ101">
        <v>1</v>
      </c>
      <c r="AK101">
        <v>1</v>
      </c>
      <c r="AL101">
        <v>1</v>
      </c>
      <c r="AN101">
        <v>0</v>
      </c>
      <c r="AO101">
        <v>1</v>
      </c>
      <c r="AP101">
        <v>0</v>
      </c>
      <c r="AQ101">
        <v>0</v>
      </c>
      <c r="AR101">
        <v>0</v>
      </c>
      <c r="AS101" t="s">
        <v>6</v>
      </c>
      <c r="AT101">
        <v>3.0000000000000001E-3</v>
      </c>
      <c r="AU101" t="s">
        <v>6</v>
      </c>
      <c r="AV101">
        <v>0</v>
      </c>
      <c r="AW101">
        <v>2</v>
      </c>
      <c r="AX101">
        <v>16750036</v>
      </c>
      <c r="AY101">
        <v>1</v>
      </c>
      <c r="AZ101">
        <v>0</v>
      </c>
      <c r="BA101">
        <v>102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CX101">
        <f>Y101*Source!I98</f>
        <v>3.3840000000000002E-2</v>
      </c>
      <c r="CY101">
        <f t="shared" si="14"/>
        <v>38074.239999999998</v>
      </c>
      <c r="CZ101">
        <f t="shared" si="15"/>
        <v>5804</v>
      </c>
      <c r="DA101">
        <f t="shared" si="16"/>
        <v>6.56</v>
      </c>
      <c r="DB101">
        <f t="shared" si="17"/>
        <v>17.41</v>
      </c>
      <c r="DC101">
        <f t="shared" si="18"/>
        <v>0</v>
      </c>
    </row>
    <row r="102" spans="1:107" x14ac:dyDescent="0.2">
      <c r="A102">
        <f>ROW(Source!A98)</f>
        <v>98</v>
      </c>
      <c r="B102">
        <v>16748969</v>
      </c>
      <c r="C102">
        <v>16750018</v>
      </c>
      <c r="D102">
        <v>15204330</v>
      </c>
      <c r="E102">
        <v>1</v>
      </c>
      <c r="F102">
        <v>1</v>
      </c>
      <c r="G102">
        <v>1</v>
      </c>
      <c r="H102">
        <v>3</v>
      </c>
      <c r="I102" t="s">
        <v>1109</v>
      </c>
      <c r="J102" t="s">
        <v>1110</v>
      </c>
      <c r="K102" t="s">
        <v>1111</v>
      </c>
      <c r="L102">
        <v>1354</v>
      </c>
      <c r="N102">
        <v>1010</v>
      </c>
      <c r="O102" t="s">
        <v>53</v>
      </c>
      <c r="P102" t="s">
        <v>53</v>
      </c>
      <c r="Q102">
        <v>1</v>
      </c>
      <c r="W102">
        <v>0</v>
      </c>
      <c r="X102">
        <v>-1075270488</v>
      </c>
      <c r="Y102">
        <v>0.1</v>
      </c>
      <c r="AA102">
        <v>477.57</v>
      </c>
      <c r="AB102">
        <v>0</v>
      </c>
      <c r="AC102">
        <v>0</v>
      </c>
      <c r="AD102">
        <v>0</v>
      </c>
      <c r="AE102">
        <v>72.8</v>
      </c>
      <c r="AF102">
        <v>0</v>
      </c>
      <c r="AG102">
        <v>0</v>
      </c>
      <c r="AH102">
        <v>0</v>
      </c>
      <c r="AI102">
        <v>6.56</v>
      </c>
      <c r="AJ102">
        <v>1</v>
      </c>
      <c r="AK102">
        <v>1</v>
      </c>
      <c r="AL102">
        <v>1</v>
      </c>
      <c r="AN102">
        <v>0</v>
      </c>
      <c r="AO102">
        <v>1</v>
      </c>
      <c r="AP102">
        <v>0</v>
      </c>
      <c r="AQ102">
        <v>0</v>
      </c>
      <c r="AR102">
        <v>0</v>
      </c>
      <c r="AS102" t="s">
        <v>6</v>
      </c>
      <c r="AT102">
        <v>0.1</v>
      </c>
      <c r="AU102" t="s">
        <v>6</v>
      </c>
      <c r="AV102">
        <v>0</v>
      </c>
      <c r="AW102">
        <v>2</v>
      </c>
      <c r="AX102">
        <v>16750037</v>
      </c>
      <c r="AY102">
        <v>1</v>
      </c>
      <c r="AZ102">
        <v>0</v>
      </c>
      <c r="BA102">
        <v>103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CX102">
        <f>Y102*Source!I98</f>
        <v>1.1279999999999999</v>
      </c>
      <c r="CY102">
        <f t="shared" si="14"/>
        <v>477.57</v>
      </c>
      <c r="CZ102">
        <f t="shared" si="15"/>
        <v>72.8</v>
      </c>
      <c r="DA102">
        <f t="shared" si="16"/>
        <v>6.56</v>
      </c>
      <c r="DB102">
        <f t="shared" si="17"/>
        <v>7.28</v>
      </c>
      <c r="DC102">
        <f t="shared" si="18"/>
        <v>0</v>
      </c>
    </row>
    <row r="103" spans="1:107" x14ac:dyDescent="0.2">
      <c r="A103">
        <f>ROW(Source!A102)</f>
        <v>102</v>
      </c>
      <c r="B103">
        <v>16748969</v>
      </c>
      <c r="C103">
        <v>16750041</v>
      </c>
      <c r="D103">
        <v>15446300</v>
      </c>
      <c r="E103">
        <v>1</v>
      </c>
      <c r="F103">
        <v>1</v>
      </c>
      <c r="G103">
        <v>1</v>
      </c>
      <c r="H103">
        <v>1</v>
      </c>
      <c r="I103" t="s">
        <v>1095</v>
      </c>
      <c r="J103" t="s">
        <v>6</v>
      </c>
      <c r="K103" t="s">
        <v>1096</v>
      </c>
      <c r="L103">
        <v>1191</v>
      </c>
      <c r="N103">
        <v>1013</v>
      </c>
      <c r="O103" t="s">
        <v>1072</v>
      </c>
      <c r="P103" t="s">
        <v>1072</v>
      </c>
      <c r="Q103">
        <v>1</v>
      </c>
      <c r="W103">
        <v>0</v>
      </c>
      <c r="X103">
        <v>912892513</v>
      </c>
      <c r="Y103">
        <v>1.2765</v>
      </c>
      <c r="AA103">
        <v>0</v>
      </c>
      <c r="AB103">
        <v>0</v>
      </c>
      <c r="AC103">
        <v>0</v>
      </c>
      <c r="AD103">
        <v>65.08</v>
      </c>
      <c r="AE103">
        <v>0</v>
      </c>
      <c r="AF103">
        <v>0</v>
      </c>
      <c r="AG103">
        <v>0</v>
      </c>
      <c r="AH103">
        <v>9.92</v>
      </c>
      <c r="AI103">
        <v>1</v>
      </c>
      <c r="AJ103">
        <v>1</v>
      </c>
      <c r="AK103">
        <v>1</v>
      </c>
      <c r="AL103">
        <v>6.56</v>
      </c>
      <c r="AN103">
        <v>0</v>
      </c>
      <c r="AO103">
        <v>1</v>
      </c>
      <c r="AP103">
        <v>1</v>
      </c>
      <c r="AQ103">
        <v>0</v>
      </c>
      <c r="AR103">
        <v>0</v>
      </c>
      <c r="AS103" t="s">
        <v>6</v>
      </c>
      <c r="AT103">
        <v>1.1100000000000001</v>
      </c>
      <c r="AU103" t="s">
        <v>173</v>
      </c>
      <c r="AV103">
        <v>1</v>
      </c>
      <c r="AW103">
        <v>2</v>
      </c>
      <c r="AX103">
        <v>16750047</v>
      </c>
      <c r="AY103">
        <v>1</v>
      </c>
      <c r="AZ103">
        <v>0</v>
      </c>
      <c r="BA103">
        <v>104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CX103">
        <f>Y103*Source!I102</f>
        <v>5.1059999999999999</v>
      </c>
      <c r="CY103">
        <f>AD103</f>
        <v>65.08</v>
      </c>
      <c r="CZ103">
        <f>AH103</f>
        <v>9.92</v>
      </c>
      <c r="DA103">
        <f>AL103</f>
        <v>6.56</v>
      </c>
      <c r="DB103">
        <f>ROUND((ROUND(AT103*CZ103,2)*1.15),2)</f>
        <v>12.66</v>
      </c>
      <c r="DC103">
        <f>ROUND((ROUND(AT103*AG103,2)*1.15),2)</f>
        <v>0</v>
      </c>
    </row>
    <row r="104" spans="1:107" x14ac:dyDescent="0.2">
      <c r="A104">
        <f>ROW(Source!A102)</f>
        <v>102</v>
      </c>
      <c r="B104">
        <v>16748969</v>
      </c>
      <c r="C104">
        <v>16750041</v>
      </c>
      <c r="D104">
        <v>15249377</v>
      </c>
      <c r="E104">
        <v>1</v>
      </c>
      <c r="F104">
        <v>1</v>
      </c>
      <c r="G104">
        <v>1</v>
      </c>
      <c r="H104">
        <v>2</v>
      </c>
      <c r="I104" t="s">
        <v>1100</v>
      </c>
      <c r="J104" t="s">
        <v>1101</v>
      </c>
      <c r="K104" t="s">
        <v>1102</v>
      </c>
      <c r="L104">
        <v>1368</v>
      </c>
      <c r="N104">
        <v>1011</v>
      </c>
      <c r="O104" t="s">
        <v>1078</v>
      </c>
      <c r="P104" t="s">
        <v>1078</v>
      </c>
      <c r="Q104">
        <v>1</v>
      </c>
      <c r="W104">
        <v>0</v>
      </c>
      <c r="X104">
        <v>-353815937</v>
      </c>
      <c r="Y104">
        <v>0.32500000000000001</v>
      </c>
      <c r="AA104">
        <v>0</v>
      </c>
      <c r="AB104">
        <v>53.14</v>
      </c>
      <c r="AC104">
        <v>0</v>
      </c>
      <c r="AD104">
        <v>0</v>
      </c>
      <c r="AE104">
        <v>0</v>
      </c>
      <c r="AF104">
        <v>8.1</v>
      </c>
      <c r="AG104">
        <v>0</v>
      </c>
      <c r="AH104">
        <v>0</v>
      </c>
      <c r="AI104">
        <v>1</v>
      </c>
      <c r="AJ104">
        <v>6.56</v>
      </c>
      <c r="AK104">
        <v>1</v>
      </c>
      <c r="AL104">
        <v>1</v>
      </c>
      <c r="AN104">
        <v>0</v>
      </c>
      <c r="AO104">
        <v>1</v>
      </c>
      <c r="AP104">
        <v>1</v>
      </c>
      <c r="AQ104">
        <v>0</v>
      </c>
      <c r="AR104">
        <v>0</v>
      </c>
      <c r="AS104" t="s">
        <v>6</v>
      </c>
      <c r="AT104">
        <v>0.26</v>
      </c>
      <c r="AU104" t="s">
        <v>172</v>
      </c>
      <c r="AV104">
        <v>0</v>
      </c>
      <c r="AW104">
        <v>2</v>
      </c>
      <c r="AX104">
        <v>16750048</v>
      </c>
      <c r="AY104">
        <v>1</v>
      </c>
      <c r="AZ104">
        <v>0</v>
      </c>
      <c r="BA104">
        <v>105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CX104">
        <f>Y104*Source!I102</f>
        <v>1.3</v>
      </c>
      <c r="CY104">
        <f>AB104</f>
        <v>53.14</v>
      </c>
      <c r="CZ104">
        <f>AF104</f>
        <v>8.1</v>
      </c>
      <c r="DA104">
        <f>AJ104</f>
        <v>6.56</v>
      </c>
      <c r="DB104">
        <f>ROUND((ROUND(AT104*CZ104,2)*1.25),2)</f>
        <v>2.64</v>
      </c>
      <c r="DC104">
        <f>ROUND((ROUND(AT104*AG104,2)*1.25),2)</f>
        <v>0</v>
      </c>
    </row>
    <row r="105" spans="1:107" x14ac:dyDescent="0.2">
      <c r="A105">
        <f>ROW(Source!A102)</f>
        <v>102</v>
      </c>
      <c r="B105">
        <v>16748969</v>
      </c>
      <c r="C105">
        <v>16750041</v>
      </c>
      <c r="D105">
        <v>15167307</v>
      </c>
      <c r="E105">
        <v>1</v>
      </c>
      <c r="F105">
        <v>1</v>
      </c>
      <c r="G105">
        <v>1</v>
      </c>
      <c r="H105">
        <v>3</v>
      </c>
      <c r="I105" t="s">
        <v>245</v>
      </c>
      <c r="J105" t="s">
        <v>247</v>
      </c>
      <c r="K105" t="s">
        <v>246</v>
      </c>
      <c r="L105">
        <v>1354</v>
      </c>
      <c r="N105">
        <v>1010</v>
      </c>
      <c r="O105" t="s">
        <v>53</v>
      </c>
      <c r="P105" t="s">
        <v>53</v>
      </c>
      <c r="Q105">
        <v>1</v>
      </c>
      <c r="W105">
        <v>0</v>
      </c>
      <c r="X105">
        <v>-462216632</v>
      </c>
      <c r="Y105">
        <v>1</v>
      </c>
      <c r="AA105">
        <v>2435.0700000000002</v>
      </c>
      <c r="AB105">
        <v>0</v>
      </c>
      <c r="AC105">
        <v>0</v>
      </c>
      <c r="AD105">
        <v>0</v>
      </c>
      <c r="AE105">
        <v>371.2</v>
      </c>
      <c r="AF105">
        <v>0</v>
      </c>
      <c r="AG105">
        <v>0</v>
      </c>
      <c r="AH105">
        <v>0</v>
      </c>
      <c r="AI105">
        <v>6.56</v>
      </c>
      <c r="AJ105">
        <v>1</v>
      </c>
      <c r="AK105">
        <v>1</v>
      </c>
      <c r="AL105">
        <v>1</v>
      </c>
      <c r="AN105">
        <v>0</v>
      </c>
      <c r="AO105">
        <v>0</v>
      </c>
      <c r="AP105">
        <v>0</v>
      </c>
      <c r="AQ105">
        <v>0</v>
      </c>
      <c r="AR105">
        <v>0</v>
      </c>
      <c r="AS105" t="s">
        <v>6</v>
      </c>
      <c r="AT105">
        <v>1</v>
      </c>
      <c r="AU105" t="s">
        <v>6</v>
      </c>
      <c r="AV105">
        <v>0</v>
      </c>
      <c r="AW105">
        <v>1</v>
      </c>
      <c r="AX105">
        <v>-1</v>
      </c>
      <c r="AY105">
        <v>0</v>
      </c>
      <c r="AZ105">
        <v>0</v>
      </c>
      <c r="BA105" t="s">
        <v>6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CX105">
        <f>Y105*Source!I102</f>
        <v>4</v>
      </c>
      <c r="CY105">
        <f>AA105</f>
        <v>2435.0700000000002</v>
      </c>
      <c r="CZ105">
        <f>AE105</f>
        <v>371.2</v>
      </c>
      <c r="DA105">
        <f>AI105</f>
        <v>6.56</v>
      </c>
      <c r="DB105">
        <f>ROUND(ROUND(AT105*CZ105,2),2)</f>
        <v>371.2</v>
      </c>
      <c r="DC105">
        <f>ROUND(ROUND(AT105*AG105,2),2)</f>
        <v>0</v>
      </c>
    </row>
    <row r="106" spans="1:107" x14ac:dyDescent="0.2">
      <c r="A106">
        <f>ROW(Source!A102)</f>
        <v>102</v>
      </c>
      <c r="B106">
        <v>16748969</v>
      </c>
      <c r="C106">
        <v>16750041</v>
      </c>
      <c r="D106">
        <v>15168750</v>
      </c>
      <c r="E106">
        <v>1</v>
      </c>
      <c r="F106">
        <v>1</v>
      </c>
      <c r="G106">
        <v>1</v>
      </c>
      <c r="H106">
        <v>3</v>
      </c>
      <c r="I106" t="s">
        <v>1103</v>
      </c>
      <c r="J106" t="s">
        <v>1104</v>
      </c>
      <c r="K106" t="s">
        <v>1105</v>
      </c>
      <c r="L106">
        <v>1348</v>
      </c>
      <c r="N106">
        <v>1009</v>
      </c>
      <c r="O106" t="s">
        <v>71</v>
      </c>
      <c r="P106" t="s">
        <v>71</v>
      </c>
      <c r="Q106">
        <v>1000</v>
      </c>
      <c r="W106">
        <v>0</v>
      </c>
      <c r="X106">
        <v>-714836380</v>
      </c>
      <c r="Y106">
        <v>6.9999999999999994E-5</v>
      </c>
      <c r="AA106">
        <v>67666.47</v>
      </c>
      <c r="AB106">
        <v>0</v>
      </c>
      <c r="AC106">
        <v>0</v>
      </c>
      <c r="AD106">
        <v>0</v>
      </c>
      <c r="AE106">
        <v>10315.01</v>
      </c>
      <c r="AF106">
        <v>0</v>
      </c>
      <c r="AG106">
        <v>0</v>
      </c>
      <c r="AH106">
        <v>0</v>
      </c>
      <c r="AI106">
        <v>6.56</v>
      </c>
      <c r="AJ106">
        <v>1</v>
      </c>
      <c r="AK106">
        <v>1</v>
      </c>
      <c r="AL106">
        <v>1</v>
      </c>
      <c r="AN106">
        <v>0</v>
      </c>
      <c r="AO106">
        <v>1</v>
      </c>
      <c r="AP106">
        <v>0</v>
      </c>
      <c r="AQ106">
        <v>0</v>
      </c>
      <c r="AR106">
        <v>0</v>
      </c>
      <c r="AS106" t="s">
        <v>6</v>
      </c>
      <c r="AT106">
        <v>6.9999999999999994E-5</v>
      </c>
      <c r="AU106" t="s">
        <v>6</v>
      </c>
      <c r="AV106">
        <v>0</v>
      </c>
      <c r="AW106">
        <v>2</v>
      </c>
      <c r="AX106">
        <v>16750050</v>
      </c>
      <c r="AY106">
        <v>1</v>
      </c>
      <c r="AZ106">
        <v>0</v>
      </c>
      <c r="BA106">
        <v>107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CX106">
        <f>Y106*Source!I102</f>
        <v>2.7999999999999998E-4</v>
      </c>
      <c r="CY106">
        <f>AA106</f>
        <v>67666.47</v>
      </c>
      <c r="CZ106">
        <f>AE106</f>
        <v>10315.01</v>
      </c>
      <c r="DA106">
        <f>AI106</f>
        <v>6.56</v>
      </c>
      <c r="DB106">
        <f>ROUND(ROUND(AT106*CZ106,2),2)</f>
        <v>0.72</v>
      </c>
      <c r="DC106">
        <f>ROUND(ROUND(AT106*AG106,2),2)</f>
        <v>0</v>
      </c>
    </row>
    <row r="107" spans="1:107" x14ac:dyDescent="0.2">
      <c r="A107">
        <f>ROW(Source!A102)</f>
        <v>102</v>
      </c>
      <c r="B107">
        <v>16748969</v>
      </c>
      <c r="C107">
        <v>16750041</v>
      </c>
      <c r="D107">
        <v>15169980</v>
      </c>
      <c r="E107">
        <v>1</v>
      </c>
      <c r="F107">
        <v>1</v>
      </c>
      <c r="G107">
        <v>1</v>
      </c>
      <c r="H107">
        <v>3</v>
      </c>
      <c r="I107" t="s">
        <v>1174</v>
      </c>
      <c r="J107" t="s">
        <v>1175</v>
      </c>
      <c r="K107" t="s">
        <v>1176</v>
      </c>
      <c r="L107">
        <v>1355</v>
      </c>
      <c r="N107">
        <v>1010</v>
      </c>
      <c r="O107" t="s">
        <v>724</v>
      </c>
      <c r="P107" t="s">
        <v>724</v>
      </c>
      <c r="Q107">
        <v>100</v>
      </c>
      <c r="W107">
        <v>0</v>
      </c>
      <c r="X107">
        <v>-670451344</v>
      </c>
      <c r="Y107">
        <v>8.0000000000000007E-5</v>
      </c>
      <c r="AA107">
        <v>131.19999999999999</v>
      </c>
      <c r="AB107">
        <v>0</v>
      </c>
      <c r="AC107">
        <v>0</v>
      </c>
      <c r="AD107">
        <v>0</v>
      </c>
      <c r="AE107">
        <v>20</v>
      </c>
      <c r="AF107">
        <v>0</v>
      </c>
      <c r="AG107">
        <v>0</v>
      </c>
      <c r="AH107">
        <v>0</v>
      </c>
      <c r="AI107">
        <v>6.56</v>
      </c>
      <c r="AJ107">
        <v>1</v>
      </c>
      <c r="AK107">
        <v>1</v>
      </c>
      <c r="AL107">
        <v>1</v>
      </c>
      <c r="AN107">
        <v>0</v>
      </c>
      <c r="AO107">
        <v>1</v>
      </c>
      <c r="AP107">
        <v>0</v>
      </c>
      <c r="AQ107">
        <v>0</v>
      </c>
      <c r="AR107">
        <v>0</v>
      </c>
      <c r="AS107" t="s">
        <v>6</v>
      </c>
      <c r="AT107">
        <v>8.0000000000000007E-5</v>
      </c>
      <c r="AU107" t="s">
        <v>6</v>
      </c>
      <c r="AV107">
        <v>0</v>
      </c>
      <c r="AW107">
        <v>2</v>
      </c>
      <c r="AX107">
        <v>16750051</v>
      </c>
      <c r="AY107">
        <v>1</v>
      </c>
      <c r="AZ107">
        <v>0</v>
      </c>
      <c r="BA107">
        <v>108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CX107">
        <f>Y107*Source!I102</f>
        <v>3.2000000000000003E-4</v>
      </c>
      <c r="CY107">
        <f>AA107</f>
        <v>131.19999999999999</v>
      </c>
      <c r="CZ107">
        <f>AE107</f>
        <v>20</v>
      </c>
      <c r="DA107">
        <f>AI107</f>
        <v>6.56</v>
      </c>
      <c r="DB107">
        <f>ROUND(ROUND(AT107*CZ107,2),2)</f>
        <v>0</v>
      </c>
      <c r="DC107">
        <f>ROUND(ROUND(AT107*AG107,2),2)</f>
        <v>0</v>
      </c>
    </row>
    <row r="108" spans="1:107" x14ac:dyDescent="0.2">
      <c r="A108">
        <f>ROW(Source!A104)</f>
        <v>104</v>
      </c>
      <c r="B108">
        <v>16748969</v>
      </c>
      <c r="C108">
        <v>16750053</v>
      </c>
      <c r="D108">
        <v>15438286</v>
      </c>
      <c r="E108">
        <v>1</v>
      </c>
      <c r="F108">
        <v>1</v>
      </c>
      <c r="G108">
        <v>1</v>
      </c>
      <c r="H108">
        <v>1</v>
      </c>
      <c r="I108" t="s">
        <v>1177</v>
      </c>
      <c r="J108" t="s">
        <v>6</v>
      </c>
      <c r="K108" t="s">
        <v>1178</v>
      </c>
      <c r="L108">
        <v>1191</v>
      </c>
      <c r="N108">
        <v>1013</v>
      </c>
      <c r="O108" t="s">
        <v>1072</v>
      </c>
      <c r="P108" t="s">
        <v>1072</v>
      </c>
      <c r="Q108">
        <v>1</v>
      </c>
      <c r="W108">
        <v>0</v>
      </c>
      <c r="X108">
        <v>-1027537862</v>
      </c>
      <c r="Y108">
        <v>102.95949999999999</v>
      </c>
      <c r="AA108">
        <v>0</v>
      </c>
      <c r="AB108">
        <v>0</v>
      </c>
      <c r="AC108">
        <v>0</v>
      </c>
      <c r="AD108">
        <v>60.22</v>
      </c>
      <c r="AE108">
        <v>0</v>
      </c>
      <c r="AF108">
        <v>0</v>
      </c>
      <c r="AG108">
        <v>0</v>
      </c>
      <c r="AH108">
        <v>9.18</v>
      </c>
      <c r="AI108">
        <v>1</v>
      </c>
      <c r="AJ108">
        <v>1</v>
      </c>
      <c r="AK108">
        <v>1</v>
      </c>
      <c r="AL108">
        <v>6.56</v>
      </c>
      <c r="AN108">
        <v>0</v>
      </c>
      <c r="AO108">
        <v>1</v>
      </c>
      <c r="AP108">
        <v>1</v>
      </c>
      <c r="AQ108">
        <v>0</v>
      </c>
      <c r="AR108">
        <v>0</v>
      </c>
      <c r="AS108" t="s">
        <v>6</v>
      </c>
      <c r="AT108">
        <v>89.53</v>
      </c>
      <c r="AU108" t="s">
        <v>173</v>
      </c>
      <c r="AV108">
        <v>1</v>
      </c>
      <c r="AW108">
        <v>2</v>
      </c>
      <c r="AX108">
        <v>16750066</v>
      </c>
      <c r="AY108">
        <v>1</v>
      </c>
      <c r="AZ108">
        <v>0</v>
      </c>
      <c r="BA108">
        <v>109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CX108">
        <f>Y108*Source!I104</f>
        <v>7.2277568999999993</v>
      </c>
      <c r="CY108">
        <f>AD108</f>
        <v>60.22</v>
      </c>
      <c r="CZ108">
        <f>AH108</f>
        <v>9.18</v>
      </c>
      <c r="DA108">
        <f>AL108</f>
        <v>6.56</v>
      </c>
      <c r="DB108">
        <f>ROUND((ROUND(AT108*CZ108,2)*1.15),2)</f>
        <v>945.17</v>
      </c>
      <c r="DC108">
        <f>ROUND((ROUND(AT108*AG108,2)*1.15),2)</f>
        <v>0</v>
      </c>
    </row>
    <row r="109" spans="1:107" x14ac:dyDescent="0.2">
      <c r="A109">
        <f>ROW(Source!A104)</f>
        <v>104</v>
      </c>
      <c r="B109">
        <v>16748969</v>
      </c>
      <c r="C109">
        <v>16750053</v>
      </c>
      <c r="D109">
        <v>15430395</v>
      </c>
      <c r="E109">
        <v>1</v>
      </c>
      <c r="F109">
        <v>1</v>
      </c>
      <c r="G109">
        <v>1</v>
      </c>
      <c r="H109">
        <v>1</v>
      </c>
      <c r="I109" t="s">
        <v>1073</v>
      </c>
      <c r="J109" t="s">
        <v>6</v>
      </c>
      <c r="K109" t="s">
        <v>1074</v>
      </c>
      <c r="L109">
        <v>1191</v>
      </c>
      <c r="N109">
        <v>1013</v>
      </c>
      <c r="O109" t="s">
        <v>1072</v>
      </c>
      <c r="P109" t="s">
        <v>1072</v>
      </c>
      <c r="Q109">
        <v>1</v>
      </c>
      <c r="W109">
        <v>0</v>
      </c>
      <c r="X109">
        <v>-1417349443</v>
      </c>
      <c r="Y109">
        <v>11.68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1</v>
      </c>
      <c r="AJ109">
        <v>1</v>
      </c>
      <c r="AK109">
        <v>6.56</v>
      </c>
      <c r="AL109">
        <v>1</v>
      </c>
      <c r="AN109">
        <v>0</v>
      </c>
      <c r="AO109">
        <v>1</v>
      </c>
      <c r="AP109">
        <v>0</v>
      </c>
      <c r="AQ109">
        <v>0</v>
      </c>
      <c r="AR109">
        <v>0</v>
      </c>
      <c r="AS109" t="s">
        <v>6</v>
      </c>
      <c r="AT109">
        <v>11.68</v>
      </c>
      <c r="AU109" t="s">
        <v>6</v>
      </c>
      <c r="AV109">
        <v>2</v>
      </c>
      <c r="AW109">
        <v>2</v>
      </c>
      <c r="AX109">
        <v>16750067</v>
      </c>
      <c r="AY109">
        <v>1</v>
      </c>
      <c r="AZ109">
        <v>2048</v>
      </c>
      <c r="BA109">
        <v>110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CX109">
        <f>Y109*Source!I104</f>
        <v>0.819936</v>
      </c>
      <c r="CY109">
        <f>AD109</f>
        <v>0</v>
      </c>
      <c r="CZ109">
        <f>AH109</f>
        <v>0</v>
      </c>
      <c r="DA109">
        <f>AL109</f>
        <v>1</v>
      </c>
      <c r="DB109">
        <f>ROUND(ROUND(AT109*CZ109,2),2)</f>
        <v>0</v>
      </c>
      <c r="DC109">
        <f>ROUND(ROUND(AT109*AG109,2),2)</f>
        <v>0</v>
      </c>
    </row>
    <row r="110" spans="1:107" x14ac:dyDescent="0.2">
      <c r="A110">
        <f>ROW(Source!A104)</f>
        <v>104</v>
      </c>
      <c r="B110">
        <v>16748969</v>
      </c>
      <c r="C110">
        <v>16750053</v>
      </c>
      <c r="D110">
        <v>15247578</v>
      </c>
      <c r="E110">
        <v>1</v>
      </c>
      <c r="F110">
        <v>1</v>
      </c>
      <c r="G110">
        <v>1</v>
      </c>
      <c r="H110">
        <v>2</v>
      </c>
      <c r="I110" t="s">
        <v>1143</v>
      </c>
      <c r="J110" t="s">
        <v>1144</v>
      </c>
      <c r="K110" t="s">
        <v>1145</v>
      </c>
      <c r="L110">
        <v>1368</v>
      </c>
      <c r="N110">
        <v>1011</v>
      </c>
      <c r="O110" t="s">
        <v>1078</v>
      </c>
      <c r="P110" t="s">
        <v>1078</v>
      </c>
      <c r="Q110">
        <v>1</v>
      </c>
      <c r="W110">
        <v>0</v>
      </c>
      <c r="X110">
        <v>-1460065968</v>
      </c>
      <c r="Y110">
        <v>12.112499999999999</v>
      </c>
      <c r="AA110">
        <v>0</v>
      </c>
      <c r="AB110">
        <v>566.78</v>
      </c>
      <c r="AC110">
        <v>13.5</v>
      </c>
      <c r="AD110">
        <v>0</v>
      </c>
      <c r="AE110">
        <v>0</v>
      </c>
      <c r="AF110">
        <v>86.4</v>
      </c>
      <c r="AG110">
        <v>13.5</v>
      </c>
      <c r="AH110">
        <v>0</v>
      </c>
      <c r="AI110">
        <v>1</v>
      </c>
      <c r="AJ110">
        <v>6.56</v>
      </c>
      <c r="AK110">
        <v>1</v>
      </c>
      <c r="AL110">
        <v>1</v>
      </c>
      <c r="AN110">
        <v>0</v>
      </c>
      <c r="AO110">
        <v>1</v>
      </c>
      <c r="AP110">
        <v>1</v>
      </c>
      <c r="AQ110">
        <v>0</v>
      </c>
      <c r="AR110">
        <v>0</v>
      </c>
      <c r="AS110" t="s">
        <v>6</v>
      </c>
      <c r="AT110">
        <v>9.69</v>
      </c>
      <c r="AU110" t="s">
        <v>172</v>
      </c>
      <c r="AV110">
        <v>0</v>
      </c>
      <c r="AW110">
        <v>2</v>
      </c>
      <c r="AX110">
        <v>16750068</v>
      </c>
      <c r="AY110">
        <v>1</v>
      </c>
      <c r="AZ110">
        <v>0</v>
      </c>
      <c r="BA110">
        <v>111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CX110">
        <f>Y110*Source!I104</f>
        <v>0.85029749999999993</v>
      </c>
      <c r="CY110">
        <f>AB110</f>
        <v>566.78</v>
      </c>
      <c r="CZ110">
        <f>AF110</f>
        <v>86.4</v>
      </c>
      <c r="DA110">
        <f>AJ110</f>
        <v>6.56</v>
      </c>
      <c r="DB110">
        <f>ROUND((ROUND(AT110*CZ110,2)*1.25),2)</f>
        <v>1046.53</v>
      </c>
      <c r="DC110">
        <f>ROUND((ROUND(AT110*AG110,2)*1.25),2)</f>
        <v>163.53</v>
      </c>
    </row>
    <row r="111" spans="1:107" x14ac:dyDescent="0.2">
      <c r="A111">
        <f>ROW(Source!A104)</f>
        <v>104</v>
      </c>
      <c r="B111">
        <v>16748969</v>
      </c>
      <c r="C111">
        <v>16750053</v>
      </c>
      <c r="D111">
        <v>15249073</v>
      </c>
      <c r="E111">
        <v>1</v>
      </c>
      <c r="F111">
        <v>1</v>
      </c>
      <c r="G111">
        <v>1</v>
      </c>
      <c r="H111">
        <v>2</v>
      </c>
      <c r="I111" t="s">
        <v>1097</v>
      </c>
      <c r="J111" t="s">
        <v>1098</v>
      </c>
      <c r="K111" t="s">
        <v>1099</v>
      </c>
      <c r="L111">
        <v>1368</v>
      </c>
      <c r="N111">
        <v>1011</v>
      </c>
      <c r="O111" t="s">
        <v>1078</v>
      </c>
      <c r="P111" t="s">
        <v>1078</v>
      </c>
      <c r="Q111">
        <v>1</v>
      </c>
      <c r="W111">
        <v>0</v>
      </c>
      <c r="X111">
        <v>1372534845</v>
      </c>
      <c r="Y111">
        <v>2.4874999999999998</v>
      </c>
      <c r="AA111">
        <v>0</v>
      </c>
      <c r="AB111">
        <v>431.06</v>
      </c>
      <c r="AC111">
        <v>11.6</v>
      </c>
      <c r="AD111">
        <v>0</v>
      </c>
      <c r="AE111">
        <v>0</v>
      </c>
      <c r="AF111">
        <v>65.709999999999994</v>
      </c>
      <c r="AG111">
        <v>11.6</v>
      </c>
      <c r="AH111">
        <v>0</v>
      </c>
      <c r="AI111">
        <v>1</v>
      </c>
      <c r="AJ111">
        <v>6.56</v>
      </c>
      <c r="AK111">
        <v>1</v>
      </c>
      <c r="AL111">
        <v>1</v>
      </c>
      <c r="AN111">
        <v>0</v>
      </c>
      <c r="AO111">
        <v>1</v>
      </c>
      <c r="AP111">
        <v>1</v>
      </c>
      <c r="AQ111">
        <v>0</v>
      </c>
      <c r="AR111">
        <v>0</v>
      </c>
      <c r="AS111" t="s">
        <v>6</v>
      </c>
      <c r="AT111">
        <v>1.99</v>
      </c>
      <c r="AU111" t="s">
        <v>172</v>
      </c>
      <c r="AV111">
        <v>0</v>
      </c>
      <c r="AW111">
        <v>2</v>
      </c>
      <c r="AX111">
        <v>16750069</v>
      </c>
      <c r="AY111">
        <v>1</v>
      </c>
      <c r="AZ111">
        <v>0</v>
      </c>
      <c r="BA111">
        <v>112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CX111">
        <f>Y111*Source!I104</f>
        <v>0.17462249999999999</v>
      </c>
      <c r="CY111">
        <f>AB111</f>
        <v>431.06</v>
      </c>
      <c r="CZ111">
        <f>AF111</f>
        <v>65.709999999999994</v>
      </c>
      <c r="DA111">
        <f>AJ111</f>
        <v>6.56</v>
      </c>
      <c r="DB111">
        <f>ROUND((ROUND(AT111*CZ111,2)*1.25),2)</f>
        <v>163.44999999999999</v>
      </c>
      <c r="DC111">
        <f>ROUND((ROUND(AT111*AG111,2)*1.25),2)</f>
        <v>28.85</v>
      </c>
    </row>
    <row r="112" spans="1:107" x14ac:dyDescent="0.2">
      <c r="A112">
        <f>ROW(Source!A104)</f>
        <v>104</v>
      </c>
      <c r="B112">
        <v>16748969</v>
      </c>
      <c r="C112">
        <v>16750053</v>
      </c>
      <c r="D112">
        <v>15167339</v>
      </c>
      <c r="E112">
        <v>1</v>
      </c>
      <c r="F112">
        <v>1</v>
      </c>
      <c r="G112">
        <v>1</v>
      </c>
      <c r="H112">
        <v>3</v>
      </c>
      <c r="I112" t="s">
        <v>257</v>
      </c>
      <c r="J112" t="s">
        <v>259</v>
      </c>
      <c r="K112" t="s">
        <v>258</v>
      </c>
      <c r="L112">
        <v>1035</v>
      </c>
      <c r="N112">
        <v>1013</v>
      </c>
      <c r="O112" t="s">
        <v>230</v>
      </c>
      <c r="P112" t="s">
        <v>230</v>
      </c>
      <c r="Q112">
        <v>1</v>
      </c>
      <c r="W112">
        <v>0</v>
      </c>
      <c r="X112">
        <v>602577485</v>
      </c>
      <c r="Y112">
        <v>42.735042999999997</v>
      </c>
      <c r="AA112">
        <v>621.1</v>
      </c>
      <c r="AB112">
        <v>0</v>
      </c>
      <c r="AC112">
        <v>0</v>
      </c>
      <c r="AD112">
        <v>0</v>
      </c>
      <c r="AE112">
        <v>94.68</v>
      </c>
      <c r="AF112">
        <v>0</v>
      </c>
      <c r="AG112">
        <v>0</v>
      </c>
      <c r="AH112">
        <v>0</v>
      </c>
      <c r="AI112">
        <v>6.56</v>
      </c>
      <c r="AJ112">
        <v>1</v>
      </c>
      <c r="AK112">
        <v>1</v>
      </c>
      <c r="AL112">
        <v>1</v>
      </c>
      <c r="AN112">
        <v>0</v>
      </c>
      <c r="AO112">
        <v>0</v>
      </c>
      <c r="AP112">
        <v>0</v>
      </c>
      <c r="AQ112">
        <v>0</v>
      </c>
      <c r="AR112">
        <v>0</v>
      </c>
      <c r="AS112" t="s">
        <v>6</v>
      </c>
      <c r="AT112">
        <v>42.735042999999997</v>
      </c>
      <c r="AU112" t="s">
        <v>6</v>
      </c>
      <c r="AV112">
        <v>0</v>
      </c>
      <c r="AW112">
        <v>1</v>
      </c>
      <c r="AX112">
        <v>-1</v>
      </c>
      <c r="AY112">
        <v>0</v>
      </c>
      <c r="AZ112">
        <v>0</v>
      </c>
      <c r="BA112" t="s">
        <v>6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CX112">
        <f>Y112*Source!I104</f>
        <v>3.0000000185999998</v>
      </c>
      <c r="CY112">
        <f t="shared" ref="CY112:CY118" si="19">AA112</f>
        <v>621.1</v>
      </c>
      <c r="CZ112">
        <f t="shared" ref="CZ112:CZ118" si="20">AE112</f>
        <v>94.68</v>
      </c>
      <c r="DA112">
        <f t="shared" ref="DA112:DA118" si="21">AI112</f>
        <v>6.56</v>
      </c>
      <c r="DB112">
        <f t="shared" ref="DB112:DB118" si="22">ROUND(ROUND(AT112*CZ112,2),2)</f>
        <v>4046.15</v>
      </c>
      <c r="DC112">
        <f t="shared" ref="DC112:DC118" si="23">ROUND(ROUND(AT112*AG112,2),2)</f>
        <v>0</v>
      </c>
    </row>
    <row r="113" spans="1:107" x14ac:dyDescent="0.2">
      <c r="A113">
        <f>ROW(Source!A104)</f>
        <v>104</v>
      </c>
      <c r="B113">
        <v>16748969</v>
      </c>
      <c r="C113">
        <v>16750053</v>
      </c>
      <c r="D113">
        <v>15170039</v>
      </c>
      <c r="E113">
        <v>1</v>
      </c>
      <c r="F113">
        <v>1</v>
      </c>
      <c r="G113">
        <v>1</v>
      </c>
      <c r="H113">
        <v>3</v>
      </c>
      <c r="I113" t="s">
        <v>1179</v>
      </c>
      <c r="J113" t="s">
        <v>1180</v>
      </c>
      <c r="K113" t="s">
        <v>1181</v>
      </c>
      <c r="L113">
        <v>1348</v>
      </c>
      <c r="N113">
        <v>1009</v>
      </c>
      <c r="O113" t="s">
        <v>71</v>
      </c>
      <c r="P113" t="s">
        <v>71</v>
      </c>
      <c r="Q113">
        <v>1000</v>
      </c>
      <c r="W113">
        <v>0</v>
      </c>
      <c r="X113">
        <v>1174701286</v>
      </c>
      <c r="Y113">
        <v>4.13E-3</v>
      </c>
      <c r="AA113">
        <v>78575.679999999993</v>
      </c>
      <c r="AB113">
        <v>0</v>
      </c>
      <c r="AC113">
        <v>0</v>
      </c>
      <c r="AD113">
        <v>0</v>
      </c>
      <c r="AE113">
        <v>11978</v>
      </c>
      <c r="AF113">
        <v>0</v>
      </c>
      <c r="AG113">
        <v>0</v>
      </c>
      <c r="AH113">
        <v>0</v>
      </c>
      <c r="AI113">
        <v>6.56</v>
      </c>
      <c r="AJ113">
        <v>1</v>
      </c>
      <c r="AK113">
        <v>1</v>
      </c>
      <c r="AL113">
        <v>1</v>
      </c>
      <c r="AN113">
        <v>0</v>
      </c>
      <c r="AO113">
        <v>1</v>
      </c>
      <c r="AP113">
        <v>0</v>
      </c>
      <c r="AQ113">
        <v>0</v>
      </c>
      <c r="AR113">
        <v>0</v>
      </c>
      <c r="AS113" t="s">
        <v>6</v>
      </c>
      <c r="AT113">
        <v>4.13E-3</v>
      </c>
      <c r="AU113" t="s">
        <v>6</v>
      </c>
      <c r="AV113">
        <v>0</v>
      </c>
      <c r="AW113">
        <v>2</v>
      </c>
      <c r="AX113">
        <v>16750071</v>
      </c>
      <c r="AY113">
        <v>1</v>
      </c>
      <c r="AZ113">
        <v>0</v>
      </c>
      <c r="BA113">
        <v>114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CX113">
        <f>Y113*Source!I104</f>
        <v>2.8992599999999997E-4</v>
      </c>
      <c r="CY113">
        <f t="shared" si="19"/>
        <v>78575.679999999993</v>
      </c>
      <c r="CZ113">
        <f t="shared" si="20"/>
        <v>11978</v>
      </c>
      <c r="DA113">
        <f t="shared" si="21"/>
        <v>6.56</v>
      </c>
      <c r="DB113">
        <f t="shared" si="22"/>
        <v>49.47</v>
      </c>
      <c r="DC113">
        <f t="shared" si="23"/>
        <v>0</v>
      </c>
    </row>
    <row r="114" spans="1:107" x14ac:dyDescent="0.2">
      <c r="A114">
        <f>ROW(Source!A104)</f>
        <v>104</v>
      </c>
      <c r="B114">
        <v>16748969</v>
      </c>
      <c r="C114">
        <v>16750053</v>
      </c>
      <c r="D114">
        <v>15172818</v>
      </c>
      <c r="E114">
        <v>1</v>
      </c>
      <c r="F114">
        <v>1</v>
      </c>
      <c r="G114">
        <v>1</v>
      </c>
      <c r="H114">
        <v>3</v>
      </c>
      <c r="I114" t="s">
        <v>1182</v>
      </c>
      <c r="J114" t="s">
        <v>1183</v>
      </c>
      <c r="K114" t="s">
        <v>1184</v>
      </c>
      <c r="L114">
        <v>1339</v>
      </c>
      <c r="N114">
        <v>1007</v>
      </c>
      <c r="O114" t="s">
        <v>283</v>
      </c>
      <c r="P114" t="s">
        <v>283</v>
      </c>
      <c r="Q114">
        <v>1</v>
      </c>
      <c r="W114">
        <v>0</v>
      </c>
      <c r="X114">
        <v>-2072708995</v>
      </c>
      <c r="Y114">
        <v>0.105</v>
      </c>
      <c r="AA114">
        <v>3004.48</v>
      </c>
      <c r="AB114">
        <v>0</v>
      </c>
      <c r="AC114">
        <v>0</v>
      </c>
      <c r="AD114">
        <v>0</v>
      </c>
      <c r="AE114">
        <v>458</v>
      </c>
      <c r="AF114">
        <v>0</v>
      </c>
      <c r="AG114">
        <v>0</v>
      </c>
      <c r="AH114">
        <v>0</v>
      </c>
      <c r="AI114">
        <v>6.56</v>
      </c>
      <c r="AJ114">
        <v>1</v>
      </c>
      <c r="AK114">
        <v>1</v>
      </c>
      <c r="AL114">
        <v>1</v>
      </c>
      <c r="AN114">
        <v>0</v>
      </c>
      <c r="AO114">
        <v>1</v>
      </c>
      <c r="AP114">
        <v>0</v>
      </c>
      <c r="AQ114">
        <v>0</v>
      </c>
      <c r="AR114">
        <v>0</v>
      </c>
      <c r="AS114" t="s">
        <v>6</v>
      </c>
      <c r="AT114">
        <v>0.105</v>
      </c>
      <c r="AU114" t="s">
        <v>6</v>
      </c>
      <c r="AV114">
        <v>0</v>
      </c>
      <c r="AW114">
        <v>2</v>
      </c>
      <c r="AX114">
        <v>16750072</v>
      </c>
      <c r="AY114">
        <v>1</v>
      </c>
      <c r="AZ114">
        <v>0</v>
      </c>
      <c r="BA114">
        <v>115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CX114">
        <f>Y114*Source!I104</f>
        <v>7.3709999999999999E-3</v>
      </c>
      <c r="CY114">
        <f t="shared" si="19"/>
        <v>3004.48</v>
      </c>
      <c r="CZ114">
        <f t="shared" si="20"/>
        <v>458</v>
      </c>
      <c r="DA114">
        <f t="shared" si="21"/>
        <v>6.56</v>
      </c>
      <c r="DB114">
        <f t="shared" si="22"/>
        <v>48.09</v>
      </c>
      <c r="DC114">
        <f t="shared" si="23"/>
        <v>0</v>
      </c>
    </row>
    <row r="115" spans="1:107" x14ac:dyDescent="0.2">
      <c r="A115">
        <f>ROW(Source!A104)</f>
        <v>104</v>
      </c>
      <c r="B115">
        <v>16748969</v>
      </c>
      <c r="C115">
        <v>16750053</v>
      </c>
      <c r="D115">
        <v>15196008</v>
      </c>
      <c r="E115">
        <v>1</v>
      </c>
      <c r="F115">
        <v>1</v>
      </c>
      <c r="G115">
        <v>1</v>
      </c>
      <c r="H115">
        <v>3</v>
      </c>
      <c r="I115" t="s">
        <v>1185</v>
      </c>
      <c r="J115" t="s">
        <v>1186</v>
      </c>
      <c r="K115" t="s">
        <v>1187</v>
      </c>
      <c r="L115">
        <v>1339</v>
      </c>
      <c r="N115">
        <v>1007</v>
      </c>
      <c r="O115" t="s">
        <v>283</v>
      </c>
      <c r="P115" t="s">
        <v>283</v>
      </c>
      <c r="Q115">
        <v>1</v>
      </c>
      <c r="W115">
        <v>0</v>
      </c>
      <c r="X115">
        <v>2024089152</v>
      </c>
      <c r="Y115">
        <v>0.08</v>
      </c>
      <c r="AA115">
        <v>7216</v>
      </c>
      <c r="AB115">
        <v>0</v>
      </c>
      <c r="AC115">
        <v>0</v>
      </c>
      <c r="AD115">
        <v>0</v>
      </c>
      <c r="AE115">
        <v>1100</v>
      </c>
      <c r="AF115">
        <v>0</v>
      </c>
      <c r="AG115">
        <v>0</v>
      </c>
      <c r="AH115">
        <v>0</v>
      </c>
      <c r="AI115">
        <v>6.56</v>
      </c>
      <c r="AJ115">
        <v>1</v>
      </c>
      <c r="AK115">
        <v>1</v>
      </c>
      <c r="AL115">
        <v>1</v>
      </c>
      <c r="AN115">
        <v>0</v>
      </c>
      <c r="AO115">
        <v>1</v>
      </c>
      <c r="AP115">
        <v>0</v>
      </c>
      <c r="AQ115">
        <v>0</v>
      </c>
      <c r="AR115">
        <v>0</v>
      </c>
      <c r="AS115" t="s">
        <v>6</v>
      </c>
      <c r="AT115">
        <v>0.08</v>
      </c>
      <c r="AU115" t="s">
        <v>6</v>
      </c>
      <c r="AV115">
        <v>0</v>
      </c>
      <c r="AW115">
        <v>2</v>
      </c>
      <c r="AX115">
        <v>16750074</v>
      </c>
      <c r="AY115">
        <v>1</v>
      </c>
      <c r="AZ115">
        <v>0</v>
      </c>
      <c r="BA115">
        <v>117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CX115">
        <f>Y115*Source!I104</f>
        <v>5.6160000000000003E-3</v>
      </c>
      <c r="CY115">
        <f t="shared" si="19"/>
        <v>7216</v>
      </c>
      <c r="CZ115">
        <f t="shared" si="20"/>
        <v>1100</v>
      </c>
      <c r="DA115">
        <f t="shared" si="21"/>
        <v>6.56</v>
      </c>
      <c r="DB115">
        <f t="shared" si="22"/>
        <v>88</v>
      </c>
      <c r="DC115">
        <f t="shared" si="23"/>
        <v>0</v>
      </c>
    </row>
    <row r="116" spans="1:107" x14ac:dyDescent="0.2">
      <c r="A116">
        <f>ROW(Source!A104)</f>
        <v>104</v>
      </c>
      <c r="B116">
        <v>16748969</v>
      </c>
      <c r="C116">
        <v>16750053</v>
      </c>
      <c r="D116">
        <v>15162477</v>
      </c>
      <c r="E116">
        <v>17</v>
      </c>
      <c r="F116">
        <v>1</v>
      </c>
      <c r="G116">
        <v>1</v>
      </c>
      <c r="H116">
        <v>3</v>
      </c>
      <c r="I116" t="s">
        <v>261</v>
      </c>
      <c r="J116" t="s">
        <v>6</v>
      </c>
      <c r="K116" t="s">
        <v>262</v>
      </c>
      <c r="L116">
        <v>1327</v>
      </c>
      <c r="N116">
        <v>1005</v>
      </c>
      <c r="O116" t="s">
        <v>89</v>
      </c>
      <c r="P116" t="s">
        <v>89</v>
      </c>
      <c r="Q116">
        <v>1</v>
      </c>
      <c r="W116">
        <v>0</v>
      </c>
      <c r="X116">
        <v>-732808487</v>
      </c>
      <c r="Y116">
        <v>100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6.56</v>
      </c>
      <c r="AJ116">
        <v>1</v>
      </c>
      <c r="AK116">
        <v>1</v>
      </c>
      <c r="AL116">
        <v>1</v>
      </c>
      <c r="AN116">
        <v>0</v>
      </c>
      <c r="AO116">
        <v>0</v>
      </c>
      <c r="AP116">
        <v>0</v>
      </c>
      <c r="AQ116">
        <v>0</v>
      </c>
      <c r="AR116">
        <v>0</v>
      </c>
      <c r="AS116" t="s">
        <v>6</v>
      </c>
      <c r="AT116">
        <v>100</v>
      </c>
      <c r="AU116" t="s">
        <v>6</v>
      </c>
      <c r="AV116">
        <v>0</v>
      </c>
      <c r="AW116">
        <v>2</v>
      </c>
      <c r="AX116">
        <v>16750075</v>
      </c>
      <c r="AY116">
        <v>1</v>
      </c>
      <c r="AZ116">
        <v>0</v>
      </c>
      <c r="BA116">
        <v>118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CX116">
        <f>Y116*Source!I104</f>
        <v>7.02</v>
      </c>
      <c r="CY116">
        <f t="shared" si="19"/>
        <v>0</v>
      </c>
      <c r="CZ116">
        <f t="shared" si="20"/>
        <v>0</v>
      </c>
      <c r="DA116">
        <f t="shared" si="21"/>
        <v>6.56</v>
      </c>
      <c r="DB116">
        <f t="shared" si="22"/>
        <v>0</v>
      </c>
      <c r="DC116">
        <f t="shared" si="23"/>
        <v>0</v>
      </c>
    </row>
    <row r="117" spans="1:107" x14ac:dyDescent="0.2">
      <c r="A117">
        <f>ROW(Source!A104)</f>
        <v>104</v>
      </c>
      <c r="B117">
        <v>16748969</v>
      </c>
      <c r="C117">
        <v>16750053</v>
      </c>
      <c r="D117">
        <v>15196127</v>
      </c>
      <c r="E117">
        <v>1</v>
      </c>
      <c r="F117">
        <v>1</v>
      </c>
      <c r="G117">
        <v>1</v>
      </c>
      <c r="H117">
        <v>3</v>
      </c>
      <c r="I117" t="s">
        <v>253</v>
      </c>
      <c r="J117" t="s">
        <v>255</v>
      </c>
      <c r="K117" t="s">
        <v>254</v>
      </c>
      <c r="L117">
        <v>1327</v>
      </c>
      <c r="N117">
        <v>1005</v>
      </c>
      <c r="O117" t="s">
        <v>89</v>
      </c>
      <c r="P117" t="s">
        <v>89</v>
      </c>
      <c r="Q117">
        <v>1</v>
      </c>
      <c r="W117">
        <v>0</v>
      </c>
      <c r="X117">
        <v>-863452992</v>
      </c>
      <c r="Y117">
        <v>100</v>
      </c>
      <c r="AA117">
        <v>9504.1299999999992</v>
      </c>
      <c r="AB117">
        <v>0</v>
      </c>
      <c r="AC117">
        <v>0</v>
      </c>
      <c r="AD117">
        <v>0</v>
      </c>
      <c r="AE117">
        <v>1448.8</v>
      </c>
      <c r="AF117">
        <v>0</v>
      </c>
      <c r="AG117">
        <v>0</v>
      </c>
      <c r="AH117">
        <v>0</v>
      </c>
      <c r="AI117">
        <v>6.56</v>
      </c>
      <c r="AJ117">
        <v>1</v>
      </c>
      <c r="AK117">
        <v>1</v>
      </c>
      <c r="AL117">
        <v>1</v>
      </c>
      <c r="AN117">
        <v>0</v>
      </c>
      <c r="AO117">
        <v>0</v>
      </c>
      <c r="AP117">
        <v>0</v>
      </c>
      <c r="AQ117">
        <v>0</v>
      </c>
      <c r="AR117">
        <v>0</v>
      </c>
      <c r="AS117" t="s">
        <v>6</v>
      </c>
      <c r="AT117">
        <v>100</v>
      </c>
      <c r="AU117" t="s">
        <v>6</v>
      </c>
      <c r="AV117">
        <v>0</v>
      </c>
      <c r="AW117">
        <v>1</v>
      </c>
      <c r="AX117">
        <v>-1</v>
      </c>
      <c r="AY117">
        <v>0</v>
      </c>
      <c r="AZ117">
        <v>0</v>
      </c>
      <c r="BA117" t="s">
        <v>6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CX117">
        <f>Y117*Source!I104</f>
        <v>7.02</v>
      </c>
      <c r="CY117">
        <f t="shared" si="19"/>
        <v>9504.1299999999992</v>
      </c>
      <c r="CZ117">
        <f t="shared" si="20"/>
        <v>1448.8</v>
      </c>
      <c r="DA117">
        <f t="shared" si="21"/>
        <v>6.56</v>
      </c>
      <c r="DB117">
        <f t="shared" si="22"/>
        <v>144880</v>
      </c>
      <c r="DC117">
        <f t="shared" si="23"/>
        <v>0</v>
      </c>
    </row>
    <row r="118" spans="1:107" x14ac:dyDescent="0.2">
      <c r="A118">
        <f>ROW(Source!A104)</f>
        <v>104</v>
      </c>
      <c r="B118">
        <v>16748969</v>
      </c>
      <c r="C118">
        <v>16750053</v>
      </c>
      <c r="D118">
        <v>15204315</v>
      </c>
      <c r="E118">
        <v>1</v>
      </c>
      <c r="F118">
        <v>1</v>
      </c>
      <c r="G118">
        <v>1</v>
      </c>
      <c r="H118">
        <v>3</v>
      </c>
      <c r="I118" t="s">
        <v>1188</v>
      </c>
      <c r="J118" t="s">
        <v>1189</v>
      </c>
      <c r="K118" t="s">
        <v>1190</v>
      </c>
      <c r="L118">
        <v>1296</v>
      </c>
      <c r="N118">
        <v>1002</v>
      </c>
      <c r="O118" t="s">
        <v>1191</v>
      </c>
      <c r="P118" t="s">
        <v>1191</v>
      </c>
      <c r="Q118">
        <v>1</v>
      </c>
      <c r="W118">
        <v>0</v>
      </c>
      <c r="X118">
        <v>-2122226716</v>
      </c>
      <c r="Y118">
        <v>32.4</v>
      </c>
      <c r="AA118">
        <v>307.39999999999998</v>
      </c>
      <c r="AB118">
        <v>0</v>
      </c>
      <c r="AC118">
        <v>0</v>
      </c>
      <c r="AD118">
        <v>0</v>
      </c>
      <c r="AE118">
        <v>46.86</v>
      </c>
      <c r="AF118">
        <v>0</v>
      </c>
      <c r="AG118">
        <v>0</v>
      </c>
      <c r="AH118">
        <v>0</v>
      </c>
      <c r="AI118">
        <v>6.56</v>
      </c>
      <c r="AJ118">
        <v>1</v>
      </c>
      <c r="AK118">
        <v>1</v>
      </c>
      <c r="AL118">
        <v>1</v>
      </c>
      <c r="AN118">
        <v>0</v>
      </c>
      <c r="AO118">
        <v>1</v>
      </c>
      <c r="AP118">
        <v>0</v>
      </c>
      <c r="AQ118">
        <v>0</v>
      </c>
      <c r="AR118">
        <v>0</v>
      </c>
      <c r="AS118" t="s">
        <v>6</v>
      </c>
      <c r="AT118">
        <v>32.4</v>
      </c>
      <c r="AU118" t="s">
        <v>6</v>
      </c>
      <c r="AV118">
        <v>0</v>
      </c>
      <c r="AW118">
        <v>2</v>
      </c>
      <c r="AX118">
        <v>16750076</v>
      </c>
      <c r="AY118">
        <v>1</v>
      </c>
      <c r="AZ118">
        <v>0</v>
      </c>
      <c r="BA118">
        <v>119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CX118">
        <f>Y118*Source!I104</f>
        <v>2.2744800000000001</v>
      </c>
      <c r="CY118">
        <f t="shared" si="19"/>
        <v>307.39999999999998</v>
      </c>
      <c r="CZ118">
        <f t="shared" si="20"/>
        <v>46.86</v>
      </c>
      <c r="DA118">
        <f t="shared" si="21"/>
        <v>6.56</v>
      </c>
      <c r="DB118">
        <f t="shared" si="22"/>
        <v>1518.26</v>
      </c>
      <c r="DC118">
        <f t="shared" si="23"/>
        <v>0</v>
      </c>
    </row>
    <row r="119" spans="1:107" x14ac:dyDescent="0.2">
      <c r="A119">
        <f>ROW(Source!A108)</f>
        <v>108</v>
      </c>
      <c r="B119">
        <v>16748969</v>
      </c>
      <c r="C119">
        <v>16750081</v>
      </c>
      <c r="D119">
        <v>15430767</v>
      </c>
      <c r="E119">
        <v>1</v>
      </c>
      <c r="F119">
        <v>1</v>
      </c>
      <c r="G119">
        <v>1</v>
      </c>
      <c r="H119">
        <v>1</v>
      </c>
      <c r="I119" t="s">
        <v>1070</v>
      </c>
      <c r="J119" t="s">
        <v>6</v>
      </c>
      <c r="K119" t="s">
        <v>1071</v>
      </c>
      <c r="L119">
        <v>1191</v>
      </c>
      <c r="N119">
        <v>1013</v>
      </c>
      <c r="O119" t="s">
        <v>1072</v>
      </c>
      <c r="P119" t="s">
        <v>1072</v>
      </c>
      <c r="Q119">
        <v>1</v>
      </c>
      <c r="W119">
        <v>0</v>
      </c>
      <c r="X119">
        <v>-400197608</v>
      </c>
      <c r="Y119">
        <v>39.744</v>
      </c>
      <c r="AA119">
        <v>0</v>
      </c>
      <c r="AB119">
        <v>0</v>
      </c>
      <c r="AC119">
        <v>0</v>
      </c>
      <c r="AD119">
        <v>55.96</v>
      </c>
      <c r="AE119">
        <v>0</v>
      </c>
      <c r="AF119">
        <v>0</v>
      </c>
      <c r="AG119">
        <v>0</v>
      </c>
      <c r="AH119">
        <v>8.5299999999999994</v>
      </c>
      <c r="AI119">
        <v>1</v>
      </c>
      <c r="AJ119">
        <v>1</v>
      </c>
      <c r="AK119">
        <v>1</v>
      </c>
      <c r="AL119">
        <v>6.56</v>
      </c>
      <c r="AN119">
        <v>0</v>
      </c>
      <c r="AO119">
        <v>1</v>
      </c>
      <c r="AP119">
        <v>1</v>
      </c>
      <c r="AQ119">
        <v>0</v>
      </c>
      <c r="AR119">
        <v>0</v>
      </c>
      <c r="AS119" t="s">
        <v>6</v>
      </c>
      <c r="AT119">
        <v>34.56</v>
      </c>
      <c r="AU119" t="s">
        <v>173</v>
      </c>
      <c r="AV119">
        <v>1</v>
      </c>
      <c r="AW119">
        <v>2</v>
      </c>
      <c r="AX119">
        <v>16750084</v>
      </c>
      <c r="AY119">
        <v>1</v>
      </c>
      <c r="AZ119">
        <v>0</v>
      </c>
      <c r="BA119">
        <v>120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CX119">
        <f>Y119*Source!I108</f>
        <v>6.6769920000000003</v>
      </c>
      <c r="CY119">
        <f>AD119</f>
        <v>55.96</v>
      </c>
      <c r="CZ119">
        <f>AH119</f>
        <v>8.5299999999999994</v>
      </c>
      <c r="DA119">
        <f>AL119</f>
        <v>6.56</v>
      </c>
      <c r="DB119">
        <f>ROUND((ROUND(AT119*CZ119,2)*1.15),2)</f>
        <v>339.02</v>
      </c>
      <c r="DC119">
        <f>ROUND((ROUND(AT119*AG119,2)*1.15),2)</f>
        <v>0</v>
      </c>
    </row>
    <row r="120" spans="1:107" x14ac:dyDescent="0.2">
      <c r="A120">
        <f>ROW(Source!A108)</f>
        <v>108</v>
      </c>
      <c r="B120">
        <v>16748969</v>
      </c>
      <c r="C120">
        <v>16750081</v>
      </c>
      <c r="D120">
        <v>15193110</v>
      </c>
      <c r="E120">
        <v>1</v>
      </c>
      <c r="F120">
        <v>1</v>
      </c>
      <c r="G120">
        <v>1</v>
      </c>
      <c r="H120">
        <v>3</v>
      </c>
      <c r="I120" t="s">
        <v>1192</v>
      </c>
      <c r="J120" t="s">
        <v>1193</v>
      </c>
      <c r="K120" t="s">
        <v>1194</v>
      </c>
      <c r="L120">
        <v>1327</v>
      </c>
      <c r="N120">
        <v>1005</v>
      </c>
      <c r="O120" t="s">
        <v>89</v>
      </c>
      <c r="P120" t="s">
        <v>89</v>
      </c>
      <c r="Q120">
        <v>1</v>
      </c>
      <c r="W120">
        <v>0</v>
      </c>
      <c r="X120">
        <v>1818210239</v>
      </c>
      <c r="Y120">
        <v>100</v>
      </c>
      <c r="AA120">
        <v>4600.59</v>
      </c>
      <c r="AB120">
        <v>0</v>
      </c>
      <c r="AC120">
        <v>0</v>
      </c>
      <c r="AD120">
        <v>0</v>
      </c>
      <c r="AE120">
        <v>701.31</v>
      </c>
      <c r="AF120">
        <v>0</v>
      </c>
      <c r="AG120">
        <v>0</v>
      </c>
      <c r="AH120">
        <v>0</v>
      </c>
      <c r="AI120">
        <v>6.56</v>
      </c>
      <c r="AJ120">
        <v>1</v>
      </c>
      <c r="AK120">
        <v>1</v>
      </c>
      <c r="AL120">
        <v>1</v>
      </c>
      <c r="AN120">
        <v>0</v>
      </c>
      <c r="AO120">
        <v>1</v>
      </c>
      <c r="AP120">
        <v>0</v>
      </c>
      <c r="AQ120">
        <v>0</v>
      </c>
      <c r="AR120">
        <v>0</v>
      </c>
      <c r="AS120" t="s">
        <v>6</v>
      </c>
      <c r="AT120">
        <v>100</v>
      </c>
      <c r="AU120" t="s">
        <v>6</v>
      </c>
      <c r="AV120">
        <v>0</v>
      </c>
      <c r="AW120">
        <v>2</v>
      </c>
      <c r="AX120">
        <v>16750085</v>
      </c>
      <c r="AY120">
        <v>1</v>
      </c>
      <c r="AZ120">
        <v>0</v>
      </c>
      <c r="BA120">
        <v>121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CX120">
        <f>Y120*Source!I108</f>
        <v>16.8</v>
      </c>
      <c r="CY120">
        <f>AA120</f>
        <v>4600.59</v>
      </c>
      <c r="CZ120">
        <f>AE120</f>
        <v>701.31</v>
      </c>
      <c r="DA120">
        <f>AI120</f>
        <v>6.56</v>
      </c>
      <c r="DB120">
        <f t="shared" ref="DB120:DB151" si="24">ROUND(ROUND(AT120*CZ120,2),2)</f>
        <v>70131</v>
      </c>
      <c r="DC120">
        <f t="shared" ref="DC120:DC151" si="25">ROUND(ROUND(AT120*AG120,2),2)</f>
        <v>0</v>
      </c>
    </row>
    <row r="121" spans="1:107" x14ac:dyDescent="0.2">
      <c r="A121">
        <f>ROW(Source!A109)</f>
        <v>109</v>
      </c>
      <c r="B121">
        <v>16748969</v>
      </c>
      <c r="C121">
        <v>16750086</v>
      </c>
      <c r="D121">
        <v>15435609</v>
      </c>
      <c r="E121">
        <v>1</v>
      </c>
      <c r="F121">
        <v>1</v>
      </c>
      <c r="G121">
        <v>1</v>
      </c>
      <c r="H121">
        <v>1</v>
      </c>
      <c r="I121" t="s">
        <v>1163</v>
      </c>
      <c r="J121" t="s">
        <v>6</v>
      </c>
      <c r="K121" t="s">
        <v>1164</v>
      </c>
      <c r="L121">
        <v>1191</v>
      </c>
      <c r="N121">
        <v>1013</v>
      </c>
      <c r="O121" t="s">
        <v>1072</v>
      </c>
      <c r="P121" t="s">
        <v>1072</v>
      </c>
      <c r="Q121">
        <v>1</v>
      </c>
      <c r="W121">
        <v>0</v>
      </c>
      <c r="X121">
        <v>-814890593</v>
      </c>
      <c r="Y121">
        <v>383.06</v>
      </c>
      <c r="AA121">
        <v>0</v>
      </c>
      <c r="AB121">
        <v>0</v>
      </c>
      <c r="AC121">
        <v>0</v>
      </c>
      <c r="AD121">
        <v>58.84</v>
      </c>
      <c r="AE121">
        <v>0</v>
      </c>
      <c r="AF121">
        <v>0</v>
      </c>
      <c r="AG121">
        <v>0</v>
      </c>
      <c r="AH121">
        <v>8.9700000000000006</v>
      </c>
      <c r="AI121">
        <v>1</v>
      </c>
      <c r="AJ121">
        <v>1</v>
      </c>
      <c r="AK121">
        <v>1</v>
      </c>
      <c r="AL121">
        <v>6.56</v>
      </c>
      <c r="AN121">
        <v>0</v>
      </c>
      <c r="AO121">
        <v>1</v>
      </c>
      <c r="AP121">
        <v>0</v>
      </c>
      <c r="AQ121">
        <v>0</v>
      </c>
      <c r="AR121">
        <v>0</v>
      </c>
      <c r="AS121" t="s">
        <v>6</v>
      </c>
      <c r="AT121">
        <v>383.06</v>
      </c>
      <c r="AU121" t="s">
        <v>6</v>
      </c>
      <c r="AV121">
        <v>1</v>
      </c>
      <c r="AW121">
        <v>2</v>
      </c>
      <c r="AX121">
        <v>16750093</v>
      </c>
      <c r="AY121">
        <v>1</v>
      </c>
      <c r="AZ121">
        <v>0</v>
      </c>
      <c r="BA121">
        <v>122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CX121">
        <f>Y121*Source!I109</f>
        <v>28.039992000000002</v>
      </c>
      <c r="CY121">
        <f>AD121</f>
        <v>58.84</v>
      </c>
      <c r="CZ121">
        <f>AH121</f>
        <v>8.9700000000000006</v>
      </c>
      <c r="DA121">
        <f>AL121</f>
        <v>6.56</v>
      </c>
      <c r="DB121">
        <f t="shared" si="24"/>
        <v>3436.05</v>
      </c>
      <c r="DC121">
        <f t="shared" si="25"/>
        <v>0</v>
      </c>
    </row>
    <row r="122" spans="1:107" x14ac:dyDescent="0.2">
      <c r="A122">
        <f>ROW(Source!A109)</f>
        <v>109</v>
      </c>
      <c r="B122">
        <v>16748969</v>
      </c>
      <c r="C122">
        <v>16750086</v>
      </c>
      <c r="D122">
        <v>15430395</v>
      </c>
      <c r="E122">
        <v>1</v>
      </c>
      <c r="F122">
        <v>1</v>
      </c>
      <c r="G122">
        <v>1</v>
      </c>
      <c r="H122">
        <v>1</v>
      </c>
      <c r="I122" t="s">
        <v>1073</v>
      </c>
      <c r="J122" t="s">
        <v>6</v>
      </c>
      <c r="K122" t="s">
        <v>1074</v>
      </c>
      <c r="L122">
        <v>1191</v>
      </c>
      <c r="N122">
        <v>1013</v>
      </c>
      <c r="O122" t="s">
        <v>1072</v>
      </c>
      <c r="P122" t="s">
        <v>1072</v>
      </c>
      <c r="Q122">
        <v>1</v>
      </c>
      <c r="W122">
        <v>0</v>
      </c>
      <c r="X122">
        <v>-1417349443</v>
      </c>
      <c r="Y122">
        <v>1.1599999999999999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1</v>
      </c>
      <c r="AJ122">
        <v>1</v>
      </c>
      <c r="AK122">
        <v>6.56</v>
      </c>
      <c r="AL122">
        <v>1</v>
      </c>
      <c r="AN122">
        <v>0</v>
      </c>
      <c r="AO122">
        <v>1</v>
      </c>
      <c r="AP122">
        <v>0</v>
      </c>
      <c r="AQ122">
        <v>0</v>
      </c>
      <c r="AR122">
        <v>0</v>
      </c>
      <c r="AS122" t="s">
        <v>6</v>
      </c>
      <c r="AT122">
        <v>1.1599999999999999</v>
      </c>
      <c r="AU122" t="s">
        <v>6</v>
      </c>
      <c r="AV122">
        <v>2</v>
      </c>
      <c r="AW122">
        <v>2</v>
      </c>
      <c r="AX122">
        <v>16750094</v>
      </c>
      <c r="AY122">
        <v>1</v>
      </c>
      <c r="AZ122">
        <v>0</v>
      </c>
      <c r="BA122">
        <v>123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CX122">
        <f>Y122*Source!I109</f>
        <v>8.4912000000000001E-2</v>
      </c>
      <c r="CY122">
        <f>AD122</f>
        <v>0</v>
      </c>
      <c r="CZ122">
        <f>AH122</f>
        <v>0</v>
      </c>
      <c r="DA122">
        <f>AL122</f>
        <v>1</v>
      </c>
      <c r="DB122">
        <f t="shared" si="24"/>
        <v>0</v>
      </c>
      <c r="DC122">
        <f t="shared" si="25"/>
        <v>0</v>
      </c>
    </row>
    <row r="123" spans="1:107" x14ac:dyDescent="0.2">
      <c r="A123">
        <f>ROW(Source!A109)</f>
        <v>109</v>
      </c>
      <c r="B123">
        <v>16748969</v>
      </c>
      <c r="C123">
        <v>16750086</v>
      </c>
      <c r="D123">
        <v>15247974</v>
      </c>
      <c r="E123">
        <v>1</v>
      </c>
      <c r="F123">
        <v>1</v>
      </c>
      <c r="G123">
        <v>1</v>
      </c>
      <c r="H123">
        <v>2</v>
      </c>
      <c r="I123" t="s">
        <v>1075</v>
      </c>
      <c r="J123" t="s">
        <v>1076</v>
      </c>
      <c r="K123" t="s">
        <v>1077</v>
      </c>
      <c r="L123">
        <v>1368</v>
      </c>
      <c r="N123">
        <v>1011</v>
      </c>
      <c r="O123" t="s">
        <v>1078</v>
      </c>
      <c r="P123" t="s">
        <v>1078</v>
      </c>
      <c r="Q123">
        <v>1</v>
      </c>
      <c r="W123">
        <v>0</v>
      </c>
      <c r="X123">
        <v>1188625873</v>
      </c>
      <c r="Y123">
        <v>1.1599999999999999</v>
      </c>
      <c r="AA123">
        <v>0</v>
      </c>
      <c r="AB123">
        <v>205.07</v>
      </c>
      <c r="AC123">
        <v>13.5</v>
      </c>
      <c r="AD123">
        <v>0</v>
      </c>
      <c r="AE123">
        <v>0</v>
      </c>
      <c r="AF123">
        <v>31.26</v>
      </c>
      <c r="AG123">
        <v>13.5</v>
      </c>
      <c r="AH123">
        <v>0</v>
      </c>
      <c r="AI123">
        <v>1</v>
      </c>
      <c r="AJ123">
        <v>6.56</v>
      </c>
      <c r="AK123">
        <v>1</v>
      </c>
      <c r="AL123">
        <v>1</v>
      </c>
      <c r="AN123">
        <v>0</v>
      </c>
      <c r="AO123">
        <v>1</v>
      </c>
      <c r="AP123">
        <v>0</v>
      </c>
      <c r="AQ123">
        <v>0</v>
      </c>
      <c r="AR123">
        <v>0</v>
      </c>
      <c r="AS123" t="s">
        <v>6</v>
      </c>
      <c r="AT123">
        <v>1.1599999999999999</v>
      </c>
      <c r="AU123" t="s">
        <v>6</v>
      </c>
      <c r="AV123">
        <v>0</v>
      </c>
      <c r="AW123">
        <v>2</v>
      </c>
      <c r="AX123">
        <v>16750095</v>
      </c>
      <c r="AY123">
        <v>1</v>
      </c>
      <c r="AZ123">
        <v>0</v>
      </c>
      <c r="BA123">
        <v>124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CX123">
        <f>Y123*Source!I109</f>
        <v>8.4912000000000001E-2</v>
      </c>
      <c r="CY123">
        <f>AB123</f>
        <v>205.07</v>
      </c>
      <c r="CZ123">
        <f>AF123</f>
        <v>31.26</v>
      </c>
      <c r="DA123">
        <f>AJ123</f>
        <v>6.56</v>
      </c>
      <c r="DB123">
        <f t="shared" si="24"/>
        <v>36.26</v>
      </c>
      <c r="DC123">
        <f t="shared" si="25"/>
        <v>15.66</v>
      </c>
    </row>
    <row r="124" spans="1:107" x14ac:dyDescent="0.2">
      <c r="A124">
        <f>ROW(Source!A109)</f>
        <v>109</v>
      </c>
      <c r="B124">
        <v>16748969</v>
      </c>
      <c r="C124">
        <v>16750086</v>
      </c>
      <c r="D124">
        <v>15167286</v>
      </c>
      <c r="E124">
        <v>1</v>
      </c>
      <c r="F124">
        <v>1</v>
      </c>
      <c r="G124">
        <v>1</v>
      </c>
      <c r="H124">
        <v>3</v>
      </c>
      <c r="I124" t="s">
        <v>1079</v>
      </c>
      <c r="J124" t="s">
        <v>1080</v>
      </c>
      <c r="K124" t="s">
        <v>1081</v>
      </c>
      <c r="L124">
        <v>1339</v>
      </c>
      <c r="N124">
        <v>1007</v>
      </c>
      <c r="O124" t="s">
        <v>283</v>
      </c>
      <c r="P124" t="s">
        <v>283</v>
      </c>
      <c r="Q124">
        <v>1</v>
      </c>
      <c r="W124">
        <v>0</v>
      </c>
      <c r="X124">
        <v>-1660354250</v>
      </c>
      <c r="Y124">
        <v>0.35</v>
      </c>
      <c r="AA124">
        <v>16.010000000000002</v>
      </c>
      <c r="AB124">
        <v>0</v>
      </c>
      <c r="AC124">
        <v>0</v>
      </c>
      <c r="AD124">
        <v>0</v>
      </c>
      <c r="AE124">
        <v>2.44</v>
      </c>
      <c r="AF124">
        <v>0</v>
      </c>
      <c r="AG124">
        <v>0</v>
      </c>
      <c r="AH124">
        <v>0</v>
      </c>
      <c r="AI124">
        <v>6.56</v>
      </c>
      <c r="AJ124">
        <v>1</v>
      </c>
      <c r="AK124">
        <v>1</v>
      </c>
      <c r="AL124">
        <v>1</v>
      </c>
      <c r="AN124">
        <v>0</v>
      </c>
      <c r="AO124">
        <v>1</v>
      </c>
      <c r="AP124">
        <v>0</v>
      </c>
      <c r="AQ124">
        <v>0</v>
      </c>
      <c r="AR124">
        <v>0</v>
      </c>
      <c r="AS124" t="s">
        <v>6</v>
      </c>
      <c r="AT124">
        <v>0.35</v>
      </c>
      <c r="AU124" t="s">
        <v>6</v>
      </c>
      <c r="AV124">
        <v>0</v>
      </c>
      <c r="AW124">
        <v>2</v>
      </c>
      <c r="AX124">
        <v>16750096</v>
      </c>
      <c r="AY124">
        <v>1</v>
      </c>
      <c r="AZ124">
        <v>0</v>
      </c>
      <c r="BA124">
        <v>125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CX124">
        <f>Y124*Source!I109</f>
        <v>2.562E-2</v>
      </c>
      <c r="CY124">
        <f>AA124</f>
        <v>16.010000000000002</v>
      </c>
      <c r="CZ124">
        <f>AE124</f>
        <v>2.44</v>
      </c>
      <c r="DA124">
        <f>AI124</f>
        <v>6.56</v>
      </c>
      <c r="DB124">
        <f t="shared" si="24"/>
        <v>0.85</v>
      </c>
      <c r="DC124">
        <f t="shared" si="25"/>
        <v>0</v>
      </c>
    </row>
    <row r="125" spans="1:107" x14ac:dyDescent="0.2">
      <c r="A125">
        <f>ROW(Source!A109)</f>
        <v>109</v>
      </c>
      <c r="B125">
        <v>16748969</v>
      </c>
      <c r="C125">
        <v>16750086</v>
      </c>
      <c r="D125">
        <v>15164566</v>
      </c>
      <c r="E125">
        <v>17</v>
      </c>
      <c r="F125">
        <v>1</v>
      </c>
      <c r="G125">
        <v>1</v>
      </c>
      <c r="H125">
        <v>3</v>
      </c>
      <c r="I125" t="s">
        <v>69</v>
      </c>
      <c r="J125" t="s">
        <v>6</v>
      </c>
      <c r="K125" t="s">
        <v>70</v>
      </c>
      <c r="L125">
        <v>1348</v>
      </c>
      <c r="N125">
        <v>1009</v>
      </c>
      <c r="O125" t="s">
        <v>71</v>
      </c>
      <c r="P125" t="s">
        <v>71</v>
      </c>
      <c r="Q125">
        <v>1000</v>
      </c>
      <c r="W125">
        <v>0</v>
      </c>
      <c r="X125">
        <v>-179832266</v>
      </c>
      <c r="Y125">
        <v>8.1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6.56</v>
      </c>
      <c r="AJ125">
        <v>1</v>
      </c>
      <c r="AK125">
        <v>1</v>
      </c>
      <c r="AL125">
        <v>1</v>
      </c>
      <c r="AN125">
        <v>0</v>
      </c>
      <c r="AO125">
        <v>0</v>
      </c>
      <c r="AP125">
        <v>0</v>
      </c>
      <c r="AQ125">
        <v>0</v>
      </c>
      <c r="AR125">
        <v>0</v>
      </c>
      <c r="AS125" t="s">
        <v>6</v>
      </c>
      <c r="AT125">
        <v>8.1</v>
      </c>
      <c r="AU125" t="s">
        <v>6</v>
      </c>
      <c r="AV125">
        <v>0</v>
      </c>
      <c r="AW125">
        <v>2</v>
      </c>
      <c r="AX125">
        <v>16750097</v>
      </c>
      <c r="AY125">
        <v>1</v>
      </c>
      <c r="AZ125">
        <v>0</v>
      </c>
      <c r="BA125">
        <v>126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CX125">
        <f>Y125*Source!I109</f>
        <v>0.59292</v>
      </c>
      <c r="CY125">
        <f>AA125</f>
        <v>0</v>
      </c>
      <c r="CZ125">
        <f>AE125</f>
        <v>0</v>
      </c>
      <c r="DA125">
        <f>AI125</f>
        <v>6.56</v>
      </c>
      <c r="DB125">
        <f t="shared" si="24"/>
        <v>0</v>
      </c>
      <c r="DC125">
        <f t="shared" si="25"/>
        <v>0</v>
      </c>
    </row>
    <row r="126" spans="1:107" x14ac:dyDescent="0.2">
      <c r="A126">
        <f>ROW(Source!A109)</f>
        <v>109</v>
      </c>
      <c r="B126">
        <v>16748969</v>
      </c>
      <c r="C126">
        <v>16750086</v>
      </c>
      <c r="D126">
        <v>15172875</v>
      </c>
      <c r="E126">
        <v>1</v>
      </c>
      <c r="F126">
        <v>1</v>
      </c>
      <c r="G126">
        <v>1</v>
      </c>
      <c r="H126">
        <v>3</v>
      </c>
      <c r="I126" t="s">
        <v>1160</v>
      </c>
      <c r="J126" t="s">
        <v>1161</v>
      </c>
      <c r="K126" t="s">
        <v>1162</v>
      </c>
      <c r="L126">
        <v>1339</v>
      </c>
      <c r="N126">
        <v>1007</v>
      </c>
      <c r="O126" t="s">
        <v>283</v>
      </c>
      <c r="P126" t="s">
        <v>283</v>
      </c>
      <c r="Q126">
        <v>1</v>
      </c>
      <c r="W126">
        <v>0</v>
      </c>
      <c r="X126">
        <v>-1001479081</v>
      </c>
      <c r="Y126">
        <v>4.4000000000000004</v>
      </c>
      <c r="AA126">
        <v>3397.49</v>
      </c>
      <c r="AB126">
        <v>0</v>
      </c>
      <c r="AC126">
        <v>0</v>
      </c>
      <c r="AD126">
        <v>0</v>
      </c>
      <c r="AE126">
        <v>517.91</v>
      </c>
      <c r="AF126">
        <v>0</v>
      </c>
      <c r="AG126">
        <v>0</v>
      </c>
      <c r="AH126">
        <v>0</v>
      </c>
      <c r="AI126">
        <v>6.56</v>
      </c>
      <c r="AJ126">
        <v>1</v>
      </c>
      <c r="AK126">
        <v>1</v>
      </c>
      <c r="AL126">
        <v>1</v>
      </c>
      <c r="AN126">
        <v>0</v>
      </c>
      <c r="AO126">
        <v>1</v>
      </c>
      <c r="AP126">
        <v>0</v>
      </c>
      <c r="AQ126">
        <v>0</v>
      </c>
      <c r="AR126">
        <v>0</v>
      </c>
      <c r="AS126" t="s">
        <v>6</v>
      </c>
      <c r="AT126">
        <v>4.4000000000000004</v>
      </c>
      <c r="AU126" t="s">
        <v>6</v>
      </c>
      <c r="AV126">
        <v>0</v>
      </c>
      <c r="AW126">
        <v>2</v>
      </c>
      <c r="AX126">
        <v>16750098</v>
      </c>
      <c r="AY126">
        <v>1</v>
      </c>
      <c r="AZ126">
        <v>0</v>
      </c>
      <c r="BA126">
        <v>127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CX126">
        <f>Y126*Source!I109</f>
        <v>0.32208000000000003</v>
      </c>
      <c r="CY126">
        <f>AA126</f>
        <v>3397.49</v>
      </c>
      <c r="CZ126">
        <f>AE126</f>
        <v>517.91</v>
      </c>
      <c r="DA126">
        <f>AI126</f>
        <v>6.56</v>
      </c>
      <c r="DB126">
        <f t="shared" si="24"/>
        <v>2278.8000000000002</v>
      </c>
      <c r="DC126">
        <f t="shared" si="25"/>
        <v>0</v>
      </c>
    </row>
    <row r="127" spans="1:107" x14ac:dyDescent="0.2">
      <c r="A127">
        <f>ROW(Source!A111)</f>
        <v>111</v>
      </c>
      <c r="B127">
        <v>16748969</v>
      </c>
      <c r="C127">
        <v>16750100</v>
      </c>
      <c r="D127">
        <v>15435099</v>
      </c>
      <c r="E127">
        <v>1</v>
      </c>
      <c r="F127">
        <v>1</v>
      </c>
      <c r="G127">
        <v>1</v>
      </c>
      <c r="H127">
        <v>1</v>
      </c>
      <c r="I127" t="s">
        <v>1195</v>
      </c>
      <c r="J127" t="s">
        <v>6</v>
      </c>
      <c r="K127" t="s">
        <v>1196</v>
      </c>
      <c r="L127">
        <v>1191</v>
      </c>
      <c r="N127">
        <v>1013</v>
      </c>
      <c r="O127" t="s">
        <v>1072</v>
      </c>
      <c r="P127" t="s">
        <v>1072</v>
      </c>
      <c r="Q127">
        <v>1</v>
      </c>
      <c r="W127">
        <v>0</v>
      </c>
      <c r="X127">
        <v>1010519658</v>
      </c>
      <c r="Y127">
        <v>165.88</v>
      </c>
      <c r="AA127">
        <v>0</v>
      </c>
      <c r="AB127">
        <v>0</v>
      </c>
      <c r="AC127">
        <v>0</v>
      </c>
      <c r="AD127">
        <v>56.68</v>
      </c>
      <c r="AE127">
        <v>0</v>
      </c>
      <c r="AF127">
        <v>0</v>
      </c>
      <c r="AG127">
        <v>0</v>
      </c>
      <c r="AH127">
        <v>8.64</v>
      </c>
      <c r="AI127">
        <v>1</v>
      </c>
      <c r="AJ127">
        <v>1</v>
      </c>
      <c r="AK127">
        <v>1</v>
      </c>
      <c r="AL127">
        <v>6.56</v>
      </c>
      <c r="AN127">
        <v>0</v>
      </c>
      <c r="AO127">
        <v>1</v>
      </c>
      <c r="AP127">
        <v>0</v>
      </c>
      <c r="AQ127">
        <v>0</v>
      </c>
      <c r="AR127">
        <v>0</v>
      </c>
      <c r="AS127" t="s">
        <v>6</v>
      </c>
      <c r="AT127">
        <v>165.88</v>
      </c>
      <c r="AU127" t="s">
        <v>6</v>
      </c>
      <c r="AV127">
        <v>1</v>
      </c>
      <c r="AW127">
        <v>2</v>
      </c>
      <c r="AX127">
        <v>16750115</v>
      </c>
      <c r="AY127">
        <v>1</v>
      </c>
      <c r="AZ127">
        <v>0</v>
      </c>
      <c r="BA127">
        <v>128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CX127">
        <f>Y127*Source!I111</f>
        <v>1.6588000000000001</v>
      </c>
      <c r="CY127">
        <f>AD127</f>
        <v>56.68</v>
      </c>
      <c r="CZ127">
        <f>AH127</f>
        <v>8.64</v>
      </c>
      <c r="DA127">
        <f>AL127</f>
        <v>6.56</v>
      </c>
      <c r="DB127">
        <f t="shared" si="24"/>
        <v>1433.2</v>
      </c>
      <c r="DC127">
        <f t="shared" si="25"/>
        <v>0</v>
      </c>
    </row>
    <row r="128" spans="1:107" x14ac:dyDescent="0.2">
      <c r="A128">
        <f>ROW(Source!A111)</f>
        <v>111</v>
      </c>
      <c r="B128">
        <v>16748969</v>
      </c>
      <c r="C128">
        <v>16750100</v>
      </c>
      <c r="D128">
        <v>15430395</v>
      </c>
      <c r="E128">
        <v>1</v>
      </c>
      <c r="F128">
        <v>1</v>
      </c>
      <c r="G128">
        <v>1</v>
      </c>
      <c r="H128">
        <v>1</v>
      </c>
      <c r="I128" t="s">
        <v>1073</v>
      </c>
      <c r="J128" t="s">
        <v>6</v>
      </c>
      <c r="K128" t="s">
        <v>1074</v>
      </c>
      <c r="L128">
        <v>1191</v>
      </c>
      <c r="N128">
        <v>1013</v>
      </c>
      <c r="O128" t="s">
        <v>1072</v>
      </c>
      <c r="P128" t="s">
        <v>1072</v>
      </c>
      <c r="Q128">
        <v>1</v>
      </c>
      <c r="W128">
        <v>0</v>
      </c>
      <c r="X128">
        <v>-1417349443</v>
      </c>
      <c r="Y128">
        <v>0.67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1</v>
      </c>
      <c r="AJ128">
        <v>1</v>
      </c>
      <c r="AK128">
        <v>6.56</v>
      </c>
      <c r="AL128">
        <v>1</v>
      </c>
      <c r="AN128">
        <v>0</v>
      </c>
      <c r="AO128">
        <v>1</v>
      </c>
      <c r="AP128">
        <v>0</v>
      </c>
      <c r="AQ128">
        <v>0</v>
      </c>
      <c r="AR128">
        <v>0</v>
      </c>
      <c r="AS128" t="s">
        <v>6</v>
      </c>
      <c r="AT128">
        <v>0.67</v>
      </c>
      <c r="AU128" t="s">
        <v>6</v>
      </c>
      <c r="AV128">
        <v>2</v>
      </c>
      <c r="AW128">
        <v>2</v>
      </c>
      <c r="AX128">
        <v>16750116</v>
      </c>
      <c r="AY128">
        <v>1</v>
      </c>
      <c r="AZ128">
        <v>0</v>
      </c>
      <c r="BA128">
        <v>129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CX128">
        <f>Y128*Source!I111</f>
        <v>6.7000000000000002E-3</v>
      </c>
      <c r="CY128">
        <f>AD128</f>
        <v>0</v>
      </c>
      <c r="CZ128">
        <f>AH128</f>
        <v>0</v>
      </c>
      <c r="DA128">
        <f>AL128</f>
        <v>1</v>
      </c>
      <c r="DB128">
        <f t="shared" si="24"/>
        <v>0</v>
      </c>
      <c r="DC128">
        <f t="shared" si="25"/>
        <v>0</v>
      </c>
    </row>
    <row r="129" spans="1:107" x14ac:dyDescent="0.2">
      <c r="A129">
        <f>ROW(Source!A111)</f>
        <v>111</v>
      </c>
      <c r="B129">
        <v>16748969</v>
      </c>
      <c r="C129">
        <v>16750100</v>
      </c>
      <c r="D129">
        <v>15247878</v>
      </c>
      <c r="E129">
        <v>1</v>
      </c>
      <c r="F129">
        <v>1</v>
      </c>
      <c r="G129">
        <v>1</v>
      </c>
      <c r="H129">
        <v>2</v>
      </c>
      <c r="I129" t="s">
        <v>1197</v>
      </c>
      <c r="J129" t="s">
        <v>1198</v>
      </c>
      <c r="K129" t="s">
        <v>1199</v>
      </c>
      <c r="L129">
        <v>1368</v>
      </c>
      <c r="N129">
        <v>1011</v>
      </c>
      <c r="O129" t="s">
        <v>1078</v>
      </c>
      <c r="P129" t="s">
        <v>1078</v>
      </c>
      <c r="Q129">
        <v>1</v>
      </c>
      <c r="W129">
        <v>0</v>
      </c>
      <c r="X129">
        <v>1047452784</v>
      </c>
      <c r="Y129">
        <v>0.16</v>
      </c>
      <c r="AA129">
        <v>0</v>
      </c>
      <c r="AB129">
        <v>11.15</v>
      </c>
      <c r="AC129">
        <v>0</v>
      </c>
      <c r="AD129">
        <v>0</v>
      </c>
      <c r="AE129">
        <v>0</v>
      </c>
      <c r="AF129">
        <v>1.7</v>
      </c>
      <c r="AG129">
        <v>0</v>
      </c>
      <c r="AH129">
        <v>0</v>
      </c>
      <c r="AI129">
        <v>1</v>
      </c>
      <c r="AJ129">
        <v>6.56</v>
      </c>
      <c r="AK129">
        <v>1</v>
      </c>
      <c r="AL129">
        <v>1</v>
      </c>
      <c r="AN129">
        <v>0</v>
      </c>
      <c r="AO129">
        <v>1</v>
      </c>
      <c r="AP129">
        <v>0</v>
      </c>
      <c r="AQ129">
        <v>0</v>
      </c>
      <c r="AR129">
        <v>0</v>
      </c>
      <c r="AS129" t="s">
        <v>6</v>
      </c>
      <c r="AT129">
        <v>0.16</v>
      </c>
      <c r="AU129" t="s">
        <v>6</v>
      </c>
      <c r="AV129">
        <v>0</v>
      </c>
      <c r="AW129">
        <v>2</v>
      </c>
      <c r="AX129">
        <v>16750117</v>
      </c>
      <c r="AY129">
        <v>1</v>
      </c>
      <c r="AZ129">
        <v>0</v>
      </c>
      <c r="BA129">
        <v>130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CX129">
        <f>Y129*Source!I111</f>
        <v>1.6000000000000001E-3</v>
      </c>
      <c r="CY129">
        <f>AB129</f>
        <v>11.15</v>
      </c>
      <c r="CZ129">
        <f>AF129</f>
        <v>1.7</v>
      </c>
      <c r="DA129">
        <f>AJ129</f>
        <v>6.56</v>
      </c>
      <c r="DB129">
        <f t="shared" si="24"/>
        <v>0.27</v>
      </c>
      <c r="DC129">
        <f t="shared" si="25"/>
        <v>0</v>
      </c>
    </row>
    <row r="130" spans="1:107" x14ac:dyDescent="0.2">
      <c r="A130">
        <f>ROW(Source!A111)</f>
        <v>111</v>
      </c>
      <c r="B130">
        <v>16748969</v>
      </c>
      <c r="C130">
        <v>16750100</v>
      </c>
      <c r="D130">
        <v>15249073</v>
      </c>
      <c r="E130">
        <v>1</v>
      </c>
      <c r="F130">
        <v>1</v>
      </c>
      <c r="G130">
        <v>1</v>
      </c>
      <c r="H130">
        <v>2</v>
      </c>
      <c r="I130" t="s">
        <v>1097</v>
      </c>
      <c r="J130" t="s">
        <v>1098</v>
      </c>
      <c r="K130" t="s">
        <v>1099</v>
      </c>
      <c r="L130">
        <v>1368</v>
      </c>
      <c r="N130">
        <v>1011</v>
      </c>
      <c r="O130" t="s">
        <v>1078</v>
      </c>
      <c r="P130" t="s">
        <v>1078</v>
      </c>
      <c r="Q130">
        <v>1</v>
      </c>
      <c r="W130">
        <v>0</v>
      </c>
      <c r="X130">
        <v>1372534845</v>
      </c>
      <c r="Y130">
        <v>0.2</v>
      </c>
      <c r="AA130">
        <v>0</v>
      </c>
      <c r="AB130">
        <v>431.06</v>
      </c>
      <c r="AC130">
        <v>11.6</v>
      </c>
      <c r="AD130">
        <v>0</v>
      </c>
      <c r="AE130">
        <v>0</v>
      </c>
      <c r="AF130">
        <v>65.709999999999994</v>
      </c>
      <c r="AG130">
        <v>11.6</v>
      </c>
      <c r="AH130">
        <v>0</v>
      </c>
      <c r="AI130">
        <v>1</v>
      </c>
      <c r="AJ130">
        <v>6.56</v>
      </c>
      <c r="AK130">
        <v>1</v>
      </c>
      <c r="AL130">
        <v>1</v>
      </c>
      <c r="AN130">
        <v>0</v>
      </c>
      <c r="AO130">
        <v>1</v>
      </c>
      <c r="AP130">
        <v>0</v>
      </c>
      <c r="AQ130">
        <v>0</v>
      </c>
      <c r="AR130">
        <v>0</v>
      </c>
      <c r="AS130" t="s">
        <v>6</v>
      </c>
      <c r="AT130">
        <v>0.2</v>
      </c>
      <c r="AU130" t="s">
        <v>6</v>
      </c>
      <c r="AV130">
        <v>0</v>
      </c>
      <c r="AW130">
        <v>2</v>
      </c>
      <c r="AX130">
        <v>16750118</v>
      </c>
      <c r="AY130">
        <v>1</v>
      </c>
      <c r="AZ130">
        <v>0</v>
      </c>
      <c r="BA130">
        <v>131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CX130">
        <f>Y130*Source!I111</f>
        <v>2E-3</v>
      </c>
      <c r="CY130">
        <f>AB130</f>
        <v>431.06</v>
      </c>
      <c r="CZ130">
        <f>AF130</f>
        <v>65.709999999999994</v>
      </c>
      <c r="DA130">
        <f>AJ130</f>
        <v>6.56</v>
      </c>
      <c r="DB130">
        <f t="shared" si="24"/>
        <v>13.14</v>
      </c>
      <c r="DC130">
        <f t="shared" si="25"/>
        <v>2.3199999999999998</v>
      </c>
    </row>
    <row r="131" spans="1:107" x14ac:dyDescent="0.2">
      <c r="A131">
        <f>ROW(Source!A111)</f>
        <v>111</v>
      </c>
      <c r="B131">
        <v>16748969</v>
      </c>
      <c r="C131">
        <v>16750100</v>
      </c>
      <c r="D131">
        <v>15249377</v>
      </c>
      <c r="E131">
        <v>1</v>
      </c>
      <c r="F131">
        <v>1</v>
      </c>
      <c r="G131">
        <v>1</v>
      </c>
      <c r="H131">
        <v>2</v>
      </c>
      <c r="I131" t="s">
        <v>1100</v>
      </c>
      <c r="J131" t="s">
        <v>1101</v>
      </c>
      <c r="K131" t="s">
        <v>1102</v>
      </c>
      <c r="L131">
        <v>1368</v>
      </c>
      <c r="N131">
        <v>1011</v>
      </c>
      <c r="O131" t="s">
        <v>1078</v>
      </c>
      <c r="P131" t="s">
        <v>1078</v>
      </c>
      <c r="Q131">
        <v>1</v>
      </c>
      <c r="W131">
        <v>0</v>
      </c>
      <c r="X131">
        <v>-353815937</v>
      </c>
      <c r="Y131">
        <v>0.74</v>
      </c>
      <c r="AA131">
        <v>0</v>
      </c>
      <c r="AB131">
        <v>53.14</v>
      </c>
      <c r="AC131">
        <v>0</v>
      </c>
      <c r="AD131">
        <v>0</v>
      </c>
      <c r="AE131">
        <v>0</v>
      </c>
      <c r="AF131">
        <v>8.1</v>
      </c>
      <c r="AG131">
        <v>0</v>
      </c>
      <c r="AH131">
        <v>0</v>
      </c>
      <c r="AI131">
        <v>1</v>
      </c>
      <c r="AJ131">
        <v>6.56</v>
      </c>
      <c r="AK131">
        <v>1</v>
      </c>
      <c r="AL131">
        <v>1</v>
      </c>
      <c r="AN131">
        <v>0</v>
      </c>
      <c r="AO131">
        <v>1</v>
      </c>
      <c r="AP131">
        <v>0</v>
      </c>
      <c r="AQ131">
        <v>0</v>
      </c>
      <c r="AR131">
        <v>0</v>
      </c>
      <c r="AS131" t="s">
        <v>6</v>
      </c>
      <c r="AT131">
        <v>0.74</v>
      </c>
      <c r="AU131" t="s">
        <v>6</v>
      </c>
      <c r="AV131">
        <v>0</v>
      </c>
      <c r="AW131">
        <v>2</v>
      </c>
      <c r="AX131">
        <v>16750119</v>
      </c>
      <c r="AY131">
        <v>1</v>
      </c>
      <c r="AZ131">
        <v>0</v>
      </c>
      <c r="BA131">
        <v>132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CX131">
        <f>Y131*Source!I111</f>
        <v>7.4000000000000003E-3</v>
      </c>
      <c r="CY131">
        <f>AB131</f>
        <v>53.14</v>
      </c>
      <c r="CZ131">
        <f>AF131</f>
        <v>8.1</v>
      </c>
      <c r="DA131">
        <f>AJ131</f>
        <v>6.56</v>
      </c>
      <c r="DB131">
        <f t="shared" si="24"/>
        <v>5.99</v>
      </c>
      <c r="DC131">
        <f t="shared" si="25"/>
        <v>0</v>
      </c>
    </row>
    <row r="132" spans="1:107" x14ac:dyDescent="0.2">
      <c r="A132">
        <f>ROW(Source!A111)</f>
        <v>111</v>
      </c>
      <c r="B132">
        <v>16748969</v>
      </c>
      <c r="C132">
        <v>16750100</v>
      </c>
      <c r="D132">
        <v>15249397</v>
      </c>
      <c r="E132">
        <v>1</v>
      </c>
      <c r="F132">
        <v>1</v>
      </c>
      <c r="G132">
        <v>1</v>
      </c>
      <c r="H132">
        <v>2</v>
      </c>
      <c r="I132" t="s">
        <v>1200</v>
      </c>
      <c r="J132" t="s">
        <v>1201</v>
      </c>
      <c r="K132" t="s">
        <v>1202</v>
      </c>
      <c r="L132">
        <v>1368</v>
      </c>
      <c r="N132">
        <v>1011</v>
      </c>
      <c r="O132" t="s">
        <v>1078</v>
      </c>
      <c r="P132" t="s">
        <v>1078</v>
      </c>
      <c r="Q132">
        <v>1</v>
      </c>
      <c r="W132">
        <v>0</v>
      </c>
      <c r="X132">
        <v>-1589061407</v>
      </c>
      <c r="Y132">
        <v>0.47</v>
      </c>
      <c r="AA132">
        <v>0</v>
      </c>
      <c r="AB132">
        <v>590.4</v>
      </c>
      <c r="AC132">
        <v>10.06</v>
      </c>
      <c r="AD132">
        <v>0</v>
      </c>
      <c r="AE132">
        <v>0</v>
      </c>
      <c r="AF132">
        <v>90</v>
      </c>
      <c r="AG132">
        <v>10.06</v>
      </c>
      <c r="AH132">
        <v>0</v>
      </c>
      <c r="AI132">
        <v>1</v>
      </c>
      <c r="AJ132">
        <v>6.56</v>
      </c>
      <c r="AK132">
        <v>1</v>
      </c>
      <c r="AL132">
        <v>1</v>
      </c>
      <c r="AN132">
        <v>0</v>
      </c>
      <c r="AO132">
        <v>1</v>
      </c>
      <c r="AP132">
        <v>0</v>
      </c>
      <c r="AQ132">
        <v>0</v>
      </c>
      <c r="AR132">
        <v>0</v>
      </c>
      <c r="AS132" t="s">
        <v>6</v>
      </c>
      <c r="AT132">
        <v>0.47</v>
      </c>
      <c r="AU132" t="s">
        <v>6</v>
      </c>
      <c r="AV132">
        <v>0</v>
      </c>
      <c r="AW132">
        <v>2</v>
      </c>
      <c r="AX132">
        <v>16750120</v>
      </c>
      <c r="AY132">
        <v>1</v>
      </c>
      <c r="AZ132">
        <v>0</v>
      </c>
      <c r="BA132">
        <v>133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CX132">
        <f>Y132*Source!I111</f>
        <v>4.7000000000000002E-3</v>
      </c>
      <c r="CY132">
        <f>AB132</f>
        <v>590.4</v>
      </c>
      <c r="CZ132">
        <f>AF132</f>
        <v>90</v>
      </c>
      <c r="DA132">
        <f>AJ132</f>
        <v>6.56</v>
      </c>
      <c r="DB132">
        <f t="shared" si="24"/>
        <v>42.3</v>
      </c>
      <c r="DC132">
        <f t="shared" si="25"/>
        <v>4.7300000000000004</v>
      </c>
    </row>
    <row r="133" spans="1:107" x14ac:dyDescent="0.2">
      <c r="A133">
        <f>ROW(Source!A111)</f>
        <v>111</v>
      </c>
      <c r="B133">
        <v>16748969</v>
      </c>
      <c r="C133">
        <v>16750100</v>
      </c>
      <c r="D133">
        <v>15249998</v>
      </c>
      <c r="E133">
        <v>1</v>
      </c>
      <c r="F133">
        <v>1</v>
      </c>
      <c r="G133">
        <v>1</v>
      </c>
      <c r="H133">
        <v>2</v>
      </c>
      <c r="I133" t="s">
        <v>1092</v>
      </c>
      <c r="J133" t="s">
        <v>1093</v>
      </c>
      <c r="K133" t="s">
        <v>1094</v>
      </c>
      <c r="L133">
        <v>1368</v>
      </c>
      <c r="N133">
        <v>1011</v>
      </c>
      <c r="O133" t="s">
        <v>1078</v>
      </c>
      <c r="P133" t="s">
        <v>1078</v>
      </c>
      <c r="Q133">
        <v>1</v>
      </c>
      <c r="W133">
        <v>0</v>
      </c>
      <c r="X133">
        <v>1518765163</v>
      </c>
      <c r="Y133">
        <v>0.92</v>
      </c>
      <c r="AA133">
        <v>0</v>
      </c>
      <c r="AB133">
        <v>10.039999999999999</v>
      </c>
      <c r="AC133">
        <v>0</v>
      </c>
      <c r="AD133">
        <v>0</v>
      </c>
      <c r="AE133">
        <v>0</v>
      </c>
      <c r="AF133">
        <v>1.53</v>
      </c>
      <c r="AG133">
        <v>0</v>
      </c>
      <c r="AH133">
        <v>0</v>
      </c>
      <c r="AI133">
        <v>1</v>
      </c>
      <c r="AJ133">
        <v>6.56</v>
      </c>
      <c r="AK133">
        <v>1</v>
      </c>
      <c r="AL133">
        <v>1</v>
      </c>
      <c r="AN133">
        <v>0</v>
      </c>
      <c r="AO133">
        <v>1</v>
      </c>
      <c r="AP133">
        <v>0</v>
      </c>
      <c r="AQ133">
        <v>0</v>
      </c>
      <c r="AR133">
        <v>0</v>
      </c>
      <c r="AS133" t="s">
        <v>6</v>
      </c>
      <c r="AT133">
        <v>0.92</v>
      </c>
      <c r="AU133" t="s">
        <v>6</v>
      </c>
      <c r="AV133">
        <v>0</v>
      </c>
      <c r="AW133">
        <v>2</v>
      </c>
      <c r="AX133">
        <v>16750121</v>
      </c>
      <c r="AY133">
        <v>1</v>
      </c>
      <c r="AZ133">
        <v>0</v>
      </c>
      <c r="BA133">
        <v>134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CX133">
        <f>Y133*Source!I111</f>
        <v>9.1999999999999998E-3</v>
      </c>
      <c r="CY133">
        <f>AB133</f>
        <v>10.039999999999999</v>
      </c>
      <c r="CZ133">
        <f>AF133</f>
        <v>1.53</v>
      </c>
      <c r="DA133">
        <f>AJ133</f>
        <v>6.56</v>
      </c>
      <c r="DB133">
        <f t="shared" si="24"/>
        <v>1.41</v>
      </c>
      <c r="DC133">
        <f t="shared" si="25"/>
        <v>0</v>
      </c>
    </row>
    <row r="134" spans="1:107" x14ac:dyDescent="0.2">
      <c r="A134">
        <f>ROW(Source!A111)</f>
        <v>111</v>
      </c>
      <c r="B134">
        <v>16748969</v>
      </c>
      <c r="C134">
        <v>16750100</v>
      </c>
      <c r="D134">
        <v>15168772</v>
      </c>
      <c r="E134">
        <v>1</v>
      </c>
      <c r="F134">
        <v>1</v>
      </c>
      <c r="G134">
        <v>1</v>
      </c>
      <c r="H134">
        <v>3</v>
      </c>
      <c r="I134" t="s">
        <v>1203</v>
      </c>
      <c r="J134" t="s">
        <v>1204</v>
      </c>
      <c r="K134" t="s">
        <v>1205</v>
      </c>
      <c r="L134">
        <v>1348</v>
      </c>
      <c r="N134">
        <v>1009</v>
      </c>
      <c r="O134" t="s">
        <v>71</v>
      </c>
      <c r="P134" t="s">
        <v>71</v>
      </c>
      <c r="Q134">
        <v>1000</v>
      </c>
      <c r="W134">
        <v>0</v>
      </c>
      <c r="X134">
        <v>-1506867946</v>
      </c>
      <c r="Y134">
        <v>8.9999999999999993E-3</v>
      </c>
      <c r="AA134">
        <v>61821.440000000002</v>
      </c>
      <c r="AB134">
        <v>0</v>
      </c>
      <c r="AC134">
        <v>0</v>
      </c>
      <c r="AD134">
        <v>0</v>
      </c>
      <c r="AE134">
        <v>9424</v>
      </c>
      <c r="AF134">
        <v>0</v>
      </c>
      <c r="AG134">
        <v>0</v>
      </c>
      <c r="AH134">
        <v>0</v>
      </c>
      <c r="AI134">
        <v>6.56</v>
      </c>
      <c r="AJ134">
        <v>1</v>
      </c>
      <c r="AK134">
        <v>1</v>
      </c>
      <c r="AL134">
        <v>1</v>
      </c>
      <c r="AN134">
        <v>0</v>
      </c>
      <c r="AO134">
        <v>1</v>
      </c>
      <c r="AP134">
        <v>0</v>
      </c>
      <c r="AQ134">
        <v>0</v>
      </c>
      <c r="AR134">
        <v>0</v>
      </c>
      <c r="AS134" t="s">
        <v>6</v>
      </c>
      <c r="AT134">
        <v>8.9999999999999993E-3</v>
      </c>
      <c r="AU134" t="s">
        <v>6</v>
      </c>
      <c r="AV134">
        <v>0</v>
      </c>
      <c r="AW134">
        <v>2</v>
      </c>
      <c r="AX134">
        <v>16750122</v>
      </c>
      <c r="AY134">
        <v>1</v>
      </c>
      <c r="AZ134">
        <v>0</v>
      </c>
      <c r="BA134">
        <v>135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CX134">
        <f>Y134*Source!I111</f>
        <v>8.9999999999999992E-5</v>
      </c>
      <c r="CY134">
        <f t="shared" ref="CY134:CY140" si="26">AA134</f>
        <v>61821.440000000002</v>
      </c>
      <c r="CZ134">
        <f t="shared" ref="CZ134:CZ140" si="27">AE134</f>
        <v>9424</v>
      </c>
      <c r="DA134">
        <f t="shared" ref="DA134:DA140" si="28">AI134</f>
        <v>6.56</v>
      </c>
      <c r="DB134">
        <f t="shared" si="24"/>
        <v>84.82</v>
      </c>
      <c r="DC134">
        <f t="shared" si="25"/>
        <v>0</v>
      </c>
    </row>
    <row r="135" spans="1:107" x14ac:dyDescent="0.2">
      <c r="A135">
        <f>ROW(Source!A111)</f>
        <v>111</v>
      </c>
      <c r="B135">
        <v>16748969</v>
      </c>
      <c r="C135">
        <v>16750100</v>
      </c>
      <c r="D135">
        <v>15172836</v>
      </c>
      <c r="E135">
        <v>1</v>
      </c>
      <c r="F135">
        <v>1</v>
      </c>
      <c r="G135">
        <v>1</v>
      </c>
      <c r="H135">
        <v>3</v>
      </c>
      <c r="I135" t="s">
        <v>281</v>
      </c>
      <c r="J135" t="s">
        <v>284</v>
      </c>
      <c r="K135" t="s">
        <v>282</v>
      </c>
      <c r="L135">
        <v>1339</v>
      </c>
      <c r="N135">
        <v>1007</v>
      </c>
      <c r="O135" t="s">
        <v>283</v>
      </c>
      <c r="P135" t="s">
        <v>283</v>
      </c>
      <c r="Q135">
        <v>1</v>
      </c>
      <c r="W135">
        <v>0</v>
      </c>
      <c r="X135">
        <v>519185539</v>
      </c>
      <c r="Y135">
        <v>0.54</v>
      </c>
      <c r="AA135">
        <v>3409.89</v>
      </c>
      <c r="AB135">
        <v>0</v>
      </c>
      <c r="AC135">
        <v>0</v>
      </c>
      <c r="AD135">
        <v>0</v>
      </c>
      <c r="AE135">
        <v>519.79999999999995</v>
      </c>
      <c r="AF135">
        <v>0</v>
      </c>
      <c r="AG135">
        <v>0</v>
      </c>
      <c r="AH135">
        <v>0</v>
      </c>
      <c r="AI135">
        <v>6.56</v>
      </c>
      <c r="AJ135">
        <v>1</v>
      </c>
      <c r="AK135">
        <v>1</v>
      </c>
      <c r="AL135">
        <v>1</v>
      </c>
      <c r="AN135">
        <v>0</v>
      </c>
      <c r="AO135">
        <v>0</v>
      </c>
      <c r="AP135">
        <v>0</v>
      </c>
      <c r="AQ135">
        <v>0</v>
      </c>
      <c r="AR135">
        <v>0</v>
      </c>
      <c r="AS135" t="s">
        <v>6</v>
      </c>
      <c r="AT135">
        <v>0.54</v>
      </c>
      <c r="AU135" t="s">
        <v>6</v>
      </c>
      <c r="AV135">
        <v>0</v>
      </c>
      <c r="AW135">
        <v>1</v>
      </c>
      <c r="AX135">
        <v>-1</v>
      </c>
      <c r="AY135">
        <v>0</v>
      </c>
      <c r="AZ135">
        <v>0</v>
      </c>
      <c r="BA135" t="s">
        <v>6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CX135">
        <f>Y135*Source!I111</f>
        <v>5.4000000000000003E-3</v>
      </c>
      <c r="CY135">
        <f t="shared" si="26"/>
        <v>3409.89</v>
      </c>
      <c r="CZ135">
        <f t="shared" si="27"/>
        <v>519.79999999999995</v>
      </c>
      <c r="DA135">
        <f t="shared" si="28"/>
        <v>6.56</v>
      </c>
      <c r="DB135">
        <f t="shared" si="24"/>
        <v>280.69</v>
      </c>
      <c r="DC135">
        <f t="shared" si="25"/>
        <v>0</v>
      </c>
    </row>
    <row r="136" spans="1:107" x14ac:dyDescent="0.2">
      <c r="A136">
        <f>ROW(Source!A111)</f>
        <v>111</v>
      </c>
      <c r="B136">
        <v>16748969</v>
      </c>
      <c r="C136">
        <v>16750100</v>
      </c>
      <c r="D136">
        <v>15164565</v>
      </c>
      <c r="E136">
        <v>17</v>
      </c>
      <c r="F136">
        <v>1</v>
      </c>
      <c r="G136">
        <v>1</v>
      </c>
      <c r="H136">
        <v>3</v>
      </c>
      <c r="I136" t="s">
        <v>295</v>
      </c>
      <c r="J136" t="s">
        <v>6</v>
      </c>
      <c r="K136" t="s">
        <v>296</v>
      </c>
      <c r="L136">
        <v>1339</v>
      </c>
      <c r="N136">
        <v>1007</v>
      </c>
      <c r="O136" t="s">
        <v>283</v>
      </c>
      <c r="P136" t="s">
        <v>283</v>
      </c>
      <c r="Q136">
        <v>1</v>
      </c>
      <c r="W136">
        <v>0</v>
      </c>
      <c r="X136">
        <v>546204653</v>
      </c>
      <c r="Y136">
        <v>0.54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6.56</v>
      </c>
      <c r="AJ136">
        <v>1</v>
      </c>
      <c r="AK136">
        <v>1</v>
      </c>
      <c r="AL136">
        <v>1</v>
      </c>
      <c r="AN136">
        <v>0</v>
      </c>
      <c r="AO136">
        <v>0</v>
      </c>
      <c r="AP136">
        <v>0</v>
      </c>
      <c r="AQ136">
        <v>0</v>
      </c>
      <c r="AR136">
        <v>0</v>
      </c>
      <c r="AS136" t="s">
        <v>6</v>
      </c>
      <c r="AT136">
        <v>0.54</v>
      </c>
      <c r="AU136" t="s">
        <v>6</v>
      </c>
      <c r="AV136">
        <v>0</v>
      </c>
      <c r="AW136">
        <v>2</v>
      </c>
      <c r="AX136">
        <v>16750123</v>
      </c>
      <c r="AY136">
        <v>1</v>
      </c>
      <c r="AZ136">
        <v>0</v>
      </c>
      <c r="BA136">
        <v>136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CX136">
        <f>Y136*Source!I111</f>
        <v>5.4000000000000003E-3</v>
      </c>
      <c r="CY136">
        <f t="shared" si="26"/>
        <v>0</v>
      </c>
      <c r="CZ136">
        <f t="shared" si="27"/>
        <v>0</v>
      </c>
      <c r="DA136">
        <f t="shared" si="28"/>
        <v>6.56</v>
      </c>
      <c r="DB136">
        <f t="shared" si="24"/>
        <v>0</v>
      </c>
      <c r="DC136">
        <f t="shared" si="25"/>
        <v>0</v>
      </c>
    </row>
    <row r="137" spans="1:107" x14ac:dyDescent="0.2">
      <c r="A137">
        <f>ROW(Source!A111)</f>
        <v>111</v>
      </c>
      <c r="B137">
        <v>16748969</v>
      </c>
      <c r="C137">
        <v>16750100</v>
      </c>
      <c r="D137">
        <v>15162112</v>
      </c>
      <c r="E137">
        <v>17</v>
      </c>
      <c r="F137">
        <v>1</v>
      </c>
      <c r="G137">
        <v>1</v>
      </c>
      <c r="H137">
        <v>3</v>
      </c>
      <c r="I137" t="s">
        <v>298</v>
      </c>
      <c r="J137" t="s">
        <v>6</v>
      </c>
      <c r="K137" t="s">
        <v>299</v>
      </c>
      <c r="L137">
        <v>1356</v>
      </c>
      <c r="N137">
        <v>1010</v>
      </c>
      <c r="O137" t="s">
        <v>288</v>
      </c>
      <c r="P137" t="s">
        <v>288</v>
      </c>
      <c r="Q137">
        <v>1000</v>
      </c>
      <c r="W137">
        <v>0</v>
      </c>
      <c r="X137">
        <v>-637242490</v>
      </c>
      <c r="Y137">
        <v>0.56999999999999995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6.56</v>
      </c>
      <c r="AJ137">
        <v>1</v>
      </c>
      <c r="AK137">
        <v>1</v>
      </c>
      <c r="AL137">
        <v>1</v>
      </c>
      <c r="AN137">
        <v>0</v>
      </c>
      <c r="AO137">
        <v>0</v>
      </c>
      <c r="AP137">
        <v>0</v>
      </c>
      <c r="AQ137">
        <v>0</v>
      </c>
      <c r="AR137">
        <v>0</v>
      </c>
      <c r="AS137" t="s">
        <v>6</v>
      </c>
      <c r="AT137">
        <v>0.56999999999999995</v>
      </c>
      <c r="AU137" t="s">
        <v>6</v>
      </c>
      <c r="AV137">
        <v>0</v>
      </c>
      <c r="AW137">
        <v>2</v>
      </c>
      <c r="AX137">
        <v>16750124</v>
      </c>
      <c r="AY137">
        <v>1</v>
      </c>
      <c r="AZ137">
        <v>0</v>
      </c>
      <c r="BA137">
        <v>137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CX137">
        <f>Y137*Source!I111</f>
        <v>5.6999999999999993E-3</v>
      </c>
      <c r="CY137">
        <f t="shared" si="26"/>
        <v>0</v>
      </c>
      <c r="CZ137">
        <f t="shared" si="27"/>
        <v>0</v>
      </c>
      <c r="DA137">
        <f t="shared" si="28"/>
        <v>6.56</v>
      </c>
      <c r="DB137">
        <f t="shared" si="24"/>
        <v>0</v>
      </c>
      <c r="DC137">
        <f t="shared" si="25"/>
        <v>0</v>
      </c>
    </row>
    <row r="138" spans="1:107" x14ac:dyDescent="0.2">
      <c r="A138">
        <f>ROW(Source!A111)</f>
        <v>111</v>
      </c>
      <c r="B138">
        <v>16748969</v>
      </c>
      <c r="C138">
        <v>16750100</v>
      </c>
      <c r="D138">
        <v>15186829</v>
      </c>
      <c r="E138">
        <v>1</v>
      </c>
      <c r="F138">
        <v>1</v>
      </c>
      <c r="G138">
        <v>1</v>
      </c>
      <c r="H138">
        <v>3</v>
      </c>
      <c r="I138" t="s">
        <v>286</v>
      </c>
      <c r="J138" t="s">
        <v>289</v>
      </c>
      <c r="K138" t="s">
        <v>287</v>
      </c>
      <c r="L138">
        <v>1356</v>
      </c>
      <c r="N138">
        <v>1010</v>
      </c>
      <c r="O138" t="s">
        <v>288</v>
      </c>
      <c r="P138" t="s">
        <v>288</v>
      </c>
      <c r="Q138">
        <v>1000</v>
      </c>
      <c r="W138">
        <v>0</v>
      </c>
      <c r="X138">
        <v>-1135711210</v>
      </c>
      <c r="Y138">
        <v>0.56999999999999995</v>
      </c>
      <c r="AA138">
        <v>12223.71</v>
      </c>
      <c r="AB138">
        <v>0</v>
      </c>
      <c r="AC138">
        <v>0</v>
      </c>
      <c r="AD138">
        <v>0</v>
      </c>
      <c r="AE138">
        <v>1863.37</v>
      </c>
      <c r="AF138">
        <v>0</v>
      </c>
      <c r="AG138">
        <v>0</v>
      </c>
      <c r="AH138">
        <v>0</v>
      </c>
      <c r="AI138">
        <v>6.56</v>
      </c>
      <c r="AJ138">
        <v>1</v>
      </c>
      <c r="AK138">
        <v>1</v>
      </c>
      <c r="AL138">
        <v>1</v>
      </c>
      <c r="AN138">
        <v>0</v>
      </c>
      <c r="AO138">
        <v>0</v>
      </c>
      <c r="AP138">
        <v>0</v>
      </c>
      <c r="AQ138">
        <v>0</v>
      </c>
      <c r="AR138">
        <v>0</v>
      </c>
      <c r="AS138" t="s">
        <v>6</v>
      </c>
      <c r="AT138">
        <v>0.56999999999999995</v>
      </c>
      <c r="AU138" t="s">
        <v>6</v>
      </c>
      <c r="AV138">
        <v>0</v>
      </c>
      <c r="AW138">
        <v>1</v>
      </c>
      <c r="AX138">
        <v>-1</v>
      </c>
      <c r="AY138">
        <v>0</v>
      </c>
      <c r="AZ138">
        <v>0</v>
      </c>
      <c r="BA138" t="s">
        <v>6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CX138">
        <f>Y138*Source!I111</f>
        <v>5.6999999999999993E-3</v>
      </c>
      <c r="CY138">
        <f t="shared" si="26"/>
        <v>12223.71</v>
      </c>
      <c r="CZ138">
        <f t="shared" si="27"/>
        <v>1863.37</v>
      </c>
      <c r="DA138">
        <f t="shared" si="28"/>
        <v>6.56</v>
      </c>
      <c r="DB138">
        <f t="shared" si="24"/>
        <v>1062.1199999999999</v>
      </c>
      <c r="DC138">
        <f t="shared" si="25"/>
        <v>0</v>
      </c>
    </row>
    <row r="139" spans="1:107" x14ac:dyDescent="0.2">
      <c r="A139">
        <f>ROW(Source!A111)</f>
        <v>111</v>
      </c>
      <c r="B139">
        <v>16748969</v>
      </c>
      <c r="C139">
        <v>16750100</v>
      </c>
      <c r="D139">
        <v>15161825</v>
      </c>
      <c r="E139">
        <v>17</v>
      </c>
      <c r="F139">
        <v>1</v>
      </c>
      <c r="G139">
        <v>1</v>
      </c>
      <c r="H139">
        <v>3</v>
      </c>
      <c r="I139" t="s">
        <v>301</v>
      </c>
      <c r="J139" t="s">
        <v>6</v>
      </c>
      <c r="K139" t="s">
        <v>302</v>
      </c>
      <c r="L139">
        <v>1348</v>
      </c>
      <c r="N139">
        <v>1009</v>
      </c>
      <c r="O139" t="s">
        <v>71</v>
      </c>
      <c r="P139" t="s">
        <v>71</v>
      </c>
      <c r="Q139">
        <v>1000</v>
      </c>
      <c r="W139">
        <v>0</v>
      </c>
      <c r="X139">
        <v>748648226</v>
      </c>
      <c r="Y139">
        <v>1.04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6.56</v>
      </c>
      <c r="AJ139">
        <v>1</v>
      </c>
      <c r="AK139">
        <v>1</v>
      </c>
      <c r="AL139">
        <v>1</v>
      </c>
      <c r="AN139">
        <v>0</v>
      </c>
      <c r="AO139">
        <v>0</v>
      </c>
      <c r="AP139">
        <v>0</v>
      </c>
      <c r="AQ139">
        <v>0</v>
      </c>
      <c r="AR139">
        <v>0</v>
      </c>
      <c r="AS139" t="s">
        <v>6</v>
      </c>
      <c r="AT139">
        <v>1.04</v>
      </c>
      <c r="AU139" t="s">
        <v>6</v>
      </c>
      <c r="AV139">
        <v>0</v>
      </c>
      <c r="AW139">
        <v>2</v>
      </c>
      <c r="AX139">
        <v>16750125</v>
      </c>
      <c r="AY139">
        <v>1</v>
      </c>
      <c r="AZ139">
        <v>0</v>
      </c>
      <c r="BA139">
        <v>138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CX139">
        <f>Y139*Source!I111</f>
        <v>1.0400000000000001E-2</v>
      </c>
      <c r="CY139">
        <f t="shared" si="26"/>
        <v>0</v>
      </c>
      <c r="CZ139">
        <f t="shared" si="27"/>
        <v>0</v>
      </c>
      <c r="DA139">
        <f t="shared" si="28"/>
        <v>6.56</v>
      </c>
      <c r="DB139">
        <f t="shared" si="24"/>
        <v>0</v>
      </c>
      <c r="DC139">
        <f t="shared" si="25"/>
        <v>0</v>
      </c>
    </row>
    <row r="140" spans="1:107" x14ac:dyDescent="0.2">
      <c r="A140">
        <f>ROW(Source!A111)</f>
        <v>111</v>
      </c>
      <c r="B140">
        <v>16748969</v>
      </c>
      <c r="C140">
        <v>16750100</v>
      </c>
      <c r="D140">
        <v>15191608</v>
      </c>
      <c r="E140">
        <v>1</v>
      </c>
      <c r="F140">
        <v>1</v>
      </c>
      <c r="G140">
        <v>1</v>
      </c>
      <c r="H140">
        <v>3</v>
      </c>
      <c r="I140" t="s">
        <v>291</v>
      </c>
      <c r="J140" t="s">
        <v>293</v>
      </c>
      <c r="K140" t="s">
        <v>292</v>
      </c>
      <c r="L140">
        <v>1348</v>
      </c>
      <c r="N140">
        <v>1009</v>
      </c>
      <c r="O140" t="s">
        <v>71</v>
      </c>
      <c r="P140" t="s">
        <v>71</v>
      </c>
      <c r="Q140">
        <v>1000</v>
      </c>
      <c r="W140">
        <v>0</v>
      </c>
      <c r="X140">
        <v>1270864760</v>
      </c>
      <c r="Y140">
        <v>1.04</v>
      </c>
      <c r="AA140">
        <v>44237.43</v>
      </c>
      <c r="AB140">
        <v>0</v>
      </c>
      <c r="AC140">
        <v>0</v>
      </c>
      <c r="AD140">
        <v>0</v>
      </c>
      <c r="AE140">
        <v>6743.51</v>
      </c>
      <c r="AF140">
        <v>0</v>
      </c>
      <c r="AG140">
        <v>0</v>
      </c>
      <c r="AH140">
        <v>0</v>
      </c>
      <c r="AI140">
        <v>6.56</v>
      </c>
      <c r="AJ140">
        <v>1</v>
      </c>
      <c r="AK140">
        <v>1</v>
      </c>
      <c r="AL140">
        <v>1</v>
      </c>
      <c r="AN140">
        <v>0</v>
      </c>
      <c r="AO140">
        <v>0</v>
      </c>
      <c r="AP140">
        <v>0</v>
      </c>
      <c r="AQ140">
        <v>0</v>
      </c>
      <c r="AR140">
        <v>0</v>
      </c>
      <c r="AS140" t="s">
        <v>6</v>
      </c>
      <c r="AT140">
        <v>1.04</v>
      </c>
      <c r="AU140" t="s">
        <v>6</v>
      </c>
      <c r="AV140">
        <v>0</v>
      </c>
      <c r="AW140">
        <v>1</v>
      </c>
      <c r="AX140">
        <v>-1</v>
      </c>
      <c r="AY140">
        <v>0</v>
      </c>
      <c r="AZ140">
        <v>0</v>
      </c>
      <c r="BA140" t="s">
        <v>6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CX140">
        <f>Y140*Source!I111</f>
        <v>1.0400000000000001E-2</v>
      </c>
      <c r="CY140">
        <f t="shared" si="26"/>
        <v>44237.43</v>
      </c>
      <c r="CZ140">
        <f t="shared" si="27"/>
        <v>6743.51</v>
      </c>
      <c r="DA140">
        <f t="shared" si="28"/>
        <v>6.56</v>
      </c>
      <c r="DB140">
        <f t="shared" si="24"/>
        <v>7013.25</v>
      </c>
      <c r="DC140">
        <f t="shared" si="25"/>
        <v>0</v>
      </c>
    </row>
    <row r="141" spans="1:107" x14ac:dyDescent="0.2">
      <c r="A141">
        <f>ROW(Source!A118)</f>
        <v>118</v>
      </c>
      <c r="B141">
        <v>16748969</v>
      </c>
      <c r="C141">
        <v>16750132</v>
      </c>
      <c r="D141">
        <v>15432258</v>
      </c>
      <c r="E141">
        <v>1</v>
      </c>
      <c r="F141">
        <v>1</v>
      </c>
      <c r="G141">
        <v>1</v>
      </c>
      <c r="H141">
        <v>1</v>
      </c>
      <c r="I141" t="s">
        <v>1206</v>
      </c>
      <c r="J141" t="s">
        <v>6</v>
      </c>
      <c r="K141" t="s">
        <v>1207</v>
      </c>
      <c r="L141">
        <v>1191</v>
      </c>
      <c r="N141">
        <v>1013</v>
      </c>
      <c r="O141" t="s">
        <v>1072</v>
      </c>
      <c r="P141" t="s">
        <v>1072</v>
      </c>
      <c r="Q141">
        <v>1</v>
      </c>
      <c r="W141">
        <v>0</v>
      </c>
      <c r="X141">
        <v>-608433632</v>
      </c>
      <c r="Y141">
        <v>80.19</v>
      </c>
      <c r="AA141">
        <v>0</v>
      </c>
      <c r="AB141">
        <v>0</v>
      </c>
      <c r="AC141">
        <v>0</v>
      </c>
      <c r="AD141">
        <v>55.5</v>
      </c>
      <c r="AE141">
        <v>0</v>
      </c>
      <c r="AF141">
        <v>0</v>
      </c>
      <c r="AG141">
        <v>0</v>
      </c>
      <c r="AH141">
        <v>8.4600000000000009</v>
      </c>
      <c r="AI141">
        <v>1</v>
      </c>
      <c r="AJ141">
        <v>1</v>
      </c>
      <c r="AK141">
        <v>1</v>
      </c>
      <c r="AL141">
        <v>6.56</v>
      </c>
      <c r="AN141">
        <v>0</v>
      </c>
      <c r="AO141">
        <v>1</v>
      </c>
      <c r="AP141">
        <v>0</v>
      </c>
      <c r="AQ141">
        <v>0</v>
      </c>
      <c r="AR141">
        <v>0</v>
      </c>
      <c r="AS141" t="s">
        <v>6</v>
      </c>
      <c r="AT141">
        <v>80.19</v>
      </c>
      <c r="AU141" t="s">
        <v>6</v>
      </c>
      <c r="AV141">
        <v>1</v>
      </c>
      <c r="AW141">
        <v>2</v>
      </c>
      <c r="AX141">
        <v>16750145</v>
      </c>
      <c r="AY141">
        <v>1</v>
      </c>
      <c r="AZ141">
        <v>0</v>
      </c>
      <c r="BA141">
        <v>139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CX141">
        <f>Y141*Source!I118</f>
        <v>34.481699999999996</v>
      </c>
      <c r="CY141">
        <f>AD141</f>
        <v>55.5</v>
      </c>
      <c r="CZ141">
        <f>AH141</f>
        <v>8.4600000000000009</v>
      </c>
      <c r="DA141">
        <f>AL141</f>
        <v>6.56</v>
      </c>
      <c r="DB141">
        <f t="shared" si="24"/>
        <v>678.41</v>
      </c>
      <c r="DC141">
        <f t="shared" si="25"/>
        <v>0</v>
      </c>
    </row>
    <row r="142" spans="1:107" x14ac:dyDescent="0.2">
      <c r="A142">
        <f>ROW(Source!A118)</f>
        <v>118</v>
      </c>
      <c r="B142">
        <v>16748969</v>
      </c>
      <c r="C142">
        <v>16750132</v>
      </c>
      <c r="D142">
        <v>15430395</v>
      </c>
      <c r="E142">
        <v>1</v>
      </c>
      <c r="F142">
        <v>1</v>
      </c>
      <c r="G142">
        <v>1</v>
      </c>
      <c r="H142">
        <v>1</v>
      </c>
      <c r="I142" t="s">
        <v>1073</v>
      </c>
      <c r="J142" t="s">
        <v>6</v>
      </c>
      <c r="K142" t="s">
        <v>1074</v>
      </c>
      <c r="L142">
        <v>1191</v>
      </c>
      <c r="N142">
        <v>1013</v>
      </c>
      <c r="O142" t="s">
        <v>1072</v>
      </c>
      <c r="P142" t="s">
        <v>1072</v>
      </c>
      <c r="Q142">
        <v>1</v>
      </c>
      <c r="W142">
        <v>0</v>
      </c>
      <c r="X142">
        <v>-1417349443</v>
      </c>
      <c r="Y142">
        <v>2.5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1</v>
      </c>
      <c r="AJ142">
        <v>1</v>
      </c>
      <c r="AK142">
        <v>6.56</v>
      </c>
      <c r="AL142">
        <v>1</v>
      </c>
      <c r="AN142">
        <v>0</v>
      </c>
      <c r="AO142">
        <v>1</v>
      </c>
      <c r="AP142">
        <v>0</v>
      </c>
      <c r="AQ142">
        <v>0</v>
      </c>
      <c r="AR142">
        <v>0</v>
      </c>
      <c r="AS142" t="s">
        <v>6</v>
      </c>
      <c r="AT142">
        <v>2.5</v>
      </c>
      <c r="AU142" t="s">
        <v>6</v>
      </c>
      <c r="AV142">
        <v>2</v>
      </c>
      <c r="AW142">
        <v>2</v>
      </c>
      <c r="AX142">
        <v>16750146</v>
      </c>
      <c r="AY142">
        <v>1</v>
      </c>
      <c r="AZ142">
        <v>0</v>
      </c>
      <c r="BA142">
        <v>140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CX142">
        <f>Y142*Source!I118</f>
        <v>1.075</v>
      </c>
      <c r="CY142">
        <f>AD142</f>
        <v>0</v>
      </c>
      <c r="CZ142">
        <f>AH142</f>
        <v>0</v>
      </c>
      <c r="DA142">
        <f>AL142</f>
        <v>1</v>
      </c>
      <c r="DB142">
        <f t="shared" si="24"/>
        <v>0</v>
      </c>
      <c r="DC142">
        <f t="shared" si="25"/>
        <v>0</v>
      </c>
    </row>
    <row r="143" spans="1:107" x14ac:dyDescent="0.2">
      <c r="A143">
        <f>ROW(Source!A118)</f>
        <v>118</v>
      </c>
      <c r="B143">
        <v>16748969</v>
      </c>
      <c r="C143">
        <v>16750132</v>
      </c>
      <c r="D143">
        <v>15247576</v>
      </c>
      <c r="E143">
        <v>1</v>
      </c>
      <c r="F143">
        <v>1</v>
      </c>
      <c r="G143">
        <v>1</v>
      </c>
      <c r="H143">
        <v>2</v>
      </c>
      <c r="I143" t="s">
        <v>1208</v>
      </c>
      <c r="J143" t="s">
        <v>1209</v>
      </c>
      <c r="K143" t="s">
        <v>1210</v>
      </c>
      <c r="L143">
        <v>1368</v>
      </c>
      <c r="N143">
        <v>1011</v>
      </c>
      <c r="O143" t="s">
        <v>1078</v>
      </c>
      <c r="P143" t="s">
        <v>1078</v>
      </c>
      <c r="Q143">
        <v>1</v>
      </c>
      <c r="W143">
        <v>0</v>
      </c>
      <c r="X143">
        <v>257150282</v>
      </c>
      <c r="Y143">
        <v>0.6</v>
      </c>
      <c r="AA143">
        <v>0</v>
      </c>
      <c r="AB143">
        <v>547.29999999999995</v>
      </c>
      <c r="AC143">
        <v>13.5</v>
      </c>
      <c r="AD143">
        <v>0</v>
      </c>
      <c r="AE143">
        <v>0</v>
      </c>
      <c r="AF143">
        <v>83.43</v>
      </c>
      <c r="AG143">
        <v>13.5</v>
      </c>
      <c r="AH143">
        <v>0</v>
      </c>
      <c r="AI143">
        <v>1</v>
      </c>
      <c r="AJ143">
        <v>6.56</v>
      </c>
      <c r="AK143">
        <v>1</v>
      </c>
      <c r="AL143">
        <v>1</v>
      </c>
      <c r="AN143">
        <v>0</v>
      </c>
      <c r="AO143">
        <v>1</v>
      </c>
      <c r="AP143">
        <v>0</v>
      </c>
      <c r="AQ143">
        <v>0</v>
      </c>
      <c r="AR143">
        <v>0</v>
      </c>
      <c r="AS143" t="s">
        <v>6</v>
      </c>
      <c r="AT143">
        <v>0.6</v>
      </c>
      <c r="AU143" t="s">
        <v>6</v>
      </c>
      <c r="AV143">
        <v>0</v>
      </c>
      <c r="AW143">
        <v>2</v>
      </c>
      <c r="AX143">
        <v>16750147</v>
      </c>
      <c r="AY143">
        <v>1</v>
      </c>
      <c r="AZ143">
        <v>0</v>
      </c>
      <c r="BA143">
        <v>141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CX143">
        <f>Y143*Source!I118</f>
        <v>0.25800000000000001</v>
      </c>
      <c r="CY143">
        <f>AB143</f>
        <v>547.29999999999995</v>
      </c>
      <c r="CZ143">
        <f>AF143</f>
        <v>83.43</v>
      </c>
      <c r="DA143">
        <f>AJ143</f>
        <v>6.56</v>
      </c>
      <c r="DB143">
        <f t="shared" si="24"/>
        <v>50.06</v>
      </c>
      <c r="DC143">
        <f t="shared" si="25"/>
        <v>8.1</v>
      </c>
    </row>
    <row r="144" spans="1:107" x14ac:dyDescent="0.2">
      <c r="A144">
        <f>ROW(Source!A118)</f>
        <v>118</v>
      </c>
      <c r="B144">
        <v>16748969</v>
      </c>
      <c r="C144">
        <v>16750132</v>
      </c>
      <c r="D144">
        <v>15247680</v>
      </c>
      <c r="E144">
        <v>1</v>
      </c>
      <c r="F144">
        <v>1</v>
      </c>
      <c r="G144">
        <v>1</v>
      </c>
      <c r="H144">
        <v>2</v>
      </c>
      <c r="I144" t="s">
        <v>1211</v>
      </c>
      <c r="J144" t="s">
        <v>1212</v>
      </c>
      <c r="K144" t="s">
        <v>1213</v>
      </c>
      <c r="L144">
        <v>1368</v>
      </c>
      <c r="N144">
        <v>1011</v>
      </c>
      <c r="O144" t="s">
        <v>1078</v>
      </c>
      <c r="P144" t="s">
        <v>1078</v>
      </c>
      <c r="Q144">
        <v>1</v>
      </c>
      <c r="W144">
        <v>0</v>
      </c>
      <c r="X144">
        <v>-1718674368</v>
      </c>
      <c r="Y144">
        <v>0.95</v>
      </c>
      <c r="AA144">
        <v>0</v>
      </c>
      <c r="AB144">
        <v>734.65</v>
      </c>
      <c r="AC144">
        <v>13.5</v>
      </c>
      <c r="AD144">
        <v>0</v>
      </c>
      <c r="AE144">
        <v>0</v>
      </c>
      <c r="AF144">
        <v>111.99</v>
      </c>
      <c r="AG144">
        <v>13.5</v>
      </c>
      <c r="AH144">
        <v>0</v>
      </c>
      <c r="AI144">
        <v>1</v>
      </c>
      <c r="AJ144">
        <v>6.56</v>
      </c>
      <c r="AK144">
        <v>1</v>
      </c>
      <c r="AL144">
        <v>1</v>
      </c>
      <c r="AN144">
        <v>0</v>
      </c>
      <c r="AO144">
        <v>1</v>
      </c>
      <c r="AP144">
        <v>0</v>
      </c>
      <c r="AQ144">
        <v>0</v>
      </c>
      <c r="AR144">
        <v>0</v>
      </c>
      <c r="AS144" t="s">
        <v>6</v>
      </c>
      <c r="AT144">
        <v>0.95</v>
      </c>
      <c r="AU144" t="s">
        <v>6</v>
      </c>
      <c r="AV144">
        <v>0</v>
      </c>
      <c r="AW144">
        <v>2</v>
      </c>
      <c r="AX144">
        <v>16750148</v>
      </c>
      <c r="AY144">
        <v>1</v>
      </c>
      <c r="AZ144">
        <v>0</v>
      </c>
      <c r="BA144">
        <v>142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CX144">
        <f>Y144*Source!I118</f>
        <v>0.40849999999999997</v>
      </c>
      <c r="CY144">
        <f>AB144</f>
        <v>734.65</v>
      </c>
      <c r="CZ144">
        <f>AF144</f>
        <v>111.99</v>
      </c>
      <c r="DA144">
        <f>AJ144</f>
        <v>6.56</v>
      </c>
      <c r="DB144">
        <f t="shared" si="24"/>
        <v>106.39</v>
      </c>
      <c r="DC144">
        <f t="shared" si="25"/>
        <v>12.83</v>
      </c>
    </row>
    <row r="145" spans="1:107" x14ac:dyDescent="0.2">
      <c r="A145">
        <f>ROW(Source!A118)</f>
        <v>118</v>
      </c>
      <c r="B145">
        <v>16748969</v>
      </c>
      <c r="C145">
        <v>16750132</v>
      </c>
      <c r="D145">
        <v>15249073</v>
      </c>
      <c r="E145">
        <v>1</v>
      </c>
      <c r="F145">
        <v>1</v>
      </c>
      <c r="G145">
        <v>1</v>
      </c>
      <c r="H145">
        <v>2</v>
      </c>
      <c r="I145" t="s">
        <v>1097</v>
      </c>
      <c r="J145" t="s">
        <v>1098</v>
      </c>
      <c r="K145" t="s">
        <v>1099</v>
      </c>
      <c r="L145">
        <v>1368</v>
      </c>
      <c r="N145">
        <v>1011</v>
      </c>
      <c r="O145" t="s">
        <v>1078</v>
      </c>
      <c r="P145" t="s">
        <v>1078</v>
      </c>
      <c r="Q145">
        <v>1</v>
      </c>
      <c r="W145">
        <v>0</v>
      </c>
      <c r="X145">
        <v>1372534845</v>
      </c>
      <c r="Y145">
        <v>0.95</v>
      </c>
      <c r="AA145">
        <v>0</v>
      </c>
      <c r="AB145">
        <v>431.06</v>
      </c>
      <c r="AC145">
        <v>11.6</v>
      </c>
      <c r="AD145">
        <v>0</v>
      </c>
      <c r="AE145">
        <v>0</v>
      </c>
      <c r="AF145">
        <v>65.709999999999994</v>
      </c>
      <c r="AG145">
        <v>11.6</v>
      </c>
      <c r="AH145">
        <v>0</v>
      </c>
      <c r="AI145">
        <v>1</v>
      </c>
      <c r="AJ145">
        <v>6.56</v>
      </c>
      <c r="AK145">
        <v>1</v>
      </c>
      <c r="AL145">
        <v>1</v>
      </c>
      <c r="AN145">
        <v>0</v>
      </c>
      <c r="AO145">
        <v>1</v>
      </c>
      <c r="AP145">
        <v>0</v>
      </c>
      <c r="AQ145">
        <v>0</v>
      </c>
      <c r="AR145">
        <v>0</v>
      </c>
      <c r="AS145" t="s">
        <v>6</v>
      </c>
      <c r="AT145">
        <v>0.95</v>
      </c>
      <c r="AU145" t="s">
        <v>6</v>
      </c>
      <c r="AV145">
        <v>0</v>
      </c>
      <c r="AW145">
        <v>2</v>
      </c>
      <c r="AX145">
        <v>16750149</v>
      </c>
      <c r="AY145">
        <v>1</v>
      </c>
      <c r="AZ145">
        <v>0</v>
      </c>
      <c r="BA145">
        <v>143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CX145">
        <f>Y145*Source!I118</f>
        <v>0.40849999999999997</v>
      </c>
      <c r="CY145">
        <f>AB145</f>
        <v>431.06</v>
      </c>
      <c r="CZ145">
        <f>AF145</f>
        <v>65.709999999999994</v>
      </c>
      <c r="DA145">
        <f>AJ145</f>
        <v>6.56</v>
      </c>
      <c r="DB145">
        <f t="shared" si="24"/>
        <v>62.42</v>
      </c>
      <c r="DC145">
        <f t="shared" si="25"/>
        <v>11.02</v>
      </c>
    </row>
    <row r="146" spans="1:107" x14ac:dyDescent="0.2">
      <c r="A146">
        <f>ROW(Source!A118)</f>
        <v>118</v>
      </c>
      <c r="B146">
        <v>16748969</v>
      </c>
      <c r="C146">
        <v>16750132</v>
      </c>
      <c r="D146">
        <v>15167286</v>
      </c>
      <c r="E146">
        <v>1</v>
      </c>
      <c r="F146">
        <v>1</v>
      </c>
      <c r="G146">
        <v>1</v>
      </c>
      <c r="H146">
        <v>3</v>
      </c>
      <c r="I146" t="s">
        <v>1079</v>
      </c>
      <c r="J146" t="s">
        <v>1080</v>
      </c>
      <c r="K146" t="s">
        <v>1081</v>
      </c>
      <c r="L146">
        <v>1339</v>
      </c>
      <c r="N146">
        <v>1007</v>
      </c>
      <c r="O146" t="s">
        <v>283</v>
      </c>
      <c r="P146" t="s">
        <v>283</v>
      </c>
      <c r="Q146">
        <v>1</v>
      </c>
      <c r="W146">
        <v>0</v>
      </c>
      <c r="X146">
        <v>-1660354250</v>
      </c>
      <c r="Y146">
        <v>8.2799999999999999E-2</v>
      </c>
      <c r="AA146">
        <v>16.010000000000002</v>
      </c>
      <c r="AB146">
        <v>0</v>
      </c>
      <c r="AC146">
        <v>0</v>
      </c>
      <c r="AD146">
        <v>0</v>
      </c>
      <c r="AE146">
        <v>2.44</v>
      </c>
      <c r="AF146">
        <v>0</v>
      </c>
      <c r="AG146">
        <v>0</v>
      </c>
      <c r="AH146">
        <v>0</v>
      </c>
      <c r="AI146">
        <v>6.56</v>
      </c>
      <c r="AJ146">
        <v>1</v>
      </c>
      <c r="AK146">
        <v>1</v>
      </c>
      <c r="AL146">
        <v>1</v>
      </c>
      <c r="AN146">
        <v>0</v>
      </c>
      <c r="AO146">
        <v>1</v>
      </c>
      <c r="AP146">
        <v>0</v>
      </c>
      <c r="AQ146">
        <v>0</v>
      </c>
      <c r="AR146">
        <v>0</v>
      </c>
      <c r="AS146" t="s">
        <v>6</v>
      </c>
      <c r="AT146">
        <v>8.2799999999999999E-2</v>
      </c>
      <c r="AU146" t="s">
        <v>6</v>
      </c>
      <c r="AV146">
        <v>0</v>
      </c>
      <c r="AW146">
        <v>2</v>
      </c>
      <c r="AX146">
        <v>16750150</v>
      </c>
      <c r="AY146">
        <v>1</v>
      </c>
      <c r="AZ146">
        <v>0</v>
      </c>
      <c r="BA146">
        <v>144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CX146">
        <f>Y146*Source!I118</f>
        <v>3.5603999999999997E-2</v>
      </c>
      <c r="CY146">
        <f t="shared" ref="CY146:CY152" si="29">AA146</f>
        <v>16.010000000000002</v>
      </c>
      <c r="CZ146">
        <f t="shared" ref="CZ146:CZ152" si="30">AE146</f>
        <v>2.44</v>
      </c>
      <c r="DA146">
        <f t="shared" ref="DA146:DA152" si="31">AI146</f>
        <v>6.56</v>
      </c>
      <c r="DB146">
        <f t="shared" si="24"/>
        <v>0.2</v>
      </c>
      <c r="DC146">
        <f t="shared" si="25"/>
        <v>0</v>
      </c>
    </row>
    <row r="147" spans="1:107" x14ac:dyDescent="0.2">
      <c r="A147">
        <f>ROW(Source!A118)</f>
        <v>118</v>
      </c>
      <c r="B147">
        <v>16748969</v>
      </c>
      <c r="C147">
        <v>16750132</v>
      </c>
      <c r="D147">
        <v>15185848</v>
      </c>
      <c r="E147">
        <v>1</v>
      </c>
      <c r="F147">
        <v>1</v>
      </c>
      <c r="G147">
        <v>1</v>
      </c>
      <c r="H147">
        <v>3</v>
      </c>
      <c r="I147" t="s">
        <v>310</v>
      </c>
      <c r="J147" t="s">
        <v>312</v>
      </c>
      <c r="K147" t="s">
        <v>311</v>
      </c>
      <c r="L147">
        <v>1354</v>
      </c>
      <c r="N147">
        <v>1010</v>
      </c>
      <c r="O147" t="s">
        <v>53</v>
      </c>
      <c r="P147" t="s">
        <v>53</v>
      </c>
      <c r="Q147">
        <v>1</v>
      </c>
      <c r="W147">
        <v>0</v>
      </c>
      <c r="X147">
        <v>994085871</v>
      </c>
      <c r="Y147">
        <v>666.32320100000004</v>
      </c>
      <c r="AA147">
        <v>261.61</v>
      </c>
      <c r="AB147">
        <v>0</v>
      </c>
      <c r="AC147">
        <v>0</v>
      </c>
      <c r="AD147">
        <v>0</v>
      </c>
      <c r="AE147">
        <v>39.880000000000003</v>
      </c>
      <c r="AF147">
        <v>0</v>
      </c>
      <c r="AG147">
        <v>0</v>
      </c>
      <c r="AH147">
        <v>0</v>
      </c>
      <c r="AI147">
        <v>6.56</v>
      </c>
      <c r="AJ147">
        <v>1</v>
      </c>
      <c r="AK147">
        <v>1</v>
      </c>
      <c r="AL147">
        <v>1</v>
      </c>
      <c r="AN147">
        <v>0</v>
      </c>
      <c r="AO147">
        <v>0</v>
      </c>
      <c r="AP147">
        <v>0</v>
      </c>
      <c r="AQ147">
        <v>0</v>
      </c>
      <c r="AR147">
        <v>0</v>
      </c>
      <c r="AS147" t="s">
        <v>6</v>
      </c>
      <c r="AT147">
        <v>666.32320100000004</v>
      </c>
      <c r="AU147" t="s">
        <v>6</v>
      </c>
      <c r="AV147">
        <v>0</v>
      </c>
      <c r="AW147">
        <v>1</v>
      </c>
      <c r="AX147">
        <v>-1</v>
      </c>
      <c r="AY147">
        <v>0</v>
      </c>
      <c r="AZ147">
        <v>0</v>
      </c>
      <c r="BA147" t="s">
        <v>6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CX147">
        <f>Y147*Source!I118</f>
        <v>286.51897643000001</v>
      </c>
      <c r="CY147">
        <f t="shared" si="29"/>
        <v>261.61</v>
      </c>
      <c r="CZ147">
        <f t="shared" si="30"/>
        <v>39.880000000000003</v>
      </c>
      <c r="DA147">
        <f t="shared" si="31"/>
        <v>6.56</v>
      </c>
      <c r="DB147">
        <f t="shared" si="24"/>
        <v>26572.97</v>
      </c>
      <c r="DC147">
        <f t="shared" si="25"/>
        <v>0</v>
      </c>
    </row>
    <row r="148" spans="1:107" x14ac:dyDescent="0.2">
      <c r="A148">
        <f>ROW(Source!A118)</f>
        <v>118</v>
      </c>
      <c r="B148">
        <v>16748969</v>
      </c>
      <c r="C148">
        <v>16750132</v>
      </c>
      <c r="D148">
        <v>15162250</v>
      </c>
      <c r="E148">
        <v>17</v>
      </c>
      <c r="F148">
        <v>1</v>
      </c>
      <c r="G148">
        <v>1</v>
      </c>
      <c r="H148">
        <v>3</v>
      </c>
      <c r="I148" t="s">
        <v>318</v>
      </c>
      <c r="J148" t="s">
        <v>6</v>
      </c>
      <c r="K148" t="s">
        <v>319</v>
      </c>
      <c r="L148">
        <v>1339</v>
      </c>
      <c r="N148">
        <v>1007</v>
      </c>
      <c r="O148" t="s">
        <v>283</v>
      </c>
      <c r="P148" t="s">
        <v>283</v>
      </c>
      <c r="Q148">
        <v>1</v>
      </c>
      <c r="W148">
        <v>0</v>
      </c>
      <c r="X148">
        <v>789713021</v>
      </c>
      <c r="Y148">
        <v>20.2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6.56</v>
      </c>
      <c r="AJ148">
        <v>1</v>
      </c>
      <c r="AK148">
        <v>1</v>
      </c>
      <c r="AL148">
        <v>1</v>
      </c>
      <c r="AN148">
        <v>0</v>
      </c>
      <c r="AO148">
        <v>0</v>
      </c>
      <c r="AP148">
        <v>0</v>
      </c>
      <c r="AQ148">
        <v>0</v>
      </c>
      <c r="AR148">
        <v>0</v>
      </c>
      <c r="AS148" t="s">
        <v>6</v>
      </c>
      <c r="AT148">
        <v>20.2</v>
      </c>
      <c r="AU148" t="s">
        <v>6</v>
      </c>
      <c r="AV148">
        <v>0</v>
      </c>
      <c r="AW148">
        <v>2</v>
      </c>
      <c r="AX148">
        <v>16750151</v>
      </c>
      <c r="AY148">
        <v>1</v>
      </c>
      <c r="AZ148">
        <v>0</v>
      </c>
      <c r="BA148">
        <v>145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CX148">
        <f>Y148*Source!I118</f>
        <v>8.6859999999999999</v>
      </c>
      <c r="CY148">
        <f t="shared" si="29"/>
        <v>0</v>
      </c>
      <c r="CZ148">
        <f t="shared" si="30"/>
        <v>0</v>
      </c>
      <c r="DA148">
        <f t="shared" si="31"/>
        <v>6.56</v>
      </c>
      <c r="DB148">
        <f t="shared" si="24"/>
        <v>0</v>
      </c>
      <c r="DC148">
        <f t="shared" si="25"/>
        <v>0</v>
      </c>
    </row>
    <row r="149" spans="1:107" x14ac:dyDescent="0.2">
      <c r="A149">
        <f>ROW(Source!A118)</f>
        <v>118</v>
      </c>
      <c r="B149">
        <v>16748969</v>
      </c>
      <c r="C149">
        <v>16750132</v>
      </c>
      <c r="D149">
        <v>15192126</v>
      </c>
      <c r="E149">
        <v>1</v>
      </c>
      <c r="F149">
        <v>1</v>
      </c>
      <c r="G149">
        <v>1</v>
      </c>
      <c r="H149">
        <v>3</v>
      </c>
      <c r="I149" t="s">
        <v>1214</v>
      </c>
      <c r="J149" t="s">
        <v>1215</v>
      </c>
      <c r="K149" t="s">
        <v>1216</v>
      </c>
      <c r="L149">
        <v>1348</v>
      </c>
      <c r="N149">
        <v>1009</v>
      </c>
      <c r="O149" t="s">
        <v>71</v>
      </c>
      <c r="P149" t="s">
        <v>71</v>
      </c>
      <c r="Q149">
        <v>1000</v>
      </c>
      <c r="W149">
        <v>0</v>
      </c>
      <c r="X149">
        <v>2015926177</v>
      </c>
      <c r="Y149">
        <v>3.1E-2</v>
      </c>
      <c r="AA149">
        <v>52572.82</v>
      </c>
      <c r="AB149">
        <v>0</v>
      </c>
      <c r="AC149">
        <v>0</v>
      </c>
      <c r="AD149">
        <v>0</v>
      </c>
      <c r="AE149">
        <v>8014.15</v>
      </c>
      <c r="AF149">
        <v>0</v>
      </c>
      <c r="AG149">
        <v>0</v>
      </c>
      <c r="AH149">
        <v>0</v>
      </c>
      <c r="AI149">
        <v>6.56</v>
      </c>
      <c r="AJ149">
        <v>1</v>
      </c>
      <c r="AK149">
        <v>1</v>
      </c>
      <c r="AL149">
        <v>1</v>
      </c>
      <c r="AN149">
        <v>0</v>
      </c>
      <c r="AO149">
        <v>1</v>
      </c>
      <c r="AP149">
        <v>0</v>
      </c>
      <c r="AQ149">
        <v>0</v>
      </c>
      <c r="AR149">
        <v>0</v>
      </c>
      <c r="AS149" t="s">
        <v>6</v>
      </c>
      <c r="AT149">
        <v>3.1E-2</v>
      </c>
      <c r="AU149" t="s">
        <v>6</v>
      </c>
      <c r="AV149">
        <v>0</v>
      </c>
      <c r="AW149">
        <v>2</v>
      </c>
      <c r="AX149">
        <v>16750152</v>
      </c>
      <c r="AY149">
        <v>1</v>
      </c>
      <c r="AZ149">
        <v>0</v>
      </c>
      <c r="BA149">
        <v>146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CX149">
        <f>Y149*Source!I118</f>
        <v>1.333E-2</v>
      </c>
      <c r="CY149">
        <f t="shared" si="29"/>
        <v>52572.82</v>
      </c>
      <c r="CZ149">
        <f t="shared" si="30"/>
        <v>8014.15</v>
      </c>
      <c r="DA149">
        <f t="shared" si="31"/>
        <v>6.56</v>
      </c>
      <c r="DB149">
        <f t="shared" si="24"/>
        <v>248.44</v>
      </c>
      <c r="DC149">
        <f t="shared" si="25"/>
        <v>0</v>
      </c>
    </row>
    <row r="150" spans="1:107" x14ac:dyDescent="0.2">
      <c r="A150">
        <f>ROW(Source!A118)</f>
        <v>118</v>
      </c>
      <c r="B150">
        <v>16748969</v>
      </c>
      <c r="C150">
        <v>16750132</v>
      </c>
      <c r="D150">
        <v>15202554</v>
      </c>
      <c r="E150">
        <v>1</v>
      </c>
      <c r="F150">
        <v>1</v>
      </c>
      <c r="G150">
        <v>1</v>
      </c>
      <c r="H150">
        <v>3</v>
      </c>
      <c r="I150" t="s">
        <v>314</v>
      </c>
      <c r="J150" t="s">
        <v>316</v>
      </c>
      <c r="K150" t="s">
        <v>315</v>
      </c>
      <c r="L150">
        <v>1348</v>
      </c>
      <c r="N150">
        <v>1009</v>
      </c>
      <c r="O150" t="s">
        <v>71</v>
      </c>
      <c r="P150" t="s">
        <v>71</v>
      </c>
      <c r="Q150">
        <v>1000</v>
      </c>
      <c r="W150">
        <v>0</v>
      </c>
      <c r="X150">
        <v>-1425202410</v>
      </c>
      <c r="Y150">
        <v>0.40998000000000001</v>
      </c>
      <c r="AA150">
        <v>28312.959999999999</v>
      </c>
      <c r="AB150">
        <v>0</v>
      </c>
      <c r="AC150">
        <v>0</v>
      </c>
      <c r="AD150">
        <v>0</v>
      </c>
      <c r="AE150">
        <v>4316</v>
      </c>
      <c r="AF150">
        <v>0</v>
      </c>
      <c r="AG150">
        <v>0</v>
      </c>
      <c r="AH150">
        <v>0</v>
      </c>
      <c r="AI150">
        <v>6.56</v>
      </c>
      <c r="AJ150">
        <v>1</v>
      </c>
      <c r="AK150">
        <v>1</v>
      </c>
      <c r="AL150">
        <v>1</v>
      </c>
      <c r="AN150">
        <v>0</v>
      </c>
      <c r="AO150">
        <v>0</v>
      </c>
      <c r="AP150">
        <v>0</v>
      </c>
      <c r="AQ150">
        <v>0</v>
      </c>
      <c r="AR150">
        <v>0</v>
      </c>
      <c r="AS150" t="s">
        <v>6</v>
      </c>
      <c r="AT150">
        <v>0.40998000000000001</v>
      </c>
      <c r="AU150" t="s">
        <v>6</v>
      </c>
      <c r="AV150">
        <v>0</v>
      </c>
      <c r="AW150">
        <v>1</v>
      </c>
      <c r="AX150">
        <v>-1</v>
      </c>
      <c r="AY150">
        <v>0</v>
      </c>
      <c r="AZ150">
        <v>0</v>
      </c>
      <c r="BA150" t="s">
        <v>6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CX150">
        <f>Y150*Source!I118</f>
        <v>0.17629140000000001</v>
      </c>
      <c r="CY150">
        <f t="shared" si="29"/>
        <v>28312.959999999999</v>
      </c>
      <c r="CZ150">
        <f t="shared" si="30"/>
        <v>4316</v>
      </c>
      <c r="DA150">
        <f t="shared" si="31"/>
        <v>6.56</v>
      </c>
      <c r="DB150">
        <f t="shared" si="24"/>
        <v>1769.47</v>
      </c>
      <c r="DC150">
        <f t="shared" si="25"/>
        <v>0</v>
      </c>
    </row>
    <row r="151" spans="1:107" x14ac:dyDescent="0.2">
      <c r="A151">
        <f>ROW(Source!A118)</f>
        <v>118</v>
      </c>
      <c r="B151">
        <v>16748969</v>
      </c>
      <c r="C151">
        <v>16750132</v>
      </c>
      <c r="D151">
        <v>15162257</v>
      </c>
      <c r="E151">
        <v>17</v>
      </c>
      <c r="F151">
        <v>1</v>
      </c>
      <c r="G151">
        <v>1</v>
      </c>
      <c r="H151">
        <v>3</v>
      </c>
      <c r="I151" t="s">
        <v>321</v>
      </c>
      <c r="J151" t="s">
        <v>6</v>
      </c>
      <c r="K151" t="s">
        <v>322</v>
      </c>
      <c r="L151">
        <v>1346</v>
      </c>
      <c r="N151">
        <v>1009</v>
      </c>
      <c r="O151" t="s">
        <v>323</v>
      </c>
      <c r="P151" t="s">
        <v>323</v>
      </c>
      <c r="Q151">
        <v>1</v>
      </c>
      <c r="W151">
        <v>0</v>
      </c>
      <c r="X151">
        <v>290394019</v>
      </c>
      <c r="Y151">
        <v>409.98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6.56</v>
      </c>
      <c r="AJ151">
        <v>1</v>
      </c>
      <c r="AK151">
        <v>1</v>
      </c>
      <c r="AL151">
        <v>1</v>
      </c>
      <c r="AN151">
        <v>0</v>
      </c>
      <c r="AO151">
        <v>0</v>
      </c>
      <c r="AP151">
        <v>0</v>
      </c>
      <c r="AQ151">
        <v>0</v>
      </c>
      <c r="AR151">
        <v>0</v>
      </c>
      <c r="AS151" t="s">
        <v>6</v>
      </c>
      <c r="AT151">
        <v>409.98</v>
      </c>
      <c r="AU151" t="s">
        <v>6</v>
      </c>
      <c r="AV151">
        <v>0</v>
      </c>
      <c r="AW151">
        <v>2</v>
      </c>
      <c r="AX151">
        <v>16750153</v>
      </c>
      <c r="AY151">
        <v>1</v>
      </c>
      <c r="AZ151">
        <v>0</v>
      </c>
      <c r="BA151">
        <v>147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CX151">
        <f>Y151*Source!I118</f>
        <v>176.29140000000001</v>
      </c>
      <c r="CY151">
        <f t="shared" si="29"/>
        <v>0</v>
      </c>
      <c r="CZ151">
        <f t="shared" si="30"/>
        <v>0</v>
      </c>
      <c r="DA151">
        <f t="shared" si="31"/>
        <v>6.56</v>
      </c>
      <c r="DB151">
        <f t="shared" si="24"/>
        <v>0</v>
      </c>
      <c r="DC151">
        <f t="shared" si="25"/>
        <v>0</v>
      </c>
    </row>
    <row r="152" spans="1:107" x14ac:dyDescent="0.2">
      <c r="A152">
        <f>ROW(Source!A118)</f>
        <v>118</v>
      </c>
      <c r="B152">
        <v>16748969</v>
      </c>
      <c r="C152">
        <v>16750132</v>
      </c>
      <c r="D152">
        <v>15203461</v>
      </c>
      <c r="E152">
        <v>1</v>
      </c>
      <c r="F152">
        <v>1</v>
      </c>
      <c r="G152">
        <v>1</v>
      </c>
      <c r="H152">
        <v>3</v>
      </c>
      <c r="I152" t="s">
        <v>1217</v>
      </c>
      <c r="J152" t="s">
        <v>1218</v>
      </c>
      <c r="K152" t="s">
        <v>1219</v>
      </c>
      <c r="L152">
        <v>1348</v>
      </c>
      <c r="N152">
        <v>1009</v>
      </c>
      <c r="O152" t="s">
        <v>71</v>
      </c>
      <c r="P152" t="s">
        <v>71</v>
      </c>
      <c r="Q152">
        <v>1000</v>
      </c>
      <c r="W152">
        <v>0</v>
      </c>
      <c r="X152">
        <v>-1655298345</v>
      </c>
      <c r="Y152">
        <v>1.5499999999999999E-3</v>
      </c>
      <c r="AA152">
        <v>102467.2</v>
      </c>
      <c r="AB152">
        <v>0</v>
      </c>
      <c r="AC152">
        <v>0</v>
      </c>
      <c r="AD152">
        <v>0</v>
      </c>
      <c r="AE152">
        <v>15620</v>
      </c>
      <c r="AF152">
        <v>0</v>
      </c>
      <c r="AG152">
        <v>0</v>
      </c>
      <c r="AH152">
        <v>0</v>
      </c>
      <c r="AI152">
        <v>6.56</v>
      </c>
      <c r="AJ152">
        <v>1</v>
      </c>
      <c r="AK152">
        <v>1</v>
      </c>
      <c r="AL152">
        <v>1</v>
      </c>
      <c r="AN152">
        <v>0</v>
      </c>
      <c r="AO152">
        <v>1</v>
      </c>
      <c r="AP152">
        <v>0</v>
      </c>
      <c r="AQ152">
        <v>0</v>
      </c>
      <c r="AR152">
        <v>0</v>
      </c>
      <c r="AS152" t="s">
        <v>6</v>
      </c>
      <c r="AT152">
        <v>1.5499999999999999E-3</v>
      </c>
      <c r="AU152" t="s">
        <v>6</v>
      </c>
      <c r="AV152">
        <v>0</v>
      </c>
      <c r="AW152">
        <v>2</v>
      </c>
      <c r="AX152">
        <v>16750154</v>
      </c>
      <c r="AY152">
        <v>1</v>
      </c>
      <c r="AZ152">
        <v>0</v>
      </c>
      <c r="BA152">
        <v>148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CX152">
        <f>Y152*Source!I118</f>
        <v>6.6649999999999999E-4</v>
      </c>
      <c r="CY152">
        <f t="shared" si="29"/>
        <v>102467.2</v>
      </c>
      <c r="CZ152">
        <f t="shared" si="30"/>
        <v>15620</v>
      </c>
      <c r="DA152">
        <f t="shared" si="31"/>
        <v>6.56</v>
      </c>
      <c r="DB152">
        <f t="shared" ref="DB152:DB183" si="32">ROUND(ROUND(AT152*CZ152,2),2)</f>
        <v>24.21</v>
      </c>
      <c r="DC152">
        <f t="shared" ref="DC152:DC183" si="33">ROUND(ROUND(AT152*AG152,2),2)</f>
        <v>0</v>
      </c>
    </row>
    <row r="153" spans="1:107" x14ac:dyDescent="0.2">
      <c r="A153">
        <f>ROW(Source!A123)</f>
        <v>123</v>
      </c>
      <c r="B153">
        <v>16748969</v>
      </c>
      <c r="C153">
        <v>16750159</v>
      </c>
      <c r="D153">
        <v>15432236</v>
      </c>
      <c r="E153">
        <v>1</v>
      </c>
      <c r="F153">
        <v>1</v>
      </c>
      <c r="G153">
        <v>1</v>
      </c>
      <c r="H153">
        <v>1</v>
      </c>
      <c r="I153" t="s">
        <v>1220</v>
      </c>
      <c r="J153" t="s">
        <v>6</v>
      </c>
      <c r="K153" t="s">
        <v>1221</v>
      </c>
      <c r="L153">
        <v>1191</v>
      </c>
      <c r="N153">
        <v>1013</v>
      </c>
      <c r="O153" t="s">
        <v>1072</v>
      </c>
      <c r="P153" t="s">
        <v>1072</v>
      </c>
      <c r="Q153">
        <v>1</v>
      </c>
      <c r="W153">
        <v>0</v>
      </c>
      <c r="X153">
        <v>-509590494</v>
      </c>
      <c r="Y153">
        <v>14.63</v>
      </c>
      <c r="AA153">
        <v>0</v>
      </c>
      <c r="AB153">
        <v>0</v>
      </c>
      <c r="AC153">
        <v>0</v>
      </c>
      <c r="AD153">
        <v>53.6</v>
      </c>
      <c r="AE153">
        <v>0</v>
      </c>
      <c r="AF153">
        <v>0</v>
      </c>
      <c r="AG153">
        <v>0</v>
      </c>
      <c r="AH153">
        <v>8.17</v>
      </c>
      <c r="AI153">
        <v>1</v>
      </c>
      <c r="AJ153">
        <v>1</v>
      </c>
      <c r="AK153">
        <v>1</v>
      </c>
      <c r="AL153">
        <v>6.56</v>
      </c>
      <c r="AN153">
        <v>0</v>
      </c>
      <c r="AO153">
        <v>1</v>
      </c>
      <c r="AP153">
        <v>0</v>
      </c>
      <c r="AQ153">
        <v>0</v>
      </c>
      <c r="AR153">
        <v>0</v>
      </c>
      <c r="AS153" t="s">
        <v>6</v>
      </c>
      <c r="AT153">
        <v>14.63</v>
      </c>
      <c r="AU153" t="s">
        <v>6</v>
      </c>
      <c r="AV153">
        <v>1</v>
      </c>
      <c r="AW153">
        <v>2</v>
      </c>
      <c r="AX153">
        <v>16750165</v>
      </c>
      <c r="AY153">
        <v>1</v>
      </c>
      <c r="AZ153">
        <v>0</v>
      </c>
      <c r="BA153">
        <v>149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CX153">
        <f>Y153*Source!I123</f>
        <v>11.850300000000001</v>
      </c>
      <c r="CY153">
        <f>AD153</f>
        <v>53.6</v>
      </c>
      <c r="CZ153">
        <f>AH153</f>
        <v>8.17</v>
      </c>
      <c r="DA153">
        <f>AL153</f>
        <v>6.56</v>
      </c>
      <c r="DB153">
        <f t="shared" si="32"/>
        <v>119.53</v>
      </c>
      <c r="DC153">
        <f t="shared" si="33"/>
        <v>0</v>
      </c>
    </row>
    <row r="154" spans="1:107" x14ac:dyDescent="0.2">
      <c r="A154">
        <f>ROW(Source!A123)</f>
        <v>123</v>
      </c>
      <c r="B154">
        <v>16748969</v>
      </c>
      <c r="C154">
        <v>16750159</v>
      </c>
      <c r="D154">
        <v>15247873</v>
      </c>
      <c r="E154">
        <v>1</v>
      </c>
      <c r="F154">
        <v>1</v>
      </c>
      <c r="G154">
        <v>1</v>
      </c>
      <c r="H154">
        <v>2</v>
      </c>
      <c r="I154" t="s">
        <v>1222</v>
      </c>
      <c r="J154" t="s">
        <v>1223</v>
      </c>
      <c r="K154" t="s">
        <v>1224</v>
      </c>
      <c r="L154">
        <v>1368</v>
      </c>
      <c r="N154">
        <v>1011</v>
      </c>
      <c r="O154" t="s">
        <v>1078</v>
      </c>
      <c r="P154" t="s">
        <v>1078</v>
      </c>
      <c r="Q154">
        <v>1</v>
      </c>
      <c r="W154">
        <v>0</v>
      </c>
      <c r="X154">
        <v>-1985289705</v>
      </c>
      <c r="Y154">
        <v>0.32</v>
      </c>
      <c r="AA154">
        <v>0</v>
      </c>
      <c r="AB154">
        <v>43.69</v>
      </c>
      <c r="AC154">
        <v>0</v>
      </c>
      <c r="AD154">
        <v>0</v>
      </c>
      <c r="AE154">
        <v>0</v>
      </c>
      <c r="AF154">
        <v>6.66</v>
      </c>
      <c r="AG154">
        <v>0</v>
      </c>
      <c r="AH154">
        <v>0</v>
      </c>
      <c r="AI154">
        <v>1</v>
      </c>
      <c r="AJ154">
        <v>6.56</v>
      </c>
      <c r="AK154">
        <v>1</v>
      </c>
      <c r="AL154">
        <v>1</v>
      </c>
      <c r="AN154">
        <v>0</v>
      </c>
      <c r="AO154">
        <v>1</v>
      </c>
      <c r="AP154">
        <v>0</v>
      </c>
      <c r="AQ154">
        <v>0</v>
      </c>
      <c r="AR154">
        <v>0</v>
      </c>
      <c r="AS154" t="s">
        <v>6</v>
      </c>
      <c r="AT154">
        <v>0.32</v>
      </c>
      <c r="AU154" t="s">
        <v>6</v>
      </c>
      <c r="AV154">
        <v>0</v>
      </c>
      <c r="AW154">
        <v>2</v>
      </c>
      <c r="AX154">
        <v>16750166</v>
      </c>
      <c r="AY154">
        <v>1</v>
      </c>
      <c r="AZ154">
        <v>0</v>
      </c>
      <c r="BA154">
        <v>150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CX154">
        <f>Y154*Source!I123</f>
        <v>0.25920000000000004</v>
      </c>
      <c r="CY154">
        <f>AB154</f>
        <v>43.69</v>
      </c>
      <c r="CZ154">
        <f>AF154</f>
        <v>6.66</v>
      </c>
      <c r="DA154">
        <f>AJ154</f>
        <v>6.56</v>
      </c>
      <c r="DB154">
        <f t="shared" si="32"/>
        <v>2.13</v>
      </c>
      <c r="DC154">
        <f t="shared" si="33"/>
        <v>0</v>
      </c>
    </row>
    <row r="155" spans="1:107" x14ac:dyDescent="0.2">
      <c r="A155">
        <f>ROW(Source!A123)</f>
        <v>123</v>
      </c>
      <c r="B155">
        <v>16748969</v>
      </c>
      <c r="C155">
        <v>16750159</v>
      </c>
      <c r="D155">
        <v>15172868</v>
      </c>
      <c r="E155">
        <v>1</v>
      </c>
      <c r="F155">
        <v>1</v>
      </c>
      <c r="G155">
        <v>1</v>
      </c>
      <c r="H155">
        <v>3</v>
      </c>
      <c r="I155" t="s">
        <v>1225</v>
      </c>
      <c r="J155" t="s">
        <v>1226</v>
      </c>
      <c r="K155" t="s">
        <v>1227</v>
      </c>
      <c r="L155">
        <v>1339</v>
      </c>
      <c r="N155">
        <v>1007</v>
      </c>
      <c r="O155" t="s">
        <v>283</v>
      </c>
      <c r="P155" t="s">
        <v>283</v>
      </c>
      <c r="Q155">
        <v>1</v>
      </c>
      <c r="W155">
        <v>0</v>
      </c>
      <c r="X155">
        <v>-861814431</v>
      </c>
      <c r="Y155">
        <v>0.24</v>
      </c>
      <c r="AA155">
        <v>3409.89</v>
      </c>
      <c r="AB155">
        <v>0</v>
      </c>
      <c r="AC155">
        <v>0</v>
      </c>
      <c r="AD155">
        <v>0</v>
      </c>
      <c r="AE155">
        <v>519.79999999999995</v>
      </c>
      <c r="AF155">
        <v>0</v>
      </c>
      <c r="AG155">
        <v>0</v>
      </c>
      <c r="AH155">
        <v>0</v>
      </c>
      <c r="AI155">
        <v>6.56</v>
      </c>
      <c r="AJ155">
        <v>1</v>
      </c>
      <c r="AK155">
        <v>1</v>
      </c>
      <c r="AL155">
        <v>1</v>
      </c>
      <c r="AN155">
        <v>0</v>
      </c>
      <c r="AO155">
        <v>1</v>
      </c>
      <c r="AP155">
        <v>0</v>
      </c>
      <c r="AQ155">
        <v>0</v>
      </c>
      <c r="AR155">
        <v>0</v>
      </c>
      <c r="AS155" t="s">
        <v>6</v>
      </c>
      <c r="AT155">
        <v>0.24</v>
      </c>
      <c r="AU155" t="s">
        <v>6</v>
      </c>
      <c r="AV155">
        <v>0</v>
      </c>
      <c r="AW155">
        <v>2</v>
      </c>
      <c r="AX155">
        <v>16750167</v>
      </c>
      <c r="AY155">
        <v>1</v>
      </c>
      <c r="AZ155">
        <v>0</v>
      </c>
      <c r="BA155">
        <v>151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CX155">
        <f>Y155*Source!I123</f>
        <v>0.19440000000000002</v>
      </c>
      <c r="CY155">
        <f>AA155</f>
        <v>3409.89</v>
      </c>
      <c r="CZ155">
        <f>AE155</f>
        <v>519.79999999999995</v>
      </c>
      <c r="DA155">
        <f>AI155</f>
        <v>6.56</v>
      </c>
      <c r="DB155">
        <f t="shared" si="32"/>
        <v>124.75</v>
      </c>
      <c r="DC155">
        <f t="shared" si="33"/>
        <v>0</v>
      </c>
    </row>
    <row r="156" spans="1:107" x14ac:dyDescent="0.2">
      <c r="A156">
        <f>ROW(Source!A123)</f>
        <v>123</v>
      </c>
      <c r="B156">
        <v>16748969</v>
      </c>
      <c r="C156">
        <v>16750159</v>
      </c>
      <c r="D156">
        <v>15162112</v>
      </c>
      <c r="E156">
        <v>17</v>
      </c>
      <c r="F156">
        <v>1</v>
      </c>
      <c r="G156">
        <v>1</v>
      </c>
      <c r="H156">
        <v>3</v>
      </c>
      <c r="I156" t="s">
        <v>298</v>
      </c>
      <c r="J156" t="s">
        <v>6</v>
      </c>
      <c r="K156" t="s">
        <v>333</v>
      </c>
      <c r="L156">
        <v>1356</v>
      </c>
      <c r="N156">
        <v>1010</v>
      </c>
      <c r="O156" t="s">
        <v>288</v>
      </c>
      <c r="P156" t="s">
        <v>288</v>
      </c>
      <c r="Q156">
        <v>1000</v>
      </c>
      <c r="W156">
        <v>0</v>
      </c>
      <c r="X156">
        <v>1453754496</v>
      </c>
      <c r="Y156">
        <v>0.4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6.56</v>
      </c>
      <c r="AJ156">
        <v>1</v>
      </c>
      <c r="AK156">
        <v>1</v>
      </c>
      <c r="AL156">
        <v>1</v>
      </c>
      <c r="AN156">
        <v>0</v>
      </c>
      <c r="AO156">
        <v>0</v>
      </c>
      <c r="AP156">
        <v>0</v>
      </c>
      <c r="AQ156">
        <v>0</v>
      </c>
      <c r="AR156">
        <v>0</v>
      </c>
      <c r="AS156" t="s">
        <v>6</v>
      </c>
      <c r="AT156">
        <v>0.4</v>
      </c>
      <c r="AU156" t="s">
        <v>6</v>
      </c>
      <c r="AV156">
        <v>0</v>
      </c>
      <c r="AW156">
        <v>2</v>
      </c>
      <c r="AX156">
        <v>16750168</v>
      </c>
      <c r="AY156">
        <v>1</v>
      </c>
      <c r="AZ156">
        <v>0</v>
      </c>
      <c r="BA156">
        <v>152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CX156">
        <f>Y156*Source!I123</f>
        <v>0.32400000000000007</v>
      </c>
      <c r="CY156">
        <f>AA156</f>
        <v>0</v>
      </c>
      <c r="CZ156">
        <f>AE156</f>
        <v>0</v>
      </c>
      <c r="DA156">
        <f>AI156</f>
        <v>6.56</v>
      </c>
      <c r="DB156">
        <f t="shared" si="32"/>
        <v>0</v>
      </c>
      <c r="DC156">
        <f t="shared" si="33"/>
        <v>0</v>
      </c>
    </row>
    <row r="157" spans="1:107" x14ac:dyDescent="0.2">
      <c r="A157">
        <f>ROW(Source!A123)</f>
        <v>123</v>
      </c>
      <c r="B157">
        <v>16748969</v>
      </c>
      <c r="C157">
        <v>16750159</v>
      </c>
      <c r="D157">
        <v>15186929</v>
      </c>
      <c r="E157">
        <v>1</v>
      </c>
      <c r="F157">
        <v>1</v>
      </c>
      <c r="G157">
        <v>1</v>
      </c>
      <c r="H157">
        <v>3</v>
      </c>
      <c r="I157" t="s">
        <v>329</v>
      </c>
      <c r="J157" t="s">
        <v>331</v>
      </c>
      <c r="K157" t="s">
        <v>330</v>
      </c>
      <c r="L157">
        <v>1339</v>
      </c>
      <c r="N157">
        <v>1007</v>
      </c>
      <c r="O157" t="s">
        <v>283</v>
      </c>
      <c r="P157" t="s">
        <v>283</v>
      </c>
      <c r="Q157">
        <v>1</v>
      </c>
      <c r="W157">
        <v>0</v>
      </c>
      <c r="X157">
        <v>-2036686642</v>
      </c>
      <c r="Y157">
        <v>1</v>
      </c>
      <c r="AA157">
        <v>678.37</v>
      </c>
      <c r="AB157">
        <v>0</v>
      </c>
      <c r="AC157">
        <v>0</v>
      </c>
      <c r="AD157">
        <v>0</v>
      </c>
      <c r="AE157">
        <v>103.41</v>
      </c>
      <c r="AF157">
        <v>0</v>
      </c>
      <c r="AG157">
        <v>0</v>
      </c>
      <c r="AH157">
        <v>0</v>
      </c>
      <c r="AI157">
        <v>6.56</v>
      </c>
      <c r="AJ157">
        <v>1</v>
      </c>
      <c r="AK157">
        <v>1</v>
      </c>
      <c r="AL157">
        <v>1</v>
      </c>
      <c r="AN157">
        <v>0</v>
      </c>
      <c r="AO157">
        <v>0</v>
      </c>
      <c r="AP157">
        <v>0</v>
      </c>
      <c r="AQ157">
        <v>0</v>
      </c>
      <c r="AR157">
        <v>0</v>
      </c>
      <c r="AS157" t="s">
        <v>6</v>
      </c>
      <c r="AT157">
        <v>1</v>
      </c>
      <c r="AU157" t="s">
        <v>6</v>
      </c>
      <c r="AV157">
        <v>0</v>
      </c>
      <c r="AW157">
        <v>1</v>
      </c>
      <c r="AX157">
        <v>-1</v>
      </c>
      <c r="AY157">
        <v>0</v>
      </c>
      <c r="AZ157">
        <v>0</v>
      </c>
      <c r="BA157" t="s">
        <v>6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CX157">
        <f>Y157*Source!I123</f>
        <v>0.81</v>
      </c>
      <c r="CY157">
        <f>AA157</f>
        <v>678.37</v>
      </c>
      <c r="CZ157">
        <f>AE157</f>
        <v>103.41</v>
      </c>
      <c r="DA157">
        <f>AI157</f>
        <v>6.56</v>
      </c>
      <c r="DB157">
        <f t="shared" si="32"/>
        <v>103.41</v>
      </c>
      <c r="DC157">
        <f t="shared" si="33"/>
        <v>0</v>
      </c>
    </row>
    <row r="158" spans="1:107" x14ac:dyDescent="0.2">
      <c r="A158">
        <f>ROW(Source!A126)</f>
        <v>126</v>
      </c>
      <c r="B158">
        <v>16748969</v>
      </c>
      <c r="C158">
        <v>16750187</v>
      </c>
      <c r="D158">
        <v>15432258</v>
      </c>
      <c r="E158">
        <v>1</v>
      </c>
      <c r="F158">
        <v>1</v>
      </c>
      <c r="G158">
        <v>1</v>
      </c>
      <c r="H158">
        <v>1</v>
      </c>
      <c r="I158" t="s">
        <v>1206</v>
      </c>
      <c r="J158" t="s">
        <v>6</v>
      </c>
      <c r="K158" t="s">
        <v>1207</v>
      </c>
      <c r="L158">
        <v>1191</v>
      </c>
      <c r="N158">
        <v>1013</v>
      </c>
      <c r="O158" t="s">
        <v>1072</v>
      </c>
      <c r="P158" t="s">
        <v>1072</v>
      </c>
      <c r="Q158">
        <v>1</v>
      </c>
      <c r="W158">
        <v>0</v>
      </c>
      <c r="X158">
        <v>-608433632</v>
      </c>
      <c r="Y158">
        <v>35.83</v>
      </c>
      <c r="AA158">
        <v>0</v>
      </c>
      <c r="AB158">
        <v>0</v>
      </c>
      <c r="AC158">
        <v>0</v>
      </c>
      <c r="AD158">
        <v>55.5</v>
      </c>
      <c r="AE158">
        <v>0</v>
      </c>
      <c r="AF158">
        <v>0</v>
      </c>
      <c r="AG158">
        <v>0</v>
      </c>
      <c r="AH158">
        <v>8.4600000000000009</v>
      </c>
      <c r="AI158">
        <v>1</v>
      </c>
      <c r="AJ158">
        <v>1</v>
      </c>
      <c r="AK158">
        <v>1</v>
      </c>
      <c r="AL158">
        <v>6.56</v>
      </c>
      <c r="AN158">
        <v>0</v>
      </c>
      <c r="AO158">
        <v>1</v>
      </c>
      <c r="AP158">
        <v>0</v>
      </c>
      <c r="AQ158">
        <v>0</v>
      </c>
      <c r="AR158">
        <v>0</v>
      </c>
      <c r="AS158" t="s">
        <v>6</v>
      </c>
      <c r="AT158">
        <v>35.83</v>
      </c>
      <c r="AU158" t="s">
        <v>6</v>
      </c>
      <c r="AV158">
        <v>1</v>
      </c>
      <c r="AW158">
        <v>2</v>
      </c>
      <c r="AX158">
        <v>16750196</v>
      </c>
      <c r="AY158">
        <v>1</v>
      </c>
      <c r="AZ158">
        <v>0</v>
      </c>
      <c r="BA158">
        <v>153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CX158">
        <f>Y158*Source!I126</f>
        <v>102.627869</v>
      </c>
      <c r="CY158">
        <f>AD158</f>
        <v>55.5</v>
      </c>
      <c r="CZ158">
        <f>AH158</f>
        <v>8.4600000000000009</v>
      </c>
      <c r="DA158">
        <f>AL158</f>
        <v>6.56</v>
      </c>
      <c r="DB158">
        <f t="shared" si="32"/>
        <v>303.12</v>
      </c>
      <c r="DC158">
        <f t="shared" si="33"/>
        <v>0</v>
      </c>
    </row>
    <row r="159" spans="1:107" x14ac:dyDescent="0.2">
      <c r="A159">
        <f>ROW(Source!A126)</f>
        <v>126</v>
      </c>
      <c r="B159">
        <v>16748969</v>
      </c>
      <c r="C159">
        <v>16750187</v>
      </c>
      <c r="D159">
        <v>15430395</v>
      </c>
      <c r="E159">
        <v>1</v>
      </c>
      <c r="F159">
        <v>1</v>
      </c>
      <c r="G159">
        <v>1</v>
      </c>
      <c r="H159">
        <v>1</v>
      </c>
      <c r="I159" t="s">
        <v>1073</v>
      </c>
      <c r="J159" t="s">
        <v>6</v>
      </c>
      <c r="K159" t="s">
        <v>1074</v>
      </c>
      <c r="L159">
        <v>1191</v>
      </c>
      <c r="N159">
        <v>1013</v>
      </c>
      <c r="O159" t="s">
        <v>1072</v>
      </c>
      <c r="P159" t="s">
        <v>1072</v>
      </c>
      <c r="Q159">
        <v>1</v>
      </c>
      <c r="W159">
        <v>0</v>
      </c>
      <c r="X159">
        <v>-1417349443</v>
      </c>
      <c r="Y159">
        <v>0.94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1</v>
      </c>
      <c r="AJ159">
        <v>1</v>
      </c>
      <c r="AK159">
        <v>6.56</v>
      </c>
      <c r="AL159">
        <v>1</v>
      </c>
      <c r="AN159">
        <v>0</v>
      </c>
      <c r="AO159">
        <v>1</v>
      </c>
      <c r="AP159">
        <v>0</v>
      </c>
      <c r="AQ159">
        <v>0</v>
      </c>
      <c r="AR159">
        <v>0</v>
      </c>
      <c r="AS159" t="s">
        <v>6</v>
      </c>
      <c r="AT159">
        <v>0.94</v>
      </c>
      <c r="AU159" t="s">
        <v>6</v>
      </c>
      <c r="AV159">
        <v>2</v>
      </c>
      <c r="AW159">
        <v>2</v>
      </c>
      <c r="AX159">
        <v>16750197</v>
      </c>
      <c r="AY159">
        <v>1</v>
      </c>
      <c r="AZ159">
        <v>0</v>
      </c>
      <c r="BA159">
        <v>154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CX159">
        <f>Y159*Source!I126</f>
        <v>2.6924419999999998</v>
      </c>
      <c r="CY159">
        <f>AD159</f>
        <v>0</v>
      </c>
      <c r="CZ159">
        <f>AH159</f>
        <v>0</v>
      </c>
      <c r="DA159">
        <f>AL159</f>
        <v>1</v>
      </c>
      <c r="DB159">
        <f t="shared" si="32"/>
        <v>0</v>
      </c>
      <c r="DC159">
        <f t="shared" si="33"/>
        <v>0</v>
      </c>
    </row>
    <row r="160" spans="1:107" x14ac:dyDescent="0.2">
      <c r="A160">
        <f>ROW(Source!A126)</f>
        <v>126</v>
      </c>
      <c r="B160">
        <v>16748969</v>
      </c>
      <c r="C160">
        <v>16750187</v>
      </c>
      <c r="D160">
        <v>15247905</v>
      </c>
      <c r="E160">
        <v>1</v>
      </c>
      <c r="F160">
        <v>1</v>
      </c>
      <c r="G160">
        <v>1</v>
      </c>
      <c r="H160">
        <v>2</v>
      </c>
      <c r="I160" t="s">
        <v>1228</v>
      </c>
      <c r="J160" t="s">
        <v>1229</v>
      </c>
      <c r="K160" t="s">
        <v>1230</v>
      </c>
      <c r="L160">
        <v>1368</v>
      </c>
      <c r="N160">
        <v>1011</v>
      </c>
      <c r="O160" t="s">
        <v>1078</v>
      </c>
      <c r="P160" t="s">
        <v>1078</v>
      </c>
      <c r="Q160">
        <v>1</v>
      </c>
      <c r="W160">
        <v>0</v>
      </c>
      <c r="X160">
        <v>1225731627</v>
      </c>
      <c r="Y160">
        <v>0.02</v>
      </c>
      <c r="AA160">
        <v>0</v>
      </c>
      <c r="AB160">
        <v>590.33000000000004</v>
      </c>
      <c r="AC160">
        <v>10.06</v>
      </c>
      <c r="AD160">
        <v>0</v>
      </c>
      <c r="AE160">
        <v>0</v>
      </c>
      <c r="AF160">
        <v>89.99</v>
      </c>
      <c r="AG160">
        <v>10.06</v>
      </c>
      <c r="AH160">
        <v>0</v>
      </c>
      <c r="AI160">
        <v>1</v>
      </c>
      <c r="AJ160">
        <v>6.56</v>
      </c>
      <c r="AK160">
        <v>1</v>
      </c>
      <c r="AL160">
        <v>1</v>
      </c>
      <c r="AN160">
        <v>0</v>
      </c>
      <c r="AO160">
        <v>1</v>
      </c>
      <c r="AP160">
        <v>0</v>
      </c>
      <c r="AQ160">
        <v>0</v>
      </c>
      <c r="AR160">
        <v>0</v>
      </c>
      <c r="AS160" t="s">
        <v>6</v>
      </c>
      <c r="AT160">
        <v>0.02</v>
      </c>
      <c r="AU160" t="s">
        <v>6</v>
      </c>
      <c r="AV160">
        <v>0</v>
      </c>
      <c r="AW160">
        <v>2</v>
      </c>
      <c r="AX160">
        <v>16750198</v>
      </c>
      <c r="AY160">
        <v>1</v>
      </c>
      <c r="AZ160">
        <v>0</v>
      </c>
      <c r="BA160">
        <v>155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CX160">
        <f>Y160*Source!I126</f>
        <v>5.7286000000000004E-2</v>
      </c>
      <c r="CY160">
        <f>AB160</f>
        <v>590.33000000000004</v>
      </c>
      <c r="CZ160">
        <f>AF160</f>
        <v>89.99</v>
      </c>
      <c r="DA160">
        <f>AJ160</f>
        <v>6.56</v>
      </c>
      <c r="DB160">
        <f t="shared" si="32"/>
        <v>1.8</v>
      </c>
      <c r="DC160">
        <f t="shared" si="33"/>
        <v>0.2</v>
      </c>
    </row>
    <row r="161" spans="1:107" x14ac:dyDescent="0.2">
      <c r="A161">
        <f>ROW(Source!A126)</f>
        <v>126</v>
      </c>
      <c r="B161">
        <v>16748969</v>
      </c>
      <c r="C161">
        <v>16750187</v>
      </c>
      <c r="D161">
        <v>15247974</v>
      </c>
      <c r="E161">
        <v>1</v>
      </c>
      <c r="F161">
        <v>1</v>
      </c>
      <c r="G161">
        <v>1</v>
      </c>
      <c r="H161">
        <v>2</v>
      </c>
      <c r="I161" t="s">
        <v>1075</v>
      </c>
      <c r="J161" t="s">
        <v>1076</v>
      </c>
      <c r="K161" t="s">
        <v>1077</v>
      </c>
      <c r="L161">
        <v>1368</v>
      </c>
      <c r="N161">
        <v>1011</v>
      </c>
      <c r="O161" t="s">
        <v>1078</v>
      </c>
      <c r="P161" t="s">
        <v>1078</v>
      </c>
      <c r="Q161">
        <v>1</v>
      </c>
      <c r="W161">
        <v>0</v>
      </c>
      <c r="X161">
        <v>1188625873</v>
      </c>
      <c r="Y161">
        <v>0.21</v>
      </c>
      <c r="AA161">
        <v>0</v>
      </c>
      <c r="AB161">
        <v>205.07</v>
      </c>
      <c r="AC161">
        <v>13.5</v>
      </c>
      <c r="AD161">
        <v>0</v>
      </c>
      <c r="AE161">
        <v>0</v>
      </c>
      <c r="AF161">
        <v>31.26</v>
      </c>
      <c r="AG161">
        <v>13.5</v>
      </c>
      <c r="AH161">
        <v>0</v>
      </c>
      <c r="AI161">
        <v>1</v>
      </c>
      <c r="AJ161">
        <v>6.56</v>
      </c>
      <c r="AK161">
        <v>1</v>
      </c>
      <c r="AL161">
        <v>1</v>
      </c>
      <c r="AN161">
        <v>0</v>
      </c>
      <c r="AO161">
        <v>1</v>
      </c>
      <c r="AP161">
        <v>0</v>
      </c>
      <c r="AQ161">
        <v>0</v>
      </c>
      <c r="AR161">
        <v>0</v>
      </c>
      <c r="AS161" t="s">
        <v>6</v>
      </c>
      <c r="AT161">
        <v>0.21</v>
      </c>
      <c r="AU161" t="s">
        <v>6</v>
      </c>
      <c r="AV161">
        <v>0</v>
      </c>
      <c r="AW161">
        <v>2</v>
      </c>
      <c r="AX161">
        <v>16750199</v>
      </c>
      <c r="AY161">
        <v>1</v>
      </c>
      <c r="AZ161">
        <v>0</v>
      </c>
      <c r="BA161">
        <v>156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  <c r="CX161">
        <f>Y161*Source!I126</f>
        <v>0.60150300000000001</v>
      </c>
      <c r="CY161">
        <f>AB161</f>
        <v>205.07</v>
      </c>
      <c r="CZ161">
        <f>AF161</f>
        <v>31.26</v>
      </c>
      <c r="DA161">
        <f>AJ161</f>
        <v>6.56</v>
      </c>
      <c r="DB161">
        <f t="shared" si="32"/>
        <v>6.56</v>
      </c>
      <c r="DC161">
        <f t="shared" si="33"/>
        <v>2.84</v>
      </c>
    </row>
    <row r="162" spans="1:107" x14ac:dyDescent="0.2">
      <c r="A162">
        <f>ROW(Source!A126)</f>
        <v>126</v>
      </c>
      <c r="B162">
        <v>16748969</v>
      </c>
      <c r="C162">
        <v>16750187</v>
      </c>
      <c r="D162">
        <v>15248143</v>
      </c>
      <c r="E162">
        <v>1</v>
      </c>
      <c r="F162">
        <v>1</v>
      </c>
      <c r="G162">
        <v>1</v>
      </c>
      <c r="H162">
        <v>2</v>
      </c>
      <c r="I162" t="s">
        <v>1231</v>
      </c>
      <c r="J162" t="s">
        <v>1232</v>
      </c>
      <c r="K162" t="s">
        <v>1233</v>
      </c>
      <c r="L162">
        <v>1368</v>
      </c>
      <c r="N162">
        <v>1011</v>
      </c>
      <c r="O162" t="s">
        <v>1078</v>
      </c>
      <c r="P162" t="s">
        <v>1078</v>
      </c>
      <c r="Q162">
        <v>1</v>
      </c>
      <c r="W162">
        <v>0</v>
      </c>
      <c r="X162">
        <v>983187852</v>
      </c>
      <c r="Y162">
        <v>0.71</v>
      </c>
      <c r="AA162">
        <v>0</v>
      </c>
      <c r="AB162">
        <v>81.28</v>
      </c>
      <c r="AC162">
        <v>10.06</v>
      </c>
      <c r="AD162">
        <v>0</v>
      </c>
      <c r="AE162">
        <v>0</v>
      </c>
      <c r="AF162">
        <v>12.39</v>
      </c>
      <c r="AG162">
        <v>10.06</v>
      </c>
      <c r="AH162">
        <v>0</v>
      </c>
      <c r="AI162">
        <v>1</v>
      </c>
      <c r="AJ162">
        <v>6.56</v>
      </c>
      <c r="AK162">
        <v>1</v>
      </c>
      <c r="AL162">
        <v>1</v>
      </c>
      <c r="AN162">
        <v>0</v>
      </c>
      <c r="AO162">
        <v>1</v>
      </c>
      <c r="AP162">
        <v>0</v>
      </c>
      <c r="AQ162">
        <v>0</v>
      </c>
      <c r="AR162">
        <v>0</v>
      </c>
      <c r="AS162" t="s">
        <v>6</v>
      </c>
      <c r="AT162">
        <v>0.71</v>
      </c>
      <c r="AU162" t="s">
        <v>6</v>
      </c>
      <c r="AV162">
        <v>0</v>
      </c>
      <c r="AW162">
        <v>2</v>
      </c>
      <c r="AX162">
        <v>16750200</v>
      </c>
      <c r="AY162">
        <v>1</v>
      </c>
      <c r="AZ162">
        <v>0</v>
      </c>
      <c r="BA162">
        <v>157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CX162">
        <f>Y162*Source!I126</f>
        <v>2.0336530000000002</v>
      </c>
      <c r="CY162">
        <f>AB162</f>
        <v>81.28</v>
      </c>
      <c r="CZ162">
        <f>AF162</f>
        <v>12.39</v>
      </c>
      <c r="DA162">
        <f>AJ162</f>
        <v>6.56</v>
      </c>
      <c r="DB162">
        <f t="shared" si="32"/>
        <v>8.8000000000000007</v>
      </c>
      <c r="DC162">
        <f t="shared" si="33"/>
        <v>7.14</v>
      </c>
    </row>
    <row r="163" spans="1:107" x14ac:dyDescent="0.2">
      <c r="A163">
        <f>ROW(Source!A126)</f>
        <v>126</v>
      </c>
      <c r="B163">
        <v>16748969</v>
      </c>
      <c r="C163">
        <v>16750187</v>
      </c>
      <c r="D163">
        <v>15167286</v>
      </c>
      <c r="E163">
        <v>1</v>
      </c>
      <c r="F163">
        <v>1</v>
      </c>
      <c r="G163">
        <v>1</v>
      </c>
      <c r="H163">
        <v>3</v>
      </c>
      <c r="I163" t="s">
        <v>1079</v>
      </c>
      <c r="J163" t="s">
        <v>1080</v>
      </c>
      <c r="K163" t="s">
        <v>1081</v>
      </c>
      <c r="L163">
        <v>1339</v>
      </c>
      <c r="N163">
        <v>1007</v>
      </c>
      <c r="O163" t="s">
        <v>283</v>
      </c>
      <c r="P163" t="s">
        <v>283</v>
      </c>
      <c r="Q163">
        <v>1</v>
      </c>
      <c r="W163">
        <v>0</v>
      </c>
      <c r="X163">
        <v>-1660354250</v>
      </c>
      <c r="Y163">
        <v>0.51300000000000001</v>
      </c>
      <c r="AA163">
        <v>16.010000000000002</v>
      </c>
      <c r="AB163">
        <v>0</v>
      </c>
      <c r="AC163">
        <v>0</v>
      </c>
      <c r="AD163">
        <v>0</v>
      </c>
      <c r="AE163">
        <v>2.44</v>
      </c>
      <c r="AF163">
        <v>0</v>
      </c>
      <c r="AG163">
        <v>0</v>
      </c>
      <c r="AH163">
        <v>0</v>
      </c>
      <c r="AI163">
        <v>6.56</v>
      </c>
      <c r="AJ163">
        <v>1</v>
      </c>
      <c r="AK163">
        <v>1</v>
      </c>
      <c r="AL163">
        <v>1</v>
      </c>
      <c r="AN163">
        <v>0</v>
      </c>
      <c r="AO163">
        <v>1</v>
      </c>
      <c r="AP163">
        <v>0</v>
      </c>
      <c r="AQ163">
        <v>0</v>
      </c>
      <c r="AR163">
        <v>0</v>
      </c>
      <c r="AS163" t="s">
        <v>6</v>
      </c>
      <c r="AT163">
        <v>0.51300000000000001</v>
      </c>
      <c r="AU163" t="s">
        <v>6</v>
      </c>
      <c r="AV163">
        <v>0</v>
      </c>
      <c r="AW163">
        <v>2</v>
      </c>
      <c r="AX163">
        <v>16750201</v>
      </c>
      <c r="AY163">
        <v>1</v>
      </c>
      <c r="AZ163">
        <v>0</v>
      </c>
      <c r="BA163">
        <v>158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CX163">
        <f>Y163*Source!I126</f>
        <v>1.4693859</v>
      </c>
      <c r="CY163">
        <f>AA163</f>
        <v>16.010000000000002</v>
      </c>
      <c r="CZ163">
        <f>AE163</f>
        <v>2.44</v>
      </c>
      <c r="DA163">
        <f>AI163</f>
        <v>6.56</v>
      </c>
      <c r="DB163">
        <f t="shared" si="32"/>
        <v>1.25</v>
      </c>
      <c r="DC163">
        <f t="shared" si="33"/>
        <v>0</v>
      </c>
    </row>
    <row r="164" spans="1:107" x14ac:dyDescent="0.2">
      <c r="A164">
        <f>ROW(Source!A126)</f>
        <v>126</v>
      </c>
      <c r="B164">
        <v>16748969</v>
      </c>
      <c r="C164">
        <v>16750187</v>
      </c>
      <c r="D164">
        <v>15173003</v>
      </c>
      <c r="E164">
        <v>1</v>
      </c>
      <c r="F164">
        <v>1</v>
      </c>
      <c r="G164">
        <v>1</v>
      </c>
      <c r="H164">
        <v>3</v>
      </c>
      <c r="I164" t="s">
        <v>339</v>
      </c>
      <c r="J164" t="s">
        <v>341</v>
      </c>
      <c r="K164" t="s">
        <v>340</v>
      </c>
      <c r="L164">
        <v>1346</v>
      </c>
      <c r="N164">
        <v>1009</v>
      </c>
      <c r="O164" t="s">
        <v>323</v>
      </c>
      <c r="P164" t="s">
        <v>323</v>
      </c>
      <c r="Q164">
        <v>1</v>
      </c>
      <c r="W164">
        <v>0</v>
      </c>
      <c r="X164">
        <v>-60067644</v>
      </c>
      <c r="Y164">
        <v>855.00001999999995</v>
      </c>
      <c r="AA164">
        <v>13.58</v>
      </c>
      <c r="AB164">
        <v>0</v>
      </c>
      <c r="AC164">
        <v>0</v>
      </c>
      <c r="AD164">
        <v>0</v>
      </c>
      <c r="AE164">
        <v>2.0699999999999998</v>
      </c>
      <c r="AF164">
        <v>0</v>
      </c>
      <c r="AG164">
        <v>0</v>
      </c>
      <c r="AH164">
        <v>0</v>
      </c>
      <c r="AI164">
        <v>6.56</v>
      </c>
      <c r="AJ164">
        <v>1</v>
      </c>
      <c r="AK164">
        <v>1</v>
      </c>
      <c r="AL164">
        <v>1</v>
      </c>
      <c r="AN164">
        <v>0</v>
      </c>
      <c r="AO164">
        <v>0</v>
      </c>
      <c r="AP164">
        <v>0</v>
      </c>
      <c r="AQ164">
        <v>0</v>
      </c>
      <c r="AR164">
        <v>0</v>
      </c>
      <c r="AS164" t="s">
        <v>6</v>
      </c>
      <c r="AT164">
        <v>855.00001999999995</v>
      </c>
      <c r="AU164" t="s">
        <v>6</v>
      </c>
      <c r="AV164">
        <v>0</v>
      </c>
      <c r="AW164">
        <v>1</v>
      </c>
      <c r="AX164">
        <v>-1</v>
      </c>
      <c r="AY164">
        <v>0</v>
      </c>
      <c r="AZ164">
        <v>0</v>
      </c>
      <c r="BA164" t="s">
        <v>6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CX164">
        <f>Y164*Source!I126</f>
        <v>2448.9765572860001</v>
      </c>
      <c r="CY164">
        <f>AA164</f>
        <v>13.58</v>
      </c>
      <c r="CZ164">
        <f>AE164</f>
        <v>2.0699999999999998</v>
      </c>
      <c r="DA164">
        <f>AI164</f>
        <v>6.56</v>
      </c>
      <c r="DB164">
        <f t="shared" si="32"/>
        <v>1769.85</v>
      </c>
      <c r="DC164">
        <f t="shared" si="33"/>
        <v>0</v>
      </c>
    </row>
    <row r="165" spans="1:107" x14ac:dyDescent="0.2">
      <c r="A165">
        <f>ROW(Source!A126)</f>
        <v>126</v>
      </c>
      <c r="B165">
        <v>16748969</v>
      </c>
      <c r="C165">
        <v>16750187</v>
      </c>
      <c r="D165">
        <v>15162949</v>
      </c>
      <c r="E165">
        <v>17</v>
      </c>
      <c r="F165">
        <v>1</v>
      </c>
      <c r="G165">
        <v>1</v>
      </c>
      <c r="H165">
        <v>3</v>
      </c>
      <c r="I165" t="s">
        <v>343</v>
      </c>
      <c r="J165" t="s">
        <v>6</v>
      </c>
      <c r="K165" t="s">
        <v>344</v>
      </c>
      <c r="L165">
        <v>1348</v>
      </c>
      <c r="N165">
        <v>1009</v>
      </c>
      <c r="O165" t="s">
        <v>71</v>
      </c>
      <c r="P165" t="s">
        <v>71</v>
      </c>
      <c r="Q165">
        <v>1000</v>
      </c>
      <c r="W165">
        <v>0</v>
      </c>
      <c r="X165">
        <v>1880203204</v>
      </c>
      <c r="Y165">
        <v>0.85499999999999998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6.56</v>
      </c>
      <c r="AJ165">
        <v>1</v>
      </c>
      <c r="AK165">
        <v>1</v>
      </c>
      <c r="AL165">
        <v>1</v>
      </c>
      <c r="AN165">
        <v>0</v>
      </c>
      <c r="AO165">
        <v>0</v>
      </c>
      <c r="AP165">
        <v>0</v>
      </c>
      <c r="AQ165">
        <v>0</v>
      </c>
      <c r="AR165">
        <v>0</v>
      </c>
      <c r="AS165" t="s">
        <v>6</v>
      </c>
      <c r="AT165">
        <v>0.85499999999999998</v>
      </c>
      <c r="AU165" t="s">
        <v>6</v>
      </c>
      <c r="AV165">
        <v>0</v>
      </c>
      <c r="AW165">
        <v>2</v>
      </c>
      <c r="AX165">
        <v>16750202</v>
      </c>
      <c r="AY165">
        <v>1</v>
      </c>
      <c r="AZ165">
        <v>0</v>
      </c>
      <c r="BA165">
        <v>159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CX165">
        <f>Y165*Source!I126</f>
        <v>2.4489765000000001</v>
      </c>
      <c r="CY165">
        <f>AA165</f>
        <v>0</v>
      </c>
      <c r="CZ165">
        <f>AE165</f>
        <v>0</v>
      </c>
      <c r="DA165">
        <f>AI165</f>
        <v>6.56</v>
      </c>
      <c r="DB165">
        <f t="shared" si="32"/>
        <v>0</v>
      </c>
      <c r="DC165">
        <f t="shared" si="33"/>
        <v>0</v>
      </c>
    </row>
    <row r="166" spans="1:107" x14ac:dyDescent="0.2">
      <c r="A166">
        <f>ROW(Source!A129)</f>
        <v>129</v>
      </c>
      <c r="B166">
        <v>16748969</v>
      </c>
      <c r="C166">
        <v>16750206</v>
      </c>
      <c r="D166">
        <v>15430397</v>
      </c>
      <c r="E166">
        <v>1</v>
      </c>
      <c r="F166">
        <v>1</v>
      </c>
      <c r="G166">
        <v>1</v>
      </c>
      <c r="H166">
        <v>1</v>
      </c>
      <c r="I166" t="s">
        <v>1234</v>
      </c>
      <c r="J166" t="s">
        <v>6</v>
      </c>
      <c r="K166" t="s">
        <v>1235</v>
      </c>
      <c r="L166">
        <v>1191</v>
      </c>
      <c r="N166">
        <v>1013</v>
      </c>
      <c r="O166" t="s">
        <v>1072</v>
      </c>
      <c r="P166" t="s">
        <v>1072</v>
      </c>
      <c r="Q166">
        <v>1</v>
      </c>
      <c r="W166">
        <v>0</v>
      </c>
      <c r="X166">
        <v>-1081351934</v>
      </c>
      <c r="Y166">
        <v>85.84</v>
      </c>
      <c r="AA166">
        <v>0</v>
      </c>
      <c r="AB166">
        <v>0</v>
      </c>
      <c r="AC166">
        <v>0</v>
      </c>
      <c r="AD166">
        <v>61.66</v>
      </c>
      <c r="AE166">
        <v>0</v>
      </c>
      <c r="AF166">
        <v>0</v>
      </c>
      <c r="AG166">
        <v>0</v>
      </c>
      <c r="AH166">
        <v>9.4</v>
      </c>
      <c r="AI166">
        <v>1</v>
      </c>
      <c r="AJ166">
        <v>1</v>
      </c>
      <c r="AK166">
        <v>1</v>
      </c>
      <c r="AL166">
        <v>6.56</v>
      </c>
      <c r="AN166">
        <v>0</v>
      </c>
      <c r="AO166">
        <v>1</v>
      </c>
      <c r="AP166">
        <v>0</v>
      </c>
      <c r="AQ166">
        <v>0</v>
      </c>
      <c r="AR166">
        <v>0</v>
      </c>
      <c r="AS166" t="s">
        <v>6</v>
      </c>
      <c r="AT166">
        <v>85.84</v>
      </c>
      <c r="AU166" t="s">
        <v>6</v>
      </c>
      <c r="AV166">
        <v>1</v>
      </c>
      <c r="AW166">
        <v>2</v>
      </c>
      <c r="AX166">
        <v>16750215</v>
      </c>
      <c r="AY166">
        <v>1</v>
      </c>
      <c r="AZ166">
        <v>0</v>
      </c>
      <c r="BA166">
        <v>161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CX166">
        <f>Y166*Source!I129</f>
        <v>51.503999999999998</v>
      </c>
      <c r="CY166">
        <f>AD166</f>
        <v>61.66</v>
      </c>
      <c r="CZ166">
        <f>AH166</f>
        <v>9.4</v>
      </c>
      <c r="DA166">
        <f>AL166</f>
        <v>6.56</v>
      </c>
      <c r="DB166">
        <f t="shared" si="32"/>
        <v>806.9</v>
      </c>
      <c r="DC166">
        <f t="shared" si="33"/>
        <v>0</v>
      </c>
    </row>
    <row r="167" spans="1:107" x14ac:dyDescent="0.2">
      <c r="A167">
        <f>ROW(Source!A129)</f>
        <v>129</v>
      </c>
      <c r="B167">
        <v>16748969</v>
      </c>
      <c r="C167">
        <v>16750206</v>
      </c>
      <c r="D167">
        <v>15430395</v>
      </c>
      <c r="E167">
        <v>1</v>
      </c>
      <c r="F167">
        <v>1</v>
      </c>
      <c r="G167">
        <v>1</v>
      </c>
      <c r="H167">
        <v>1</v>
      </c>
      <c r="I167" t="s">
        <v>1073</v>
      </c>
      <c r="J167" t="s">
        <v>6</v>
      </c>
      <c r="K167" t="s">
        <v>1074</v>
      </c>
      <c r="L167">
        <v>1191</v>
      </c>
      <c r="N167">
        <v>1013</v>
      </c>
      <c r="O167" t="s">
        <v>1072</v>
      </c>
      <c r="P167" t="s">
        <v>1072</v>
      </c>
      <c r="Q167">
        <v>1</v>
      </c>
      <c r="W167">
        <v>0</v>
      </c>
      <c r="X167">
        <v>-1417349443</v>
      </c>
      <c r="Y167">
        <v>6.29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1</v>
      </c>
      <c r="AJ167">
        <v>1</v>
      </c>
      <c r="AK167">
        <v>6.56</v>
      </c>
      <c r="AL167">
        <v>1</v>
      </c>
      <c r="AN167">
        <v>0</v>
      </c>
      <c r="AO167">
        <v>1</v>
      </c>
      <c r="AP167">
        <v>0</v>
      </c>
      <c r="AQ167">
        <v>0</v>
      </c>
      <c r="AR167">
        <v>0</v>
      </c>
      <c r="AS167" t="s">
        <v>6</v>
      </c>
      <c r="AT167">
        <v>6.29</v>
      </c>
      <c r="AU167" t="s">
        <v>6</v>
      </c>
      <c r="AV167">
        <v>2</v>
      </c>
      <c r="AW167">
        <v>2</v>
      </c>
      <c r="AX167">
        <v>16750216</v>
      </c>
      <c r="AY167">
        <v>1</v>
      </c>
      <c r="AZ167">
        <v>0</v>
      </c>
      <c r="BA167">
        <v>162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CX167">
        <f>Y167*Source!I129</f>
        <v>3.774</v>
      </c>
      <c r="CY167">
        <f>AD167</f>
        <v>0</v>
      </c>
      <c r="CZ167">
        <f>AH167</f>
        <v>0</v>
      </c>
      <c r="DA167">
        <f>AL167</f>
        <v>1</v>
      </c>
      <c r="DB167">
        <f t="shared" si="32"/>
        <v>0</v>
      </c>
      <c r="DC167">
        <f t="shared" si="33"/>
        <v>0</v>
      </c>
    </row>
    <row r="168" spans="1:107" x14ac:dyDescent="0.2">
      <c r="A168">
        <f>ROW(Source!A129)</f>
        <v>129</v>
      </c>
      <c r="B168">
        <v>16748969</v>
      </c>
      <c r="C168">
        <v>16750206</v>
      </c>
      <c r="D168">
        <v>15247974</v>
      </c>
      <c r="E168">
        <v>1</v>
      </c>
      <c r="F168">
        <v>1</v>
      </c>
      <c r="G168">
        <v>1</v>
      </c>
      <c r="H168">
        <v>2</v>
      </c>
      <c r="I168" t="s">
        <v>1075</v>
      </c>
      <c r="J168" t="s">
        <v>1076</v>
      </c>
      <c r="K168" t="s">
        <v>1077</v>
      </c>
      <c r="L168">
        <v>1368</v>
      </c>
      <c r="N168">
        <v>1011</v>
      </c>
      <c r="O168" t="s">
        <v>1078</v>
      </c>
      <c r="P168" t="s">
        <v>1078</v>
      </c>
      <c r="Q168">
        <v>1</v>
      </c>
      <c r="W168">
        <v>0</v>
      </c>
      <c r="X168">
        <v>1188625873</v>
      </c>
      <c r="Y168">
        <v>0.84</v>
      </c>
      <c r="AA168">
        <v>0</v>
      </c>
      <c r="AB168">
        <v>205.07</v>
      </c>
      <c r="AC168">
        <v>13.5</v>
      </c>
      <c r="AD168">
        <v>0</v>
      </c>
      <c r="AE168">
        <v>0</v>
      </c>
      <c r="AF168">
        <v>31.26</v>
      </c>
      <c r="AG168">
        <v>13.5</v>
      </c>
      <c r="AH168">
        <v>0</v>
      </c>
      <c r="AI168">
        <v>1</v>
      </c>
      <c r="AJ168">
        <v>6.56</v>
      </c>
      <c r="AK168">
        <v>1</v>
      </c>
      <c r="AL168">
        <v>1</v>
      </c>
      <c r="AN168">
        <v>0</v>
      </c>
      <c r="AO168">
        <v>1</v>
      </c>
      <c r="AP168">
        <v>0</v>
      </c>
      <c r="AQ168">
        <v>0</v>
      </c>
      <c r="AR168">
        <v>0</v>
      </c>
      <c r="AS168" t="s">
        <v>6</v>
      </c>
      <c r="AT168">
        <v>0.84</v>
      </c>
      <c r="AU168" t="s">
        <v>6</v>
      </c>
      <c r="AV168">
        <v>0</v>
      </c>
      <c r="AW168">
        <v>2</v>
      </c>
      <c r="AX168">
        <v>16750217</v>
      </c>
      <c r="AY168">
        <v>1</v>
      </c>
      <c r="AZ168">
        <v>0</v>
      </c>
      <c r="BA168">
        <v>163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CX168">
        <f>Y168*Source!I129</f>
        <v>0.504</v>
      </c>
      <c r="CY168">
        <f>AB168</f>
        <v>205.07</v>
      </c>
      <c r="CZ168">
        <f>AF168</f>
        <v>31.26</v>
      </c>
      <c r="DA168">
        <f>AJ168</f>
        <v>6.56</v>
      </c>
      <c r="DB168">
        <f t="shared" si="32"/>
        <v>26.26</v>
      </c>
      <c r="DC168">
        <f t="shared" si="33"/>
        <v>11.34</v>
      </c>
    </row>
    <row r="169" spans="1:107" x14ac:dyDescent="0.2">
      <c r="A169">
        <f>ROW(Source!A129)</f>
        <v>129</v>
      </c>
      <c r="B169">
        <v>16748969</v>
      </c>
      <c r="C169">
        <v>16750206</v>
      </c>
      <c r="D169">
        <v>15248130</v>
      </c>
      <c r="E169">
        <v>1</v>
      </c>
      <c r="F169">
        <v>1</v>
      </c>
      <c r="G169">
        <v>1</v>
      </c>
      <c r="H169">
        <v>2</v>
      </c>
      <c r="I169" t="s">
        <v>1236</v>
      </c>
      <c r="J169" t="s">
        <v>1237</v>
      </c>
      <c r="K169" t="s">
        <v>1238</v>
      </c>
      <c r="L169">
        <v>1368</v>
      </c>
      <c r="N169">
        <v>1011</v>
      </c>
      <c r="O169" t="s">
        <v>1078</v>
      </c>
      <c r="P169" t="s">
        <v>1078</v>
      </c>
      <c r="Q169">
        <v>1</v>
      </c>
      <c r="W169">
        <v>0</v>
      </c>
      <c r="X169">
        <v>1573467769</v>
      </c>
      <c r="Y169">
        <v>5.45</v>
      </c>
      <c r="AA169">
        <v>0</v>
      </c>
      <c r="AB169">
        <v>92.82</v>
      </c>
      <c r="AC169">
        <v>8.91</v>
      </c>
      <c r="AD169">
        <v>0</v>
      </c>
      <c r="AE169">
        <v>0</v>
      </c>
      <c r="AF169">
        <v>14.15</v>
      </c>
      <c r="AG169">
        <v>8.91</v>
      </c>
      <c r="AH169">
        <v>0</v>
      </c>
      <c r="AI169">
        <v>1</v>
      </c>
      <c r="AJ169">
        <v>6.56</v>
      </c>
      <c r="AK169">
        <v>1</v>
      </c>
      <c r="AL169">
        <v>1</v>
      </c>
      <c r="AN169">
        <v>0</v>
      </c>
      <c r="AO169">
        <v>1</v>
      </c>
      <c r="AP169">
        <v>0</v>
      </c>
      <c r="AQ169">
        <v>0</v>
      </c>
      <c r="AR169">
        <v>0</v>
      </c>
      <c r="AS169" t="s">
        <v>6</v>
      </c>
      <c r="AT169">
        <v>5.45</v>
      </c>
      <c r="AU169" t="s">
        <v>6</v>
      </c>
      <c r="AV169">
        <v>0</v>
      </c>
      <c r="AW169">
        <v>2</v>
      </c>
      <c r="AX169">
        <v>16750218</v>
      </c>
      <c r="AY169">
        <v>1</v>
      </c>
      <c r="AZ169">
        <v>0</v>
      </c>
      <c r="BA169">
        <v>164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CX169">
        <f>Y169*Source!I129</f>
        <v>3.27</v>
      </c>
      <c r="CY169">
        <f>AB169</f>
        <v>92.82</v>
      </c>
      <c r="CZ169">
        <f>AF169</f>
        <v>14.15</v>
      </c>
      <c r="DA169">
        <f>AJ169</f>
        <v>6.56</v>
      </c>
      <c r="DB169">
        <f t="shared" si="32"/>
        <v>77.12</v>
      </c>
      <c r="DC169">
        <f t="shared" si="33"/>
        <v>48.56</v>
      </c>
    </row>
    <row r="170" spans="1:107" x14ac:dyDescent="0.2">
      <c r="A170">
        <f>ROW(Source!A129)</f>
        <v>129</v>
      </c>
      <c r="B170">
        <v>16748969</v>
      </c>
      <c r="C170">
        <v>16750206</v>
      </c>
      <c r="D170">
        <v>15170041</v>
      </c>
      <c r="E170">
        <v>1</v>
      </c>
      <c r="F170">
        <v>1</v>
      </c>
      <c r="G170">
        <v>1</v>
      </c>
      <c r="H170">
        <v>3</v>
      </c>
      <c r="I170" t="s">
        <v>1239</v>
      </c>
      <c r="J170" t="s">
        <v>1240</v>
      </c>
      <c r="K170" t="s">
        <v>1241</v>
      </c>
      <c r="L170">
        <v>1348</v>
      </c>
      <c r="N170">
        <v>1009</v>
      </c>
      <c r="O170" t="s">
        <v>71</v>
      </c>
      <c r="P170" t="s">
        <v>71</v>
      </c>
      <c r="Q170">
        <v>1000</v>
      </c>
      <c r="W170">
        <v>0</v>
      </c>
      <c r="X170">
        <v>2032238625</v>
      </c>
      <c r="Y170">
        <v>1.2E-4</v>
      </c>
      <c r="AA170">
        <v>55596</v>
      </c>
      <c r="AB170">
        <v>0</v>
      </c>
      <c r="AC170">
        <v>0</v>
      </c>
      <c r="AD170">
        <v>0</v>
      </c>
      <c r="AE170">
        <v>8475</v>
      </c>
      <c r="AF170">
        <v>0</v>
      </c>
      <c r="AG170">
        <v>0</v>
      </c>
      <c r="AH170">
        <v>0</v>
      </c>
      <c r="AI170">
        <v>6.56</v>
      </c>
      <c r="AJ170">
        <v>1</v>
      </c>
      <c r="AK170">
        <v>1</v>
      </c>
      <c r="AL170">
        <v>1</v>
      </c>
      <c r="AN170">
        <v>0</v>
      </c>
      <c r="AO170">
        <v>1</v>
      </c>
      <c r="AP170">
        <v>0</v>
      </c>
      <c r="AQ170">
        <v>0</v>
      </c>
      <c r="AR170">
        <v>0</v>
      </c>
      <c r="AS170" t="s">
        <v>6</v>
      </c>
      <c r="AT170">
        <v>1.2E-4</v>
      </c>
      <c r="AU170" t="s">
        <v>6</v>
      </c>
      <c r="AV170">
        <v>0</v>
      </c>
      <c r="AW170">
        <v>2</v>
      </c>
      <c r="AX170">
        <v>16750219</v>
      </c>
      <c r="AY170">
        <v>1</v>
      </c>
      <c r="AZ170">
        <v>0</v>
      </c>
      <c r="BA170">
        <v>165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CX170">
        <f>Y170*Source!I129</f>
        <v>7.2000000000000002E-5</v>
      </c>
      <c r="CY170">
        <f>AA170</f>
        <v>55596</v>
      </c>
      <c r="CZ170">
        <f>AE170</f>
        <v>8475</v>
      </c>
      <c r="DA170">
        <f>AI170</f>
        <v>6.56</v>
      </c>
      <c r="DB170">
        <f t="shared" si="32"/>
        <v>1.02</v>
      </c>
      <c r="DC170">
        <f t="shared" si="33"/>
        <v>0</v>
      </c>
    </row>
    <row r="171" spans="1:107" x14ac:dyDescent="0.2">
      <c r="A171">
        <f>ROW(Source!A129)</f>
        <v>129</v>
      </c>
      <c r="B171">
        <v>16748969</v>
      </c>
      <c r="C171">
        <v>16750206</v>
      </c>
      <c r="D171">
        <v>15171982</v>
      </c>
      <c r="E171">
        <v>1</v>
      </c>
      <c r="F171">
        <v>1</v>
      </c>
      <c r="G171">
        <v>1</v>
      </c>
      <c r="H171">
        <v>3</v>
      </c>
      <c r="I171" t="s">
        <v>1082</v>
      </c>
      <c r="J171" t="s">
        <v>1083</v>
      </c>
      <c r="K171" t="s">
        <v>1084</v>
      </c>
      <c r="L171">
        <v>1348</v>
      </c>
      <c r="N171">
        <v>1009</v>
      </c>
      <c r="O171" t="s">
        <v>71</v>
      </c>
      <c r="P171" t="s">
        <v>71</v>
      </c>
      <c r="Q171">
        <v>1000</v>
      </c>
      <c r="W171">
        <v>0</v>
      </c>
      <c r="X171">
        <v>-1421715385</v>
      </c>
      <c r="Y171">
        <v>6.0000000000000001E-3</v>
      </c>
      <c r="AA171">
        <v>4788.67</v>
      </c>
      <c r="AB171">
        <v>0</v>
      </c>
      <c r="AC171">
        <v>0</v>
      </c>
      <c r="AD171">
        <v>0</v>
      </c>
      <c r="AE171">
        <v>729.98</v>
      </c>
      <c r="AF171">
        <v>0</v>
      </c>
      <c r="AG171">
        <v>0</v>
      </c>
      <c r="AH171">
        <v>0</v>
      </c>
      <c r="AI171">
        <v>6.56</v>
      </c>
      <c r="AJ171">
        <v>1</v>
      </c>
      <c r="AK171">
        <v>1</v>
      </c>
      <c r="AL171">
        <v>1</v>
      </c>
      <c r="AN171">
        <v>0</v>
      </c>
      <c r="AO171">
        <v>1</v>
      </c>
      <c r="AP171">
        <v>0</v>
      </c>
      <c r="AQ171">
        <v>0</v>
      </c>
      <c r="AR171">
        <v>0</v>
      </c>
      <c r="AS171" t="s">
        <v>6</v>
      </c>
      <c r="AT171">
        <v>6.0000000000000001E-3</v>
      </c>
      <c r="AU171" t="s">
        <v>6</v>
      </c>
      <c r="AV171">
        <v>0</v>
      </c>
      <c r="AW171">
        <v>2</v>
      </c>
      <c r="AX171">
        <v>16750220</v>
      </c>
      <c r="AY171">
        <v>1</v>
      </c>
      <c r="AZ171">
        <v>0</v>
      </c>
      <c r="BA171">
        <v>166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CX171">
        <f>Y171*Source!I129</f>
        <v>3.5999999999999999E-3</v>
      </c>
      <c r="CY171">
        <f>AA171</f>
        <v>4788.67</v>
      </c>
      <c r="CZ171">
        <f>AE171</f>
        <v>729.98</v>
      </c>
      <c r="DA171">
        <f>AI171</f>
        <v>6.56</v>
      </c>
      <c r="DB171">
        <f t="shared" si="32"/>
        <v>4.38</v>
      </c>
      <c r="DC171">
        <f t="shared" si="33"/>
        <v>0</v>
      </c>
    </row>
    <row r="172" spans="1:107" x14ac:dyDescent="0.2">
      <c r="A172">
        <f>ROW(Source!A129)</f>
        <v>129</v>
      </c>
      <c r="B172">
        <v>16748969</v>
      </c>
      <c r="C172">
        <v>16750206</v>
      </c>
      <c r="D172">
        <v>15172875</v>
      </c>
      <c r="E172">
        <v>1</v>
      </c>
      <c r="F172">
        <v>1</v>
      </c>
      <c r="G172">
        <v>1</v>
      </c>
      <c r="H172">
        <v>3</v>
      </c>
      <c r="I172" t="s">
        <v>1160</v>
      </c>
      <c r="J172" t="s">
        <v>1161</v>
      </c>
      <c r="K172" t="s">
        <v>1162</v>
      </c>
      <c r="L172">
        <v>1339</v>
      </c>
      <c r="N172">
        <v>1007</v>
      </c>
      <c r="O172" t="s">
        <v>283</v>
      </c>
      <c r="P172" t="s">
        <v>283</v>
      </c>
      <c r="Q172">
        <v>1</v>
      </c>
      <c r="W172">
        <v>0</v>
      </c>
      <c r="X172">
        <v>-1001479081</v>
      </c>
      <c r="Y172">
        <v>1.87</v>
      </c>
      <c r="AA172">
        <v>3397.49</v>
      </c>
      <c r="AB172">
        <v>0</v>
      </c>
      <c r="AC172">
        <v>0</v>
      </c>
      <c r="AD172">
        <v>0</v>
      </c>
      <c r="AE172">
        <v>517.91</v>
      </c>
      <c r="AF172">
        <v>0</v>
      </c>
      <c r="AG172">
        <v>0</v>
      </c>
      <c r="AH172">
        <v>0</v>
      </c>
      <c r="AI172">
        <v>6.56</v>
      </c>
      <c r="AJ172">
        <v>1</v>
      </c>
      <c r="AK172">
        <v>1</v>
      </c>
      <c r="AL172">
        <v>1</v>
      </c>
      <c r="AN172">
        <v>0</v>
      </c>
      <c r="AO172">
        <v>1</v>
      </c>
      <c r="AP172">
        <v>0</v>
      </c>
      <c r="AQ172">
        <v>0</v>
      </c>
      <c r="AR172">
        <v>0</v>
      </c>
      <c r="AS172" t="s">
        <v>6</v>
      </c>
      <c r="AT172">
        <v>1.87</v>
      </c>
      <c r="AU172" t="s">
        <v>6</v>
      </c>
      <c r="AV172">
        <v>0</v>
      </c>
      <c r="AW172">
        <v>2</v>
      </c>
      <c r="AX172">
        <v>16750221</v>
      </c>
      <c r="AY172">
        <v>1</v>
      </c>
      <c r="AZ172">
        <v>0</v>
      </c>
      <c r="BA172">
        <v>167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CX172">
        <f>Y172*Source!I129</f>
        <v>1.1220000000000001</v>
      </c>
      <c r="CY172">
        <f>AA172</f>
        <v>3397.49</v>
      </c>
      <c r="CZ172">
        <f>AE172</f>
        <v>517.91</v>
      </c>
      <c r="DA172">
        <f>AI172</f>
        <v>6.56</v>
      </c>
      <c r="DB172">
        <f t="shared" si="32"/>
        <v>968.49</v>
      </c>
      <c r="DC172">
        <f t="shared" si="33"/>
        <v>0</v>
      </c>
    </row>
    <row r="173" spans="1:107" x14ac:dyDescent="0.2">
      <c r="A173">
        <f>ROW(Source!A129)</f>
        <v>129</v>
      </c>
      <c r="B173">
        <v>16748969</v>
      </c>
      <c r="C173">
        <v>16750206</v>
      </c>
      <c r="D173">
        <v>15189930</v>
      </c>
      <c r="E173">
        <v>1</v>
      </c>
      <c r="F173">
        <v>1</v>
      </c>
      <c r="G173">
        <v>1</v>
      </c>
      <c r="H173">
        <v>3</v>
      </c>
      <c r="I173" t="s">
        <v>1242</v>
      </c>
      <c r="J173" t="s">
        <v>1243</v>
      </c>
      <c r="K173" t="s">
        <v>1244</v>
      </c>
      <c r="L173">
        <v>1327</v>
      </c>
      <c r="N173">
        <v>1005</v>
      </c>
      <c r="O173" t="s">
        <v>89</v>
      </c>
      <c r="P173" t="s">
        <v>89</v>
      </c>
      <c r="Q173">
        <v>1</v>
      </c>
      <c r="W173">
        <v>0</v>
      </c>
      <c r="X173">
        <v>1704710638</v>
      </c>
      <c r="Y173">
        <v>5.54</v>
      </c>
      <c r="AA173">
        <v>185.32</v>
      </c>
      <c r="AB173">
        <v>0</v>
      </c>
      <c r="AC173">
        <v>0</v>
      </c>
      <c r="AD173">
        <v>0</v>
      </c>
      <c r="AE173">
        <v>28.25</v>
      </c>
      <c r="AF173">
        <v>0</v>
      </c>
      <c r="AG173">
        <v>0</v>
      </c>
      <c r="AH173">
        <v>0</v>
      </c>
      <c r="AI173">
        <v>6.56</v>
      </c>
      <c r="AJ173">
        <v>1</v>
      </c>
      <c r="AK173">
        <v>1</v>
      </c>
      <c r="AL173">
        <v>1</v>
      </c>
      <c r="AN173">
        <v>0</v>
      </c>
      <c r="AO173">
        <v>1</v>
      </c>
      <c r="AP173">
        <v>0</v>
      </c>
      <c r="AQ173">
        <v>0</v>
      </c>
      <c r="AR173">
        <v>0</v>
      </c>
      <c r="AS173" t="s">
        <v>6</v>
      </c>
      <c r="AT173">
        <v>5.54</v>
      </c>
      <c r="AU173" t="s">
        <v>6</v>
      </c>
      <c r="AV173">
        <v>0</v>
      </c>
      <c r="AW173">
        <v>2</v>
      </c>
      <c r="AX173">
        <v>16750222</v>
      </c>
      <c r="AY173">
        <v>1</v>
      </c>
      <c r="AZ173">
        <v>0</v>
      </c>
      <c r="BA173">
        <v>168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CX173">
        <f>Y173*Source!I129</f>
        <v>3.3239999999999998</v>
      </c>
      <c r="CY173">
        <f>AA173</f>
        <v>185.32</v>
      </c>
      <c r="CZ173">
        <f>AE173</f>
        <v>28.25</v>
      </c>
      <c r="DA173">
        <f>AI173</f>
        <v>6.56</v>
      </c>
      <c r="DB173">
        <f t="shared" si="32"/>
        <v>156.51</v>
      </c>
      <c r="DC173">
        <f t="shared" si="33"/>
        <v>0</v>
      </c>
    </row>
    <row r="174" spans="1:107" x14ac:dyDescent="0.2">
      <c r="A174">
        <f>ROW(Source!A130)</f>
        <v>130</v>
      </c>
      <c r="B174">
        <v>16748969</v>
      </c>
      <c r="C174">
        <v>16750223</v>
      </c>
      <c r="D174">
        <v>15435099</v>
      </c>
      <c r="E174">
        <v>1</v>
      </c>
      <c r="F174">
        <v>1</v>
      </c>
      <c r="G174">
        <v>1</v>
      </c>
      <c r="H174">
        <v>1</v>
      </c>
      <c r="I174" t="s">
        <v>1195</v>
      </c>
      <c r="J174" t="s">
        <v>6</v>
      </c>
      <c r="K174" t="s">
        <v>1196</v>
      </c>
      <c r="L174">
        <v>1191</v>
      </c>
      <c r="N174">
        <v>1013</v>
      </c>
      <c r="O174" t="s">
        <v>1072</v>
      </c>
      <c r="P174" t="s">
        <v>1072</v>
      </c>
      <c r="Q174">
        <v>1</v>
      </c>
      <c r="W174">
        <v>0</v>
      </c>
      <c r="X174">
        <v>1010519658</v>
      </c>
      <c r="Y174">
        <v>28.02</v>
      </c>
      <c r="AA174">
        <v>0</v>
      </c>
      <c r="AB174">
        <v>0</v>
      </c>
      <c r="AC174">
        <v>0</v>
      </c>
      <c r="AD174">
        <v>56.68</v>
      </c>
      <c r="AE174">
        <v>0</v>
      </c>
      <c r="AF174">
        <v>0</v>
      </c>
      <c r="AG174">
        <v>0</v>
      </c>
      <c r="AH174">
        <v>8.64</v>
      </c>
      <c r="AI174">
        <v>1</v>
      </c>
      <c r="AJ174">
        <v>1</v>
      </c>
      <c r="AK174">
        <v>1</v>
      </c>
      <c r="AL174">
        <v>6.56</v>
      </c>
      <c r="AN174">
        <v>0</v>
      </c>
      <c r="AO174">
        <v>1</v>
      </c>
      <c r="AP174">
        <v>0</v>
      </c>
      <c r="AQ174">
        <v>0</v>
      </c>
      <c r="AR174">
        <v>0</v>
      </c>
      <c r="AS174" t="s">
        <v>6</v>
      </c>
      <c r="AT174">
        <v>28.02</v>
      </c>
      <c r="AU174" t="s">
        <v>6</v>
      </c>
      <c r="AV174">
        <v>1</v>
      </c>
      <c r="AW174">
        <v>2</v>
      </c>
      <c r="AX174">
        <v>16750237</v>
      </c>
      <c r="AY174">
        <v>1</v>
      </c>
      <c r="AZ174">
        <v>0</v>
      </c>
      <c r="BA174">
        <v>169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  <c r="CX174">
        <f>Y174*Source!I130</f>
        <v>19.894199999999998</v>
      </c>
      <c r="CY174">
        <f>AD174</f>
        <v>56.68</v>
      </c>
      <c r="CZ174">
        <f>AH174</f>
        <v>8.64</v>
      </c>
      <c r="DA174">
        <f>AL174</f>
        <v>6.56</v>
      </c>
      <c r="DB174">
        <f t="shared" si="32"/>
        <v>242.09</v>
      </c>
      <c r="DC174">
        <f t="shared" si="33"/>
        <v>0</v>
      </c>
    </row>
    <row r="175" spans="1:107" x14ac:dyDescent="0.2">
      <c r="A175">
        <f>ROW(Source!A130)</f>
        <v>130</v>
      </c>
      <c r="B175">
        <v>16748969</v>
      </c>
      <c r="C175">
        <v>16750223</v>
      </c>
      <c r="D175">
        <v>15430395</v>
      </c>
      <c r="E175">
        <v>1</v>
      </c>
      <c r="F175">
        <v>1</v>
      </c>
      <c r="G175">
        <v>1</v>
      </c>
      <c r="H175">
        <v>1</v>
      </c>
      <c r="I175" t="s">
        <v>1073</v>
      </c>
      <c r="J175" t="s">
        <v>6</v>
      </c>
      <c r="K175" t="s">
        <v>1074</v>
      </c>
      <c r="L175">
        <v>1191</v>
      </c>
      <c r="N175">
        <v>1013</v>
      </c>
      <c r="O175" t="s">
        <v>1072</v>
      </c>
      <c r="P175" t="s">
        <v>1072</v>
      </c>
      <c r="Q175">
        <v>1</v>
      </c>
      <c r="W175">
        <v>0</v>
      </c>
      <c r="X175">
        <v>-1417349443</v>
      </c>
      <c r="Y175">
        <v>0.16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1</v>
      </c>
      <c r="AJ175">
        <v>1</v>
      </c>
      <c r="AK175">
        <v>6.56</v>
      </c>
      <c r="AL175">
        <v>1</v>
      </c>
      <c r="AN175">
        <v>0</v>
      </c>
      <c r="AO175">
        <v>1</v>
      </c>
      <c r="AP175">
        <v>0</v>
      </c>
      <c r="AQ175">
        <v>0</v>
      </c>
      <c r="AR175">
        <v>0</v>
      </c>
      <c r="AS175" t="s">
        <v>6</v>
      </c>
      <c r="AT175">
        <v>0.16</v>
      </c>
      <c r="AU175" t="s">
        <v>6</v>
      </c>
      <c r="AV175">
        <v>2</v>
      </c>
      <c r="AW175">
        <v>2</v>
      </c>
      <c r="AX175">
        <v>16750238</v>
      </c>
      <c r="AY175">
        <v>1</v>
      </c>
      <c r="AZ175">
        <v>0</v>
      </c>
      <c r="BA175">
        <v>170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CX175">
        <f>Y175*Source!I130</f>
        <v>0.11359999999999999</v>
      </c>
      <c r="CY175">
        <f>AD175</f>
        <v>0</v>
      </c>
      <c r="CZ175">
        <f>AH175</f>
        <v>0</v>
      </c>
      <c r="DA175">
        <f>AL175</f>
        <v>1</v>
      </c>
      <c r="DB175">
        <f t="shared" si="32"/>
        <v>0</v>
      </c>
      <c r="DC175">
        <f t="shared" si="33"/>
        <v>0</v>
      </c>
    </row>
    <row r="176" spans="1:107" x14ac:dyDescent="0.2">
      <c r="A176">
        <f>ROW(Source!A130)</f>
        <v>130</v>
      </c>
      <c r="B176">
        <v>16748969</v>
      </c>
      <c r="C176">
        <v>16750223</v>
      </c>
      <c r="D176">
        <v>15247974</v>
      </c>
      <c r="E176">
        <v>1</v>
      </c>
      <c r="F176">
        <v>1</v>
      </c>
      <c r="G176">
        <v>1</v>
      </c>
      <c r="H176">
        <v>2</v>
      </c>
      <c r="I176" t="s">
        <v>1075</v>
      </c>
      <c r="J176" t="s">
        <v>1076</v>
      </c>
      <c r="K176" t="s">
        <v>1077</v>
      </c>
      <c r="L176">
        <v>1368</v>
      </c>
      <c r="N176">
        <v>1011</v>
      </c>
      <c r="O176" t="s">
        <v>1078</v>
      </c>
      <c r="P176" t="s">
        <v>1078</v>
      </c>
      <c r="Q176">
        <v>1</v>
      </c>
      <c r="W176">
        <v>0</v>
      </c>
      <c r="X176">
        <v>1188625873</v>
      </c>
      <c r="Y176">
        <v>0.1</v>
      </c>
      <c r="AA176">
        <v>0</v>
      </c>
      <c r="AB176">
        <v>205.07</v>
      </c>
      <c r="AC176">
        <v>13.5</v>
      </c>
      <c r="AD176">
        <v>0</v>
      </c>
      <c r="AE176">
        <v>0</v>
      </c>
      <c r="AF176">
        <v>31.26</v>
      </c>
      <c r="AG176">
        <v>13.5</v>
      </c>
      <c r="AH176">
        <v>0</v>
      </c>
      <c r="AI176">
        <v>1</v>
      </c>
      <c r="AJ176">
        <v>6.56</v>
      </c>
      <c r="AK176">
        <v>1</v>
      </c>
      <c r="AL176">
        <v>1</v>
      </c>
      <c r="AN176">
        <v>0</v>
      </c>
      <c r="AO176">
        <v>1</v>
      </c>
      <c r="AP176">
        <v>0</v>
      </c>
      <c r="AQ176">
        <v>0</v>
      </c>
      <c r="AR176">
        <v>0</v>
      </c>
      <c r="AS176" t="s">
        <v>6</v>
      </c>
      <c r="AT176">
        <v>0.1</v>
      </c>
      <c r="AU176" t="s">
        <v>6</v>
      </c>
      <c r="AV176">
        <v>0</v>
      </c>
      <c r="AW176">
        <v>2</v>
      </c>
      <c r="AX176">
        <v>16750239</v>
      </c>
      <c r="AY176">
        <v>1</v>
      </c>
      <c r="AZ176">
        <v>0</v>
      </c>
      <c r="BA176">
        <v>171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CX176">
        <f>Y176*Source!I130</f>
        <v>7.0999999999999994E-2</v>
      </c>
      <c r="CY176">
        <f>AB176</f>
        <v>205.07</v>
      </c>
      <c r="CZ176">
        <f>AF176</f>
        <v>31.26</v>
      </c>
      <c r="DA176">
        <f>AJ176</f>
        <v>6.56</v>
      </c>
      <c r="DB176">
        <f t="shared" si="32"/>
        <v>3.13</v>
      </c>
      <c r="DC176">
        <f t="shared" si="33"/>
        <v>1.35</v>
      </c>
    </row>
    <row r="177" spans="1:107" x14ac:dyDescent="0.2">
      <c r="A177">
        <f>ROW(Source!A130)</f>
        <v>130</v>
      </c>
      <c r="B177">
        <v>16748969</v>
      </c>
      <c r="C177">
        <v>16750223</v>
      </c>
      <c r="D177">
        <v>15249073</v>
      </c>
      <c r="E177">
        <v>1</v>
      </c>
      <c r="F177">
        <v>1</v>
      </c>
      <c r="G177">
        <v>1</v>
      </c>
      <c r="H177">
        <v>2</v>
      </c>
      <c r="I177" t="s">
        <v>1097</v>
      </c>
      <c r="J177" t="s">
        <v>1098</v>
      </c>
      <c r="K177" t="s">
        <v>1099</v>
      </c>
      <c r="L177">
        <v>1368</v>
      </c>
      <c r="N177">
        <v>1011</v>
      </c>
      <c r="O177" t="s">
        <v>1078</v>
      </c>
      <c r="P177" t="s">
        <v>1078</v>
      </c>
      <c r="Q177">
        <v>1</v>
      </c>
      <c r="W177">
        <v>0</v>
      </c>
      <c r="X177">
        <v>1372534845</v>
      </c>
      <c r="Y177">
        <v>0.06</v>
      </c>
      <c r="AA177">
        <v>0</v>
      </c>
      <c r="AB177">
        <v>431.06</v>
      </c>
      <c r="AC177">
        <v>11.6</v>
      </c>
      <c r="AD177">
        <v>0</v>
      </c>
      <c r="AE177">
        <v>0</v>
      </c>
      <c r="AF177">
        <v>65.709999999999994</v>
      </c>
      <c r="AG177">
        <v>11.6</v>
      </c>
      <c r="AH177">
        <v>0</v>
      </c>
      <c r="AI177">
        <v>1</v>
      </c>
      <c r="AJ177">
        <v>6.56</v>
      </c>
      <c r="AK177">
        <v>1</v>
      </c>
      <c r="AL177">
        <v>1</v>
      </c>
      <c r="AN177">
        <v>0</v>
      </c>
      <c r="AO177">
        <v>1</v>
      </c>
      <c r="AP177">
        <v>0</v>
      </c>
      <c r="AQ177">
        <v>0</v>
      </c>
      <c r="AR177">
        <v>0</v>
      </c>
      <c r="AS177" t="s">
        <v>6</v>
      </c>
      <c r="AT177">
        <v>0.06</v>
      </c>
      <c r="AU177" t="s">
        <v>6</v>
      </c>
      <c r="AV177">
        <v>0</v>
      </c>
      <c r="AW177">
        <v>2</v>
      </c>
      <c r="AX177">
        <v>16750240</v>
      </c>
      <c r="AY177">
        <v>1</v>
      </c>
      <c r="AZ177">
        <v>0</v>
      </c>
      <c r="BA177">
        <v>172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CX177">
        <f>Y177*Source!I130</f>
        <v>4.2599999999999999E-2</v>
      </c>
      <c r="CY177">
        <f>AB177</f>
        <v>431.06</v>
      </c>
      <c r="CZ177">
        <f>AF177</f>
        <v>65.709999999999994</v>
      </c>
      <c r="DA177">
        <f>AJ177</f>
        <v>6.56</v>
      </c>
      <c r="DB177">
        <f t="shared" si="32"/>
        <v>3.94</v>
      </c>
      <c r="DC177">
        <f t="shared" si="33"/>
        <v>0.7</v>
      </c>
    </row>
    <row r="178" spans="1:107" x14ac:dyDescent="0.2">
      <c r="A178">
        <f>ROW(Source!A130)</f>
        <v>130</v>
      </c>
      <c r="B178">
        <v>16748969</v>
      </c>
      <c r="C178">
        <v>16750223</v>
      </c>
      <c r="D178">
        <v>15167286</v>
      </c>
      <c r="E178">
        <v>1</v>
      </c>
      <c r="F178">
        <v>1</v>
      </c>
      <c r="G178">
        <v>1</v>
      </c>
      <c r="H178">
        <v>3</v>
      </c>
      <c r="I178" t="s">
        <v>1079</v>
      </c>
      <c r="J178" t="s">
        <v>1080</v>
      </c>
      <c r="K178" t="s">
        <v>1081</v>
      </c>
      <c r="L178">
        <v>1339</v>
      </c>
      <c r="N178">
        <v>1007</v>
      </c>
      <c r="O178" t="s">
        <v>283</v>
      </c>
      <c r="P178" t="s">
        <v>283</v>
      </c>
      <c r="Q178">
        <v>1</v>
      </c>
      <c r="W178">
        <v>0</v>
      </c>
      <c r="X178">
        <v>-1660354250</v>
      </c>
      <c r="Y178">
        <v>0.24</v>
      </c>
      <c r="AA178">
        <v>16.010000000000002</v>
      </c>
      <c r="AB178">
        <v>0</v>
      </c>
      <c r="AC178">
        <v>0</v>
      </c>
      <c r="AD178">
        <v>0</v>
      </c>
      <c r="AE178">
        <v>2.44</v>
      </c>
      <c r="AF178">
        <v>0</v>
      </c>
      <c r="AG178">
        <v>0</v>
      </c>
      <c r="AH178">
        <v>0</v>
      </c>
      <c r="AI178">
        <v>6.56</v>
      </c>
      <c r="AJ178">
        <v>1</v>
      </c>
      <c r="AK178">
        <v>1</v>
      </c>
      <c r="AL178">
        <v>1</v>
      </c>
      <c r="AN178">
        <v>0</v>
      </c>
      <c r="AO178">
        <v>1</v>
      </c>
      <c r="AP178">
        <v>0</v>
      </c>
      <c r="AQ178">
        <v>0</v>
      </c>
      <c r="AR178">
        <v>0</v>
      </c>
      <c r="AS178" t="s">
        <v>6</v>
      </c>
      <c r="AT178">
        <v>0.24</v>
      </c>
      <c r="AU178" t="s">
        <v>6</v>
      </c>
      <c r="AV178">
        <v>0</v>
      </c>
      <c r="AW178">
        <v>2</v>
      </c>
      <c r="AX178">
        <v>16750241</v>
      </c>
      <c r="AY178">
        <v>1</v>
      </c>
      <c r="AZ178">
        <v>0</v>
      </c>
      <c r="BA178">
        <v>173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  <c r="CX178">
        <f>Y178*Source!I130</f>
        <v>0.1704</v>
      </c>
      <c r="CY178">
        <f t="shared" ref="CY178:CY186" si="34">AA178</f>
        <v>16.010000000000002</v>
      </c>
      <c r="CZ178">
        <f t="shared" ref="CZ178:CZ186" si="35">AE178</f>
        <v>2.44</v>
      </c>
      <c r="DA178">
        <f t="shared" ref="DA178:DA186" si="36">AI178</f>
        <v>6.56</v>
      </c>
      <c r="DB178">
        <f t="shared" si="32"/>
        <v>0.59</v>
      </c>
      <c r="DC178">
        <f t="shared" si="33"/>
        <v>0</v>
      </c>
    </row>
    <row r="179" spans="1:107" x14ac:dyDescent="0.2">
      <c r="A179">
        <f>ROW(Source!A130)</f>
        <v>130</v>
      </c>
      <c r="B179">
        <v>16748969</v>
      </c>
      <c r="C179">
        <v>16750223</v>
      </c>
      <c r="D179">
        <v>15167766</v>
      </c>
      <c r="E179">
        <v>1</v>
      </c>
      <c r="F179">
        <v>1</v>
      </c>
      <c r="G179">
        <v>1</v>
      </c>
      <c r="H179">
        <v>3</v>
      </c>
      <c r="I179" t="s">
        <v>1245</v>
      </c>
      <c r="J179" t="s">
        <v>1246</v>
      </c>
      <c r="K179" t="s">
        <v>1247</v>
      </c>
      <c r="L179">
        <v>1354</v>
      </c>
      <c r="N179">
        <v>1010</v>
      </c>
      <c r="O179" t="s">
        <v>53</v>
      </c>
      <c r="P179" t="s">
        <v>53</v>
      </c>
      <c r="Q179">
        <v>1</v>
      </c>
      <c r="W179">
        <v>0</v>
      </c>
      <c r="X179">
        <v>-1046673864</v>
      </c>
      <c r="Y179">
        <v>3.2</v>
      </c>
      <c r="AA179">
        <v>29.52</v>
      </c>
      <c r="AB179">
        <v>0</v>
      </c>
      <c r="AC179">
        <v>0</v>
      </c>
      <c r="AD179">
        <v>0</v>
      </c>
      <c r="AE179">
        <v>4.5</v>
      </c>
      <c r="AF179">
        <v>0</v>
      </c>
      <c r="AG179">
        <v>0</v>
      </c>
      <c r="AH179">
        <v>0</v>
      </c>
      <c r="AI179">
        <v>6.56</v>
      </c>
      <c r="AJ179">
        <v>1</v>
      </c>
      <c r="AK179">
        <v>1</v>
      </c>
      <c r="AL179">
        <v>1</v>
      </c>
      <c r="AN179">
        <v>0</v>
      </c>
      <c r="AO179">
        <v>1</v>
      </c>
      <c r="AP179">
        <v>0</v>
      </c>
      <c r="AQ179">
        <v>0</v>
      </c>
      <c r="AR179">
        <v>0</v>
      </c>
      <c r="AS179" t="s">
        <v>6</v>
      </c>
      <c r="AT179">
        <v>3.2</v>
      </c>
      <c r="AU179" t="s">
        <v>6</v>
      </c>
      <c r="AV179">
        <v>0</v>
      </c>
      <c r="AW179">
        <v>2</v>
      </c>
      <c r="AX179">
        <v>16750242</v>
      </c>
      <c r="AY179">
        <v>1</v>
      </c>
      <c r="AZ179">
        <v>0</v>
      </c>
      <c r="BA179">
        <v>174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CX179">
        <f>Y179*Source!I130</f>
        <v>2.2719999999999998</v>
      </c>
      <c r="CY179">
        <f t="shared" si="34"/>
        <v>29.52</v>
      </c>
      <c r="CZ179">
        <f t="shared" si="35"/>
        <v>4.5</v>
      </c>
      <c r="DA179">
        <f t="shared" si="36"/>
        <v>6.56</v>
      </c>
      <c r="DB179">
        <f t="shared" si="32"/>
        <v>14.4</v>
      </c>
      <c r="DC179">
        <f t="shared" si="33"/>
        <v>0</v>
      </c>
    </row>
    <row r="180" spans="1:107" x14ac:dyDescent="0.2">
      <c r="A180">
        <f>ROW(Source!A130)</f>
        <v>130</v>
      </c>
      <c r="B180">
        <v>16748969</v>
      </c>
      <c r="C180">
        <v>16750223</v>
      </c>
      <c r="D180">
        <v>15168015</v>
      </c>
      <c r="E180">
        <v>1</v>
      </c>
      <c r="F180">
        <v>1</v>
      </c>
      <c r="G180">
        <v>1</v>
      </c>
      <c r="H180">
        <v>3</v>
      </c>
      <c r="I180" t="s">
        <v>1248</v>
      </c>
      <c r="J180" t="s">
        <v>1249</v>
      </c>
      <c r="K180" t="s">
        <v>1250</v>
      </c>
      <c r="L180">
        <v>1348</v>
      </c>
      <c r="N180">
        <v>1009</v>
      </c>
      <c r="O180" t="s">
        <v>71</v>
      </c>
      <c r="P180" t="s">
        <v>71</v>
      </c>
      <c r="Q180">
        <v>1000</v>
      </c>
      <c r="W180">
        <v>0</v>
      </c>
      <c r="X180">
        <v>-526970962</v>
      </c>
      <c r="Y180">
        <v>1.2E-2</v>
      </c>
      <c r="AA180">
        <v>3847.24</v>
      </c>
      <c r="AB180">
        <v>0</v>
      </c>
      <c r="AC180">
        <v>0</v>
      </c>
      <c r="AD180">
        <v>0</v>
      </c>
      <c r="AE180">
        <v>586.47</v>
      </c>
      <c r="AF180">
        <v>0</v>
      </c>
      <c r="AG180">
        <v>0</v>
      </c>
      <c r="AH180">
        <v>0</v>
      </c>
      <c r="AI180">
        <v>6.56</v>
      </c>
      <c r="AJ180">
        <v>1</v>
      </c>
      <c r="AK180">
        <v>1</v>
      </c>
      <c r="AL180">
        <v>1</v>
      </c>
      <c r="AN180">
        <v>0</v>
      </c>
      <c r="AO180">
        <v>1</v>
      </c>
      <c r="AP180">
        <v>0</v>
      </c>
      <c r="AQ180">
        <v>0</v>
      </c>
      <c r="AR180">
        <v>0</v>
      </c>
      <c r="AS180" t="s">
        <v>6</v>
      </c>
      <c r="AT180">
        <v>1.2E-2</v>
      </c>
      <c r="AU180" t="s">
        <v>6</v>
      </c>
      <c r="AV180">
        <v>0</v>
      </c>
      <c r="AW180">
        <v>2</v>
      </c>
      <c r="AX180">
        <v>16750243</v>
      </c>
      <c r="AY180">
        <v>1</v>
      </c>
      <c r="AZ180">
        <v>0</v>
      </c>
      <c r="BA180">
        <v>175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CX180">
        <f>Y180*Source!I130</f>
        <v>8.5199999999999998E-3</v>
      </c>
      <c r="CY180">
        <f t="shared" si="34"/>
        <v>3847.24</v>
      </c>
      <c r="CZ180">
        <f t="shared" si="35"/>
        <v>586.47</v>
      </c>
      <c r="DA180">
        <f t="shared" si="36"/>
        <v>6.56</v>
      </c>
      <c r="DB180">
        <f t="shared" si="32"/>
        <v>7.04</v>
      </c>
      <c r="DC180">
        <f t="shared" si="33"/>
        <v>0</v>
      </c>
    </row>
    <row r="181" spans="1:107" x14ac:dyDescent="0.2">
      <c r="A181">
        <f>ROW(Source!A130)</f>
        <v>130</v>
      </c>
      <c r="B181">
        <v>16748969</v>
      </c>
      <c r="C181">
        <v>16750223</v>
      </c>
      <c r="D181">
        <v>15170682</v>
      </c>
      <c r="E181">
        <v>1</v>
      </c>
      <c r="F181">
        <v>1</v>
      </c>
      <c r="G181">
        <v>1</v>
      </c>
      <c r="H181">
        <v>3</v>
      </c>
      <c r="I181" t="s">
        <v>1165</v>
      </c>
      <c r="J181" t="s">
        <v>1166</v>
      </c>
      <c r="K181" t="s">
        <v>1167</v>
      </c>
      <c r="L181">
        <v>1327</v>
      </c>
      <c r="N181">
        <v>1005</v>
      </c>
      <c r="O181" t="s">
        <v>89</v>
      </c>
      <c r="P181" t="s">
        <v>89</v>
      </c>
      <c r="Q181">
        <v>1</v>
      </c>
      <c r="W181">
        <v>0</v>
      </c>
      <c r="X181">
        <v>-1987926685</v>
      </c>
      <c r="Y181">
        <v>1.6</v>
      </c>
      <c r="AA181">
        <v>474.42</v>
      </c>
      <c r="AB181">
        <v>0</v>
      </c>
      <c r="AC181">
        <v>0</v>
      </c>
      <c r="AD181">
        <v>0</v>
      </c>
      <c r="AE181">
        <v>72.319999999999993</v>
      </c>
      <c r="AF181">
        <v>0</v>
      </c>
      <c r="AG181">
        <v>0</v>
      </c>
      <c r="AH181">
        <v>0</v>
      </c>
      <c r="AI181">
        <v>6.56</v>
      </c>
      <c r="AJ181">
        <v>1</v>
      </c>
      <c r="AK181">
        <v>1</v>
      </c>
      <c r="AL181">
        <v>1</v>
      </c>
      <c r="AN181">
        <v>0</v>
      </c>
      <c r="AO181">
        <v>1</v>
      </c>
      <c r="AP181">
        <v>0</v>
      </c>
      <c r="AQ181">
        <v>0</v>
      </c>
      <c r="AR181">
        <v>0</v>
      </c>
      <c r="AS181" t="s">
        <v>6</v>
      </c>
      <c r="AT181">
        <v>1.6</v>
      </c>
      <c r="AU181" t="s">
        <v>6</v>
      </c>
      <c r="AV181">
        <v>0</v>
      </c>
      <c r="AW181">
        <v>2</v>
      </c>
      <c r="AX181">
        <v>16750244</v>
      </c>
      <c r="AY181">
        <v>1</v>
      </c>
      <c r="AZ181">
        <v>0</v>
      </c>
      <c r="BA181">
        <v>176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CX181">
        <f>Y181*Source!I130</f>
        <v>1.1359999999999999</v>
      </c>
      <c r="CY181">
        <f t="shared" si="34"/>
        <v>474.42</v>
      </c>
      <c r="CZ181">
        <f t="shared" si="35"/>
        <v>72.319999999999993</v>
      </c>
      <c r="DA181">
        <f t="shared" si="36"/>
        <v>6.56</v>
      </c>
      <c r="DB181">
        <f t="shared" si="32"/>
        <v>115.71</v>
      </c>
      <c r="DC181">
        <f t="shared" si="33"/>
        <v>0</v>
      </c>
    </row>
    <row r="182" spans="1:107" x14ac:dyDescent="0.2">
      <c r="A182">
        <f>ROW(Source!A130)</f>
        <v>130</v>
      </c>
      <c r="B182">
        <v>16748969</v>
      </c>
      <c r="C182">
        <v>16750223</v>
      </c>
      <c r="D182">
        <v>15171907</v>
      </c>
      <c r="E182">
        <v>1</v>
      </c>
      <c r="F182">
        <v>1</v>
      </c>
      <c r="G182">
        <v>1</v>
      </c>
      <c r="H182">
        <v>3</v>
      </c>
      <c r="I182" t="s">
        <v>1251</v>
      </c>
      <c r="J182" t="s">
        <v>1252</v>
      </c>
      <c r="K182" t="s">
        <v>1253</v>
      </c>
      <c r="L182">
        <v>1339</v>
      </c>
      <c r="N182">
        <v>1007</v>
      </c>
      <c r="O182" t="s">
        <v>283</v>
      </c>
      <c r="P182" t="s">
        <v>283</v>
      </c>
      <c r="Q182">
        <v>1</v>
      </c>
      <c r="W182">
        <v>0</v>
      </c>
      <c r="X182">
        <v>1795918813</v>
      </c>
      <c r="Y182">
        <v>4.4000000000000003E-3</v>
      </c>
      <c r="AA182">
        <v>489.24</v>
      </c>
      <c r="AB182">
        <v>0</v>
      </c>
      <c r="AC182">
        <v>0</v>
      </c>
      <c r="AD182">
        <v>0</v>
      </c>
      <c r="AE182">
        <v>74.58</v>
      </c>
      <c r="AF182">
        <v>0</v>
      </c>
      <c r="AG182">
        <v>0</v>
      </c>
      <c r="AH182">
        <v>0</v>
      </c>
      <c r="AI182">
        <v>6.56</v>
      </c>
      <c r="AJ182">
        <v>1</v>
      </c>
      <c r="AK182">
        <v>1</v>
      </c>
      <c r="AL182">
        <v>1</v>
      </c>
      <c r="AN182">
        <v>0</v>
      </c>
      <c r="AO182">
        <v>1</v>
      </c>
      <c r="AP182">
        <v>0</v>
      </c>
      <c r="AQ182">
        <v>0</v>
      </c>
      <c r="AR182">
        <v>0</v>
      </c>
      <c r="AS182" t="s">
        <v>6</v>
      </c>
      <c r="AT182">
        <v>4.4000000000000003E-3</v>
      </c>
      <c r="AU182" t="s">
        <v>6</v>
      </c>
      <c r="AV182">
        <v>0</v>
      </c>
      <c r="AW182">
        <v>2</v>
      </c>
      <c r="AX182">
        <v>16750245</v>
      </c>
      <c r="AY182">
        <v>1</v>
      </c>
      <c r="AZ182">
        <v>0</v>
      </c>
      <c r="BA182">
        <v>177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CX182">
        <f>Y182*Source!I130</f>
        <v>3.124E-3</v>
      </c>
      <c r="CY182">
        <f t="shared" si="34"/>
        <v>489.24</v>
      </c>
      <c r="CZ182">
        <f t="shared" si="35"/>
        <v>74.58</v>
      </c>
      <c r="DA182">
        <f t="shared" si="36"/>
        <v>6.56</v>
      </c>
      <c r="DB182">
        <f t="shared" si="32"/>
        <v>0.33</v>
      </c>
      <c r="DC182">
        <f t="shared" si="33"/>
        <v>0</v>
      </c>
    </row>
    <row r="183" spans="1:107" x14ac:dyDescent="0.2">
      <c r="A183">
        <f>ROW(Source!A130)</f>
        <v>130</v>
      </c>
      <c r="B183">
        <v>16748969</v>
      </c>
      <c r="C183">
        <v>16750223</v>
      </c>
      <c r="D183">
        <v>15202490</v>
      </c>
      <c r="E183">
        <v>1</v>
      </c>
      <c r="F183">
        <v>1</v>
      </c>
      <c r="G183">
        <v>1</v>
      </c>
      <c r="H183">
        <v>3</v>
      </c>
      <c r="I183" t="s">
        <v>1254</v>
      </c>
      <c r="J183" t="s">
        <v>1255</v>
      </c>
      <c r="K183" t="s">
        <v>1256</v>
      </c>
      <c r="L183">
        <v>1346</v>
      </c>
      <c r="N183">
        <v>1009</v>
      </c>
      <c r="O183" t="s">
        <v>323</v>
      </c>
      <c r="P183" t="s">
        <v>323</v>
      </c>
      <c r="Q183">
        <v>1</v>
      </c>
      <c r="W183">
        <v>0</v>
      </c>
      <c r="X183">
        <v>-1684093315</v>
      </c>
      <c r="Y183">
        <v>2.4300000000000002</v>
      </c>
      <c r="AA183">
        <v>53.07</v>
      </c>
      <c r="AB183">
        <v>0</v>
      </c>
      <c r="AC183">
        <v>0</v>
      </c>
      <c r="AD183">
        <v>0</v>
      </c>
      <c r="AE183">
        <v>8.09</v>
      </c>
      <c r="AF183">
        <v>0</v>
      </c>
      <c r="AG183">
        <v>0</v>
      </c>
      <c r="AH183">
        <v>0</v>
      </c>
      <c r="AI183">
        <v>6.56</v>
      </c>
      <c r="AJ183">
        <v>1</v>
      </c>
      <c r="AK183">
        <v>1</v>
      </c>
      <c r="AL183">
        <v>1</v>
      </c>
      <c r="AN183">
        <v>0</v>
      </c>
      <c r="AO183">
        <v>1</v>
      </c>
      <c r="AP183">
        <v>0</v>
      </c>
      <c r="AQ183">
        <v>0</v>
      </c>
      <c r="AR183">
        <v>0</v>
      </c>
      <c r="AS183" t="s">
        <v>6</v>
      </c>
      <c r="AT183">
        <v>2.4300000000000002</v>
      </c>
      <c r="AU183" t="s">
        <v>6</v>
      </c>
      <c r="AV183">
        <v>0</v>
      </c>
      <c r="AW183">
        <v>2</v>
      </c>
      <c r="AX183">
        <v>16750246</v>
      </c>
      <c r="AY183">
        <v>1</v>
      </c>
      <c r="AZ183">
        <v>0</v>
      </c>
      <c r="BA183">
        <v>178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CX183">
        <f>Y183*Source!I130</f>
        <v>1.7253000000000001</v>
      </c>
      <c r="CY183">
        <f t="shared" si="34"/>
        <v>53.07</v>
      </c>
      <c r="CZ183">
        <f t="shared" si="35"/>
        <v>8.09</v>
      </c>
      <c r="DA183">
        <f t="shared" si="36"/>
        <v>6.56</v>
      </c>
      <c r="DB183">
        <f t="shared" si="32"/>
        <v>19.66</v>
      </c>
      <c r="DC183">
        <f t="shared" si="33"/>
        <v>0</v>
      </c>
    </row>
    <row r="184" spans="1:107" x14ac:dyDescent="0.2">
      <c r="A184">
        <f>ROW(Source!A130)</f>
        <v>130</v>
      </c>
      <c r="B184">
        <v>16748969</v>
      </c>
      <c r="C184">
        <v>16750223</v>
      </c>
      <c r="D184">
        <v>15163054</v>
      </c>
      <c r="E184">
        <v>17</v>
      </c>
      <c r="F184">
        <v>1</v>
      </c>
      <c r="G184">
        <v>1</v>
      </c>
      <c r="H184">
        <v>3</v>
      </c>
      <c r="I184" t="s">
        <v>223</v>
      </c>
      <c r="J184" t="s">
        <v>6</v>
      </c>
      <c r="K184" t="s">
        <v>224</v>
      </c>
      <c r="L184">
        <v>1348</v>
      </c>
      <c r="N184">
        <v>1009</v>
      </c>
      <c r="O184" t="s">
        <v>71</v>
      </c>
      <c r="P184" t="s">
        <v>71</v>
      </c>
      <c r="Q184">
        <v>1000</v>
      </c>
      <c r="W184">
        <v>0</v>
      </c>
      <c r="X184">
        <v>1891904026</v>
      </c>
      <c r="Y184">
        <v>6.7000000000000004E-2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6.56</v>
      </c>
      <c r="AJ184">
        <v>1</v>
      </c>
      <c r="AK184">
        <v>1</v>
      </c>
      <c r="AL184">
        <v>1</v>
      </c>
      <c r="AN184">
        <v>0</v>
      </c>
      <c r="AO184">
        <v>0</v>
      </c>
      <c r="AP184">
        <v>0</v>
      </c>
      <c r="AQ184">
        <v>0</v>
      </c>
      <c r="AR184">
        <v>0</v>
      </c>
      <c r="AS184" t="s">
        <v>6</v>
      </c>
      <c r="AT184">
        <v>6.7000000000000004E-2</v>
      </c>
      <c r="AU184" t="s">
        <v>6</v>
      </c>
      <c r="AV184">
        <v>0</v>
      </c>
      <c r="AW184">
        <v>2</v>
      </c>
      <c r="AX184">
        <v>16750247</v>
      </c>
      <c r="AY184">
        <v>1</v>
      </c>
      <c r="AZ184">
        <v>0</v>
      </c>
      <c r="BA184">
        <v>179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CX184">
        <f>Y184*Source!I130</f>
        <v>4.7570000000000001E-2</v>
      </c>
      <c r="CY184">
        <f t="shared" si="34"/>
        <v>0</v>
      </c>
      <c r="CZ184">
        <f t="shared" si="35"/>
        <v>0</v>
      </c>
      <c r="DA184">
        <f t="shared" si="36"/>
        <v>6.56</v>
      </c>
      <c r="DB184">
        <f t="shared" ref="DB184:DB200" si="37">ROUND(ROUND(AT184*CZ184,2),2)</f>
        <v>0</v>
      </c>
      <c r="DC184">
        <f t="shared" ref="DC184:DC200" si="38">ROUND(ROUND(AT184*AG184,2),2)</f>
        <v>0</v>
      </c>
    </row>
    <row r="185" spans="1:107" x14ac:dyDescent="0.2">
      <c r="A185">
        <f>ROW(Source!A130)</f>
        <v>130</v>
      </c>
      <c r="B185">
        <v>16748969</v>
      </c>
      <c r="C185">
        <v>16750223</v>
      </c>
      <c r="D185">
        <v>15203263</v>
      </c>
      <c r="E185">
        <v>1</v>
      </c>
      <c r="F185">
        <v>1</v>
      </c>
      <c r="G185">
        <v>1</v>
      </c>
      <c r="H185">
        <v>3</v>
      </c>
      <c r="I185" t="s">
        <v>356</v>
      </c>
      <c r="J185" t="s">
        <v>358</v>
      </c>
      <c r="K185" t="s">
        <v>357</v>
      </c>
      <c r="L185">
        <v>1348</v>
      </c>
      <c r="N185">
        <v>1009</v>
      </c>
      <c r="O185" t="s">
        <v>71</v>
      </c>
      <c r="P185" t="s">
        <v>71</v>
      </c>
      <c r="Q185">
        <v>1000</v>
      </c>
      <c r="W185">
        <v>0</v>
      </c>
      <c r="X185">
        <v>1146787971</v>
      </c>
      <c r="Y185">
        <v>6.7000000000000004E-2</v>
      </c>
      <c r="AA185">
        <v>55792.800000000003</v>
      </c>
      <c r="AB185">
        <v>0</v>
      </c>
      <c r="AC185">
        <v>0</v>
      </c>
      <c r="AD185">
        <v>0</v>
      </c>
      <c r="AE185">
        <v>8505</v>
      </c>
      <c r="AF185">
        <v>0</v>
      </c>
      <c r="AG185">
        <v>0</v>
      </c>
      <c r="AH185">
        <v>0</v>
      </c>
      <c r="AI185">
        <v>6.56</v>
      </c>
      <c r="AJ185">
        <v>1</v>
      </c>
      <c r="AK185">
        <v>1</v>
      </c>
      <c r="AL185">
        <v>1</v>
      </c>
      <c r="AN185">
        <v>0</v>
      </c>
      <c r="AO185">
        <v>0</v>
      </c>
      <c r="AP185">
        <v>0</v>
      </c>
      <c r="AQ185">
        <v>0</v>
      </c>
      <c r="AR185">
        <v>0</v>
      </c>
      <c r="AS185" t="s">
        <v>6</v>
      </c>
      <c r="AT185">
        <v>6.7000000000000004E-2</v>
      </c>
      <c r="AU185" t="s">
        <v>6</v>
      </c>
      <c r="AV185">
        <v>0</v>
      </c>
      <c r="AW185">
        <v>1</v>
      </c>
      <c r="AX185">
        <v>-1</v>
      </c>
      <c r="AY185">
        <v>0</v>
      </c>
      <c r="AZ185">
        <v>0</v>
      </c>
      <c r="BA185" t="s">
        <v>6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CX185">
        <f>Y185*Source!I130</f>
        <v>4.7570000000000001E-2</v>
      </c>
      <c r="CY185">
        <f t="shared" si="34"/>
        <v>55792.800000000003</v>
      </c>
      <c r="CZ185">
        <f t="shared" si="35"/>
        <v>8505</v>
      </c>
      <c r="DA185">
        <f t="shared" si="36"/>
        <v>6.56</v>
      </c>
      <c r="DB185">
        <f t="shared" si="37"/>
        <v>569.84</v>
      </c>
      <c r="DC185">
        <f t="shared" si="38"/>
        <v>0</v>
      </c>
    </row>
    <row r="186" spans="1:107" x14ac:dyDescent="0.2">
      <c r="A186">
        <f>ROW(Source!A130)</f>
        <v>130</v>
      </c>
      <c r="B186">
        <v>16748969</v>
      </c>
      <c r="C186">
        <v>16750223</v>
      </c>
      <c r="D186">
        <v>15204729</v>
      </c>
      <c r="E186">
        <v>1</v>
      </c>
      <c r="F186">
        <v>1</v>
      </c>
      <c r="G186">
        <v>1</v>
      </c>
      <c r="H186">
        <v>3</v>
      </c>
      <c r="I186" t="s">
        <v>1171</v>
      </c>
      <c r="J186" t="s">
        <v>1172</v>
      </c>
      <c r="K186" t="s">
        <v>1173</v>
      </c>
      <c r="L186">
        <v>1348</v>
      </c>
      <c r="N186">
        <v>1009</v>
      </c>
      <c r="O186" t="s">
        <v>71</v>
      </c>
      <c r="P186" t="s">
        <v>71</v>
      </c>
      <c r="Q186">
        <v>1000</v>
      </c>
      <c r="W186">
        <v>0</v>
      </c>
      <c r="X186">
        <v>-2084827333</v>
      </c>
      <c r="Y186">
        <v>6.4000000000000001E-2</v>
      </c>
      <c r="AA186">
        <v>28168.639999999999</v>
      </c>
      <c r="AB186">
        <v>0</v>
      </c>
      <c r="AC186">
        <v>0</v>
      </c>
      <c r="AD186">
        <v>0</v>
      </c>
      <c r="AE186">
        <v>4294</v>
      </c>
      <c r="AF186">
        <v>0</v>
      </c>
      <c r="AG186">
        <v>0</v>
      </c>
      <c r="AH186">
        <v>0</v>
      </c>
      <c r="AI186">
        <v>6.56</v>
      </c>
      <c r="AJ186">
        <v>1</v>
      </c>
      <c r="AK186">
        <v>1</v>
      </c>
      <c r="AL186">
        <v>1</v>
      </c>
      <c r="AN186">
        <v>0</v>
      </c>
      <c r="AO186">
        <v>1</v>
      </c>
      <c r="AP186">
        <v>0</v>
      </c>
      <c r="AQ186">
        <v>0</v>
      </c>
      <c r="AR186">
        <v>0</v>
      </c>
      <c r="AS186" t="s">
        <v>6</v>
      </c>
      <c r="AT186">
        <v>6.4000000000000001E-2</v>
      </c>
      <c r="AU186" t="s">
        <v>6</v>
      </c>
      <c r="AV186">
        <v>0</v>
      </c>
      <c r="AW186">
        <v>2</v>
      </c>
      <c r="AX186">
        <v>16750248</v>
      </c>
      <c r="AY186">
        <v>1</v>
      </c>
      <c r="AZ186">
        <v>0</v>
      </c>
      <c r="BA186">
        <v>180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CX186">
        <f>Y186*Source!I130</f>
        <v>4.5440000000000001E-2</v>
      </c>
      <c r="CY186">
        <f t="shared" si="34"/>
        <v>28168.639999999999</v>
      </c>
      <c r="CZ186">
        <f t="shared" si="35"/>
        <v>4294</v>
      </c>
      <c r="DA186">
        <f t="shared" si="36"/>
        <v>6.56</v>
      </c>
      <c r="DB186">
        <f t="shared" si="37"/>
        <v>274.82</v>
      </c>
      <c r="DC186">
        <f t="shared" si="38"/>
        <v>0</v>
      </c>
    </row>
    <row r="187" spans="1:107" x14ac:dyDescent="0.2">
      <c r="A187">
        <f>ROW(Source!A133)</f>
        <v>133</v>
      </c>
      <c r="B187">
        <v>16748969</v>
      </c>
      <c r="C187">
        <v>16750251</v>
      </c>
      <c r="D187">
        <v>15430497</v>
      </c>
      <c r="E187">
        <v>1</v>
      </c>
      <c r="F187">
        <v>1</v>
      </c>
      <c r="G187">
        <v>1</v>
      </c>
      <c r="H187">
        <v>1</v>
      </c>
      <c r="I187" t="s">
        <v>1257</v>
      </c>
      <c r="J187" t="s">
        <v>6</v>
      </c>
      <c r="K187" t="s">
        <v>1258</v>
      </c>
      <c r="L187">
        <v>1191</v>
      </c>
      <c r="N187">
        <v>1013</v>
      </c>
      <c r="O187" t="s">
        <v>1072</v>
      </c>
      <c r="P187" t="s">
        <v>1072</v>
      </c>
      <c r="Q187">
        <v>1</v>
      </c>
      <c r="W187">
        <v>0</v>
      </c>
      <c r="X187">
        <v>-719309759</v>
      </c>
      <c r="Y187">
        <v>33.630000000000003</v>
      </c>
      <c r="AA187">
        <v>0</v>
      </c>
      <c r="AB187">
        <v>0</v>
      </c>
      <c r="AC187">
        <v>0</v>
      </c>
      <c r="AD187">
        <v>58.12</v>
      </c>
      <c r="AE187">
        <v>0</v>
      </c>
      <c r="AF187">
        <v>0</v>
      </c>
      <c r="AG187">
        <v>0</v>
      </c>
      <c r="AH187">
        <v>8.86</v>
      </c>
      <c r="AI187">
        <v>1</v>
      </c>
      <c r="AJ187">
        <v>1</v>
      </c>
      <c r="AK187">
        <v>1</v>
      </c>
      <c r="AL187">
        <v>6.56</v>
      </c>
      <c r="AN187">
        <v>0</v>
      </c>
      <c r="AO187">
        <v>1</v>
      </c>
      <c r="AP187">
        <v>0</v>
      </c>
      <c r="AQ187">
        <v>0</v>
      </c>
      <c r="AR187">
        <v>0</v>
      </c>
      <c r="AS187" t="s">
        <v>6</v>
      </c>
      <c r="AT187">
        <v>33.630000000000003</v>
      </c>
      <c r="AU187" t="s">
        <v>6</v>
      </c>
      <c r="AV187">
        <v>1</v>
      </c>
      <c r="AW187">
        <v>2</v>
      </c>
      <c r="AX187">
        <v>16750263</v>
      </c>
      <c r="AY187">
        <v>1</v>
      </c>
      <c r="AZ187">
        <v>0</v>
      </c>
      <c r="BA187">
        <v>181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  <c r="CX187">
        <f>Y187*Source!I133</f>
        <v>72.449109000000007</v>
      </c>
      <c r="CY187">
        <f>AD187</f>
        <v>58.12</v>
      </c>
      <c r="CZ187">
        <f>AH187</f>
        <v>8.86</v>
      </c>
      <c r="DA187">
        <f>AL187</f>
        <v>6.56</v>
      </c>
      <c r="DB187">
        <f t="shared" si="37"/>
        <v>297.95999999999998</v>
      </c>
      <c r="DC187">
        <f t="shared" si="38"/>
        <v>0</v>
      </c>
    </row>
    <row r="188" spans="1:107" x14ac:dyDescent="0.2">
      <c r="A188">
        <f>ROW(Source!A133)</f>
        <v>133</v>
      </c>
      <c r="B188">
        <v>16748969</v>
      </c>
      <c r="C188">
        <v>16750251</v>
      </c>
      <c r="D188">
        <v>15430395</v>
      </c>
      <c r="E188">
        <v>1</v>
      </c>
      <c r="F188">
        <v>1</v>
      </c>
      <c r="G188">
        <v>1</v>
      </c>
      <c r="H188">
        <v>1</v>
      </c>
      <c r="I188" t="s">
        <v>1073</v>
      </c>
      <c r="J188" t="s">
        <v>6</v>
      </c>
      <c r="K188" t="s">
        <v>1074</v>
      </c>
      <c r="L188">
        <v>1191</v>
      </c>
      <c r="N188">
        <v>1013</v>
      </c>
      <c r="O188" t="s">
        <v>1072</v>
      </c>
      <c r="P188" t="s">
        <v>1072</v>
      </c>
      <c r="Q188">
        <v>1</v>
      </c>
      <c r="W188">
        <v>0</v>
      </c>
      <c r="X188">
        <v>-1417349443</v>
      </c>
      <c r="Y188">
        <v>0.02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1</v>
      </c>
      <c r="AJ188">
        <v>1</v>
      </c>
      <c r="AK188">
        <v>6.56</v>
      </c>
      <c r="AL188">
        <v>1</v>
      </c>
      <c r="AN188">
        <v>0</v>
      </c>
      <c r="AO188">
        <v>1</v>
      </c>
      <c r="AP188">
        <v>0</v>
      </c>
      <c r="AQ188">
        <v>0</v>
      </c>
      <c r="AR188">
        <v>0</v>
      </c>
      <c r="AS188" t="s">
        <v>6</v>
      </c>
      <c r="AT188">
        <v>0.02</v>
      </c>
      <c r="AU188" t="s">
        <v>6</v>
      </c>
      <c r="AV188">
        <v>2</v>
      </c>
      <c r="AW188">
        <v>2</v>
      </c>
      <c r="AX188">
        <v>16750264</v>
      </c>
      <c r="AY188">
        <v>1</v>
      </c>
      <c r="AZ188">
        <v>0</v>
      </c>
      <c r="BA188">
        <v>182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CX188">
        <f>Y188*Source!I133</f>
        <v>4.3086000000000006E-2</v>
      </c>
      <c r="CY188">
        <f>AD188</f>
        <v>0</v>
      </c>
      <c r="CZ188">
        <f>AH188</f>
        <v>0</v>
      </c>
      <c r="DA188">
        <f>AL188</f>
        <v>1</v>
      </c>
      <c r="DB188">
        <f t="shared" si="37"/>
        <v>0</v>
      </c>
      <c r="DC188">
        <f t="shared" si="38"/>
        <v>0</v>
      </c>
    </row>
    <row r="189" spans="1:107" x14ac:dyDescent="0.2">
      <c r="A189">
        <f>ROW(Source!A133)</f>
        <v>133</v>
      </c>
      <c r="B189">
        <v>16748969</v>
      </c>
      <c r="C189">
        <v>16750251</v>
      </c>
      <c r="D189">
        <v>15247974</v>
      </c>
      <c r="E189">
        <v>1</v>
      </c>
      <c r="F189">
        <v>1</v>
      </c>
      <c r="G189">
        <v>1</v>
      </c>
      <c r="H189">
        <v>2</v>
      </c>
      <c r="I189" t="s">
        <v>1075</v>
      </c>
      <c r="J189" t="s">
        <v>1076</v>
      </c>
      <c r="K189" t="s">
        <v>1077</v>
      </c>
      <c r="L189">
        <v>1368</v>
      </c>
      <c r="N189">
        <v>1011</v>
      </c>
      <c r="O189" t="s">
        <v>1078</v>
      </c>
      <c r="P189" t="s">
        <v>1078</v>
      </c>
      <c r="Q189">
        <v>1</v>
      </c>
      <c r="W189">
        <v>0</v>
      </c>
      <c r="X189">
        <v>1188625873</v>
      </c>
      <c r="Y189">
        <v>0.01</v>
      </c>
      <c r="AA189">
        <v>0</v>
      </c>
      <c r="AB189">
        <v>205.07</v>
      </c>
      <c r="AC189">
        <v>13.5</v>
      </c>
      <c r="AD189">
        <v>0</v>
      </c>
      <c r="AE189">
        <v>0</v>
      </c>
      <c r="AF189">
        <v>31.26</v>
      </c>
      <c r="AG189">
        <v>13.5</v>
      </c>
      <c r="AH189">
        <v>0</v>
      </c>
      <c r="AI189">
        <v>1</v>
      </c>
      <c r="AJ189">
        <v>6.56</v>
      </c>
      <c r="AK189">
        <v>1</v>
      </c>
      <c r="AL189">
        <v>1</v>
      </c>
      <c r="AN189">
        <v>0</v>
      </c>
      <c r="AO189">
        <v>1</v>
      </c>
      <c r="AP189">
        <v>0</v>
      </c>
      <c r="AQ189">
        <v>0</v>
      </c>
      <c r="AR189">
        <v>0</v>
      </c>
      <c r="AS189" t="s">
        <v>6</v>
      </c>
      <c r="AT189">
        <v>0.01</v>
      </c>
      <c r="AU189" t="s">
        <v>6</v>
      </c>
      <c r="AV189">
        <v>0</v>
      </c>
      <c r="AW189">
        <v>2</v>
      </c>
      <c r="AX189">
        <v>16750265</v>
      </c>
      <c r="AY189">
        <v>1</v>
      </c>
      <c r="AZ189">
        <v>0</v>
      </c>
      <c r="BA189">
        <v>183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  <c r="CX189">
        <f>Y189*Source!I133</f>
        <v>2.1543000000000003E-2</v>
      </c>
      <c r="CY189">
        <f>AB189</f>
        <v>205.07</v>
      </c>
      <c r="CZ189">
        <f>AF189</f>
        <v>31.26</v>
      </c>
      <c r="DA189">
        <f>AJ189</f>
        <v>6.56</v>
      </c>
      <c r="DB189">
        <f t="shared" si="37"/>
        <v>0.31</v>
      </c>
      <c r="DC189">
        <f t="shared" si="38"/>
        <v>0.14000000000000001</v>
      </c>
    </row>
    <row r="190" spans="1:107" x14ac:dyDescent="0.2">
      <c r="A190">
        <f>ROW(Source!A133)</f>
        <v>133</v>
      </c>
      <c r="B190">
        <v>16748969</v>
      </c>
      <c r="C190">
        <v>16750251</v>
      </c>
      <c r="D190">
        <v>15249073</v>
      </c>
      <c r="E190">
        <v>1</v>
      </c>
      <c r="F190">
        <v>1</v>
      </c>
      <c r="G190">
        <v>1</v>
      </c>
      <c r="H190">
        <v>2</v>
      </c>
      <c r="I190" t="s">
        <v>1097</v>
      </c>
      <c r="J190" t="s">
        <v>1098</v>
      </c>
      <c r="K190" t="s">
        <v>1099</v>
      </c>
      <c r="L190">
        <v>1368</v>
      </c>
      <c r="N190">
        <v>1011</v>
      </c>
      <c r="O190" t="s">
        <v>1078</v>
      </c>
      <c r="P190" t="s">
        <v>1078</v>
      </c>
      <c r="Q190">
        <v>1</v>
      </c>
      <c r="W190">
        <v>0</v>
      </c>
      <c r="X190">
        <v>1372534845</v>
      </c>
      <c r="Y190">
        <v>0.01</v>
      </c>
      <c r="AA190">
        <v>0</v>
      </c>
      <c r="AB190">
        <v>431.06</v>
      </c>
      <c r="AC190">
        <v>11.6</v>
      </c>
      <c r="AD190">
        <v>0</v>
      </c>
      <c r="AE190">
        <v>0</v>
      </c>
      <c r="AF190">
        <v>65.709999999999994</v>
      </c>
      <c r="AG190">
        <v>11.6</v>
      </c>
      <c r="AH190">
        <v>0</v>
      </c>
      <c r="AI190">
        <v>1</v>
      </c>
      <c r="AJ190">
        <v>6.56</v>
      </c>
      <c r="AK190">
        <v>1</v>
      </c>
      <c r="AL190">
        <v>1</v>
      </c>
      <c r="AN190">
        <v>0</v>
      </c>
      <c r="AO190">
        <v>1</v>
      </c>
      <c r="AP190">
        <v>0</v>
      </c>
      <c r="AQ190">
        <v>0</v>
      </c>
      <c r="AR190">
        <v>0</v>
      </c>
      <c r="AS190" t="s">
        <v>6</v>
      </c>
      <c r="AT190">
        <v>0.01</v>
      </c>
      <c r="AU190" t="s">
        <v>6</v>
      </c>
      <c r="AV190">
        <v>0</v>
      </c>
      <c r="AW190">
        <v>2</v>
      </c>
      <c r="AX190">
        <v>16750266</v>
      </c>
      <c r="AY190">
        <v>1</v>
      </c>
      <c r="AZ190">
        <v>0</v>
      </c>
      <c r="BA190">
        <v>184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CX190">
        <f>Y190*Source!I133</f>
        <v>2.1543000000000003E-2</v>
      </c>
      <c r="CY190">
        <f>AB190</f>
        <v>431.06</v>
      </c>
      <c r="CZ190">
        <f>AF190</f>
        <v>65.709999999999994</v>
      </c>
      <c r="DA190">
        <f>AJ190</f>
        <v>6.56</v>
      </c>
      <c r="DB190">
        <f t="shared" si="37"/>
        <v>0.66</v>
      </c>
      <c r="DC190">
        <f t="shared" si="38"/>
        <v>0.12</v>
      </c>
    </row>
    <row r="191" spans="1:107" x14ac:dyDescent="0.2">
      <c r="A191">
        <f>ROW(Source!A133)</f>
        <v>133</v>
      </c>
      <c r="B191">
        <v>16748969</v>
      </c>
      <c r="C191">
        <v>16750251</v>
      </c>
      <c r="D191">
        <v>15163097</v>
      </c>
      <c r="E191">
        <v>17</v>
      </c>
      <c r="F191">
        <v>1</v>
      </c>
      <c r="G191">
        <v>1</v>
      </c>
      <c r="H191">
        <v>3</v>
      </c>
      <c r="I191" t="s">
        <v>365</v>
      </c>
      <c r="J191" t="s">
        <v>6</v>
      </c>
      <c r="K191" t="s">
        <v>366</v>
      </c>
      <c r="L191">
        <v>1328</v>
      </c>
      <c r="N191">
        <v>1005</v>
      </c>
      <c r="O191" t="s">
        <v>20</v>
      </c>
      <c r="P191" t="s">
        <v>20</v>
      </c>
      <c r="Q191">
        <v>100</v>
      </c>
      <c r="W191">
        <v>0</v>
      </c>
      <c r="X191">
        <v>-93777278</v>
      </c>
      <c r="Y191">
        <v>1.1299999999999999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6.56</v>
      </c>
      <c r="AJ191">
        <v>1</v>
      </c>
      <c r="AK191">
        <v>1</v>
      </c>
      <c r="AL191">
        <v>1</v>
      </c>
      <c r="AN191">
        <v>0</v>
      </c>
      <c r="AO191">
        <v>0</v>
      </c>
      <c r="AP191">
        <v>0</v>
      </c>
      <c r="AQ191">
        <v>0</v>
      </c>
      <c r="AR191">
        <v>0</v>
      </c>
      <c r="AS191" t="s">
        <v>6</v>
      </c>
      <c r="AT191">
        <v>1.1299999999999999</v>
      </c>
      <c r="AU191" t="s">
        <v>6</v>
      </c>
      <c r="AV191">
        <v>0</v>
      </c>
      <c r="AW191">
        <v>2</v>
      </c>
      <c r="AX191">
        <v>16750267</v>
      </c>
      <c r="AY191">
        <v>1</v>
      </c>
      <c r="AZ191">
        <v>0</v>
      </c>
      <c r="BA191">
        <v>185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CX191">
        <f>Y191*Source!I133</f>
        <v>2.4343589999999997</v>
      </c>
      <c r="CY191">
        <f t="shared" ref="CY191:CY197" si="39">AA191</f>
        <v>0</v>
      </c>
      <c r="CZ191">
        <f t="shared" ref="CZ191:CZ197" si="40">AE191</f>
        <v>0</v>
      </c>
      <c r="DA191">
        <f t="shared" ref="DA191:DA197" si="41">AI191</f>
        <v>6.56</v>
      </c>
      <c r="DB191">
        <f t="shared" si="37"/>
        <v>0</v>
      </c>
      <c r="DC191">
        <f t="shared" si="38"/>
        <v>0</v>
      </c>
    </row>
    <row r="192" spans="1:107" x14ac:dyDescent="0.2">
      <c r="A192">
        <f>ROW(Source!A133)</f>
        <v>133</v>
      </c>
      <c r="B192">
        <v>16748969</v>
      </c>
      <c r="C192">
        <v>16750251</v>
      </c>
      <c r="D192">
        <v>15167277</v>
      </c>
      <c r="E192">
        <v>1</v>
      </c>
      <c r="F192">
        <v>1</v>
      </c>
      <c r="G192">
        <v>1</v>
      </c>
      <c r="H192">
        <v>3</v>
      </c>
      <c r="I192" t="s">
        <v>1259</v>
      </c>
      <c r="J192" t="s">
        <v>1260</v>
      </c>
      <c r="K192" t="s">
        <v>1261</v>
      </c>
      <c r="L192">
        <v>1348</v>
      </c>
      <c r="N192">
        <v>1009</v>
      </c>
      <c r="O192" t="s">
        <v>71</v>
      </c>
      <c r="P192" t="s">
        <v>71</v>
      </c>
      <c r="Q192">
        <v>1000</v>
      </c>
      <c r="W192">
        <v>0</v>
      </c>
      <c r="X192">
        <v>-107449080</v>
      </c>
      <c r="Y192">
        <v>7.1000000000000004E-3</v>
      </c>
      <c r="AA192">
        <v>37064</v>
      </c>
      <c r="AB192">
        <v>0</v>
      </c>
      <c r="AC192">
        <v>0</v>
      </c>
      <c r="AD192">
        <v>0</v>
      </c>
      <c r="AE192">
        <v>5650</v>
      </c>
      <c r="AF192">
        <v>0</v>
      </c>
      <c r="AG192">
        <v>0</v>
      </c>
      <c r="AH192">
        <v>0</v>
      </c>
      <c r="AI192">
        <v>6.56</v>
      </c>
      <c r="AJ192">
        <v>1</v>
      </c>
      <c r="AK192">
        <v>1</v>
      </c>
      <c r="AL192">
        <v>1</v>
      </c>
      <c r="AN192">
        <v>0</v>
      </c>
      <c r="AO192">
        <v>1</v>
      </c>
      <c r="AP192">
        <v>0</v>
      </c>
      <c r="AQ192">
        <v>0</v>
      </c>
      <c r="AR192">
        <v>0</v>
      </c>
      <c r="AS192" t="s">
        <v>6</v>
      </c>
      <c r="AT192">
        <v>7.1000000000000004E-3</v>
      </c>
      <c r="AU192" t="s">
        <v>6</v>
      </c>
      <c r="AV192">
        <v>0</v>
      </c>
      <c r="AW192">
        <v>2</v>
      </c>
      <c r="AX192">
        <v>16750268</v>
      </c>
      <c r="AY192">
        <v>1</v>
      </c>
      <c r="AZ192">
        <v>0</v>
      </c>
      <c r="BA192">
        <v>186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CX192">
        <f>Y192*Source!I133</f>
        <v>1.5295530000000002E-2</v>
      </c>
      <c r="CY192">
        <f t="shared" si="39"/>
        <v>37064</v>
      </c>
      <c r="CZ192">
        <f t="shared" si="40"/>
        <v>5650</v>
      </c>
      <c r="DA192">
        <f t="shared" si="41"/>
        <v>6.56</v>
      </c>
      <c r="DB192">
        <f t="shared" si="37"/>
        <v>40.119999999999997</v>
      </c>
      <c r="DC192">
        <f t="shared" si="38"/>
        <v>0</v>
      </c>
    </row>
    <row r="193" spans="1:107" x14ac:dyDescent="0.2">
      <c r="A193">
        <f>ROW(Source!A133)</f>
        <v>133</v>
      </c>
      <c r="B193">
        <v>16748969</v>
      </c>
      <c r="C193">
        <v>16750251</v>
      </c>
      <c r="D193">
        <v>15167286</v>
      </c>
      <c r="E193">
        <v>1</v>
      </c>
      <c r="F193">
        <v>1</v>
      </c>
      <c r="G193">
        <v>1</v>
      </c>
      <c r="H193">
        <v>3</v>
      </c>
      <c r="I193" t="s">
        <v>1079</v>
      </c>
      <c r="J193" t="s">
        <v>1080</v>
      </c>
      <c r="K193" t="s">
        <v>1081</v>
      </c>
      <c r="L193">
        <v>1339</v>
      </c>
      <c r="N193">
        <v>1007</v>
      </c>
      <c r="O193" t="s">
        <v>283</v>
      </c>
      <c r="P193" t="s">
        <v>283</v>
      </c>
      <c r="Q193">
        <v>1</v>
      </c>
      <c r="W193">
        <v>0</v>
      </c>
      <c r="X193">
        <v>-1660354250</v>
      </c>
      <c r="Y193">
        <v>0.01</v>
      </c>
      <c r="AA193">
        <v>16.010000000000002</v>
      </c>
      <c r="AB193">
        <v>0</v>
      </c>
      <c r="AC193">
        <v>0</v>
      </c>
      <c r="AD193">
        <v>0</v>
      </c>
      <c r="AE193">
        <v>2.44</v>
      </c>
      <c r="AF193">
        <v>0</v>
      </c>
      <c r="AG193">
        <v>0</v>
      </c>
      <c r="AH193">
        <v>0</v>
      </c>
      <c r="AI193">
        <v>6.56</v>
      </c>
      <c r="AJ193">
        <v>1</v>
      </c>
      <c r="AK193">
        <v>1</v>
      </c>
      <c r="AL193">
        <v>1</v>
      </c>
      <c r="AN193">
        <v>0</v>
      </c>
      <c r="AO193">
        <v>1</v>
      </c>
      <c r="AP193">
        <v>0</v>
      </c>
      <c r="AQ193">
        <v>0</v>
      </c>
      <c r="AR193">
        <v>0</v>
      </c>
      <c r="AS193" t="s">
        <v>6</v>
      </c>
      <c r="AT193">
        <v>0.01</v>
      </c>
      <c r="AU193" t="s">
        <v>6</v>
      </c>
      <c r="AV193">
        <v>0</v>
      </c>
      <c r="AW193">
        <v>2</v>
      </c>
      <c r="AX193">
        <v>16750269</v>
      </c>
      <c r="AY193">
        <v>1</v>
      </c>
      <c r="AZ193">
        <v>0</v>
      </c>
      <c r="BA193">
        <v>187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CX193">
        <f>Y193*Source!I133</f>
        <v>2.1543000000000003E-2</v>
      </c>
      <c r="CY193">
        <f t="shared" si="39"/>
        <v>16.010000000000002</v>
      </c>
      <c r="CZ193">
        <f t="shared" si="40"/>
        <v>2.44</v>
      </c>
      <c r="DA193">
        <f t="shared" si="41"/>
        <v>6.56</v>
      </c>
      <c r="DB193">
        <f t="shared" si="37"/>
        <v>0.02</v>
      </c>
      <c r="DC193">
        <f t="shared" si="38"/>
        <v>0</v>
      </c>
    </row>
    <row r="194" spans="1:107" x14ac:dyDescent="0.2">
      <c r="A194">
        <f>ROW(Source!A133)</f>
        <v>133</v>
      </c>
      <c r="B194">
        <v>16748969</v>
      </c>
      <c r="C194">
        <v>16750251</v>
      </c>
      <c r="D194">
        <v>15171018</v>
      </c>
      <c r="E194">
        <v>1</v>
      </c>
      <c r="F194">
        <v>1</v>
      </c>
      <c r="G194">
        <v>1</v>
      </c>
      <c r="H194">
        <v>3</v>
      </c>
      <c r="I194" t="s">
        <v>1168</v>
      </c>
      <c r="J194" t="s">
        <v>1169</v>
      </c>
      <c r="K194" t="s">
        <v>1170</v>
      </c>
      <c r="L194">
        <v>1346</v>
      </c>
      <c r="N194">
        <v>1009</v>
      </c>
      <c r="O194" t="s">
        <v>323</v>
      </c>
      <c r="P194" t="s">
        <v>323</v>
      </c>
      <c r="Q194">
        <v>1</v>
      </c>
      <c r="W194">
        <v>0</v>
      </c>
      <c r="X194">
        <v>813963326</v>
      </c>
      <c r="Y194">
        <v>0.01</v>
      </c>
      <c r="AA194">
        <v>11.94</v>
      </c>
      <c r="AB194">
        <v>0</v>
      </c>
      <c r="AC194">
        <v>0</v>
      </c>
      <c r="AD194">
        <v>0</v>
      </c>
      <c r="AE194">
        <v>1.82</v>
      </c>
      <c r="AF194">
        <v>0</v>
      </c>
      <c r="AG194">
        <v>0</v>
      </c>
      <c r="AH194">
        <v>0</v>
      </c>
      <c r="AI194">
        <v>6.56</v>
      </c>
      <c r="AJ194">
        <v>1</v>
      </c>
      <c r="AK194">
        <v>1</v>
      </c>
      <c r="AL194">
        <v>1</v>
      </c>
      <c r="AN194">
        <v>0</v>
      </c>
      <c r="AO194">
        <v>1</v>
      </c>
      <c r="AP194">
        <v>0</v>
      </c>
      <c r="AQ194">
        <v>0</v>
      </c>
      <c r="AR194">
        <v>0</v>
      </c>
      <c r="AS194" t="s">
        <v>6</v>
      </c>
      <c r="AT194">
        <v>0.01</v>
      </c>
      <c r="AU194" t="s">
        <v>6</v>
      </c>
      <c r="AV194">
        <v>0</v>
      </c>
      <c r="AW194">
        <v>2</v>
      </c>
      <c r="AX194">
        <v>16750270</v>
      </c>
      <c r="AY194">
        <v>1</v>
      </c>
      <c r="AZ194">
        <v>0</v>
      </c>
      <c r="BA194">
        <v>188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CX194">
        <f>Y194*Source!I133</f>
        <v>2.1543000000000003E-2</v>
      </c>
      <c r="CY194">
        <f t="shared" si="39"/>
        <v>11.94</v>
      </c>
      <c r="CZ194">
        <f t="shared" si="40"/>
        <v>1.82</v>
      </c>
      <c r="DA194">
        <f t="shared" si="41"/>
        <v>6.56</v>
      </c>
      <c r="DB194">
        <f t="shared" si="37"/>
        <v>0.02</v>
      </c>
      <c r="DC194">
        <f t="shared" si="38"/>
        <v>0</v>
      </c>
    </row>
    <row r="195" spans="1:107" x14ac:dyDescent="0.2">
      <c r="A195">
        <f>ROW(Source!A133)</f>
        <v>133</v>
      </c>
      <c r="B195">
        <v>16748969</v>
      </c>
      <c r="C195">
        <v>16750251</v>
      </c>
      <c r="D195">
        <v>15171907</v>
      </c>
      <c r="E195">
        <v>1</v>
      </c>
      <c r="F195">
        <v>1</v>
      </c>
      <c r="G195">
        <v>1</v>
      </c>
      <c r="H195">
        <v>3</v>
      </c>
      <c r="I195" t="s">
        <v>1251</v>
      </c>
      <c r="J195" t="s">
        <v>1252</v>
      </c>
      <c r="K195" t="s">
        <v>1253</v>
      </c>
      <c r="L195">
        <v>1339</v>
      </c>
      <c r="N195">
        <v>1007</v>
      </c>
      <c r="O195" t="s">
        <v>283</v>
      </c>
      <c r="P195" t="s">
        <v>283</v>
      </c>
      <c r="Q195">
        <v>1</v>
      </c>
      <c r="W195">
        <v>0</v>
      </c>
      <c r="X195">
        <v>1795918813</v>
      </c>
      <c r="Y195">
        <v>4.0000000000000002E-4</v>
      </c>
      <c r="AA195">
        <v>489.24</v>
      </c>
      <c r="AB195">
        <v>0</v>
      </c>
      <c r="AC195">
        <v>0</v>
      </c>
      <c r="AD195">
        <v>0</v>
      </c>
      <c r="AE195">
        <v>74.58</v>
      </c>
      <c r="AF195">
        <v>0</v>
      </c>
      <c r="AG195">
        <v>0</v>
      </c>
      <c r="AH195">
        <v>0</v>
      </c>
      <c r="AI195">
        <v>6.56</v>
      </c>
      <c r="AJ195">
        <v>1</v>
      </c>
      <c r="AK195">
        <v>1</v>
      </c>
      <c r="AL195">
        <v>1</v>
      </c>
      <c r="AN195">
        <v>0</v>
      </c>
      <c r="AO195">
        <v>1</v>
      </c>
      <c r="AP195">
        <v>0</v>
      </c>
      <c r="AQ195">
        <v>0</v>
      </c>
      <c r="AR195">
        <v>0</v>
      </c>
      <c r="AS195" t="s">
        <v>6</v>
      </c>
      <c r="AT195">
        <v>4.0000000000000002E-4</v>
      </c>
      <c r="AU195" t="s">
        <v>6</v>
      </c>
      <c r="AV195">
        <v>0</v>
      </c>
      <c r="AW195">
        <v>2</v>
      </c>
      <c r="AX195">
        <v>16750271</v>
      </c>
      <c r="AY195">
        <v>1</v>
      </c>
      <c r="AZ195">
        <v>0</v>
      </c>
      <c r="BA195">
        <v>189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CX195">
        <f>Y195*Source!I133</f>
        <v>8.6172000000000006E-4</v>
      </c>
      <c r="CY195">
        <f t="shared" si="39"/>
        <v>489.24</v>
      </c>
      <c r="CZ195">
        <f t="shared" si="40"/>
        <v>74.58</v>
      </c>
      <c r="DA195">
        <f t="shared" si="41"/>
        <v>6.56</v>
      </c>
      <c r="DB195">
        <f t="shared" si="37"/>
        <v>0.03</v>
      </c>
      <c r="DC195">
        <f t="shared" si="38"/>
        <v>0</v>
      </c>
    </row>
    <row r="196" spans="1:107" x14ac:dyDescent="0.2">
      <c r="A196">
        <f>ROW(Source!A133)</f>
        <v>133</v>
      </c>
      <c r="B196">
        <v>16748969</v>
      </c>
      <c r="C196">
        <v>16750251</v>
      </c>
      <c r="D196">
        <v>15202473</v>
      </c>
      <c r="E196">
        <v>1</v>
      </c>
      <c r="F196">
        <v>1</v>
      </c>
      <c r="G196">
        <v>1</v>
      </c>
      <c r="H196">
        <v>3</v>
      </c>
      <c r="I196" t="s">
        <v>1262</v>
      </c>
      <c r="J196" t="s">
        <v>1263</v>
      </c>
      <c r="K196" t="s">
        <v>1264</v>
      </c>
      <c r="L196">
        <v>1348</v>
      </c>
      <c r="N196">
        <v>1009</v>
      </c>
      <c r="O196" t="s">
        <v>71</v>
      </c>
      <c r="P196" t="s">
        <v>71</v>
      </c>
      <c r="Q196">
        <v>1000</v>
      </c>
      <c r="W196">
        <v>0</v>
      </c>
      <c r="X196">
        <v>1034009243</v>
      </c>
      <c r="Y196">
        <v>2E-3</v>
      </c>
      <c r="AA196">
        <v>170494.4</v>
      </c>
      <c r="AB196">
        <v>0</v>
      </c>
      <c r="AC196">
        <v>0</v>
      </c>
      <c r="AD196">
        <v>0</v>
      </c>
      <c r="AE196">
        <v>25990</v>
      </c>
      <c r="AF196">
        <v>0</v>
      </c>
      <c r="AG196">
        <v>0</v>
      </c>
      <c r="AH196">
        <v>0</v>
      </c>
      <c r="AI196">
        <v>6.56</v>
      </c>
      <c r="AJ196">
        <v>1</v>
      </c>
      <c r="AK196">
        <v>1</v>
      </c>
      <c r="AL196">
        <v>1</v>
      </c>
      <c r="AN196">
        <v>0</v>
      </c>
      <c r="AO196">
        <v>1</v>
      </c>
      <c r="AP196">
        <v>0</v>
      </c>
      <c r="AQ196">
        <v>0</v>
      </c>
      <c r="AR196">
        <v>0</v>
      </c>
      <c r="AS196" t="s">
        <v>6</v>
      </c>
      <c r="AT196">
        <v>2E-3</v>
      </c>
      <c r="AU196" t="s">
        <v>6</v>
      </c>
      <c r="AV196">
        <v>0</v>
      </c>
      <c r="AW196">
        <v>2</v>
      </c>
      <c r="AX196">
        <v>16750272</v>
      </c>
      <c r="AY196">
        <v>1</v>
      </c>
      <c r="AZ196">
        <v>0</v>
      </c>
      <c r="BA196">
        <v>190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0</v>
      </c>
      <c r="CX196">
        <f>Y196*Source!I133</f>
        <v>4.3086000000000001E-3</v>
      </c>
      <c r="CY196">
        <f t="shared" si="39"/>
        <v>170494.4</v>
      </c>
      <c r="CZ196">
        <f t="shared" si="40"/>
        <v>25990</v>
      </c>
      <c r="DA196">
        <f t="shared" si="41"/>
        <v>6.56</v>
      </c>
      <c r="DB196">
        <f t="shared" si="37"/>
        <v>51.98</v>
      </c>
      <c r="DC196">
        <f t="shared" si="38"/>
        <v>0</v>
      </c>
    </row>
    <row r="197" spans="1:107" x14ac:dyDescent="0.2">
      <c r="A197">
        <f>ROW(Source!A133)</f>
        <v>133</v>
      </c>
      <c r="B197">
        <v>16748969</v>
      </c>
      <c r="C197">
        <v>16750251</v>
      </c>
      <c r="D197">
        <v>15204729</v>
      </c>
      <c r="E197">
        <v>1</v>
      </c>
      <c r="F197">
        <v>1</v>
      </c>
      <c r="G197">
        <v>1</v>
      </c>
      <c r="H197">
        <v>3</v>
      </c>
      <c r="I197" t="s">
        <v>1171</v>
      </c>
      <c r="J197" t="s">
        <v>1172</v>
      </c>
      <c r="K197" t="s">
        <v>1173</v>
      </c>
      <c r="L197">
        <v>1348</v>
      </c>
      <c r="N197">
        <v>1009</v>
      </c>
      <c r="O197" t="s">
        <v>71</v>
      </c>
      <c r="P197" t="s">
        <v>71</v>
      </c>
      <c r="Q197">
        <v>1000</v>
      </c>
      <c r="W197">
        <v>0</v>
      </c>
      <c r="X197">
        <v>-2084827333</v>
      </c>
      <c r="Y197">
        <v>6.7000000000000002E-3</v>
      </c>
      <c r="AA197">
        <v>28168.639999999999</v>
      </c>
      <c r="AB197">
        <v>0</v>
      </c>
      <c r="AC197">
        <v>0</v>
      </c>
      <c r="AD197">
        <v>0</v>
      </c>
      <c r="AE197">
        <v>4294</v>
      </c>
      <c r="AF197">
        <v>0</v>
      </c>
      <c r="AG197">
        <v>0</v>
      </c>
      <c r="AH197">
        <v>0</v>
      </c>
      <c r="AI197">
        <v>6.56</v>
      </c>
      <c r="AJ197">
        <v>1</v>
      </c>
      <c r="AK197">
        <v>1</v>
      </c>
      <c r="AL197">
        <v>1</v>
      </c>
      <c r="AN197">
        <v>0</v>
      </c>
      <c r="AO197">
        <v>1</v>
      </c>
      <c r="AP197">
        <v>0</v>
      </c>
      <c r="AQ197">
        <v>0</v>
      </c>
      <c r="AR197">
        <v>0</v>
      </c>
      <c r="AS197" t="s">
        <v>6</v>
      </c>
      <c r="AT197">
        <v>6.7000000000000002E-3</v>
      </c>
      <c r="AU197" t="s">
        <v>6</v>
      </c>
      <c r="AV197">
        <v>0</v>
      </c>
      <c r="AW197">
        <v>2</v>
      </c>
      <c r="AX197">
        <v>16750273</v>
      </c>
      <c r="AY197">
        <v>1</v>
      </c>
      <c r="AZ197">
        <v>0</v>
      </c>
      <c r="BA197">
        <v>191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CX197">
        <f>Y197*Source!I133</f>
        <v>1.4433810000000002E-2</v>
      </c>
      <c r="CY197">
        <f t="shared" si="39"/>
        <v>28168.639999999999</v>
      </c>
      <c r="CZ197">
        <f t="shared" si="40"/>
        <v>4294</v>
      </c>
      <c r="DA197">
        <f t="shared" si="41"/>
        <v>6.56</v>
      </c>
      <c r="DB197">
        <f t="shared" si="37"/>
        <v>28.77</v>
      </c>
      <c r="DC197">
        <f t="shared" si="38"/>
        <v>0</v>
      </c>
    </row>
    <row r="198" spans="1:107" x14ac:dyDescent="0.2">
      <c r="A198">
        <f>ROW(Source!A135)</f>
        <v>135</v>
      </c>
      <c r="B198">
        <v>16748969</v>
      </c>
      <c r="C198">
        <v>16750275</v>
      </c>
      <c r="D198">
        <v>15436556</v>
      </c>
      <c r="E198">
        <v>1</v>
      </c>
      <c r="F198">
        <v>1</v>
      </c>
      <c r="G198">
        <v>1</v>
      </c>
      <c r="H198">
        <v>1</v>
      </c>
      <c r="I198" t="s">
        <v>1265</v>
      </c>
      <c r="J198" t="s">
        <v>6</v>
      </c>
      <c r="K198" t="s">
        <v>1266</v>
      </c>
      <c r="L198">
        <v>1191</v>
      </c>
      <c r="N198">
        <v>1013</v>
      </c>
      <c r="O198" t="s">
        <v>1072</v>
      </c>
      <c r="P198" t="s">
        <v>1072</v>
      </c>
      <c r="Q198">
        <v>1</v>
      </c>
      <c r="W198">
        <v>0</v>
      </c>
      <c r="X198">
        <v>1069510174</v>
      </c>
      <c r="Y198">
        <v>8.3800000000000008</v>
      </c>
      <c r="AA198">
        <v>0</v>
      </c>
      <c r="AB198">
        <v>0</v>
      </c>
      <c r="AC198">
        <v>0</v>
      </c>
      <c r="AD198">
        <v>63.11</v>
      </c>
      <c r="AE198">
        <v>0</v>
      </c>
      <c r="AF198">
        <v>0</v>
      </c>
      <c r="AG198">
        <v>0</v>
      </c>
      <c r="AH198">
        <v>9.6199999999999992</v>
      </c>
      <c r="AI198">
        <v>1</v>
      </c>
      <c r="AJ198">
        <v>1</v>
      </c>
      <c r="AK198">
        <v>1</v>
      </c>
      <c r="AL198">
        <v>6.56</v>
      </c>
      <c r="AN198">
        <v>0</v>
      </c>
      <c r="AO198">
        <v>1</v>
      </c>
      <c r="AP198">
        <v>0</v>
      </c>
      <c r="AQ198">
        <v>0</v>
      </c>
      <c r="AR198">
        <v>0</v>
      </c>
      <c r="AS198" t="s">
        <v>6</v>
      </c>
      <c r="AT198">
        <v>8.3800000000000008</v>
      </c>
      <c r="AU198" t="s">
        <v>6</v>
      </c>
      <c r="AV198">
        <v>1</v>
      </c>
      <c r="AW198">
        <v>2</v>
      </c>
      <c r="AX198">
        <v>16750279</v>
      </c>
      <c r="AY198">
        <v>1</v>
      </c>
      <c r="AZ198">
        <v>0</v>
      </c>
      <c r="BA198">
        <v>192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CX198">
        <f>Y198*Source!I135</f>
        <v>18.053034000000004</v>
      </c>
      <c r="CY198">
        <f>AD198</f>
        <v>63.11</v>
      </c>
      <c r="CZ198">
        <f>AH198</f>
        <v>9.6199999999999992</v>
      </c>
      <c r="DA198">
        <f>AL198</f>
        <v>6.56</v>
      </c>
      <c r="DB198">
        <f t="shared" si="37"/>
        <v>80.62</v>
      </c>
      <c r="DC198">
        <f t="shared" si="38"/>
        <v>0</v>
      </c>
    </row>
    <row r="199" spans="1:107" x14ac:dyDescent="0.2">
      <c r="A199">
        <f>ROW(Source!A135)</f>
        <v>135</v>
      </c>
      <c r="B199">
        <v>16748969</v>
      </c>
      <c r="C199">
        <v>16750275</v>
      </c>
      <c r="D199">
        <v>15203263</v>
      </c>
      <c r="E199">
        <v>1</v>
      </c>
      <c r="F199">
        <v>1</v>
      </c>
      <c r="G199">
        <v>1</v>
      </c>
      <c r="H199">
        <v>3</v>
      </c>
      <c r="I199" t="s">
        <v>356</v>
      </c>
      <c r="J199" t="s">
        <v>358</v>
      </c>
      <c r="K199" t="s">
        <v>357</v>
      </c>
      <c r="L199">
        <v>1348</v>
      </c>
      <c r="N199">
        <v>1009</v>
      </c>
      <c r="O199" t="s">
        <v>71</v>
      </c>
      <c r="P199" t="s">
        <v>71</v>
      </c>
      <c r="Q199">
        <v>1000</v>
      </c>
      <c r="W199">
        <v>0</v>
      </c>
      <c r="X199">
        <v>1146787971</v>
      </c>
      <c r="Y199">
        <v>1.6E-2</v>
      </c>
      <c r="AA199">
        <v>55792.800000000003</v>
      </c>
      <c r="AB199">
        <v>0</v>
      </c>
      <c r="AC199">
        <v>0</v>
      </c>
      <c r="AD199">
        <v>0</v>
      </c>
      <c r="AE199">
        <v>8505</v>
      </c>
      <c r="AF199">
        <v>0</v>
      </c>
      <c r="AG199">
        <v>0</v>
      </c>
      <c r="AH199">
        <v>0</v>
      </c>
      <c r="AI199">
        <v>6.56</v>
      </c>
      <c r="AJ199">
        <v>1</v>
      </c>
      <c r="AK199">
        <v>1</v>
      </c>
      <c r="AL199">
        <v>1</v>
      </c>
      <c r="AN199">
        <v>0</v>
      </c>
      <c r="AO199">
        <v>0</v>
      </c>
      <c r="AP199">
        <v>0</v>
      </c>
      <c r="AQ199">
        <v>0</v>
      </c>
      <c r="AR199">
        <v>0</v>
      </c>
      <c r="AS199" t="s">
        <v>6</v>
      </c>
      <c r="AT199">
        <v>1.6E-2</v>
      </c>
      <c r="AU199" t="s">
        <v>6</v>
      </c>
      <c r="AV199">
        <v>0</v>
      </c>
      <c r="AW199">
        <v>1</v>
      </c>
      <c r="AX199">
        <v>-1</v>
      </c>
      <c r="AY199">
        <v>0</v>
      </c>
      <c r="AZ199">
        <v>0</v>
      </c>
      <c r="BA199" t="s">
        <v>6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CX199">
        <f>Y199*Source!I135</f>
        <v>3.4468800000000001E-2</v>
      </c>
      <c r="CY199">
        <f>AA199</f>
        <v>55792.800000000003</v>
      </c>
      <c r="CZ199">
        <f>AE199</f>
        <v>8505</v>
      </c>
      <c r="DA199">
        <f>AI199</f>
        <v>6.56</v>
      </c>
      <c r="DB199">
        <f t="shared" si="37"/>
        <v>136.08000000000001</v>
      </c>
      <c r="DC199">
        <f t="shared" si="38"/>
        <v>0</v>
      </c>
    </row>
    <row r="200" spans="1:107" x14ac:dyDescent="0.2">
      <c r="A200">
        <f>ROW(Source!A135)</f>
        <v>135</v>
      </c>
      <c r="B200">
        <v>16748969</v>
      </c>
      <c r="C200">
        <v>16750275</v>
      </c>
      <c r="D200">
        <v>15163100</v>
      </c>
      <c r="E200">
        <v>17</v>
      </c>
      <c r="F200">
        <v>1</v>
      </c>
      <c r="G200">
        <v>1</v>
      </c>
      <c r="H200">
        <v>3</v>
      </c>
      <c r="I200" t="s">
        <v>373</v>
      </c>
      <c r="J200" t="s">
        <v>6</v>
      </c>
      <c r="K200" t="s">
        <v>374</v>
      </c>
      <c r="L200">
        <v>1348</v>
      </c>
      <c r="N200">
        <v>1009</v>
      </c>
      <c r="O200" t="s">
        <v>71</v>
      </c>
      <c r="P200" t="s">
        <v>71</v>
      </c>
      <c r="Q200">
        <v>1000</v>
      </c>
      <c r="W200">
        <v>0</v>
      </c>
      <c r="X200">
        <v>973262446</v>
      </c>
      <c r="Y200">
        <v>1.6E-2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0</v>
      </c>
      <c r="AH200">
        <v>0</v>
      </c>
      <c r="AI200">
        <v>6.56</v>
      </c>
      <c r="AJ200">
        <v>1</v>
      </c>
      <c r="AK200">
        <v>1</v>
      </c>
      <c r="AL200">
        <v>1</v>
      </c>
      <c r="AN200">
        <v>0</v>
      </c>
      <c r="AO200">
        <v>0</v>
      </c>
      <c r="AP200">
        <v>0</v>
      </c>
      <c r="AQ200">
        <v>0</v>
      </c>
      <c r="AR200">
        <v>0</v>
      </c>
      <c r="AS200" t="s">
        <v>6</v>
      </c>
      <c r="AT200">
        <v>1.6E-2</v>
      </c>
      <c r="AU200" t="s">
        <v>6</v>
      </c>
      <c r="AV200">
        <v>0</v>
      </c>
      <c r="AW200">
        <v>2</v>
      </c>
      <c r="AX200">
        <v>16750280</v>
      </c>
      <c r="AY200">
        <v>1</v>
      </c>
      <c r="AZ200">
        <v>0</v>
      </c>
      <c r="BA200">
        <v>193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CX200">
        <f>Y200*Source!I135</f>
        <v>3.4468800000000001E-2</v>
      </c>
      <c r="CY200">
        <f>AA200</f>
        <v>0</v>
      </c>
      <c r="CZ200">
        <f>AE200</f>
        <v>0</v>
      </c>
      <c r="DA200">
        <f>AI200</f>
        <v>6.56</v>
      </c>
      <c r="DB200">
        <f t="shared" si="37"/>
        <v>0</v>
      </c>
      <c r="DC200">
        <f t="shared" si="38"/>
        <v>0</v>
      </c>
    </row>
    <row r="201" spans="1:107" x14ac:dyDescent="0.2">
      <c r="A201">
        <f>ROW(Source!A138)</f>
        <v>138</v>
      </c>
      <c r="B201">
        <v>16748969</v>
      </c>
      <c r="C201">
        <v>16750283</v>
      </c>
      <c r="D201">
        <v>15430767</v>
      </c>
      <c r="E201">
        <v>1</v>
      </c>
      <c r="F201">
        <v>1</v>
      </c>
      <c r="G201">
        <v>1</v>
      </c>
      <c r="H201">
        <v>1</v>
      </c>
      <c r="I201" t="s">
        <v>1070</v>
      </c>
      <c r="J201" t="s">
        <v>6</v>
      </c>
      <c r="K201" t="s">
        <v>1071</v>
      </c>
      <c r="L201">
        <v>1191</v>
      </c>
      <c r="N201">
        <v>1013</v>
      </c>
      <c r="O201" t="s">
        <v>1072</v>
      </c>
      <c r="P201" t="s">
        <v>1072</v>
      </c>
      <c r="Q201">
        <v>1</v>
      </c>
      <c r="W201">
        <v>0</v>
      </c>
      <c r="X201">
        <v>-400197608</v>
      </c>
      <c r="Y201">
        <v>65.84899999999999</v>
      </c>
      <c r="AA201">
        <v>0</v>
      </c>
      <c r="AB201">
        <v>0</v>
      </c>
      <c r="AC201">
        <v>0</v>
      </c>
      <c r="AD201">
        <v>55.96</v>
      </c>
      <c r="AE201">
        <v>0</v>
      </c>
      <c r="AF201">
        <v>0</v>
      </c>
      <c r="AG201">
        <v>0</v>
      </c>
      <c r="AH201">
        <v>8.5299999999999994</v>
      </c>
      <c r="AI201">
        <v>1</v>
      </c>
      <c r="AJ201">
        <v>1</v>
      </c>
      <c r="AK201">
        <v>1</v>
      </c>
      <c r="AL201">
        <v>6.56</v>
      </c>
      <c r="AN201">
        <v>0</v>
      </c>
      <c r="AO201">
        <v>1</v>
      </c>
      <c r="AP201">
        <v>1</v>
      </c>
      <c r="AQ201">
        <v>0</v>
      </c>
      <c r="AR201">
        <v>0</v>
      </c>
      <c r="AS201" t="s">
        <v>6</v>
      </c>
      <c r="AT201">
        <v>57.26</v>
      </c>
      <c r="AU201" t="s">
        <v>173</v>
      </c>
      <c r="AV201">
        <v>1</v>
      </c>
      <c r="AW201">
        <v>2</v>
      </c>
      <c r="AX201">
        <v>16750292</v>
      </c>
      <c r="AY201">
        <v>1</v>
      </c>
      <c r="AZ201">
        <v>0</v>
      </c>
      <c r="BA201">
        <v>194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CX201">
        <f>Y201*Source!I138</f>
        <v>1.8437719999999997</v>
      </c>
      <c r="CY201">
        <f>AD201</f>
        <v>55.96</v>
      </c>
      <c r="CZ201">
        <f>AH201</f>
        <v>8.5299999999999994</v>
      </c>
      <c r="DA201">
        <f>AL201</f>
        <v>6.56</v>
      </c>
      <c r="DB201">
        <f>ROUND((ROUND(AT201*CZ201,2)*1.15),2)</f>
        <v>561.69000000000005</v>
      </c>
      <c r="DC201">
        <f>ROUND((ROUND(AT201*AG201,2)*1.15),2)</f>
        <v>0</v>
      </c>
    </row>
    <row r="202" spans="1:107" x14ac:dyDescent="0.2">
      <c r="A202">
        <f>ROW(Source!A138)</f>
        <v>138</v>
      </c>
      <c r="B202">
        <v>16748969</v>
      </c>
      <c r="C202">
        <v>16750283</v>
      </c>
      <c r="D202">
        <v>15430395</v>
      </c>
      <c r="E202">
        <v>1</v>
      </c>
      <c r="F202">
        <v>1</v>
      </c>
      <c r="G202">
        <v>1</v>
      </c>
      <c r="H202">
        <v>1</v>
      </c>
      <c r="I202" t="s">
        <v>1073</v>
      </c>
      <c r="J202" t="s">
        <v>6</v>
      </c>
      <c r="K202" t="s">
        <v>1074</v>
      </c>
      <c r="L202">
        <v>1191</v>
      </c>
      <c r="N202">
        <v>1013</v>
      </c>
      <c r="O202" t="s">
        <v>1072</v>
      </c>
      <c r="P202" t="s">
        <v>1072</v>
      </c>
      <c r="Q202">
        <v>1</v>
      </c>
      <c r="W202">
        <v>0</v>
      </c>
      <c r="X202">
        <v>-1417349443</v>
      </c>
      <c r="Y202">
        <v>0.06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v>0</v>
      </c>
      <c r="AH202">
        <v>0</v>
      </c>
      <c r="AI202">
        <v>1</v>
      </c>
      <c r="AJ202">
        <v>1</v>
      </c>
      <c r="AK202">
        <v>6.56</v>
      </c>
      <c r="AL202">
        <v>1</v>
      </c>
      <c r="AN202">
        <v>0</v>
      </c>
      <c r="AO202">
        <v>1</v>
      </c>
      <c r="AP202">
        <v>0</v>
      </c>
      <c r="AQ202">
        <v>0</v>
      </c>
      <c r="AR202">
        <v>0</v>
      </c>
      <c r="AS202" t="s">
        <v>6</v>
      </c>
      <c r="AT202">
        <v>0.06</v>
      </c>
      <c r="AU202" t="s">
        <v>6</v>
      </c>
      <c r="AV202">
        <v>2</v>
      </c>
      <c r="AW202">
        <v>2</v>
      </c>
      <c r="AX202">
        <v>16750293</v>
      </c>
      <c r="AY202">
        <v>1</v>
      </c>
      <c r="AZ202">
        <v>2048</v>
      </c>
      <c r="BA202">
        <v>195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CX202">
        <f>Y202*Source!I138</f>
        <v>1.6800000000000001E-3</v>
      </c>
      <c r="CY202">
        <f>AD202</f>
        <v>0</v>
      </c>
      <c r="CZ202">
        <f>AH202</f>
        <v>0</v>
      </c>
      <c r="DA202">
        <f>AL202</f>
        <v>1</v>
      </c>
      <c r="DB202">
        <f>ROUND(ROUND(AT202*CZ202,2),2)</f>
        <v>0</v>
      </c>
      <c r="DC202">
        <f>ROUND(ROUND(AT202*AG202,2),2)</f>
        <v>0</v>
      </c>
    </row>
    <row r="203" spans="1:107" x14ac:dyDescent="0.2">
      <c r="A203">
        <f>ROW(Source!A138)</f>
        <v>138</v>
      </c>
      <c r="B203">
        <v>16748969</v>
      </c>
      <c r="C203">
        <v>16750283</v>
      </c>
      <c r="D203">
        <v>15247974</v>
      </c>
      <c r="E203">
        <v>1</v>
      </c>
      <c r="F203">
        <v>1</v>
      </c>
      <c r="G203">
        <v>1</v>
      </c>
      <c r="H203">
        <v>2</v>
      </c>
      <c r="I203" t="s">
        <v>1075</v>
      </c>
      <c r="J203" t="s">
        <v>1076</v>
      </c>
      <c r="K203" t="s">
        <v>1077</v>
      </c>
      <c r="L203">
        <v>1368</v>
      </c>
      <c r="N203">
        <v>1011</v>
      </c>
      <c r="O203" t="s">
        <v>1078</v>
      </c>
      <c r="P203" t="s">
        <v>1078</v>
      </c>
      <c r="Q203">
        <v>1</v>
      </c>
      <c r="W203">
        <v>0</v>
      </c>
      <c r="X203">
        <v>1188625873</v>
      </c>
      <c r="Y203">
        <v>6.25E-2</v>
      </c>
      <c r="AA203">
        <v>0</v>
      </c>
      <c r="AB203">
        <v>205.07</v>
      </c>
      <c r="AC203">
        <v>13.5</v>
      </c>
      <c r="AD203">
        <v>0</v>
      </c>
      <c r="AE203">
        <v>0</v>
      </c>
      <c r="AF203">
        <v>31.26</v>
      </c>
      <c r="AG203">
        <v>13.5</v>
      </c>
      <c r="AH203">
        <v>0</v>
      </c>
      <c r="AI203">
        <v>1</v>
      </c>
      <c r="AJ203">
        <v>6.56</v>
      </c>
      <c r="AK203">
        <v>1</v>
      </c>
      <c r="AL203">
        <v>1</v>
      </c>
      <c r="AN203">
        <v>0</v>
      </c>
      <c r="AO203">
        <v>1</v>
      </c>
      <c r="AP203">
        <v>1</v>
      </c>
      <c r="AQ203">
        <v>0</v>
      </c>
      <c r="AR203">
        <v>0</v>
      </c>
      <c r="AS203" t="s">
        <v>6</v>
      </c>
      <c r="AT203">
        <v>0.05</v>
      </c>
      <c r="AU203" t="s">
        <v>172</v>
      </c>
      <c r="AV203">
        <v>0</v>
      </c>
      <c r="AW203">
        <v>2</v>
      </c>
      <c r="AX203">
        <v>16750294</v>
      </c>
      <c r="AY203">
        <v>1</v>
      </c>
      <c r="AZ203">
        <v>0</v>
      </c>
      <c r="BA203">
        <v>196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CX203">
        <f>Y203*Source!I138</f>
        <v>1.75E-3</v>
      </c>
      <c r="CY203">
        <f>AB203</f>
        <v>205.07</v>
      </c>
      <c r="CZ203">
        <f>AF203</f>
        <v>31.26</v>
      </c>
      <c r="DA203">
        <f>AJ203</f>
        <v>6.56</v>
      </c>
      <c r="DB203">
        <f>ROUND((ROUND(AT203*CZ203,2)*1.25),2)</f>
        <v>1.95</v>
      </c>
      <c r="DC203">
        <f>ROUND((ROUND(AT203*AG203,2)*1.25),2)</f>
        <v>0.85</v>
      </c>
    </row>
    <row r="204" spans="1:107" x14ac:dyDescent="0.2">
      <c r="A204">
        <f>ROW(Source!A138)</f>
        <v>138</v>
      </c>
      <c r="B204">
        <v>16748969</v>
      </c>
      <c r="C204">
        <v>16750283</v>
      </c>
      <c r="D204">
        <v>15249073</v>
      </c>
      <c r="E204">
        <v>1</v>
      </c>
      <c r="F204">
        <v>1</v>
      </c>
      <c r="G204">
        <v>1</v>
      </c>
      <c r="H204">
        <v>2</v>
      </c>
      <c r="I204" t="s">
        <v>1097</v>
      </c>
      <c r="J204" t="s">
        <v>1098</v>
      </c>
      <c r="K204" t="s">
        <v>1099</v>
      </c>
      <c r="L204">
        <v>1368</v>
      </c>
      <c r="N204">
        <v>1011</v>
      </c>
      <c r="O204" t="s">
        <v>1078</v>
      </c>
      <c r="P204" t="s">
        <v>1078</v>
      </c>
      <c r="Q204">
        <v>1</v>
      </c>
      <c r="W204">
        <v>0</v>
      </c>
      <c r="X204">
        <v>1372534845</v>
      </c>
      <c r="Y204">
        <v>6.2500000000000003E-3</v>
      </c>
      <c r="AA204">
        <v>0</v>
      </c>
      <c r="AB204">
        <v>431.06</v>
      </c>
      <c r="AC204">
        <v>11.6</v>
      </c>
      <c r="AD204">
        <v>0</v>
      </c>
      <c r="AE204">
        <v>0</v>
      </c>
      <c r="AF204">
        <v>65.709999999999994</v>
      </c>
      <c r="AG204">
        <v>11.6</v>
      </c>
      <c r="AH204">
        <v>0</v>
      </c>
      <c r="AI204">
        <v>1</v>
      </c>
      <c r="AJ204">
        <v>6.56</v>
      </c>
      <c r="AK204">
        <v>1</v>
      </c>
      <c r="AL204">
        <v>1</v>
      </c>
      <c r="AN204">
        <v>0</v>
      </c>
      <c r="AO204">
        <v>1</v>
      </c>
      <c r="AP204">
        <v>1</v>
      </c>
      <c r="AQ204">
        <v>0</v>
      </c>
      <c r="AR204">
        <v>0</v>
      </c>
      <c r="AS204" t="s">
        <v>6</v>
      </c>
      <c r="AT204">
        <v>5.0000000000000001E-3</v>
      </c>
      <c r="AU204" t="s">
        <v>172</v>
      </c>
      <c r="AV204">
        <v>0</v>
      </c>
      <c r="AW204">
        <v>2</v>
      </c>
      <c r="AX204">
        <v>16750295</v>
      </c>
      <c r="AY204">
        <v>1</v>
      </c>
      <c r="AZ204">
        <v>0</v>
      </c>
      <c r="BA204">
        <v>197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  <c r="CX204">
        <f>Y204*Source!I138</f>
        <v>1.7500000000000003E-4</v>
      </c>
      <c r="CY204">
        <f>AB204</f>
        <v>431.06</v>
      </c>
      <c r="CZ204">
        <f>AF204</f>
        <v>65.709999999999994</v>
      </c>
      <c r="DA204">
        <f>AJ204</f>
        <v>6.56</v>
      </c>
      <c r="DB204">
        <f>ROUND((ROUND(AT204*CZ204,2)*1.25),2)</f>
        <v>0.41</v>
      </c>
      <c r="DC204">
        <f>ROUND((ROUND(AT204*AG204,2)*1.25),2)</f>
        <v>0.08</v>
      </c>
    </row>
    <row r="205" spans="1:107" x14ac:dyDescent="0.2">
      <c r="A205">
        <f>ROW(Source!A138)</f>
        <v>138</v>
      </c>
      <c r="B205">
        <v>16748969</v>
      </c>
      <c r="C205">
        <v>16750283</v>
      </c>
      <c r="D205">
        <v>15170110</v>
      </c>
      <c r="E205">
        <v>1</v>
      </c>
      <c r="F205">
        <v>1</v>
      </c>
      <c r="G205">
        <v>1</v>
      </c>
      <c r="H205">
        <v>3</v>
      </c>
      <c r="I205" t="s">
        <v>1267</v>
      </c>
      <c r="J205" t="s">
        <v>1268</v>
      </c>
      <c r="K205" t="s">
        <v>1269</v>
      </c>
      <c r="L205">
        <v>1355</v>
      </c>
      <c r="N205">
        <v>1010</v>
      </c>
      <c r="O205" t="s">
        <v>724</v>
      </c>
      <c r="P205" t="s">
        <v>724</v>
      </c>
      <c r="Q205">
        <v>100</v>
      </c>
      <c r="W205">
        <v>0</v>
      </c>
      <c r="X205">
        <v>1307649985</v>
      </c>
      <c r="Y205">
        <v>0.82</v>
      </c>
      <c r="AA205">
        <v>459.2</v>
      </c>
      <c r="AB205">
        <v>0</v>
      </c>
      <c r="AC205">
        <v>0</v>
      </c>
      <c r="AD205">
        <v>0</v>
      </c>
      <c r="AE205">
        <v>70</v>
      </c>
      <c r="AF205">
        <v>0</v>
      </c>
      <c r="AG205">
        <v>0</v>
      </c>
      <c r="AH205">
        <v>0</v>
      </c>
      <c r="AI205">
        <v>6.56</v>
      </c>
      <c r="AJ205">
        <v>1</v>
      </c>
      <c r="AK205">
        <v>1</v>
      </c>
      <c r="AL205">
        <v>1</v>
      </c>
      <c r="AN205">
        <v>0</v>
      </c>
      <c r="AO205">
        <v>1</v>
      </c>
      <c r="AP205">
        <v>0</v>
      </c>
      <c r="AQ205">
        <v>0</v>
      </c>
      <c r="AR205">
        <v>0</v>
      </c>
      <c r="AS205" t="s">
        <v>6</v>
      </c>
      <c r="AT205">
        <v>0.82</v>
      </c>
      <c r="AU205" t="s">
        <v>6</v>
      </c>
      <c r="AV205">
        <v>0</v>
      </c>
      <c r="AW205">
        <v>2</v>
      </c>
      <c r="AX205">
        <v>16750296</v>
      </c>
      <c r="AY205">
        <v>1</v>
      </c>
      <c r="AZ205">
        <v>0</v>
      </c>
      <c r="BA205">
        <v>198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CX205">
        <f>Y205*Source!I138</f>
        <v>2.2959999999999998E-2</v>
      </c>
      <c r="CY205">
        <f>AA205</f>
        <v>459.2</v>
      </c>
      <c r="CZ205">
        <f>AE205</f>
        <v>70</v>
      </c>
      <c r="DA205">
        <f>AI205</f>
        <v>6.56</v>
      </c>
      <c r="DB205">
        <f>ROUND(ROUND(AT205*CZ205,2),2)</f>
        <v>57.4</v>
      </c>
      <c r="DC205">
        <f>ROUND(ROUND(AT205*AG205,2),2)</f>
        <v>0</v>
      </c>
    </row>
    <row r="206" spans="1:107" x14ac:dyDescent="0.2">
      <c r="A206">
        <f>ROW(Source!A138)</f>
        <v>138</v>
      </c>
      <c r="B206">
        <v>16748969</v>
      </c>
      <c r="C206">
        <v>16750283</v>
      </c>
      <c r="D206">
        <v>15188398</v>
      </c>
      <c r="E206">
        <v>1</v>
      </c>
      <c r="F206">
        <v>1</v>
      </c>
      <c r="G206">
        <v>1</v>
      </c>
      <c r="H206">
        <v>3</v>
      </c>
      <c r="I206" t="s">
        <v>1270</v>
      </c>
      <c r="J206" t="s">
        <v>1271</v>
      </c>
      <c r="K206" t="s">
        <v>1272</v>
      </c>
      <c r="L206">
        <v>1301</v>
      </c>
      <c r="N206">
        <v>1003</v>
      </c>
      <c r="O206" t="s">
        <v>206</v>
      </c>
      <c r="P206" t="s">
        <v>206</v>
      </c>
      <c r="Q206">
        <v>1</v>
      </c>
      <c r="W206">
        <v>0</v>
      </c>
      <c r="X206">
        <v>238585318</v>
      </c>
      <c r="Y206">
        <v>157</v>
      </c>
      <c r="AA206">
        <v>40.409999999999997</v>
      </c>
      <c r="AB206">
        <v>0</v>
      </c>
      <c r="AC206">
        <v>0</v>
      </c>
      <c r="AD206">
        <v>0</v>
      </c>
      <c r="AE206">
        <v>6.16</v>
      </c>
      <c r="AF206">
        <v>0</v>
      </c>
      <c r="AG206">
        <v>0</v>
      </c>
      <c r="AH206">
        <v>0</v>
      </c>
      <c r="AI206">
        <v>6.56</v>
      </c>
      <c r="AJ206">
        <v>1</v>
      </c>
      <c r="AK206">
        <v>1</v>
      </c>
      <c r="AL206">
        <v>1</v>
      </c>
      <c r="AN206">
        <v>0</v>
      </c>
      <c r="AO206">
        <v>1</v>
      </c>
      <c r="AP206">
        <v>0</v>
      </c>
      <c r="AQ206">
        <v>0</v>
      </c>
      <c r="AR206">
        <v>0</v>
      </c>
      <c r="AS206" t="s">
        <v>6</v>
      </c>
      <c r="AT206">
        <v>157</v>
      </c>
      <c r="AU206" t="s">
        <v>6</v>
      </c>
      <c r="AV206">
        <v>0</v>
      </c>
      <c r="AW206">
        <v>2</v>
      </c>
      <c r="AX206">
        <v>16750297</v>
      </c>
      <c r="AY206">
        <v>1</v>
      </c>
      <c r="AZ206">
        <v>0</v>
      </c>
      <c r="BA206">
        <v>199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  <c r="CX206">
        <f>Y206*Source!I138</f>
        <v>4.3959999999999999</v>
      </c>
      <c r="CY206">
        <f>AA206</f>
        <v>40.409999999999997</v>
      </c>
      <c r="CZ206">
        <f>AE206</f>
        <v>6.16</v>
      </c>
      <c r="DA206">
        <f>AI206</f>
        <v>6.56</v>
      </c>
      <c r="DB206">
        <f>ROUND(ROUND(AT206*CZ206,2),2)</f>
        <v>967.12</v>
      </c>
      <c r="DC206">
        <f>ROUND(ROUND(AT206*AG206,2),2)</f>
        <v>0</v>
      </c>
    </row>
    <row r="207" spans="1:107" x14ac:dyDescent="0.2">
      <c r="A207">
        <f>ROW(Source!A138)</f>
        <v>138</v>
      </c>
      <c r="B207">
        <v>16748969</v>
      </c>
      <c r="C207">
        <v>16750283</v>
      </c>
      <c r="D207">
        <v>15188460</v>
      </c>
      <c r="E207">
        <v>1</v>
      </c>
      <c r="F207">
        <v>1</v>
      </c>
      <c r="G207">
        <v>1</v>
      </c>
      <c r="H207">
        <v>3</v>
      </c>
      <c r="I207" t="s">
        <v>1273</v>
      </c>
      <c r="J207" t="s">
        <v>1274</v>
      </c>
      <c r="K207" t="s">
        <v>1275</v>
      </c>
      <c r="L207">
        <v>1301</v>
      </c>
      <c r="N207">
        <v>1003</v>
      </c>
      <c r="O207" t="s">
        <v>206</v>
      </c>
      <c r="P207" t="s">
        <v>206</v>
      </c>
      <c r="Q207">
        <v>1</v>
      </c>
      <c r="W207">
        <v>0</v>
      </c>
      <c r="X207">
        <v>-1697320922</v>
      </c>
      <c r="Y207">
        <v>241</v>
      </c>
      <c r="AA207">
        <v>45</v>
      </c>
      <c r="AB207">
        <v>0</v>
      </c>
      <c r="AC207">
        <v>0</v>
      </c>
      <c r="AD207">
        <v>0</v>
      </c>
      <c r="AE207">
        <v>6.86</v>
      </c>
      <c r="AF207">
        <v>0</v>
      </c>
      <c r="AG207">
        <v>0</v>
      </c>
      <c r="AH207">
        <v>0</v>
      </c>
      <c r="AI207">
        <v>6.56</v>
      </c>
      <c r="AJ207">
        <v>1</v>
      </c>
      <c r="AK207">
        <v>1</v>
      </c>
      <c r="AL207">
        <v>1</v>
      </c>
      <c r="AN207">
        <v>0</v>
      </c>
      <c r="AO207">
        <v>1</v>
      </c>
      <c r="AP207">
        <v>0</v>
      </c>
      <c r="AQ207">
        <v>0</v>
      </c>
      <c r="AR207">
        <v>0</v>
      </c>
      <c r="AS207" t="s">
        <v>6</v>
      </c>
      <c r="AT207">
        <v>241</v>
      </c>
      <c r="AU207" t="s">
        <v>6</v>
      </c>
      <c r="AV207">
        <v>0</v>
      </c>
      <c r="AW207">
        <v>2</v>
      </c>
      <c r="AX207">
        <v>16750298</v>
      </c>
      <c r="AY207">
        <v>1</v>
      </c>
      <c r="AZ207">
        <v>0</v>
      </c>
      <c r="BA207">
        <v>200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CX207">
        <f>Y207*Source!I138</f>
        <v>6.7480000000000002</v>
      </c>
      <c r="CY207">
        <f>AA207</f>
        <v>45</v>
      </c>
      <c r="CZ207">
        <f>AE207</f>
        <v>6.86</v>
      </c>
      <c r="DA207">
        <f>AI207</f>
        <v>6.56</v>
      </c>
      <c r="DB207">
        <f>ROUND(ROUND(AT207*CZ207,2),2)</f>
        <v>1653.26</v>
      </c>
      <c r="DC207">
        <f>ROUND(ROUND(AT207*AG207,2),2)</f>
        <v>0</v>
      </c>
    </row>
    <row r="208" spans="1:107" x14ac:dyDescent="0.2">
      <c r="A208">
        <f>ROW(Source!A138)</f>
        <v>138</v>
      </c>
      <c r="B208">
        <v>16748969</v>
      </c>
      <c r="C208">
        <v>16750283</v>
      </c>
      <c r="D208">
        <v>15195776</v>
      </c>
      <c r="E208">
        <v>1</v>
      </c>
      <c r="F208">
        <v>1</v>
      </c>
      <c r="G208">
        <v>1</v>
      </c>
      <c r="H208">
        <v>3</v>
      </c>
      <c r="I208" t="s">
        <v>1276</v>
      </c>
      <c r="J208" t="s">
        <v>1277</v>
      </c>
      <c r="K208" t="s">
        <v>1278</v>
      </c>
      <c r="L208">
        <v>1301</v>
      </c>
      <c r="N208">
        <v>1003</v>
      </c>
      <c r="O208" t="s">
        <v>206</v>
      </c>
      <c r="P208" t="s">
        <v>206</v>
      </c>
      <c r="Q208">
        <v>1</v>
      </c>
      <c r="W208">
        <v>0</v>
      </c>
      <c r="X208">
        <v>1321173899</v>
      </c>
      <c r="Y208">
        <v>46</v>
      </c>
      <c r="AA208">
        <v>27.36</v>
      </c>
      <c r="AB208">
        <v>0</v>
      </c>
      <c r="AC208">
        <v>0</v>
      </c>
      <c r="AD208">
        <v>0</v>
      </c>
      <c r="AE208">
        <v>4.17</v>
      </c>
      <c r="AF208">
        <v>0</v>
      </c>
      <c r="AG208">
        <v>0</v>
      </c>
      <c r="AH208">
        <v>0</v>
      </c>
      <c r="AI208">
        <v>6.56</v>
      </c>
      <c r="AJ208">
        <v>1</v>
      </c>
      <c r="AK208">
        <v>1</v>
      </c>
      <c r="AL208">
        <v>1</v>
      </c>
      <c r="AN208">
        <v>0</v>
      </c>
      <c r="AO208">
        <v>1</v>
      </c>
      <c r="AP208">
        <v>0</v>
      </c>
      <c r="AQ208">
        <v>0</v>
      </c>
      <c r="AR208">
        <v>0</v>
      </c>
      <c r="AS208" t="s">
        <v>6</v>
      </c>
      <c r="AT208">
        <v>46</v>
      </c>
      <c r="AU208" t="s">
        <v>6</v>
      </c>
      <c r="AV208">
        <v>0</v>
      </c>
      <c r="AW208">
        <v>2</v>
      </c>
      <c r="AX208">
        <v>16750299</v>
      </c>
      <c r="AY208">
        <v>1</v>
      </c>
      <c r="AZ208">
        <v>0</v>
      </c>
      <c r="BA208">
        <v>201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CX208">
        <f>Y208*Source!I138</f>
        <v>1.288</v>
      </c>
      <c r="CY208">
        <f>AA208</f>
        <v>27.36</v>
      </c>
      <c r="CZ208">
        <f>AE208</f>
        <v>4.17</v>
      </c>
      <c r="DA208">
        <f>AI208</f>
        <v>6.56</v>
      </c>
      <c r="DB208">
        <f>ROUND(ROUND(AT208*CZ208,2),2)</f>
        <v>191.82</v>
      </c>
      <c r="DC208">
        <f>ROUND(ROUND(AT208*AG208,2),2)</f>
        <v>0</v>
      </c>
    </row>
    <row r="209" spans="1:107" x14ac:dyDescent="0.2">
      <c r="A209">
        <f>ROW(Source!A139)</f>
        <v>139</v>
      </c>
      <c r="B209">
        <v>16748969</v>
      </c>
      <c r="C209">
        <v>16750300</v>
      </c>
      <c r="D209">
        <v>15432273</v>
      </c>
      <c r="E209">
        <v>1</v>
      </c>
      <c r="F209">
        <v>1</v>
      </c>
      <c r="G209">
        <v>1</v>
      </c>
      <c r="H209">
        <v>1</v>
      </c>
      <c r="I209" t="s">
        <v>1279</v>
      </c>
      <c r="J209" t="s">
        <v>6</v>
      </c>
      <c r="K209" t="s">
        <v>1280</v>
      </c>
      <c r="L209">
        <v>1191</v>
      </c>
      <c r="N209">
        <v>1013</v>
      </c>
      <c r="O209" t="s">
        <v>1072</v>
      </c>
      <c r="P209" t="s">
        <v>1072</v>
      </c>
      <c r="Q209">
        <v>1</v>
      </c>
      <c r="W209">
        <v>0</v>
      </c>
      <c r="X209">
        <v>1430930646</v>
      </c>
      <c r="Y209">
        <v>21.044999999999998</v>
      </c>
      <c r="AA209">
        <v>0</v>
      </c>
      <c r="AB209">
        <v>0</v>
      </c>
      <c r="AC209">
        <v>0</v>
      </c>
      <c r="AD209">
        <v>54.05</v>
      </c>
      <c r="AE209">
        <v>0</v>
      </c>
      <c r="AF209">
        <v>0</v>
      </c>
      <c r="AG209">
        <v>0</v>
      </c>
      <c r="AH209">
        <v>8.24</v>
      </c>
      <c r="AI209">
        <v>1</v>
      </c>
      <c r="AJ209">
        <v>1</v>
      </c>
      <c r="AK209">
        <v>1</v>
      </c>
      <c r="AL209">
        <v>6.56</v>
      </c>
      <c r="AN209">
        <v>0</v>
      </c>
      <c r="AO209">
        <v>1</v>
      </c>
      <c r="AP209">
        <v>1</v>
      </c>
      <c r="AQ209">
        <v>0</v>
      </c>
      <c r="AR209">
        <v>0</v>
      </c>
      <c r="AS209" t="s">
        <v>6</v>
      </c>
      <c r="AT209">
        <v>18.3</v>
      </c>
      <c r="AU209" t="s">
        <v>173</v>
      </c>
      <c r="AV209">
        <v>1</v>
      </c>
      <c r="AW209">
        <v>2</v>
      </c>
      <c r="AX209">
        <v>16750307</v>
      </c>
      <c r="AY209">
        <v>1</v>
      </c>
      <c r="AZ209">
        <v>0</v>
      </c>
      <c r="BA209">
        <v>202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CX209">
        <f>Y209*Source!I139</f>
        <v>0.58926000000000001</v>
      </c>
      <c r="CY209">
        <f>AD209</f>
        <v>54.05</v>
      </c>
      <c r="CZ209">
        <f>AH209</f>
        <v>8.24</v>
      </c>
      <c r="DA209">
        <f>AL209</f>
        <v>6.56</v>
      </c>
      <c r="DB209">
        <f>ROUND((ROUND(AT209*CZ209,2)*1.15),2)</f>
        <v>173.41</v>
      </c>
      <c r="DC209">
        <f>ROUND((ROUND(AT209*AG209,2)*1.15),2)</f>
        <v>0</v>
      </c>
    </row>
    <row r="210" spans="1:107" x14ac:dyDescent="0.2">
      <c r="A210">
        <f>ROW(Source!A139)</f>
        <v>139</v>
      </c>
      <c r="B210">
        <v>16748969</v>
      </c>
      <c r="C210">
        <v>16750300</v>
      </c>
      <c r="D210">
        <v>15430395</v>
      </c>
      <c r="E210">
        <v>1</v>
      </c>
      <c r="F210">
        <v>1</v>
      </c>
      <c r="G210">
        <v>1</v>
      </c>
      <c r="H210">
        <v>1</v>
      </c>
      <c r="I210" t="s">
        <v>1073</v>
      </c>
      <c r="J210" t="s">
        <v>6</v>
      </c>
      <c r="K210" t="s">
        <v>1074</v>
      </c>
      <c r="L210">
        <v>1191</v>
      </c>
      <c r="N210">
        <v>1013</v>
      </c>
      <c r="O210" t="s">
        <v>1072</v>
      </c>
      <c r="P210" t="s">
        <v>1072</v>
      </c>
      <c r="Q210">
        <v>1</v>
      </c>
      <c r="W210">
        <v>0</v>
      </c>
      <c r="X210">
        <v>-1417349443</v>
      </c>
      <c r="Y210">
        <v>0.52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v>0</v>
      </c>
      <c r="AI210">
        <v>1</v>
      </c>
      <c r="AJ210">
        <v>1</v>
      </c>
      <c r="AK210">
        <v>6.56</v>
      </c>
      <c r="AL210">
        <v>1</v>
      </c>
      <c r="AN210">
        <v>0</v>
      </c>
      <c r="AO210">
        <v>1</v>
      </c>
      <c r="AP210">
        <v>0</v>
      </c>
      <c r="AQ210">
        <v>0</v>
      </c>
      <c r="AR210">
        <v>0</v>
      </c>
      <c r="AS210" t="s">
        <v>6</v>
      </c>
      <c r="AT210">
        <v>0.52</v>
      </c>
      <c r="AU210" t="s">
        <v>6</v>
      </c>
      <c r="AV210">
        <v>2</v>
      </c>
      <c r="AW210">
        <v>2</v>
      </c>
      <c r="AX210">
        <v>16750308</v>
      </c>
      <c r="AY210">
        <v>1</v>
      </c>
      <c r="AZ210">
        <v>2048</v>
      </c>
      <c r="BA210">
        <v>203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CX210">
        <f>Y210*Source!I139</f>
        <v>1.456E-2</v>
      </c>
      <c r="CY210">
        <f>AD210</f>
        <v>0</v>
      </c>
      <c r="CZ210">
        <f>AH210</f>
        <v>0</v>
      </c>
      <c r="DA210">
        <f>AL210</f>
        <v>1</v>
      </c>
      <c r="DB210">
        <f>ROUND(ROUND(AT210*CZ210,2),2)</f>
        <v>0</v>
      </c>
      <c r="DC210">
        <f>ROUND(ROUND(AT210*AG210,2),2)</f>
        <v>0</v>
      </c>
    </row>
    <row r="211" spans="1:107" x14ac:dyDescent="0.2">
      <c r="A211">
        <f>ROW(Source!A139)</f>
        <v>139</v>
      </c>
      <c r="B211">
        <v>16748969</v>
      </c>
      <c r="C211">
        <v>16750300</v>
      </c>
      <c r="D211">
        <v>15249073</v>
      </c>
      <c r="E211">
        <v>1</v>
      </c>
      <c r="F211">
        <v>1</v>
      </c>
      <c r="G211">
        <v>1</v>
      </c>
      <c r="H211">
        <v>2</v>
      </c>
      <c r="I211" t="s">
        <v>1097</v>
      </c>
      <c r="J211" t="s">
        <v>1098</v>
      </c>
      <c r="K211" t="s">
        <v>1099</v>
      </c>
      <c r="L211">
        <v>1368</v>
      </c>
      <c r="N211">
        <v>1011</v>
      </c>
      <c r="O211" t="s">
        <v>1078</v>
      </c>
      <c r="P211" t="s">
        <v>1078</v>
      </c>
      <c r="Q211">
        <v>1</v>
      </c>
      <c r="W211">
        <v>0</v>
      </c>
      <c r="X211">
        <v>1372534845</v>
      </c>
      <c r="Y211">
        <v>0.65</v>
      </c>
      <c r="AA211">
        <v>0</v>
      </c>
      <c r="AB211">
        <v>431.06</v>
      </c>
      <c r="AC211">
        <v>11.6</v>
      </c>
      <c r="AD211">
        <v>0</v>
      </c>
      <c r="AE211">
        <v>0</v>
      </c>
      <c r="AF211">
        <v>65.709999999999994</v>
      </c>
      <c r="AG211">
        <v>11.6</v>
      </c>
      <c r="AH211">
        <v>0</v>
      </c>
      <c r="AI211">
        <v>1</v>
      </c>
      <c r="AJ211">
        <v>6.56</v>
      </c>
      <c r="AK211">
        <v>1</v>
      </c>
      <c r="AL211">
        <v>1</v>
      </c>
      <c r="AN211">
        <v>0</v>
      </c>
      <c r="AO211">
        <v>1</v>
      </c>
      <c r="AP211">
        <v>1</v>
      </c>
      <c r="AQ211">
        <v>0</v>
      </c>
      <c r="AR211">
        <v>0</v>
      </c>
      <c r="AS211" t="s">
        <v>6</v>
      </c>
      <c r="AT211">
        <v>0.52</v>
      </c>
      <c r="AU211" t="s">
        <v>172</v>
      </c>
      <c r="AV211">
        <v>0</v>
      </c>
      <c r="AW211">
        <v>2</v>
      </c>
      <c r="AX211">
        <v>16750309</v>
      </c>
      <c r="AY211">
        <v>1</v>
      </c>
      <c r="AZ211">
        <v>0</v>
      </c>
      <c r="BA211">
        <v>204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CX211">
        <f>Y211*Source!I139</f>
        <v>1.8200000000000001E-2</v>
      </c>
      <c r="CY211">
        <f>AB211</f>
        <v>431.06</v>
      </c>
      <c r="CZ211">
        <f>AF211</f>
        <v>65.709999999999994</v>
      </c>
      <c r="DA211">
        <f>AJ211</f>
        <v>6.56</v>
      </c>
      <c r="DB211">
        <f>ROUND((ROUND(AT211*CZ211,2)*1.25),2)</f>
        <v>42.71</v>
      </c>
      <c r="DC211">
        <f>ROUND((ROUND(AT211*AG211,2)*1.25),2)</f>
        <v>7.54</v>
      </c>
    </row>
    <row r="212" spans="1:107" x14ac:dyDescent="0.2">
      <c r="A212">
        <f>ROW(Source!A139)</f>
        <v>139</v>
      </c>
      <c r="B212">
        <v>16748969</v>
      </c>
      <c r="C212">
        <v>16750300</v>
      </c>
      <c r="D212">
        <v>15166816</v>
      </c>
      <c r="E212">
        <v>1</v>
      </c>
      <c r="F212">
        <v>1</v>
      </c>
      <c r="G212">
        <v>1</v>
      </c>
      <c r="H212">
        <v>3</v>
      </c>
      <c r="I212" t="s">
        <v>384</v>
      </c>
      <c r="J212" t="s">
        <v>386</v>
      </c>
      <c r="K212" t="s">
        <v>385</v>
      </c>
      <c r="L212">
        <v>1327</v>
      </c>
      <c r="N212">
        <v>1005</v>
      </c>
      <c r="O212" t="s">
        <v>89</v>
      </c>
      <c r="P212" t="s">
        <v>89</v>
      </c>
      <c r="Q212">
        <v>1</v>
      </c>
      <c r="W212">
        <v>0</v>
      </c>
      <c r="X212">
        <v>675650468</v>
      </c>
      <c r="Y212">
        <v>102.5</v>
      </c>
      <c r="AA212">
        <v>134.28</v>
      </c>
      <c r="AB212">
        <v>0</v>
      </c>
      <c r="AC212">
        <v>0</v>
      </c>
      <c r="AD212">
        <v>0</v>
      </c>
      <c r="AE212">
        <v>20.47</v>
      </c>
      <c r="AF212">
        <v>0</v>
      </c>
      <c r="AG212">
        <v>0</v>
      </c>
      <c r="AH212">
        <v>0</v>
      </c>
      <c r="AI212">
        <v>6.56</v>
      </c>
      <c r="AJ212">
        <v>1</v>
      </c>
      <c r="AK212">
        <v>1</v>
      </c>
      <c r="AL212">
        <v>1</v>
      </c>
      <c r="AN212">
        <v>0</v>
      </c>
      <c r="AO212">
        <v>0</v>
      </c>
      <c r="AP212">
        <v>0</v>
      </c>
      <c r="AQ212">
        <v>0</v>
      </c>
      <c r="AR212">
        <v>0</v>
      </c>
      <c r="AS212" t="s">
        <v>6</v>
      </c>
      <c r="AT212">
        <v>102.5</v>
      </c>
      <c r="AU212" t="s">
        <v>6</v>
      </c>
      <c r="AV212">
        <v>0</v>
      </c>
      <c r="AW212">
        <v>1</v>
      </c>
      <c r="AX212">
        <v>-1</v>
      </c>
      <c r="AY212">
        <v>0</v>
      </c>
      <c r="AZ212">
        <v>0</v>
      </c>
      <c r="BA212" t="s">
        <v>6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CX212">
        <f>Y212*Source!I139</f>
        <v>2.87</v>
      </c>
      <c r="CY212">
        <f>AA212</f>
        <v>134.28</v>
      </c>
      <c r="CZ212">
        <f>AE212</f>
        <v>20.47</v>
      </c>
      <c r="DA212">
        <f>AI212</f>
        <v>6.56</v>
      </c>
      <c r="DB212">
        <f>ROUND(ROUND(AT212*CZ212,2),2)</f>
        <v>2098.1799999999998</v>
      </c>
      <c r="DC212">
        <f>ROUND(ROUND(AT212*AG212,2),2)</f>
        <v>0</v>
      </c>
    </row>
    <row r="213" spans="1:107" x14ac:dyDescent="0.2">
      <c r="A213">
        <f>ROW(Source!A139)</f>
        <v>139</v>
      </c>
      <c r="B213">
        <v>16748969</v>
      </c>
      <c r="C213">
        <v>16750300</v>
      </c>
      <c r="D213">
        <v>15170043</v>
      </c>
      <c r="E213">
        <v>1</v>
      </c>
      <c r="F213">
        <v>1</v>
      </c>
      <c r="G213">
        <v>1</v>
      </c>
      <c r="H213">
        <v>3</v>
      </c>
      <c r="I213" t="s">
        <v>1281</v>
      </c>
      <c r="J213" t="s">
        <v>1282</v>
      </c>
      <c r="K213" t="s">
        <v>1283</v>
      </c>
      <c r="L213">
        <v>1348</v>
      </c>
      <c r="N213">
        <v>1009</v>
      </c>
      <c r="O213" t="s">
        <v>71</v>
      </c>
      <c r="P213" t="s">
        <v>71</v>
      </c>
      <c r="Q213">
        <v>1000</v>
      </c>
      <c r="W213">
        <v>0</v>
      </c>
      <c r="X213">
        <v>888381482</v>
      </c>
      <c r="Y213">
        <v>3.7000000000000002E-3</v>
      </c>
      <c r="AA213">
        <v>55596</v>
      </c>
      <c r="AB213">
        <v>0</v>
      </c>
      <c r="AC213">
        <v>0</v>
      </c>
      <c r="AD213">
        <v>0</v>
      </c>
      <c r="AE213">
        <v>8475</v>
      </c>
      <c r="AF213">
        <v>0</v>
      </c>
      <c r="AG213">
        <v>0</v>
      </c>
      <c r="AH213">
        <v>0</v>
      </c>
      <c r="AI213">
        <v>6.56</v>
      </c>
      <c r="AJ213">
        <v>1</v>
      </c>
      <c r="AK213">
        <v>1</v>
      </c>
      <c r="AL213">
        <v>1</v>
      </c>
      <c r="AN213">
        <v>0</v>
      </c>
      <c r="AO213">
        <v>1</v>
      </c>
      <c r="AP213">
        <v>0</v>
      </c>
      <c r="AQ213">
        <v>0</v>
      </c>
      <c r="AR213">
        <v>0</v>
      </c>
      <c r="AS213" t="s">
        <v>6</v>
      </c>
      <c r="AT213">
        <v>3.7000000000000002E-3</v>
      </c>
      <c r="AU213" t="s">
        <v>6</v>
      </c>
      <c r="AV213">
        <v>0</v>
      </c>
      <c r="AW213">
        <v>2</v>
      </c>
      <c r="AX213">
        <v>16750310</v>
      </c>
      <c r="AY213">
        <v>1</v>
      </c>
      <c r="AZ213">
        <v>0</v>
      </c>
      <c r="BA213">
        <v>205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CX213">
        <f>Y213*Source!I139</f>
        <v>1.0360000000000001E-4</v>
      </c>
      <c r="CY213">
        <f>AA213</f>
        <v>55596</v>
      </c>
      <c r="CZ213">
        <f>AE213</f>
        <v>8475</v>
      </c>
      <c r="DA213">
        <f>AI213</f>
        <v>6.56</v>
      </c>
      <c r="DB213">
        <f>ROUND(ROUND(AT213*CZ213,2),2)</f>
        <v>31.36</v>
      </c>
      <c r="DC213">
        <f>ROUND(ROUND(AT213*AG213,2),2)</f>
        <v>0</v>
      </c>
    </row>
    <row r="214" spans="1:107" x14ac:dyDescent="0.2">
      <c r="A214">
        <f>ROW(Source!A139)</f>
        <v>139</v>
      </c>
      <c r="B214">
        <v>16748969</v>
      </c>
      <c r="C214">
        <v>16750300</v>
      </c>
      <c r="D214">
        <v>15196813</v>
      </c>
      <c r="E214">
        <v>1</v>
      </c>
      <c r="F214">
        <v>1</v>
      </c>
      <c r="G214">
        <v>1</v>
      </c>
      <c r="H214">
        <v>3</v>
      </c>
      <c r="I214" t="s">
        <v>388</v>
      </c>
      <c r="J214" t="s">
        <v>391</v>
      </c>
      <c r="K214" t="s">
        <v>389</v>
      </c>
      <c r="L214">
        <v>1329</v>
      </c>
      <c r="N214">
        <v>1005</v>
      </c>
      <c r="O214" t="s">
        <v>390</v>
      </c>
      <c r="P214" t="s">
        <v>390</v>
      </c>
      <c r="Q214">
        <v>1000</v>
      </c>
      <c r="W214">
        <v>1</v>
      </c>
      <c r="X214">
        <v>1143569307</v>
      </c>
      <c r="Y214">
        <v>-0.10249999999999999</v>
      </c>
      <c r="AA214">
        <v>78720</v>
      </c>
      <c r="AB214">
        <v>0</v>
      </c>
      <c r="AC214">
        <v>0</v>
      </c>
      <c r="AD214">
        <v>0</v>
      </c>
      <c r="AE214">
        <v>12000</v>
      </c>
      <c r="AF214">
        <v>0</v>
      </c>
      <c r="AG214">
        <v>0</v>
      </c>
      <c r="AH214">
        <v>0</v>
      </c>
      <c r="AI214">
        <v>6.56</v>
      </c>
      <c r="AJ214">
        <v>1</v>
      </c>
      <c r="AK214">
        <v>1</v>
      </c>
      <c r="AL214">
        <v>1</v>
      </c>
      <c r="AN214">
        <v>0</v>
      </c>
      <c r="AO214">
        <v>1</v>
      </c>
      <c r="AP214">
        <v>0</v>
      </c>
      <c r="AQ214">
        <v>0</v>
      </c>
      <c r="AR214">
        <v>0</v>
      </c>
      <c r="AS214" t="s">
        <v>6</v>
      </c>
      <c r="AT214">
        <v>-0.10249999999999999</v>
      </c>
      <c r="AU214" t="s">
        <v>6</v>
      </c>
      <c r="AV214">
        <v>0</v>
      </c>
      <c r="AW214">
        <v>2</v>
      </c>
      <c r="AX214">
        <v>16750311</v>
      </c>
      <c r="AY214">
        <v>1</v>
      </c>
      <c r="AZ214">
        <v>6144</v>
      </c>
      <c r="BA214">
        <v>206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CX214">
        <f>Y214*Source!I139</f>
        <v>-2.8699999999999997E-3</v>
      </c>
      <c r="CY214">
        <f>AA214</f>
        <v>78720</v>
      </c>
      <c r="CZ214">
        <f>AE214</f>
        <v>12000</v>
      </c>
      <c r="DA214">
        <f>AI214</f>
        <v>6.56</v>
      </c>
      <c r="DB214">
        <f>ROUND(ROUND(AT214*CZ214,2),2)</f>
        <v>-1230</v>
      </c>
      <c r="DC214">
        <f>ROUND(ROUND(AT214*AG214,2),2)</f>
        <v>0</v>
      </c>
    </row>
    <row r="215" spans="1:107" x14ac:dyDescent="0.2">
      <c r="A215">
        <f>ROW(Source!A142)</f>
        <v>142</v>
      </c>
      <c r="B215">
        <v>16748969</v>
      </c>
      <c r="C215">
        <v>16750314</v>
      </c>
      <c r="D215">
        <v>15438286</v>
      </c>
      <c r="E215">
        <v>1</v>
      </c>
      <c r="F215">
        <v>1</v>
      </c>
      <c r="G215">
        <v>1</v>
      </c>
      <c r="H215">
        <v>1</v>
      </c>
      <c r="I215" t="s">
        <v>1177</v>
      </c>
      <c r="J215" t="s">
        <v>6</v>
      </c>
      <c r="K215" t="s">
        <v>1178</v>
      </c>
      <c r="L215">
        <v>1191</v>
      </c>
      <c r="N215">
        <v>1013</v>
      </c>
      <c r="O215" t="s">
        <v>1072</v>
      </c>
      <c r="P215" t="s">
        <v>1072</v>
      </c>
      <c r="Q215">
        <v>1</v>
      </c>
      <c r="W215">
        <v>0</v>
      </c>
      <c r="X215">
        <v>-1027537862</v>
      </c>
      <c r="Y215">
        <v>183.62049999999996</v>
      </c>
      <c r="AA215">
        <v>0</v>
      </c>
      <c r="AB215">
        <v>0</v>
      </c>
      <c r="AC215">
        <v>0</v>
      </c>
      <c r="AD215">
        <v>60.22</v>
      </c>
      <c r="AE215">
        <v>0</v>
      </c>
      <c r="AF215">
        <v>0</v>
      </c>
      <c r="AG215">
        <v>0</v>
      </c>
      <c r="AH215">
        <v>9.18</v>
      </c>
      <c r="AI215">
        <v>1</v>
      </c>
      <c r="AJ215">
        <v>1</v>
      </c>
      <c r="AK215">
        <v>1</v>
      </c>
      <c r="AL215">
        <v>6.56</v>
      </c>
      <c r="AN215">
        <v>0</v>
      </c>
      <c r="AO215">
        <v>1</v>
      </c>
      <c r="AP215">
        <v>1</v>
      </c>
      <c r="AQ215">
        <v>0</v>
      </c>
      <c r="AR215">
        <v>0</v>
      </c>
      <c r="AS215" t="s">
        <v>6</v>
      </c>
      <c r="AT215">
        <v>159.66999999999999</v>
      </c>
      <c r="AU215" t="s">
        <v>173</v>
      </c>
      <c r="AV215">
        <v>1</v>
      </c>
      <c r="AW215">
        <v>2</v>
      </c>
      <c r="AX215">
        <v>16750328</v>
      </c>
      <c r="AY215">
        <v>1</v>
      </c>
      <c r="AZ215">
        <v>0</v>
      </c>
      <c r="BA215">
        <v>207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CX215">
        <f>Y215*Source!I142</f>
        <v>110.17229999999998</v>
      </c>
      <c r="CY215">
        <f>AD215</f>
        <v>60.22</v>
      </c>
      <c r="CZ215">
        <f>AH215</f>
        <v>9.18</v>
      </c>
      <c r="DA215">
        <f>AL215</f>
        <v>6.56</v>
      </c>
      <c r="DB215">
        <f>ROUND((ROUND(AT215*CZ215,2)*1.15),2)</f>
        <v>1685.64</v>
      </c>
      <c r="DC215">
        <f>ROUND((ROUND(AT215*AG215,2)*1.15),2)</f>
        <v>0</v>
      </c>
    </row>
    <row r="216" spans="1:107" x14ac:dyDescent="0.2">
      <c r="A216">
        <f>ROW(Source!A142)</f>
        <v>142</v>
      </c>
      <c r="B216">
        <v>16748969</v>
      </c>
      <c r="C216">
        <v>16750314</v>
      </c>
      <c r="D216">
        <v>15430395</v>
      </c>
      <c r="E216">
        <v>1</v>
      </c>
      <c r="F216">
        <v>1</v>
      </c>
      <c r="G216">
        <v>1</v>
      </c>
      <c r="H216">
        <v>1</v>
      </c>
      <c r="I216" t="s">
        <v>1073</v>
      </c>
      <c r="J216" t="s">
        <v>6</v>
      </c>
      <c r="K216" t="s">
        <v>1074</v>
      </c>
      <c r="L216">
        <v>1191</v>
      </c>
      <c r="N216">
        <v>1013</v>
      </c>
      <c r="O216" t="s">
        <v>1072</v>
      </c>
      <c r="P216" t="s">
        <v>1072</v>
      </c>
      <c r="Q216">
        <v>1</v>
      </c>
      <c r="W216">
        <v>0</v>
      </c>
      <c r="X216">
        <v>-1417349443</v>
      </c>
      <c r="Y216">
        <v>1.65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1</v>
      </c>
      <c r="AJ216">
        <v>1</v>
      </c>
      <c r="AK216">
        <v>6.56</v>
      </c>
      <c r="AL216">
        <v>1</v>
      </c>
      <c r="AN216">
        <v>0</v>
      </c>
      <c r="AO216">
        <v>1</v>
      </c>
      <c r="AP216">
        <v>0</v>
      </c>
      <c r="AQ216">
        <v>0</v>
      </c>
      <c r="AR216">
        <v>0</v>
      </c>
      <c r="AS216" t="s">
        <v>6</v>
      </c>
      <c r="AT216">
        <v>1.65</v>
      </c>
      <c r="AU216" t="s">
        <v>6</v>
      </c>
      <c r="AV216">
        <v>2</v>
      </c>
      <c r="AW216">
        <v>2</v>
      </c>
      <c r="AX216">
        <v>16750329</v>
      </c>
      <c r="AY216">
        <v>1</v>
      </c>
      <c r="AZ216">
        <v>2048</v>
      </c>
      <c r="BA216">
        <v>208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CX216">
        <f>Y216*Source!I142</f>
        <v>0.98999999999999988</v>
      </c>
      <c r="CY216">
        <f>AD216</f>
        <v>0</v>
      </c>
      <c r="CZ216">
        <f>AH216</f>
        <v>0</v>
      </c>
      <c r="DA216">
        <f>AL216</f>
        <v>1</v>
      </c>
      <c r="DB216">
        <f>ROUND(ROUND(AT216*CZ216,2),2)</f>
        <v>0</v>
      </c>
      <c r="DC216">
        <f>ROUND(ROUND(AT216*AG216,2),2)</f>
        <v>0</v>
      </c>
    </row>
    <row r="217" spans="1:107" x14ac:dyDescent="0.2">
      <c r="A217">
        <f>ROW(Source!A142)</f>
        <v>142</v>
      </c>
      <c r="B217">
        <v>16748969</v>
      </c>
      <c r="C217">
        <v>16750314</v>
      </c>
      <c r="D217">
        <v>15247905</v>
      </c>
      <c r="E217">
        <v>1</v>
      </c>
      <c r="F217">
        <v>1</v>
      </c>
      <c r="G217">
        <v>1</v>
      </c>
      <c r="H217">
        <v>2</v>
      </c>
      <c r="I217" t="s">
        <v>1228</v>
      </c>
      <c r="J217" t="s">
        <v>1229</v>
      </c>
      <c r="K217" t="s">
        <v>1230</v>
      </c>
      <c r="L217">
        <v>1368</v>
      </c>
      <c r="N217">
        <v>1011</v>
      </c>
      <c r="O217" t="s">
        <v>1078</v>
      </c>
      <c r="P217" t="s">
        <v>1078</v>
      </c>
      <c r="Q217">
        <v>1</v>
      </c>
      <c r="W217">
        <v>0</v>
      </c>
      <c r="X217">
        <v>1225731627</v>
      </c>
      <c r="Y217">
        <v>0.1</v>
      </c>
      <c r="AA217">
        <v>0</v>
      </c>
      <c r="AB217">
        <v>590.33000000000004</v>
      </c>
      <c r="AC217">
        <v>10.06</v>
      </c>
      <c r="AD217">
        <v>0</v>
      </c>
      <c r="AE217">
        <v>0</v>
      </c>
      <c r="AF217">
        <v>89.99</v>
      </c>
      <c r="AG217">
        <v>10.06</v>
      </c>
      <c r="AH217">
        <v>0</v>
      </c>
      <c r="AI217">
        <v>1</v>
      </c>
      <c r="AJ217">
        <v>6.56</v>
      </c>
      <c r="AK217">
        <v>1</v>
      </c>
      <c r="AL217">
        <v>1</v>
      </c>
      <c r="AN217">
        <v>0</v>
      </c>
      <c r="AO217">
        <v>1</v>
      </c>
      <c r="AP217">
        <v>1</v>
      </c>
      <c r="AQ217">
        <v>0</v>
      </c>
      <c r="AR217">
        <v>0</v>
      </c>
      <c r="AS217" t="s">
        <v>6</v>
      </c>
      <c r="AT217">
        <v>0.08</v>
      </c>
      <c r="AU217" t="s">
        <v>172</v>
      </c>
      <c r="AV217">
        <v>0</v>
      </c>
      <c r="AW217">
        <v>2</v>
      </c>
      <c r="AX217">
        <v>16750330</v>
      </c>
      <c r="AY217">
        <v>1</v>
      </c>
      <c r="AZ217">
        <v>0</v>
      </c>
      <c r="BA217">
        <v>209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CX217">
        <f>Y217*Source!I142</f>
        <v>0.06</v>
      </c>
      <c r="CY217">
        <f>AB217</f>
        <v>590.33000000000004</v>
      </c>
      <c r="CZ217">
        <f>AF217</f>
        <v>89.99</v>
      </c>
      <c r="DA217">
        <f>AJ217</f>
        <v>6.56</v>
      </c>
      <c r="DB217">
        <f>ROUND((ROUND(AT217*CZ217,2)*1.25),2)</f>
        <v>9</v>
      </c>
      <c r="DC217">
        <f>ROUND((ROUND(AT217*AG217,2)*1.25),2)</f>
        <v>1</v>
      </c>
    </row>
    <row r="218" spans="1:107" x14ac:dyDescent="0.2">
      <c r="A218">
        <f>ROW(Source!A142)</f>
        <v>142</v>
      </c>
      <c r="B218">
        <v>16748969</v>
      </c>
      <c r="C218">
        <v>16750314</v>
      </c>
      <c r="D218">
        <v>15247974</v>
      </c>
      <c r="E218">
        <v>1</v>
      </c>
      <c r="F218">
        <v>1</v>
      </c>
      <c r="G218">
        <v>1</v>
      </c>
      <c r="H218">
        <v>2</v>
      </c>
      <c r="I218" t="s">
        <v>1075</v>
      </c>
      <c r="J218" t="s">
        <v>1076</v>
      </c>
      <c r="K218" t="s">
        <v>1077</v>
      </c>
      <c r="L218">
        <v>1368</v>
      </c>
      <c r="N218">
        <v>1011</v>
      </c>
      <c r="O218" t="s">
        <v>1078</v>
      </c>
      <c r="P218" t="s">
        <v>1078</v>
      </c>
      <c r="Q218">
        <v>1</v>
      </c>
      <c r="W218">
        <v>0</v>
      </c>
      <c r="X218">
        <v>1188625873</v>
      </c>
      <c r="Y218">
        <v>0.33750000000000002</v>
      </c>
      <c r="AA218">
        <v>0</v>
      </c>
      <c r="AB218">
        <v>205.07</v>
      </c>
      <c r="AC218">
        <v>13.5</v>
      </c>
      <c r="AD218">
        <v>0</v>
      </c>
      <c r="AE218">
        <v>0</v>
      </c>
      <c r="AF218">
        <v>31.26</v>
      </c>
      <c r="AG218">
        <v>13.5</v>
      </c>
      <c r="AH218">
        <v>0</v>
      </c>
      <c r="AI218">
        <v>1</v>
      </c>
      <c r="AJ218">
        <v>6.56</v>
      </c>
      <c r="AK218">
        <v>1</v>
      </c>
      <c r="AL218">
        <v>1</v>
      </c>
      <c r="AN218">
        <v>0</v>
      </c>
      <c r="AO218">
        <v>1</v>
      </c>
      <c r="AP218">
        <v>1</v>
      </c>
      <c r="AQ218">
        <v>0</v>
      </c>
      <c r="AR218">
        <v>0</v>
      </c>
      <c r="AS218" t="s">
        <v>6</v>
      </c>
      <c r="AT218">
        <v>0.27</v>
      </c>
      <c r="AU218" t="s">
        <v>172</v>
      </c>
      <c r="AV218">
        <v>0</v>
      </c>
      <c r="AW218">
        <v>2</v>
      </c>
      <c r="AX218">
        <v>16750331</v>
      </c>
      <c r="AY218">
        <v>1</v>
      </c>
      <c r="AZ218">
        <v>0</v>
      </c>
      <c r="BA218">
        <v>210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CX218">
        <f>Y218*Source!I142</f>
        <v>0.20250000000000001</v>
      </c>
      <c r="CY218">
        <f>AB218</f>
        <v>205.07</v>
      </c>
      <c r="CZ218">
        <f>AF218</f>
        <v>31.26</v>
      </c>
      <c r="DA218">
        <f>AJ218</f>
        <v>6.56</v>
      </c>
      <c r="DB218">
        <f>ROUND((ROUND(AT218*CZ218,2)*1.25),2)</f>
        <v>10.55</v>
      </c>
      <c r="DC218">
        <f>ROUND((ROUND(AT218*AG218,2)*1.25),2)</f>
        <v>4.5599999999999996</v>
      </c>
    </row>
    <row r="219" spans="1:107" x14ac:dyDescent="0.2">
      <c r="A219">
        <f>ROW(Source!A142)</f>
        <v>142</v>
      </c>
      <c r="B219">
        <v>16748969</v>
      </c>
      <c r="C219">
        <v>16750314</v>
      </c>
      <c r="D219">
        <v>15248143</v>
      </c>
      <c r="E219">
        <v>1</v>
      </c>
      <c r="F219">
        <v>1</v>
      </c>
      <c r="G219">
        <v>1</v>
      </c>
      <c r="H219">
        <v>2</v>
      </c>
      <c r="I219" t="s">
        <v>1231</v>
      </c>
      <c r="J219" t="s">
        <v>1232</v>
      </c>
      <c r="K219" t="s">
        <v>1233</v>
      </c>
      <c r="L219">
        <v>1368</v>
      </c>
      <c r="N219">
        <v>1011</v>
      </c>
      <c r="O219" t="s">
        <v>1078</v>
      </c>
      <c r="P219" t="s">
        <v>1078</v>
      </c>
      <c r="Q219">
        <v>1</v>
      </c>
      <c r="W219">
        <v>0</v>
      </c>
      <c r="X219">
        <v>983187852</v>
      </c>
      <c r="Y219">
        <v>1.625</v>
      </c>
      <c r="AA219">
        <v>0</v>
      </c>
      <c r="AB219">
        <v>81.28</v>
      </c>
      <c r="AC219">
        <v>10.06</v>
      </c>
      <c r="AD219">
        <v>0</v>
      </c>
      <c r="AE219">
        <v>0</v>
      </c>
      <c r="AF219">
        <v>12.39</v>
      </c>
      <c r="AG219">
        <v>10.06</v>
      </c>
      <c r="AH219">
        <v>0</v>
      </c>
      <c r="AI219">
        <v>1</v>
      </c>
      <c r="AJ219">
        <v>6.56</v>
      </c>
      <c r="AK219">
        <v>1</v>
      </c>
      <c r="AL219">
        <v>1</v>
      </c>
      <c r="AN219">
        <v>0</v>
      </c>
      <c r="AO219">
        <v>1</v>
      </c>
      <c r="AP219">
        <v>1</v>
      </c>
      <c r="AQ219">
        <v>0</v>
      </c>
      <c r="AR219">
        <v>0</v>
      </c>
      <c r="AS219" t="s">
        <v>6</v>
      </c>
      <c r="AT219">
        <v>1.3</v>
      </c>
      <c r="AU219" t="s">
        <v>172</v>
      </c>
      <c r="AV219">
        <v>0</v>
      </c>
      <c r="AW219">
        <v>2</v>
      </c>
      <c r="AX219">
        <v>16750332</v>
      </c>
      <c r="AY219">
        <v>1</v>
      </c>
      <c r="AZ219">
        <v>0</v>
      </c>
      <c r="BA219">
        <v>211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CX219">
        <f>Y219*Source!I142</f>
        <v>0.97499999999999998</v>
      </c>
      <c r="CY219">
        <f>AB219</f>
        <v>81.28</v>
      </c>
      <c r="CZ219">
        <f>AF219</f>
        <v>12.39</v>
      </c>
      <c r="DA219">
        <f>AJ219</f>
        <v>6.56</v>
      </c>
      <c r="DB219">
        <f>ROUND((ROUND(AT219*CZ219,2)*1.25),2)</f>
        <v>20.14</v>
      </c>
      <c r="DC219">
        <f>ROUND((ROUND(AT219*AG219,2)*1.25),2)</f>
        <v>16.350000000000001</v>
      </c>
    </row>
    <row r="220" spans="1:107" x14ac:dyDescent="0.2">
      <c r="A220">
        <f>ROW(Source!A142)</f>
        <v>142</v>
      </c>
      <c r="B220">
        <v>16748969</v>
      </c>
      <c r="C220">
        <v>16750314</v>
      </c>
      <c r="D220">
        <v>15167286</v>
      </c>
      <c r="E220">
        <v>1</v>
      </c>
      <c r="F220">
        <v>1</v>
      </c>
      <c r="G220">
        <v>1</v>
      </c>
      <c r="H220">
        <v>3</v>
      </c>
      <c r="I220" t="s">
        <v>1079</v>
      </c>
      <c r="J220" t="s">
        <v>1080</v>
      </c>
      <c r="K220" t="s">
        <v>1081</v>
      </c>
      <c r="L220">
        <v>1339</v>
      </c>
      <c r="N220">
        <v>1007</v>
      </c>
      <c r="O220" t="s">
        <v>283</v>
      </c>
      <c r="P220" t="s">
        <v>283</v>
      </c>
      <c r="Q220">
        <v>1</v>
      </c>
      <c r="W220">
        <v>0</v>
      </c>
      <c r="X220">
        <v>-1660354250</v>
      </c>
      <c r="Y220">
        <v>0.93</v>
      </c>
      <c r="AA220">
        <v>16.010000000000002</v>
      </c>
      <c r="AB220">
        <v>0</v>
      </c>
      <c r="AC220">
        <v>0</v>
      </c>
      <c r="AD220">
        <v>0</v>
      </c>
      <c r="AE220">
        <v>2.44</v>
      </c>
      <c r="AF220">
        <v>0</v>
      </c>
      <c r="AG220">
        <v>0</v>
      </c>
      <c r="AH220">
        <v>0</v>
      </c>
      <c r="AI220">
        <v>6.56</v>
      </c>
      <c r="AJ220">
        <v>1</v>
      </c>
      <c r="AK220">
        <v>1</v>
      </c>
      <c r="AL220">
        <v>1</v>
      </c>
      <c r="AN220">
        <v>0</v>
      </c>
      <c r="AO220">
        <v>1</v>
      </c>
      <c r="AP220">
        <v>0</v>
      </c>
      <c r="AQ220">
        <v>0</v>
      </c>
      <c r="AR220">
        <v>0</v>
      </c>
      <c r="AS220" t="s">
        <v>6</v>
      </c>
      <c r="AT220">
        <v>0.93</v>
      </c>
      <c r="AU220" t="s">
        <v>6</v>
      </c>
      <c r="AV220">
        <v>0</v>
      </c>
      <c r="AW220">
        <v>2</v>
      </c>
      <c r="AX220">
        <v>16750333</v>
      </c>
      <c r="AY220">
        <v>1</v>
      </c>
      <c r="AZ220">
        <v>0</v>
      </c>
      <c r="BA220">
        <v>212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CX220">
        <f>Y220*Source!I142</f>
        <v>0.55800000000000005</v>
      </c>
      <c r="CY220">
        <f t="shared" ref="CY220:CY227" si="42">AA220</f>
        <v>16.010000000000002</v>
      </c>
      <c r="CZ220">
        <f t="shared" ref="CZ220:CZ227" si="43">AE220</f>
        <v>2.44</v>
      </c>
      <c r="DA220">
        <f t="shared" ref="DA220:DA227" si="44">AI220</f>
        <v>6.56</v>
      </c>
      <c r="DB220">
        <f t="shared" ref="DB220:DB227" si="45">ROUND(ROUND(AT220*CZ220,2),2)</f>
        <v>2.27</v>
      </c>
      <c r="DC220">
        <f t="shared" ref="DC220:DC227" si="46">ROUND(ROUND(AT220*AG220,2),2)</f>
        <v>0</v>
      </c>
    </row>
    <row r="221" spans="1:107" x14ac:dyDescent="0.2">
      <c r="A221">
        <f>ROW(Source!A142)</f>
        <v>142</v>
      </c>
      <c r="B221">
        <v>16748969</v>
      </c>
      <c r="C221">
        <v>16750314</v>
      </c>
      <c r="D221">
        <v>15171018</v>
      </c>
      <c r="E221">
        <v>1</v>
      </c>
      <c r="F221">
        <v>1</v>
      </c>
      <c r="G221">
        <v>1</v>
      </c>
      <c r="H221">
        <v>3</v>
      </c>
      <c r="I221" t="s">
        <v>1168</v>
      </c>
      <c r="J221" t="s">
        <v>1169</v>
      </c>
      <c r="K221" t="s">
        <v>1170</v>
      </c>
      <c r="L221">
        <v>1346</v>
      </c>
      <c r="N221">
        <v>1009</v>
      </c>
      <c r="O221" t="s">
        <v>323</v>
      </c>
      <c r="P221" t="s">
        <v>323</v>
      </c>
      <c r="Q221">
        <v>1</v>
      </c>
      <c r="W221">
        <v>0</v>
      </c>
      <c r="X221">
        <v>813963326</v>
      </c>
      <c r="Y221">
        <v>0.5</v>
      </c>
      <c r="AA221">
        <v>11.94</v>
      </c>
      <c r="AB221">
        <v>0</v>
      </c>
      <c r="AC221">
        <v>0</v>
      </c>
      <c r="AD221">
        <v>0</v>
      </c>
      <c r="AE221">
        <v>1.82</v>
      </c>
      <c r="AF221">
        <v>0</v>
      </c>
      <c r="AG221">
        <v>0</v>
      </c>
      <c r="AH221">
        <v>0</v>
      </c>
      <c r="AI221">
        <v>6.56</v>
      </c>
      <c r="AJ221">
        <v>1</v>
      </c>
      <c r="AK221">
        <v>1</v>
      </c>
      <c r="AL221">
        <v>1</v>
      </c>
      <c r="AN221">
        <v>0</v>
      </c>
      <c r="AO221">
        <v>1</v>
      </c>
      <c r="AP221">
        <v>0</v>
      </c>
      <c r="AQ221">
        <v>0</v>
      </c>
      <c r="AR221">
        <v>0</v>
      </c>
      <c r="AS221" t="s">
        <v>6</v>
      </c>
      <c r="AT221">
        <v>0.5</v>
      </c>
      <c r="AU221" t="s">
        <v>6</v>
      </c>
      <c r="AV221">
        <v>0</v>
      </c>
      <c r="AW221">
        <v>2</v>
      </c>
      <c r="AX221">
        <v>16750334</v>
      </c>
      <c r="AY221">
        <v>1</v>
      </c>
      <c r="AZ221">
        <v>0</v>
      </c>
      <c r="BA221">
        <v>213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CX221">
        <f>Y221*Source!I142</f>
        <v>0.3</v>
      </c>
      <c r="CY221">
        <f t="shared" si="42"/>
        <v>11.94</v>
      </c>
      <c r="CZ221">
        <f t="shared" si="43"/>
        <v>1.82</v>
      </c>
      <c r="DA221">
        <f t="shared" si="44"/>
        <v>6.56</v>
      </c>
      <c r="DB221">
        <f t="shared" si="45"/>
        <v>0.91</v>
      </c>
      <c r="DC221">
        <f t="shared" si="46"/>
        <v>0</v>
      </c>
    </row>
    <row r="222" spans="1:107" x14ac:dyDescent="0.2">
      <c r="A222">
        <f>ROW(Source!A142)</f>
        <v>142</v>
      </c>
      <c r="B222">
        <v>16748969</v>
      </c>
      <c r="C222">
        <v>16750314</v>
      </c>
      <c r="D222">
        <v>15162949</v>
      </c>
      <c r="E222">
        <v>17</v>
      </c>
      <c r="F222">
        <v>1</v>
      </c>
      <c r="G222">
        <v>1</v>
      </c>
      <c r="H222">
        <v>3</v>
      </c>
      <c r="I222" t="s">
        <v>343</v>
      </c>
      <c r="J222" t="s">
        <v>6</v>
      </c>
      <c r="K222" t="s">
        <v>397</v>
      </c>
      <c r="L222">
        <v>1348</v>
      </c>
      <c r="N222">
        <v>1009</v>
      </c>
      <c r="O222" t="s">
        <v>71</v>
      </c>
      <c r="P222" t="s">
        <v>71</v>
      </c>
      <c r="Q222">
        <v>1000</v>
      </c>
      <c r="W222">
        <v>0</v>
      </c>
      <c r="X222">
        <v>1531120620</v>
      </c>
      <c r="Y222">
        <v>0.05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6.56</v>
      </c>
      <c r="AJ222">
        <v>1</v>
      </c>
      <c r="AK222">
        <v>1</v>
      </c>
      <c r="AL222">
        <v>1</v>
      </c>
      <c r="AN222">
        <v>0</v>
      </c>
      <c r="AO222">
        <v>0</v>
      </c>
      <c r="AP222">
        <v>0</v>
      </c>
      <c r="AQ222">
        <v>0</v>
      </c>
      <c r="AR222">
        <v>0</v>
      </c>
      <c r="AS222" t="s">
        <v>6</v>
      </c>
      <c r="AT222">
        <v>0.05</v>
      </c>
      <c r="AU222" t="s">
        <v>6</v>
      </c>
      <c r="AV222">
        <v>0</v>
      </c>
      <c r="AW222">
        <v>2</v>
      </c>
      <c r="AX222">
        <v>16750335</v>
      </c>
      <c r="AY222">
        <v>1</v>
      </c>
      <c r="AZ222">
        <v>0</v>
      </c>
      <c r="BA222">
        <v>214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CX222">
        <f>Y222*Source!I142</f>
        <v>0.03</v>
      </c>
      <c r="CY222">
        <f t="shared" si="42"/>
        <v>0</v>
      </c>
      <c r="CZ222">
        <f t="shared" si="43"/>
        <v>0</v>
      </c>
      <c r="DA222">
        <f t="shared" si="44"/>
        <v>6.56</v>
      </c>
      <c r="DB222">
        <f t="shared" si="45"/>
        <v>0</v>
      </c>
      <c r="DC222">
        <f t="shared" si="46"/>
        <v>0</v>
      </c>
    </row>
    <row r="223" spans="1:107" x14ac:dyDescent="0.2">
      <c r="A223">
        <f>ROW(Source!A142)</f>
        <v>142</v>
      </c>
      <c r="B223">
        <v>16748969</v>
      </c>
      <c r="C223">
        <v>16750314</v>
      </c>
      <c r="D223">
        <v>15173093</v>
      </c>
      <c r="E223">
        <v>1</v>
      </c>
      <c r="F223">
        <v>1</v>
      </c>
      <c r="G223">
        <v>1</v>
      </c>
      <c r="H223">
        <v>3</v>
      </c>
      <c r="I223" t="s">
        <v>399</v>
      </c>
      <c r="J223" t="s">
        <v>401</v>
      </c>
      <c r="K223" t="s">
        <v>400</v>
      </c>
      <c r="L223">
        <v>1348</v>
      </c>
      <c r="N223">
        <v>1009</v>
      </c>
      <c r="O223" t="s">
        <v>71</v>
      </c>
      <c r="P223" t="s">
        <v>71</v>
      </c>
      <c r="Q223">
        <v>1000</v>
      </c>
      <c r="W223">
        <v>0</v>
      </c>
      <c r="X223">
        <v>-195795605</v>
      </c>
      <c r="Y223">
        <v>0.05</v>
      </c>
      <c r="AA223">
        <v>59040</v>
      </c>
      <c r="AB223">
        <v>0</v>
      </c>
      <c r="AC223">
        <v>0</v>
      </c>
      <c r="AD223">
        <v>0</v>
      </c>
      <c r="AE223">
        <v>9000</v>
      </c>
      <c r="AF223">
        <v>0</v>
      </c>
      <c r="AG223">
        <v>0</v>
      </c>
      <c r="AH223">
        <v>0</v>
      </c>
      <c r="AI223">
        <v>6.56</v>
      </c>
      <c r="AJ223">
        <v>1</v>
      </c>
      <c r="AK223">
        <v>1</v>
      </c>
      <c r="AL223">
        <v>1</v>
      </c>
      <c r="AN223">
        <v>0</v>
      </c>
      <c r="AO223">
        <v>0</v>
      </c>
      <c r="AP223">
        <v>0</v>
      </c>
      <c r="AQ223">
        <v>0</v>
      </c>
      <c r="AR223">
        <v>0</v>
      </c>
      <c r="AS223" t="s">
        <v>6</v>
      </c>
      <c r="AT223">
        <v>0.05</v>
      </c>
      <c r="AU223" t="s">
        <v>6</v>
      </c>
      <c r="AV223">
        <v>0</v>
      </c>
      <c r="AW223">
        <v>1</v>
      </c>
      <c r="AX223">
        <v>-1</v>
      </c>
      <c r="AY223">
        <v>0</v>
      </c>
      <c r="AZ223">
        <v>0</v>
      </c>
      <c r="BA223" t="s">
        <v>6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CX223">
        <f>Y223*Source!I142</f>
        <v>0.03</v>
      </c>
      <c r="CY223">
        <f t="shared" si="42"/>
        <v>59040</v>
      </c>
      <c r="CZ223">
        <f t="shared" si="43"/>
        <v>9000</v>
      </c>
      <c r="DA223">
        <f t="shared" si="44"/>
        <v>6.56</v>
      </c>
      <c r="DB223">
        <f t="shared" si="45"/>
        <v>450</v>
      </c>
      <c r="DC223">
        <f t="shared" si="46"/>
        <v>0</v>
      </c>
    </row>
    <row r="224" spans="1:107" x14ac:dyDescent="0.2">
      <c r="A224">
        <f>ROW(Source!A142)</f>
        <v>142</v>
      </c>
      <c r="B224">
        <v>16748969</v>
      </c>
      <c r="C224">
        <v>16750314</v>
      </c>
      <c r="D224">
        <v>15186985</v>
      </c>
      <c r="E224">
        <v>1</v>
      </c>
      <c r="F224">
        <v>1</v>
      </c>
      <c r="G224">
        <v>1</v>
      </c>
      <c r="H224">
        <v>3</v>
      </c>
      <c r="I224" t="s">
        <v>403</v>
      </c>
      <c r="J224" t="s">
        <v>405</v>
      </c>
      <c r="K224" t="s">
        <v>404</v>
      </c>
      <c r="L224">
        <v>1327</v>
      </c>
      <c r="N224">
        <v>1005</v>
      </c>
      <c r="O224" t="s">
        <v>89</v>
      </c>
      <c r="P224" t="s">
        <v>89</v>
      </c>
      <c r="Q224">
        <v>1</v>
      </c>
      <c r="W224">
        <v>0</v>
      </c>
      <c r="X224">
        <v>-1231952768</v>
      </c>
      <c r="Y224">
        <v>100</v>
      </c>
      <c r="AA224">
        <v>709.27</v>
      </c>
      <c r="AB224">
        <v>0</v>
      </c>
      <c r="AC224">
        <v>0</v>
      </c>
      <c r="AD224">
        <v>0</v>
      </c>
      <c r="AE224">
        <v>108.12</v>
      </c>
      <c r="AF224">
        <v>0</v>
      </c>
      <c r="AG224">
        <v>0</v>
      </c>
      <c r="AH224">
        <v>0</v>
      </c>
      <c r="AI224">
        <v>6.56</v>
      </c>
      <c r="AJ224">
        <v>1</v>
      </c>
      <c r="AK224">
        <v>1</v>
      </c>
      <c r="AL224">
        <v>1</v>
      </c>
      <c r="AN224">
        <v>0</v>
      </c>
      <c r="AO224">
        <v>0</v>
      </c>
      <c r="AP224">
        <v>0</v>
      </c>
      <c r="AQ224">
        <v>0</v>
      </c>
      <c r="AR224">
        <v>0</v>
      </c>
      <c r="AS224" t="s">
        <v>6</v>
      </c>
      <c r="AT224">
        <v>100</v>
      </c>
      <c r="AU224" t="s">
        <v>6</v>
      </c>
      <c r="AV224">
        <v>0</v>
      </c>
      <c r="AW224">
        <v>1</v>
      </c>
      <c r="AX224">
        <v>-1</v>
      </c>
      <c r="AY224">
        <v>0</v>
      </c>
      <c r="AZ224">
        <v>0</v>
      </c>
      <c r="BA224" t="s">
        <v>6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CX224">
        <f>Y224*Source!I142</f>
        <v>60</v>
      </c>
      <c r="CY224">
        <f t="shared" si="42"/>
        <v>709.27</v>
      </c>
      <c r="CZ224">
        <f t="shared" si="43"/>
        <v>108.12</v>
      </c>
      <c r="DA224">
        <f t="shared" si="44"/>
        <v>6.56</v>
      </c>
      <c r="DB224">
        <f t="shared" si="45"/>
        <v>10812</v>
      </c>
      <c r="DC224">
        <f t="shared" si="46"/>
        <v>0</v>
      </c>
    </row>
    <row r="225" spans="1:107" x14ac:dyDescent="0.2">
      <c r="A225">
        <f>ROW(Source!A142)</f>
        <v>142</v>
      </c>
      <c r="B225">
        <v>16748969</v>
      </c>
      <c r="C225">
        <v>16750314</v>
      </c>
      <c r="D225">
        <v>15162946</v>
      </c>
      <c r="E225">
        <v>17</v>
      </c>
      <c r="F225">
        <v>1</v>
      </c>
      <c r="G225">
        <v>1</v>
      </c>
      <c r="H225">
        <v>3</v>
      </c>
      <c r="I225" t="s">
        <v>411</v>
      </c>
      <c r="J225" t="s">
        <v>6</v>
      </c>
      <c r="K225" t="s">
        <v>412</v>
      </c>
      <c r="L225">
        <v>1327</v>
      </c>
      <c r="N225">
        <v>1005</v>
      </c>
      <c r="O225" t="s">
        <v>89</v>
      </c>
      <c r="P225" t="s">
        <v>89</v>
      </c>
      <c r="Q225">
        <v>1</v>
      </c>
      <c r="W225">
        <v>0</v>
      </c>
      <c r="X225">
        <v>1109111119</v>
      </c>
      <c r="Y225">
        <v>100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0</v>
      </c>
      <c r="AI225">
        <v>6.56</v>
      </c>
      <c r="AJ225">
        <v>1</v>
      </c>
      <c r="AK225">
        <v>1</v>
      </c>
      <c r="AL225">
        <v>1</v>
      </c>
      <c r="AN225">
        <v>0</v>
      </c>
      <c r="AO225">
        <v>0</v>
      </c>
      <c r="AP225">
        <v>0</v>
      </c>
      <c r="AQ225">
        <v>0</v>
      </c>
      <c r="AR225">
        <v>0</v>
      </c>
      <c r="AS225" t="s">
        <v>6</v>
      </c>
      <c r="AT225">
        <v>100</v>
      </c>
      <c r="AU225" t="s">
        <v>6</v>
      </c>
      <c r="AV225">
        <v>0</v>
      </c>
      <c r="AW225">
        <v>2</v>
      </c>
      <c r="AX225">
        <v>16750336</v>
      </c>
      <c r="AY225">
        <v>1</v>
      </c>
      <c r="AZ225">
        <v>0</v>
      </c>
      <c r="BA225">
        <v>215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CX225">
        <f>Y225*Source!I142</f>
        <v>60</v>
      </c>
      <c r="CY225">
        <f t="shared" si="42"/>
        <v>0</v>
      </c>
      <c r="CZ225">
        <f t="shared" si="43"/>
        <v>0</v>
      </c>
      <c r="DA225">
        <f t="shared" si="44"/>
        <v>6.56</v>
      </c>
      <c r="DB225">
        <f t="shared" si="45"/>
        <v>0</v>
      </c>
      <c r="DC225">
        <f t="shared" si="46"/>
        <v>0</v>
      </c>
    </row>
    <row r="226" spans="1:107" x14ac:dyDescent="0.2">
      <c r="A226">
        <f>ROW(Source!A142)</f>
        <v>142</v>
      </c>
      <c r="B226">
        <v>16748969</v>
      </c>
      <c r="C226">
        <v>16750314</v>
      </c>
      <c r="D226">
        <v>15162952</v>
      </c>
      <c r="E226">
        <v>17</v>
      </c>
      <c r="F226">
        <v>1</v>
      </c>
      <c r="G226">
        <v>1</v>
      </c>
      <c r="H226">
        <v>3</v>
      </c>
      <c r="I226" t="s">
        <v>414</v>
      </c>
      <c r="J226" t="s">
        <v>6</v>
      </c>
      <c r="K226" t="s">
        <v>415</v>
      </c>
      <c r="L226">
        <v>1348</v>
      </c>
      <c r="N226">
        <v>1009</v>
      </c>
      <c r="O226" t="s">
        <v>71</v>
      </c>
      <c r="P226" t="s">
        <v>71</v>
      </c>
      <c r="Q226">
        <v>1000</v>
      </c>
      <c r="W226">
        <v>0</v>
      </c>
      <c r="X226">
        <v>-1969728098</v>
      </c>
      <c r="Y226">
        <v>0.375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0</v>
      </c>
      <c r="AH226">
        <v>0</v>
      </c>
      <c r="AI226">
        <v>6.56</v>
      </c>
      <c r="AJ226">
        <v>1</v>
      </c>
      <c r="AK226">
        <v>1</v>
      </c>
      <c r="AL226">
        <v>1</v>
      </c>
      <c r="AN226">
        <v>0</v>
      </c>
      <c r="AO226">
        <v>0</v>
      </c>
      <c r="AP226">
        <v>0</v>
      </c>
      <c r="AQ226">
        <v>0</v>
      </c>
      <c r="AR226">
        <v>0</v>
      </c>
      <c r="AS226" t="s">
        <v>6</v>
      </c>
      <c r="AT226">
        <v>0.375</v>
      </c>
      <c r="AU226" t="s">
        <v>6</v>
      </c>
      <c r="AV226">
        <v>0</v>
      </c>
      <c r="AW226">
        <v>2</v>
      </c>
      <c r="AX226">
        <v>16750337</v>
      </c>
      <c r="AY226">
        <v>1</v>
      </c>
      <c r="AZ226">
        <v>0</v>
      </c>
      <c r="BA226">
        <v>216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CX226">
        <f>Y226*Source!I142</f>
        <v>0.22499999999999998</v>
      </c>
      <c r="CY226">
        <f t="shared" si="42"/>
        <v>0</v>
      </c>
      <c r="CZ226">
        <f t="shared" si="43"/>
        <v>0</v>
      </c>
      <c r="DA226">
        <f t="shared" si="44"/>
        <v>6.56</v>
      </c>
      <c r="DB226">
        <f t="shared" si="45"/>
        <v>0</v>
      </c>
      <c r="DC226">
        <f t="shared" si="46"/>
        <v>0</v>
      </c>
    </row>
    <row r="227" spans="1:107" x14ac:dyDescent="0.2">
      <c r="A227">
        <f>ROW(Source!A142)</f>
        <v>142</v>
      </c>
      <c r="B227">
        <v>16748969</v>
      </c>
      <c r="C227">
        <v>16750314</v>
      </c>
      <c r="D227">
        <v>15202559</v>
      </c>
      <c r="E227">
        <v>1</v>
      </c>
      <c r="F227">
        <v>1</v>
      </c>
      <c r="G227">
        <v>1</v>
      </c>
      <c r="H227">
        <v>3</v>
      </c>
      <c r="I227" t="s">
        <v>407</v>
      </c>
      <c r="J227" t="s">
        <v>409</v>
      </c>
      <c r="K227" t="s">
        <v>408</v>
      </c>
      <c r="L227">
        <v>1348</v>
      </c>
      <c r="N227">
        <v>1009</v>
      </c>
      <c r="O227" t="s">
        <v>71</v>
      </c>
      <c r="P227" t="s">
        <v>71</v>
      </c>
      <c r="Q227">
        <v>1000</v>
      </c>
      <c r="W227">
        <v>0</v>
      </c>
      <c r="X227">
        <v>43784864</v>
      </c>
      <c r="Y227">
        <v>0.375</v>
      </c>
      <c r="AA227">
        <v>36786.379999999997</v>
      </c>
      <c r="AB227">
        <v>0</v>
      </c>
      <c r="AC227">
        <v>0</v>
      </c>
      <c r="AD227">
        <v>0</v>
      </c>
      <c r="AE227">
        <v>5607.68</v>
      </c>
      <c r="AF227">
        <v>0</v>
      </c>
      <c r="AG227">
        <v>0</v>
      </c>
      <c r="AH227">
        <v>0</v>
      </c>
      <c r="AI227">
        <v>6.56</v>
      </c>
      <c r="AJ227">
        <v>1</v>
      </c>
      <c r="AK227">
        <v>1</v>
      </c>
      <c r="AL227">
        <v>1</v>
      </c>
      <c r="AN227">
        <v>0</v>
      </c>
      <c r="AO227">
        <v>0</v>
      </c>
      <c r="AP227">
        <v>0</v>
      </c>
      <c r="AQ227">
        <v>0</v>
      </c>
      <c r="AR227">
        <v>0</v>
      </c>
      <c r="AS227" t="s">
        <v>6</v>
      </c>
      <c r="AT227">
        <v>0.375</v>
      </c>
      <c r="AU227" t="s">
        <v>6</v>
      </c>
      <c r="AV227">
        <v>0</v>
      </c>
      <c r="AW227">
        <v>1</v>
      </c>
      <c r="AX227">
        <v>-1</v>
      </c>
      <c r="AY227">
        <v>0</v>
      </c>
      <c r="AZ227">
        <v>0</v>
      </c>
      <c r="BA227" t="s">
        <v>6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CX227">
        <f>Y227*Source!I142</f>
        <v>0.22499999999999998</v>
      </c>
      <c r="CY227">
        <f t="shared" si="42"/>
        <v>36786.379999999997</v>
      </c>
      <c r="CZ227">
        <f t="shared" si="43"/>
        <v>5607.68</v>
      </c>
      <c r="DA227">
        <f t="shared" si="44"/>
        <v>6.56</v>
      </c>
      <c r="DB227">
        <f t="shared" si="45"/>
        <v>2102.88</v>
      </c>
      <c r="DC227">
        <f t="shared" si="46"/>
        <v>0</v>
      </c>
    </row>
    <row r="228" spans="1:107" x14ac:dyDescent="0.2">
      <c r="A228">
        <f>ROW(Source!A149)</f>
        <v>149</v>
      </c>
      <c r="B228">
        <v>16748969</v>
      </c>
      <c r="C228">
        <v>16750344</v>
      </c>
      <c r="D228">
        <v>15438406</v>
      </c>
      <c r="E228">
        <v>1</v>
      </c>
      <c r="F228">
        <v>1</v>
      </c>
      <c r="G228">
        <v>1</v>
      </c>
      <c r="H228">
        <v>1</v>
      </c>
      <c r="I228" t="s">
        <v>1284</v>
      </c>
      <c r="J228" t="s">
        <v>6</v>
      </c>
      <c r="K228" t="s">
        <v>1285</v>
      </c>
      <c r="L228">
        <v>1191</v>
      </c>
      <c r="N228">
        <v>1013</v>
      </c>
      <c r="O228" t="s">
        <v>1072</v>
      </c>
      <c r="P228" t="s">
        <v>1072</v>
      </c>
      <c r="Q228">
        <v>1</v>
      </c>
      <c r="W228">
        <v>0</v>
      </c>
      <c r="X228">
        <v>1799141607</v>
      </c>
      <c r="Y228">
        <v>1.4489999999999998</v>
      </c>
      <c r="AA228">
        <v>0</v>
      </c>
      <c r="AB228">
        <v>0</v>
      </c>
      <c r="AC228">
        <v>0</v>
      </c>
      <c r="AD228">
        <v>66.98</v>
      </c>
      <c r="AE228">
        <v>0</v>
      </c>
      <c r="AF228">
        <v>0</v>
      </c>
      <c r="AG228">
        <v>0</v>
      </c>
      <c r="AH228">
        <v>10.210000000000001</v>
      </c>
      <c r="AI228">
        <v>1</v>
      </c>
      <c r="AJ228">
        <v>1</v>
      </c>
      <c r="AK228">
        <v>1</v>
      </c>
      <c r="AL228">
        <v>6.56</v>
      </c>
      <c r="AN228">
        <v>0</v>
      </c>
      <c r="AO228">
        <v>1</v>
      </c>
      <c r="AP228">
        <v>1</v>
      </c>
      <c r="AQ228">
        <v>0</v>
      </c>
      <c r="AR228">
        <v>0</v>
      </c>
      <c r="AS228" t="s">
        <v>6</v>
      </c>
      <c r="AT228">
        <v>1.26</v>
      </c>
      <c r="AU228" t="s">
        <v>173</v>
      </c>
      <c r="AV228">
        <v>1</v>
      </c>
      <c r="AW228">
        <v>2</v>
      </c>
      <c r="AX228">
        <v>16750353</v>
      </c>
      <c r="AY228">
        <v>1</v>
      </c>
      <c r="AZ228">
        <v>0</v>
      </c>
      <c r="BA228">
        <v>217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CX228">
        <f>Y228*Source!I149</f>
        <v>1.4489999999999998</v>
      </c>
      <c r="CY228">
        <f>AD228</f>
        <v>66.98</v>
      </c>
      <c r="CZ228">
        <f>AH228</f>
        <v>10.210000000000001</v>
      </c>
      <c r="DA228">
        <f>AL228</f>
        <v>6.56</v>
      </c>
      <c r="DB228">
        <f>ROUND((ROUND(AT228*CZ228,2)*1.15),2)</f>
        <v>14.79</v>
      </c>
      <c r="DC228">
        <f>ROUND((ROUND(AT228*AG228,2)*1.15),2)</f>
        <v>0</v>
      </c>
    </row>
    <row r="229" spans="1:107" x14ac:dyDescent="0.2">
      <c r="A229">
        <f>ROW(Source!A149)</f>
        <v>149</v>
      </c>
      <c r="B229">
        <v>16748969</v>
      </c>
      <c r="C229">
        <v>16750344</v>
      </c>
      <c r="D229">
        <v>15430395</v>
      </c>
      <c r="E229">
        <v>1</v>
      </c>
      <c r="F229">
        <v>1</v>
      </c>
      <c r="G229">
        <v>1</v>
      </c>
      <c r="H229">
        <v>1</v>
      </c>
      <c r="I229" t="s">
        <v>1073</v>
      </c>
      <c r="J229" t="s">
        <v>6</v>
      </c>
      <c r="K229" t="s">
        <v>1074</v>
      </c>
      <c r="L229">
        <v>1191</v>
      </c>
      <c r="N229">
        <v>1013</v>
      </c>
      <c r="O229" t="s">
        <v>1072</v>
      </c>
      <c r="P229" t="s">
        <v>1072</v>
      </c>
      <c r="Q229">
        <v>1</v>
      </c>
      <c r="W229">
        <v>0</v>
      </c>
      <c r="X229">
        <v>-1417349443</v>
      </c>
      <c r="Y229">
        <v>0.04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v>0</v>
      </c>
      <c r="AH229">
        <v>0</v>
      </c>
      <c r="AI229">
        <v>1</v>
      </c>
      <c r="AJ229">
        <v>1</v>
      </c>
      <c r="AK229">
        <v>6.56</v>
      </c>
      <c r="AL229">
        <v>1</v>
      </c>
      <c r="AN229">
        <v>0</v>
      </c>
      <c r="AO229">
        <v>1</v>
      </c>
      <c r="AP229">
        <v>0</v>
      </c>
      <c r="AQ229">
        <v>0</v>
      </c>
      <c r="AR229">
        <v>0</v>
      </c>
      <c r="AS229" t="s">
        <v>6</v>
      </c>
      <c r="AT229">
        <v>0.04</v>
      </c>
      <c r="AU229" t="s">
        <v>6</v>
      </c>
      <c r="AV229">
        <v>2</v>
      </c>
      <c r="AW229">
        <v>2</v>
      </c>
      <c r="AX229">
        <v>16750354</v>
      </c>
      <c r="AY229">
        <v>1</v>
      </c>
      <c r="AZ229">
        <v>2048</v>
      </c>
      <c r="BA229">
        <v>218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CX229">
        <f>Y229*Source!I149</f>
        <v>0.04</v>
      </c>
      <c r="CY229">
        <f>AD229</f>
        <v>0</v>
      </c>
      <c r="CZ229">
        <f>AH229</f>
        <v>0</v>
      </c>
      <c r="DA229">
        <f>AL229</f>
        <v>1</v>
      </c>
      <c r="DB229">
        <f>ROUND(ROUND(AT229*CZ229,2),2)</f>
        <v>0</v>
      </c>
      <c r="DC229">
        <f>ROUND(ROUND(AT229*AG229,2),2)</f>
        <v>0</v>
      </c>
    </row>
    <row r="230" spans="1:107" x14ac:dyDescent="0.2">
      <c r="A230">
        <f>ROW(Source!A149)</f>
        <v>149</v>
      </c>
      <c r="B230">
        <v>16748969</v>
      </c>
      <c r="C230">
        <v>16750344</v>
      </c>
      <c r="D230">
        <v>15249073</v>
      </c>
      <c r="E230">
        <v>1</v>
      </c>
      <c r="F230">
        <v>1</v>
      </c>
      <c r="G230">
        <v>1</v>
      </c>
      <c r="H230">
        <v>2</v>
      </c>
      <c r="I230" t="s">
        <v>1097</v>
      </c>
      <c r="J230" t="s">
        <v>1098</v>
      </c>
      <c r="K230" t="s">
        <v>1099</v>
      </c>
      <c r="L230">
        <v>1368</v>
      </c>
      <c r="N230">
        <v>1011</v>
      </c>
      <c r="O230" t="s">
        <v>1078</v>
      </c>
      <c r="P230" t="s">
        <v>1078</v>
      </c>
      <c r="Q230">
        <v>1</v>
      </c>
      <c r="W230">
        <v>0</v>
      </c>
      <c r="X230">
        <v>1372534845</v>
      </c>
      <c r="Y230">
        <v>0.05</v>
      </c>
      <c r="AA230">
        <v>0</v>
      </c>
      <c r="AB230">
        <v>431.06</v>
      </c>
      <c r="AC230">
        <v>11.6</v>
      </c>
      <c r="AD230">
        <v>0</v>
      </c>
      <c r="AE230">
        <v>0</v>
      </c>
      <c r="AF230">
        <v>65.709999999999994</v>
      </c>
      <c r="AG230">
        <v>11.6</v>
      </c>
      <c r="AH230">
        <v>0</v>
      </c>
      <c r="AI230">
        <v>1</v>
      </c>
      <c r="AJ230">
        <v>6.56</v>
      </c>
      <c r="AK230">
        <v>1</v>
      </c>
      <c r="AL230">
        <v>1</v>
      </c>
      <c r="AN230">
        <v>0</v>
      </c>
      <c r="AO230">
        <v>1</v>
      </c>
      <c r="AP230">
        <v>1</v>
      </c>
      <c r="AQ230">
        <v>0</v>
      </c>
      <c r="AR230">
        <v>0</v>
      </c>
      <c r="AS230" t="s">
        <v>6</v>
      </c>
      <c r="AT230">
        <v>0.04</v>
      </c>
      <c r="AU230" t="s">
        <v>172</v>
      </c>
      <c r="AV230">
        <v>0</v>
      </c>
      <c r="AW230">
        <v>2</v>
      </c>
      <c r="AX230">
        <v>16750355</v>
      </c>
      <c r="AY230">
        <v>1</v>
      </c>
      <c r="AZ230">
        <v>0</v>
      </c>
      <c r="BA230">
        <v>219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CX230">
        <f>Y230*Source!I149</f>
        <v>0.05</v>
      </c>
      <c r="CY230">
        <f>AB230</f>
        <v>431.06</v>
      </c>
      <c r="CZ230">
        <f>AF230</f>
        <v>65.709999999999994</v>
      </c>
      <c r="DA230">
        <f>AJ230</f>
        <v>6.56</v>
      </c>
      <c r="DB230">
        <f>ROUND((ROUND(AT230*CZ230,2)*1.25),2)</f>
        <v>3.29</v>
      </c>
      <c r="DC230">
        <f>ROUND((ROUND(AT230*AG230,2)*1.25),2)</f>
        <v>0.57999999999999996</v>
      </c>
    </row>
    <row r="231" spans="1:107" x14ac:dyDescent="0.2">
      <c r="A231">
        <f>ROW(Source!A149)</f>
        <v>149</v>
      </c>
      <c r="B231">
        <v>16748969</v>
      </c>
      <c r="C231">
        <v>16750344</v>
      </c>
      <c r="D231">
        <v>15249377</v>
      </c>
      <c r="E231">
        <v>1</v>
      </c>
      <c r="F231">
        <v>1</v>
      </c>
      <c r="G231">
        <v>1</v>
      </c>
      <c r="H231">
        <v>2</v>
      </c>
      <c r="I231" t="s">
        <v>1100</v>
      </c>
      <c r="J231" t="s">
        <v>1101</v>
      </c>
      <c r="K231" t="s">
        <v>1102</v>
      </c>
      <c r="L231">
        <v>1368</v>
      </c>
      <c r="N231">
        <v>1011</v>
      </c>
      <c r="O231" t="s">
        <v>1078</v>
      </c>
      <c r="P231" t="s">
        <v>1078</v>
      </c>
      <c r="Q231">
        <v>1</v>
      </c>
      <c r="W231">
        <v>0</v>
      </c>
      <c r="X231">
        <v>-353815937</v>
      </c>
      <c r="Y231">
        <v>0.71249999999999991</v>
      </c>
      <c r="AA231">
        <v>0</v>
      </c>
      <c r="AB231">
        <v>53.14</v>
      </c>
      <c r="AC231">
        <v>0</v>
      </c>
      <c r="AD231">
        <v>0</v>
      </c>
      <c r="AE231">
        <v>0</v>
      </c>
      <c r="AF231">
        <v>8.1</v>
      </c>
      <c r="AG231">
        <v>0</v>
      </c>
      <c r="AH231">
        <v>0</v>
      </c>
      <c r="AI231">
        <v>1</v>
      </c>
      <c r="AJ231">
        <v>6.56</v>
      </c>
      <c r="AK231">
        <v>1</v>
      </c>
      <c r="AL231">
        <v>1</v>
      </c>
      <c r="AN231">
        <v>0</v>
      </c>
      <c r="AO231">
        <v>1</v>
      </c>
      <c r="AP231">
        <v>1</v>
      </c>
      <c r="AQ231">
        <v>0</v>
      </c>
      <c r="AR231">
        <v>0</v>
      </c>
      <c r="AS231" t="s">
        <v>6</v>
      </c>
      <c r="AT231">
        <v>0.56999999999999995</v>
      </c>
      <c r="AU231" t="s">
        <v>172</v>
      </c>
      <c r="AV231">
        <v>0</v>
      </c>
      <c r="AW231">
        <v>2</v>
      </c>
      <c r="AX231">
        <v>16750356</v>
      </c>
      <c r="AY231">
        <v>1</v>
      </c>
      <c r="AZ231">
        <v>0</v>
      </c>
      <c r="BA231">
        <v>220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  <c r="CX231">
        <f>Y231*Source!I149</f>
        <v>0.71249999999999991</v>
      </c>
      <c r="CY231">
        <f>AB231</f>
        <v>53.14</v>
      </c>
      <c r="CZ231">
        <f>AF231</f>
        <v>8.1</v>
      </c>
      <c r="DA231">
        <f>AJ231</f>
        <v>6.56</v>
      </c>
      <c r="DB231">
        <f>ROUND((ROUND(AT231*CZ231,2)*1.25),2)</f>
        <v>5.78</v>
      </c>
      <c r="DC231">
        <f>ROUND((ROUND(AT231*AG231,2)*1.25),2)</f>
        <v>0</v>
      </c>
    </row>
    <row r="232" spans="1:107" x14ac:dyDescent="0.2">
      <c r="A232">
        <f>ROW(Source!A149)</f>
        <v>149</v>
      </c>
      <c r="B232">
        <v>16748969</v>
      </c>
      <c r="C232">
        <v>16750344</v>
      </c>
      <c r="D232">
        <v>15168763</v>
      </c>
      <c r="E232">
        <v>1</v>
      </c>
      <c r="F232">
        <v>1</v>
      </c>
      <c r="G232">
        <v>1</v>
      </c>
      <c r="H232">
        <v>3</v>
      </c>
      <c r="I232" t="s">
        <v>1286</v>
      </c>
      <c r="J232" t="s">
        <v>1287</v>
      </c>
      <c r="K232" t="s">
        <v>1288</v>
      </c>
      <c r="L232">
        <v>1348</v>
      </c>
      <c r="N232">
        <v>1009</v>
      </c>
      <c r="O232" t="s">
        <v>71</v>
      </c>
      <c r="P232" t="s">
        <v>71</v>
      </c>
      <c r="Q232">
        <v>1000</v>
      </c>
      <c r="W232">
        <v>0</v>
      </c>
      <c r="X232">
        <v>-1068056325</v>
      </c>
      <c r="Y232">
        <v>4.8999999999999998E-4</v>
      </c>
      <c r="AA232">
        <v>67974.720000000001</v>
      </c>
      <c r="AB232">
        <v>0</v>
      </c>
      <c r="AC232">
        <v>0</v>
      </c>
      <c r="AD232">
        <v>0</v>
      </c>
      <c r="AE232">
        <v>10362</v>
      </c>
      <c r="AF232">
        <v>0</v>
      </c>
      <c r="AG232">
        <v>0</v>
      </c>
      <c r="AH232">
        <v>0</v>
      </c>
      <c r="AI232">
        <v>6.56</v>
      </c>
      <c r="AJ232">
        <v>1</v>
      </c>
      <c r="AK232">
        <v>1</v>
      </c>
      <c r="AL232">
        <v>1</v>
      </c>
      <c r="AN232">
        <v>0</v>
      </c>
      <c r="AO232">
        <v>1</v>
      </c>
      <c r="AP232">
        <v>0</v>
      </c>
      <c r="AQ232">
        <v>0</v>
      </c>
      <c r="AR232">
        <v>0</v>
      </c>
      <c r="AS232" t="s">
        <v>6</v>
      </c>
      <c r="AT232">
        <v>4.8999999999999998E-4</v>
      </c>
      <c r="AU232" t="s">
        <v>6</v>
      </c>
      <c r="AV232">
        <v>0</v>
      </c>
      <c r="AW232">
        <v>2</v>
      </c>
      <c r="AX232">
        <v>16750357</v>
      </c>
      <c r="AY232">
        <v>1</v>
      </c>
      <c r="AZ232">
        <v>0</v>
      </c>
      <c r="BA232">
        <v>221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CX232">
        <f>Y232*Source!I149</f>
        <v>4.8999999999999998E-4</v>
      </c>
      <c r="CY232">
        <f>AA232</f>
        <v>67974.720000000001</v>
      </c>
      <c r="CZ232">
        <f>AE232</f>
        <v>10362</v>
      </c>
      <c r="DA232">
        <f>AI232</f>
        <v>6.56</v>
      </c>
      <c r="DB232">
        <f>ROUND(ROUND(AT232*CZ232,2),2)</f>
        <v>5.08</v>
      </c>
      <c r="DC232">
        <f>ROUND(ROUND(AT232*AG232,2),2)</f>
        <v>0</v>
      </c>
    </row>
    <row r="233" spans="1:107" x14ac:dyDescent="0.2">
      <c r="A233">
        <f>ROW(Source!A149)</f>
        <v>149</v>
      </c>
      <c r="B233">
        <v>16748969</v>
      </c>
      <c r="C233">
        <v>16750344</v>
      </c>
      <c r="D233">
        <v>15169941</v>
      </c>
      <c r="E233">
        <v>1</v>
      </c>
      <c r="F233">
        <v>1</v>
      </c>
      <c r="G233">
        <v>1</v>
      </c>
      <c r="H233">
        <v>3</v>
      </c>
      <c r="I233" t="s">
        <v>1289</v>
      </c>
      <c r="J233" t="s">
        <v>1290</v>
      </c>
      <c r="K233" t="s">
        <v>1291</v>
      </c>
      <c r="L233">
        <v>1348</v>
      </c>
      <c r="N233">
        <v>1009</v>
      </c>
      <c r="O233" t="s">
        <v>71</v>
      </c>
      <c r="P233" t="s">
        <v>71</v>
      </c>
      <c r="Q233">
        <v>1000</v>
      </c>
      <c r="W233">
        <v>0</v>
      </c>
      <c r="X233">
        <v>-437906794</v>
      </c>
      <c r="Y233">
        <v>1.9E-3</v>
      </c>
      <c r="AA233">
        <v>59302.47</v>
      </c>
      <c r="AB233">
        <v>0</v>
      </c>
      <c r="AC233">
        <v>0</v>
      </c>
      <c r="AD233">
        <v>0</v>
      </c>
      <c r="AE233">
        <v>9040.01</v>
      </c>
      <c r="AF233">
        <v>0</v>
      </c>
      <c r="AG233">
        <v>0</v>
      </c>
      <c r="AH233">
        <v>0</v>
      </c>
      <c r="AI233">
        <v>6.56</v>
      </c>
      <c r="AJ233">
        <v>1</v>
      </c>
      <c r="AK233">
        <v>1</v>
      </c>
      <c r="AL233">
        <v>1</v>
      </c>
      <c r="AN233">
        <v>0</v>
      </c>
      <c r="AO233">
        <v>1</v>
      </c>
      <c r="AP233">
        <v>0</v>
      </c>
      <c r="AQ233">
        <v>0</v>
      </c>
      <c r="AR233">
        <v>0</v>
      </c>
      <c r="AS233" t="s">
        <v>6</v>
      </c>
      <c r="AT233">
        <v>1.9E-3</v>
      </c>
      <c r="AU233" t="s">
        <v>6</v>
      </c>
      <c r="AV233">
        <v>0</v>
      </c>
      <c r="AW233">
        <v>2</v>
      </c>
      <c r="AX233">
        <v>16750358</v>
      </c>
      <c r="AY233">
        <v>1</v>
      </c>
      <c r="AZ233">
        <v>0</v>
      </c>
      <c r="BA233">
        <v>222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CX233">
        <f>Y233*Source!I149</f>
        <v>1.9E-3</v>
      </c>
      <c r="CY233">
        <f>AA233</f>
        <v>59302.47</v>
      </c>
      <c r="CZ233">
        <f>AE233</f>
        <v>9040.01</v>
      </c>
      <c r="DA233">
        <f>AI233</f>
        <v>6.56</v>
      </c>
      <c r="DB233">
        <f>ROUND(ROUND(AT233*CZ233,2),2)</f>
        <v>17.18</v>
      </c>
      <c r="DC233">
        <f>ROUND(ROUND(AT233*AG233,2),2)</f>
        <v>0</v>
      </c>
    </row>
    <row r="234" spans="1:107" x14ac:dyDescent="0.2">
      <c r="A234">
        <f>ROW(Source!A149)</f>
        <v>149</v>
      </c>
      <c r="B234">
        <v>16748969</v>
      </c>
      <c r="C234">
        <v>16750344</v>
      </c>
      <c r="D234">
        <v>15163377</v>
      </c>
      <c r="E234">
        <v>17</v>
      </c>
      <c r="F234">
        <v>1</v>
      </c>
      <c r="G234">
        <v>1</v>
      </c>
      <c r="H234">
        <v>3</v>
      </c>
      <c r="I234" t="s">
        <v>427</v>
      </c>
      <c r="J234" t="s">
        <v>6</v>
      </c>
      <c r="K234" t="s">
        <v>428</v>
      </c>
      <c r="L234">
        <v>1354</v>
      </c>
      <c r="N234">
        <v>1010</v>
      </c>
      <c r="O234" t="s">
        <v>53</v>
      </c>
      <c r="P234" t="s">
        <v>53</v>
      </c>
      <c r="Q234">
        <v>1</v>
      </c>
      <c r="W234">
        <v>0</v>
      </c>
      <c r="X234">
        <v>1087564240</v>
      </c>
      <c r="Y234">
        <v>1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6.56</v>
      </c>
      <c r="AJ234">
        <v>1</v>
      </c>
      <c r="AK234">
        <v>1</v>
      </c>
      <c r="AL234">
        <v>1</v>
      </c>
      <c r="AN234">
        <v>0</v>
      </c>
      <c r="AO234">
        <v>0</v>
      </c>
      <c r="AP234">
        <v>0</v>
      </c>
      <c r="AQ234">
        <v>0</v>
      </c>
      <c r="AR234">
        <v>0</v>
      </c>
      <c r="AS234" t="s">
        <v>6</v>
      </c>
      <c r="AT234">
        <v>1</v>
      </c>
      <c r="AU234" t="s">
        <v>6</v>
      </c>
      <c r="AV234">
        <v>0</v>
      </c>
      <c r="AW234">
        <v>2</v>
      </c>
      <c r="AX234">
        <v>16750359</v>
      </c>
      <c r="AY234">
        <v>1</v>
      </c>
      <c r="AZ234">
        <v>0</v>
      </c>
      <c r="BA234">
        <v>223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CX234">
        <f>Y234*Source!I149</f>
        <v>1</v>
      </c>
      <c r="CY234">
        <f>AA234</f>
        <v>0</v>
      </c>
      <c r="CZ234">
        <f>AE234</f>
        <v>0</v>
      </c>
      <c r="DA234">
        <f>AI234</f>
        <v>6.56</v>
      </c>
      <c r="DB234">
        <f>ROUND(ROUND(AT234*CZ234,2),2)</f>
        <v>0</v>
      </c>
      <c r="DC234">
        <f>ROUND(ROUND(AT234*AG234,2),2)</f>
        <v>0</v>
      </c>
    </row>
    <row r="235" spans="1:107" x14ac:dyDescent="0.2">
      <c r="A235">
        <f>ROW(Source!A149)</f>
        <v>149</v>
      </c>
      <c r="B235">
        <v>16748969</v>
      </c>
      <c r="C235">
        <v>16750344</v>
      </c>
      <c r="D235">
        <v>15235255</v>
      </c>
      <c r="E235">
        <v>1</v>
      </c>
      <c r="F235">
        <v>1</v>
      </c>
      <c r="G235">
        <v>1</v>
      </c>
      <c r="H235">
        <v>3</v>
      </c>
      <c r="I235" t="s">
        <v>423</v>
      </c>
      <c r="J235" t="s">
        <v>425</v>
      </c>
      <c r="K235" t="s">
        <v>424</v>
      </c>
      <c r="L235">
        <v>1354</v>
      </c>
      <c r="N235">
        <v>1010</v>
      </c>
      <c r="O235" t="s">
        <v>53</v>
      </c>
      <c r="P235" t="s">
        <v>53</v>
      </c>
      <c r="Q235">
        <v>1</v>
      </c>
      <c r="W235">
        <v>0</v>
      </c>
      <c r="X235">
        <v>-978336568</v>
      </c>
      <c r="Y235">
        <v>1</v>
      </c>
      <c r="AA235">
        <v>44.48</v>
      </c>
      <c r="AB235">
        <v>0</v>
      </c>
      <c r="AC235">
        <v>0</v>
      </c>
      <c r="AD235">
        <v>0</v>
      </c>
      <c r="AE235">
        <v>6.78</v>
      </c>
      <c r="AF235">
        <v>0</v>
      </c>
      <c r="AG235">
        <v>0</v>
      </c>
      <c r="AH235">
        <v>0</v>
      </c>
      <c r="AI235">
        <v>6.56</v>
      </c>
      <c r="AJ235">
        <v>1</v>
      </c>
      <c r="AK235">
        <v>1</v>
      </c>
      <c r="AL235">
        <v>1</v>
      </c>
      <c r="AN235">
        <v>0</v>
      </c>
      <c r="AO235">
        <v>0</v>
      </c>
      <c r="AP235">
        <v>0</v>
      </c>
      <c r="AQ235">
        <v>0</v>
      </c>
      <c r="AR235">
        <v>0</v>
      </c>
      <c r="AS235" t="s">
        <v>6</v>
      </c>
      <c r="AT235">
        <v>1</v>
      </c>
      <c r="AU235" t="s">
        <v>6</v>
      </c>
      <c r="AV235">
        <v>0</v>
      </c>
      <c r="AW235">
        <v>1</v>
      </c>
      <c r="AX235">
        <v>-1</v>
      </c>
      <c r="AY235">
        <v>0</v>
      </c>
      <c r="AZ235">
        <v>0</v>
      </c>
      <c r="BA235" t="s">
        <v>6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CX235">
        <f>Y235*Source!I149</f>
        <v>1</v>
      </c>
      <c r="CY235">
        <f>AA235</f>
        <v>44.48</v>
      </c>
      <c r="CZ235">
        <f>AE235</f>
        <v>6.78</v>
      </c>
      <c r="DA235">
        <f>AI235</f>
        <v>6.56</v>
      </c>
      <c r="DB235">
        <f>ROUND(ROUND(AT235*CZ235,2),2)</f>
        <v>6.78</v>
      </c>
      <c r="DC235">
        <f>ROUND(ROUND(AT235*AG235,2),2)</f>
        <v>0</v>
      </c>
    </row>
    <row r="236" spans="1:107" x14ac:dyDescent="0.2">
      <c r="A236">
        <f>ROW(Source!A152)</f>
        <v>152</v>
      </c>
      <c r="B236">
        <v>16748969</v>
      </c>
      <c r="C236">
        <v>16750362</v>
      </c>
      <c r="D236">
        <v>15430517</v>
      </c>
      <c r="E236">
        <v>1</v>
      </c>
      <c r="F236">
        <v>1</v>
      </c>
      <c r="G236">
        <v>1</v>
      </c>
      <c r="H236">
        <v>1</v>
      </c>
      <c r="I236" t="s">
        <v>1085</v>
      </c>
      <c r="J236" t="s">
        <v>6</v>
      </c>
      <c r="K236" t="s">
        <v>1086</v>
      </c>
      <c r="L236">
        <v>1191</v>
      </c>
      <c r="N236">
        <v>1013</v>
      </c>
      <c r="O236" t="s">
        <v>1072</v>
      </c>
      <c r="P236" t="s">
        <v>1072</v>
      </c>
      <c r="Q236">
        <v>1</v>
      </c>
      <c r="W236">
        <v>0</v>
      </c>
      <c r="X236">
        <v>735429535</v>
      </c>
      <c r="Y236">
        <v>46.747499999999995</v>
      </c>
      <c r="AA236">
        <v>0</v>
      </c>
      <c r="AB236">
        <v>0</v>
      </c>
      <c r="AC236">
        <v>0</v>
      </c>
      <c r="AD236">
        <v>51.17</v>
      </c>
      <c r="AE236">
        <v>0</v>
      </c>
      <c r="AF236">
        <v>0</v>
      </c>
      <c r="AG236">
        <v>0</v>
      </c>
      <c r="AH236">
        <v>7.8</v>
      </c>
      <c r="AI236">
        <v>1</v>
      </c>
      <c r="AJ236">
        <v>1</v>
      </c>
      <c r="AK236">
        <v>1</v>
      </c>
      <c r="AL236">
        <v>6.56</v>
      </c>
      <c r="AN236">
        <v>0</v>
      </c>
      <c r="AO236">
        <v>1</v>
      </c>
      <c r="AP236">
        <v>1</v>
      </c>
      <c r="AQ236">
        <v>0</v>
      </c>
      <c r="AR236">
        <v>0</v>
      </c>
      <c r="AS236" t="s">
        <v>6</v>
      </c>
      <c r="AT236">
        <v>40.65</v>
      </c>
      <c r="AU236" t="s">
        <v>173</v>
      </c>
      <c r="AV236">
        <v>1</v>
      </c>
      <c r="AW236">
        <v>2</v>
      </c>
      <c r="AX236">
        <v>16750370</v>
      </c>
      <c r="AY236">
        <v>1</v>
      </c>
      <c r="AZ236">
        <v>0</v>
      </c>
      <c r="BA236">
        <v>224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CX236">
        <f>Y236*Source!I152</f>
        <v>47.214974999999995</v>
      </c>
      <c r="CY236">
        <f>AD236</f>
        <v>51.17</v>
      </c>
      <c r="CZ236">
        <f>AH236</f>
        <v>7.8</v>
      </c>
      <c r="DA236">
        <f>AL236</f>
        <v>6.56</v>
      </c>
      <c r="DB236">
        <f>ROUND((ROUND(AT236*CZ236,2)*1.15),2)</f>
        <v>364.63</v>
      </c>
      <c r="DC236">
        <f>ROUND((ROUND(AT236*AG236,2)*1.15),2)</f>
        <v>0</v>
      </c>
    </row>
    <row r="237" spans="1:107" x14ac:dyDescent="0.2">
      <c r="A237">
        <f>ROW(Source!A152)</f>
        <v>152</v>
      </c>
      <c r="B237">
        <v>16748969</v>
      </c>
      <c r="C237">
        <v>16750362</v>
      </c>
      <c r="D237">
        <v>15430395</v>
      </c>
      <c r="E237">
        <v>1</v>
      </c>
      <c r="F237">
        <v>1</v>
      </c>
      <c r="G237">
        <v>1</v>
      </c>
      <c r="H237">
        <v>1</v>
      </c>
      <c r="I237" t="s">
        <v>1073</v>
      </c>
      <c r="J237" t="s">
        <v>6</v>
      </c>
      <c r="K237" t="s">
        <v>1074</v>
      </c>
      <c r="L237">
        <v>1191</v>
      </c>
      <c r="N237">
        <v>1013</v>
      </c>
      <c r="O237" t="s">
        <v>1072</v>
      </c>
      <c r="P237" t="s">
        <v>1072</v>
      </c>
      <c r="Q237">
        <v>1</v>
      </c>
      <c r="W237">
        <v>0</v>
      </c>
      <c r="X237">
        <v>-1417349443</v>
      </c>
      <c r="Y237">
        <v>1.27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1</v>
      </c>
      <c r="AJ237">
        <v>1</v>
      </c>
      <c r="AK237">
        <v>6.56</v>
      </c>
      <c r="AL237">
        <v>1</v>
      </c>
      <c r="AN237">
        <v>0</v>
      </c>
      <c r="AO237">
        <v>1</v>
      </c>
      <c r="AP237">
        <v>0</v>
      </c>
      <c r="AQ237">
        <v>0</v>
      </c>
      <c r="AR237">
        <v>0</v>
      </c>
      <c r="AS237" t="s">
        <v>6</v>
      </c>
      <c r="AT237">
        <v>1.27</v>
      </c>
      <c r="AU237" t="s">
        <v>6</v>
      </c>
      <c r="AV237">
        <v>2</v>
      </c>
      <c r="AW237">
        <v>2</v>
      </c>
      <c r="AX237">
        <v>16750371</v>
      </c>
      <c r="AY237">
        <v>1</v>
      </c>
      <c r="AZ237">
        <v>2048</v>
      </c>
      <c r="BA237">
        <v>225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CX237">
        <f>Y237*Source!I152</f>
        <v>1.2827</v>
      </c>
      <c r="CY237">
        <f>AD237</f>
        <v>0</v>
      </c>
      <c r="CZ237">
        <f>AH237</f>
        <v>0</v>
      </c>
      <c r="DA237">
        <f>AL237</f>
        <v>1</v>
      </c>
      <c r="DB237">
        <f>ROUND(ROUND(AT237*CZ237,2),2)</f>
        <v>0</v>
      </c>
      <c r="DC237">
        <f>ROUND(ROUND(AT237*AG237,2),2)</f>
        <v>0</v>
      </c>
    </row>
    <row r="238" spans="1:107" x14ac:dyDescent="0.2">
      <c r="A238">
        <f>ROW(Source!A152)</f>
        <v>152</v>
      </c>
      <c r="B238">
        <v>16748969</v>
      </c>
      <c r="C238">
        <v>16750362</v>
      </c>
      <c r="D238">
        <v>15247974</v>
      </c>
      <c r="E238">
        <v>1</v>
      </c>
      <c r="F238">
        <v>1</v>
      </c>
      <c r="G238">
        <v>1</v>
      </c>
      <c r="H238">
        <v>2</v>
      </c>
      <c r="I238" t="s">
        <v>1075</v>
      </c>
      <c r="J238" t="s">
        <v>1076</v>
      </c>
      <c r="K238" t="s">
        <v>1077</v>
      </c>
      <c r="L238">
        <v>1368</v>
      </c>
      <c r="N238">
        <v>1011</v>
      </c>
      <c r="O238" t="s">
        <v>1078</v>
      </c>
      <c r="P238" t="s">
        <v>1078</v>
      </c>
      <c r="Q238">
        <v>1</v>
      </c>
      <c r="W238">
        <v>0</v>
      </c>
      <c r="X238">
        <v>1188625873</v>
      </c>
      <c r="Y238">
        <v>1.5874999999999999</v>
      </c>
      <c r="AA238">
        <v>0</v>
      </c>
      <c r="AB238">
        <v>205.07</v>
      </c>
      <c r="AC238">
        <v>13.5</v>
      </c>
      <c r="AD238">
        <v>0</v>
      </c>
      <c r="AE238">
        <v>0</v>
      </c>
      <c r="AF238">
        <v>31.26</v>
      </c>
      <c r="AG238">
        <v>13.5</v>
      </c>
      <c r="AH238">
        <v>0</v>
      </c>
      <c r="AI238">
        <v>1</v>
      </c>
      <c r="AJ238">
        <v>6.56</v>
      </c>
      <c r="AK238">
        <v>1</v>
      </c>
      <c r="AL238">
        <v>1</v>
      </c>
      <c r="AN238">
        <v>0</v>
      </c>
      <c r="AO238">
        <v>1</v>
      </c>
      <c r="AP238">
        <v>1</v>
      </c>
      <c r="AQ238">
        <v>0</v>
      </c>
      <c r="AR238">
        <v>0</v>
      </c>
      <c r="AS238" t="s">
        <v>6</v>
      </c>
      <c r="AT238">
        <v>1.27</v>
      </c>
      <c r="AU238" t="s">
        <v>172</v>
      </c>
      <c r="AV238">
        <v>0</v>
      </c>
      <c r="AW238">
        <v>2</v>
      </c>
      <c r="AX238">
        <v>16750372</v>
      </c>
      <c r="AY238">
        <v>1</v>
      </c>
      <c r="AZ238">
        <v>0</v>
      </c>
      <c r="BA238">
        <v>226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0</v>
      </c>
      <c r="CX238">
        <f>Y238*Source!I152</f>
        <v>1.603375</v>
      </c>
      <c r="CY238">
        <f>AB238</f>
        <v>205.07</v>
      </c>
      <c r="CZ238">
        <f>AF238</f>
        <v>31.26</v>
      </c>
      <c r="DA238">
        <f>AJ238</f>
        <v>6.56</v>
      </c>
      <c r="DB238">
        <f>ROUND((ROUND(AT238*CZ238,2)*1.25),2)</f>
        <v>49.63</v>
      </c>
      <c r="DC238">
        <f>ROUND((ROUND(AT238*AG238,2)*1.25),2)</f>
        <v>21.44</v>
      </c>
    </row>
    <row r="239" spans="1:107" x14ac:dyDescent="0.2">
      <c r="A239">
        <f>ROW(Source!A152)</f>
        <v>152</v>
      </c>
      <c r="B239">
        <v>16748969</v>
      </c>
      <c r="C239">
        <v>16750362</v>
      </c>
      <c r="D239">
        <v>15248091</v>
      </c>
      <c r="E239">
        <v>1</v>
      </c>
      <c r="F239">
        <v>1</v>
      </c>
      <c r="G239">
        <v>1</v>
      </c>
      <c r="H239">
        <v>2</v>
      </c>
      <c r="I239" t="s">
        <v>1292</v>
      </c>
      <c r="J239" t="s">
        <v>1293</v>
      </c>
      <c r="K239" t="s">
        <v>1294</v>
      </c>
      <c r="L239">
        <v>1368</v>
      </c>
      <c r="N239">
        <v>1011</v>
      </c>
      <c r="O239" t="s">
        <v>1078</v>
      </c>
      <c r="P239" t="s">
        <v>1078</v>
      </c>
      <c r="Q239">
        <v>1</v>
      </c>
      <c r="W239">
        <v>0</v>
      </c>
      <c r="X239">
        <v>126902709</v>
      </c>
      <c r="Y239">
        <v>5.875</v>
      </c>
      <c r="AA239">
        <v>0</v>
      </c>
      <c r="AB239">
        <v>3.28</v>
      </c>
      <c r="AC239">
        <v>0</v>
      </c>
      <c r="AD239">
        <v>0</v>
      </c>
      <c r="AE239">
        <v>0</v>
      </c>
      <c r="AF239">
        <v>0.5</v>
      </c>
      <c r="AG239">
        <v>0</v>
      </c>
      <c r="AH239">
        <v>0</v>
      </c>
      <c r="AI239">
        <v>1</v>
      </c>
      <c r="AJ239">
        <v>6.56</v>
      </c>
      <c r="AK239">
        <v>1</v>
      </c>
      <c r="AL239">
        <v>1</v>
      </c>
      <c r="AN239">
        <v>0</v>
      </c>
      <c r="AO239">
        <v>1</v>
      </c>
      <c r="AP239">
        <v>1</v>
      </c>
      <c r="AQ239">
        <v>0</v>
      </c>
      <c r="AR239">
        <v>0</v>
      </c>
      <c r="AS239" t="s">
        <v>6</v>
      </c>
      <c r="AT239">
        <v>4.7</v>
      </c>
      <c r="AU239" t="s">
        <v>172</v>
      </c>
      <c r="AV239">
        <v>0</v>
      </c>
      <c r="AW239">
        <v>2</v>
      </c>
      <c r="AX239">
        <v>16750373</v>
      </c>
      <c r="AY239">
        <v>1</v>
      </c>
      <c r="AZ239">
        <v>0</v>
      </c>
      <c r="BA239">
        <v>227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CX239">
        <f>Y239*Source!I152</f>
        <v>5.9337499999999999</v>
      </c>
      <c r="CY239">
        <f>AB239</f>
        <v>3.28</v>
      </c>
      <c r="CZ239">
        <f>AF239</f>
        <v>0.5</v>
      </c>
      <c r="DA239">
        <f>AJ239</f>
        <v>6.56</v>
      </c>
      <c r="DB239">
        <f>ROUND((ROUND(AT239*CZ239,2)*1.25),2)</f>
        <v>2.94</v>
      </c>
      <c r="DC239">
        <f>ROUND((ROUND(AT239*AG239,2)*1.25),2)</f>
        <v>0</v>
      </c>
    </row>
    <row r="240" spans="1:107" x14ac:dyDescent="0.2">
      <c r="A240">
        <f>ROW(Source!A152)</f>
        <v>152</v>
      </c>
      <c r="B240">
        <v>16748969</v>
      </c>
      <c r="C240">
        <v>16750362</v>
      </c>
      <c r="D240">
        <v>15167286</v>
      </c>
      <c r="E240">
        <v>1</v>
      </c>
      <c r="F240">
        <v>1</v>
      </c>
      <c r="G240">
        <v>1</v>
      </c>
      <c r="H240">
        <v>3</v>
      </c>
      <c r="I240" t="s">
        <v>1079</v>
      </c>
      <c r="J240" t="s">
        <v>1080</v>
      </c>
      <c r="K240" t="s">
        <v>1081</v>
      </c>
      <c r="L240">
        <v>1339</v>
      </c>
      <c r="N240">
        <v>1007</v>
      </c>
      <c r="O240" t="s">
        <v>283</v>
      </c>
      <c r="P240" t="s">
        <v>283</v>
      </c>
      <c r="Q240">
        <v>1</v>
      </c>
      <c r="W240">
        <v>0</v>
      </c>
      <c r="X240">
        <v>-1660354250</v>
      </c>
      <c r="Y240">
        <v>3.5</v>
      </c>
      <c r="AA240">
        <v>16.010000000000002</v>
      </c>
      <c r="AB240">
        <v>0</v>
      </c>
      <c r="AC240">
        <v>0</v>
      </c>
      <c r="AD240">
        <v>0</v>
      </c>
      <c r="AE240">
        <v>2.44</v>
      </c>
      <c r="AF240">
        <v>0</v>
      </c>
      <c r="AG240">
        <v>0</v>
      </c>
      <c r="AH240">
        <v>0</v>
      </c>
      <c r="AI240">
        <v>6.56</v>
      </c>
      <c r="AJ240">
        <v>1</v>
      </c>
      <c r="AK240">
        <v>1</v>
      </c>
      <c r="AL240">
        <v>1</v>
      </c>
      <c r="AN240">
        <v>0</v>
      </c>
      <c r="AO240">
        <v>1</v>
      </c>
      <c r="AP240">
        <v>0</v>
      </c>
      <c r="AQ240">
        <v>0</v>
      </c>
      <c r="AR240">
        <v>0</v>
      </c>
      <c r="AS240" t="s">
        <v>6</v>
      </c>
      <c r="AT240">
        <v>3.5</v>
      </c>
      <c r="AU240" t="s">
        <v>6</v>
      </c>
      <c r="AV240">
        <v>0</v>
      </c>
      <c r="AW240">
        <v>2</v>
      </c>
      <c r="AX240">
        <v>16750374</v>
      </c>
      <c r="AY240">
        <v>1</v>
      </c>
      <c r="AZ240">
        <v>0</v>
      </c>
      <c r="BA240">
        <v>228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CX240">
        <f>Y240*Source!I152</f>
        <v>3.5350000000000001</v>
      </c>
      <c r="CY240">
        <f>AA240</f>
        <v>16.010000000000002</v>
      </c>
      <c r="CZ240">
        <f>AE240</f>
        <v>2.44</v>
      </c>
      <c r="DA240">
        <f>AI240</f>
        <v>6.56</v>
      </c>
      <c r="DB240">
        <f>ROUND(ROUND(AT240*CZ240,2),2)</f>
        <v>8.5399999999999991</v>
      </c>
      <c r="DC240">
        <f>ROUND(ROUND(AT240*AG240,2),2)</f>
        <v>0</v>
      </c>
    </row>
    <row r="241" spans="1:107" x14ac:dyDescent="0.2">
      <c r="A241">
        <f>ROW(Source!A152)</f>
        <v>152</v>
      </c>
      <c r="B241">
        <v>16748969</v>
      </c>
      <c r="C241">
        <v>16750362</v>
      </c>
      <c r="D241">
        <v>15172442</v>
      </c>
      <c r="E241">
        <v>1</v>
      </c>
      <c r="F241">
        <v>1</v>
      </c>
      <c r="G241">
        <v>1</v>
      </c>
      <c r="H241">
        <v>3</v>
      </c>
      <c r="I241" t="s">
        <v>435</v>
      </c>
      <c r="J241" t="s">
        <v>437</v>
      </c>
      <c r="K241" t="s">
        <v>436</v>
      </c>
      <c r="L241">
        <v>1339</v>
      </c>
      <c r="N241">
        <v>1007</v>
      </c>
      <c r="O241" t="s">
        <v>283</v>
      </c>
      <c r="P241" t="s">
        <v>283</v>
      </c>
      <c r="Q241">
        <v>1</v>
      </c>
      <c r="W241">
        <v>0</v>
      </c>
      <c r="X241">
        <v>1435212761</v>
      </c>
      <c r="Y241">
        <v>2.04</v>
      </c>
      <c r="AA241">
        <v>4220.8999999999996</v>
      </c>
      <c r="AB241">
        <v>0</v>
      </c>
      <c r="AC241">
        <v>0</v>
      </c>
      <c r="AD241">
        <v>0</v>
      </c>
      <c r="AE241">
        <v>643.42999999999995</v>
      </c>
      <c r="AF241">
        <v>0</v>
      </c>
      <c r="AG241">
        <v>0</v>
      </c>
      <c r="AH241">
        <v>0</v>
      </c>
      <c r="AI241">
        <v>6.56</v>
      </c>
      <c r="AJ241">
        <v>1</v>
      </c>
      <c r="AK241">
        <v>1</v>
      </c>
      <c r="AL241">
        <v>1</v>
      </c>
      <c r="AN241">
        <v>0</v>
      </c>
      <c r="AO241">
        <v>0</v>
      </c>
      <c r="AP241">
        <v>0</v>
      </c>
      <c r="AQ241">
        <v>0</v>
      </c>
      <c r="AR241">
        <v>0</v>
      </c>
      <c r="AS241" t="s">
        <v>6</v>
      </c>
      <c r="AT241">
        <v>2.04</v>
      </c>
      <c r="AU241" t="s">
        <v>6</v>
      </c>
      <c r="AV241">
        <v>0</v>
      </c>
      <c r="AW241">
        <v>1</v>
      </c>
      <c r="AX241">
        <v>-1</v>
      </c>
      <c r="AY241">
        <v>0</v>
      </c>
      <c r="AZ241">
        <v>0</v>
      </c>
      <c r="BA241" t="s">
        <v>6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CX241">
        <f>Y241*Source!I152</f>
        <v>2.0604</v>
      </c>
      <c r="CY241">
        <f>AA241</f>
        <v>4220.8999999999996</v>
      </c>
      <c r="CZ241">
        <f>AE241</f>
        <v>643.42999999999995</v>
      </c>
      <c r="DA241">
        <f>AI241</f>
        <v>6.56</v>
      </c>
      <c r="DB241">
        <f>ROUND(ROUND(AT241*CZ241,2),2)</f>
        <v>1312.6</v>
      </c>
      <c r="DC241">
        <f>ROUND(ROUND(AT241*AG241,2),2)</f>
        <v>0</v>
      </c>
    </row>
    <row r="242" spans="1:107" x14ac:dyDescent="0.2">
      <c r="A242">
        <f>ROW(Source!A152)</f>
        <v>152</v>
      </c>
      <c r="B242">
        <v>16748969</v>
      </c>
      <c r="C242">
        <v>16750362</v>
      </c>
      <c r="D242">
        <v>15161601</v>
      </c>
      <c r="E242">
        <v>17</v>
      </c>
      <c r="F242">
        <v>1</v>
      </c>
      <c r="G242">
        <v>1</v>
      </c>
      <c r="H242">
        <v>3</v>
      </c>
      <c r="I242" t="s">
        <v>439</v>
      </c>
      <c r="J242" t="s">
        <v>6</v>
      </c>
      <c r="K242" t="s">
        <v>440</v>
      </c>
      <c r="L242">
        <v>1339</v>
      </c>
      <c r="N242">
        <v>1007</v>
      </c>
      <c r="O242" t="s">
        <v>283</v>
      </c>
      <c r="P242" t="s">
        <v>283</v>
      </c>
      <c r="Q242">
        <v>1</v>
      </c>
      <c r="W242">
        <v>0</v>
      </c>
      <c r="X242">
        <v>-355906858</v>
      </c>
      <c r="Y242">
        <v>2.04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6.56</v>
      </c>
      <c r="AJ242">
        <v>1</v>
      </c>
      <c r="AK242">
        <v>1</v>
      </c>
      <c r="AL242">
        <v>1</v>
      </c>
      <c r="AN242">
        <v>0</v>
      </c>
      <c r="AO242">
        <v>0</v>
      </c>
      <c r="AP242">
        <v>0</v>
      </c>
      <c r="AQ242">
        <v>0</v>
      </c>
      <c r="AR242">
        <v>0</v>
      </c>
      <c r="AS242" t="s">
        <v>6</v>
      </c>
      <c r="AT242">
        <v>2.04</v>
      </c>
      <c r="AU242" t="s">
        <v>6</v>
      </c>
      <c r="AV242">
        <v>0</v>
      </c>
      <c r="AW242">
        <v>2</v>
      </c>
      <c r="AX242">
        <v>16750375</v>
      </c>
      <c r="AY242">
        <v>1</v>
      </c>
      <c r="AZ242">
        <v>0</v>
      </c>
      <c r="BA242">
        <v>229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CX242">
        <f>Y242*Source!I152</f>
        <v>2.0604</v>
      </c>
      <c r="CY242">
        <f>AA242</f>
        <v>0</v>
      </c>
      <c r="CZ242">
        <f>AE242</f>
        <v>0</v>
      </c>
      <c r="DA242">
        <f>AI242</f>
        <v>6.56</v>
      </c>
      <c r="DB242">
        <f>ROUND(ROUND(AT242*CZ242,2),2)</f>
        <v>0</v>
      </c>
      <c r="DC242">
        <f>ROUND(ROUND(AT242*AG242,2),2)</f>
        <v>0</v>
      </c>
    </row>
    <row r="243" spans="1:107" x14ac:dyDescent="0.2">
      <c r="A243">
        <f>ROW(Source!A155)</f>
        <v>155</v>
      </c>
      <c r="B243">
        <v>16748969</v>
      </c>
      <c r="C243">
        <v>16750378</v>
      </c>
      <c r="D243">
        <v>15430517</v>
      </c>
      <c r="E243">
        <v>1</v>
      </c>
      <c r="F243">
        <v>1</v>
      </c>
      <c r="G243">
        <v>1</v>
      </c>
      <c r="H243">
        <v>1</v>
      </c>
      <c r="I243" t="s">
        <v>1085</v>
      </c>
      <c r="J243" t="s">
        <v>6</v>
      </c>
      <c r="K243" t="s">
        <v>1086</v>
      </c>
      <c r="L243">
        <v>1191</v>
      </c>
      <c r="N243">
        <v>1013</v>
      </c>
      <c r="O243" t="s">
        <v>1072</v>
      </c>
      <c r="P243" t="s">
        <v>1072</v>
      </c>
      <c r="Q243">
        <v>1</v>
      </c>
      <c r="W243">
        <v>0</v>
      </c>
      <c r="X243">
        <v>735429535</v>
      </c>
      <c r="Y243">
        <v>3.4499999999999997</v>
      </c>
      <c r="AA243">
        <v>0</v>
      </c>
      <c r="AB243">
        <v>0</v>
      </c>
      <c r="AC243">
        <v>0</v>
      </c>
      <c r="AD243">
        <v>51.17</v>
      </c>
      <c r="AE243">
        <v>0</v>
      </c>
      <c r="AF243">
        <v>0</v>
      </c>
      <c r="AG243">
        <v>0</v>
      </c>
      <c r="AH243">
        <v>7.8</v>
      </c>
      <c r="AI243">
        <v>1</v>
      </c>
      <c r="AJ243">
        <v>1</v>
      </c>
      <c r="AK243">
        <v>1</v>
      </c>
      <c r="AL243">
        <v>6.56</v>
      </c>
      <c r="AN243">
        <v>0</v>
      </c>
      <c r="AO243">
        <v>1</v>
      </c>
      <c r="AP243">
        <v>1</v>
      </c>
      <c r="AQ243">
        <v>0</v>
      </c>
      <c r="AR243">
        <v>0</v>
      </c>
      <c r="AS243" t="s">
        <v>6</v>
      </c>
      <c r="AT243">
        <v>0.5</v>
      </c>
      <c r="AU243" t="s">
        <v>447</v>
      </c>
      <c r="AV243">
        <v>1</v>
      </c>
      <c r="AW243">
        <v>2</v>
      </c>
      <c r="AX243">
        <v>16750385</v>
      </c>
      <c r="AY243">
        <v>1</v>
      </c>
      <c r="AZ243">
        <v>0</v>
      </c>
      <c r="BA243">
        <v>230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CX243">
        <f>Y243*Source!I155</f>
        <v>3.4844999999999997</v>
      </c>
      <c r="CY243">
        <f>AD243</f>
        <v>51.17</v>
      </c>
      <c r="CZ243">
        <f>AH243</f>
        <v>7.8</v>
      </c>
      <c r="DA243">
        <f>AL243</f>
        <v>6.56</v>
      </c>
      <c r="DB243">
        <f>ROUND((ROUND(AT243*CZ243,2)*1.15*6),2)</f>
        <v>26.91</v>
      </c>
      <c r="DC243">
        <f>ROUND((ROUND(AT243*AG243,2)*1.15*6),2)</f>
        <v>0</v>
      </c>
    </row>
    <row r="244" spans="1:107" x14ac:dyDescent="0.2">
      <c r="A244">
        <f>ROW(Source!A155)</f>
        <v>155</v>
      </c>
      <c r="B244">
        <v>16748969</v>
      </c>
      <c r="C244">
        <v>16750378</v>
      </c>
      <c r="D244">
        <v>15430395</v>
      </c>
      <c r="E244">
        <v>1</v>
      </c>
      <c r="F244">
        <v>1</v>
      </c>
      <c r="G244">
        <v>1</v>
      </c>
      <c r="H244">
        <v>1</v>
      </c>
      <c r="I244" t="s">
        <v>1073</v>
      </c>
      <c r="J244" t="s">
        <v>6</v>
      </c>
      <c r="K244" t="s">
        <v>1074</v>
      </c>
      <c r="L244">
        <v>1191</v>
      </c>
      <c r="N244">
        <v>1013</v>
      </c>
      <c r="O244" t="s">
        <v>1072</v>
      </c>
      <c r="P244" t="s">
        <v>1072</v>
      </c>
      <c r="Q244">
        <v>1</v>
      </c>
      <c r="W244">
        <v>0</v>
      </c>
      <c r="X244">
        <v>-1417349443</v>
      </c>
      <c r="Y244">
        <v>0.21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1</v>
      </c>
      <c r="AJ244">
        <v>1</v>
      </c>
      <c r="AK244">
        <v>6.56</v>
      </c>
      <c r="AL244">
        <v>1</v>
      </c>
      <c r="AN244">
        <v>0</v>
      </c>
      <c r="AO244">
        <v>1</v>
      </c>
      <c r="AP244">
        <v>0</v>
      </c>
      <c r="AQ244">
        <v>0</v>
      </c>
      <c r="AR244">
        <v>0</v>
      </c>
      <c r="AS244" t="s">
        <v>6</v>
      </c>
      <c r="AT244">
        <v>0.21</v>
      </c>
      <c r="AU244" t="s">
        <v>6</v>
      </c>
      <c r="AV244">
        <v>2</v>
      </c>
      <c r="AW244">
        <v>2</v>
      </c>
      <c r="AX244">
        <v>16750386</v>
      </c>
      <c r="AY244">
        <v>1</v>
      </c>
      <c r="AZ244">
        <v>2048</v>
      </c>
      <c r="BA244">
        <v>231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CX244">
        <f>Y244*Source!I155</f>
        <v>0.21209999999999998</v>
      </c>
      <c r="CY244">
        <f>AD244</f>
        <v>0</v>
      </c>
      <c r="CZ244">
        <f>AH244</f>
        <v>0</v>
      </c>
      <c r="DA244">
        <f>AL244</f>
        <v>1</v>
      </c>
      <c r="DB244">
        <f>ROUND(ROUND(AT244*CZ244,2),2)</f>
        <v>0</v>
      </c>
      <c r="DC244">
        <f>ROUND(ROUND(AT244*AG244,2),2)</f>
        <v>0</v>
      </c>
    </row>
    <row r="245" spans="1:107" x14ac:dyDescent="0.2">
      <c r="A245">
        <f>ROW(Source!A155)</f>
        <v>155</v>
      </c>
      <c r="B245">
        <v>16748969</v>
      </c>
      <c r="C245">
        <v>16750378</v>
      </c>
      <c r="D245">
        <v>15247974</v>
      </c>
      <c r="E245">
        <v>1</v>
      </c>
      <c r="F245">
        <v>1</v>
      </c>
      <c r="G245">
        <v>1</v>
      </c>
      <c r="H245">
        <v>2</v>
      </c>
      <c r="I245" t="s">
        <v>1075</v>
      </c>
      <c r="J245" t="s">
        <v>1076</v>
      </c>
      <c r="K245" t="s">
        <v>1077</v>
      </c>
      <c r="L245">
        <v>1368</v>
      </c>
      <c r="N245">
        <v>1011</v>
      </c>
      <c r="O245" t="s">
        <v>1078</v>
      </c>
      <c r="P245" t="s">
        <v>1078</v>
      </c>
      <c r="Q245">
        <v>1</v>
      </c>
      <c r="W245">
        <v>0</v>
      </c>
      <c r="X245">
        <v>1188625873</v>
      </c>
      <c r="Y245">
        <v>1.5750000000000002</v>
      </c>
      <c r="AA245">
        <v>0</v>
      </c>
      <c r="AB245">
        <v>205.07</v>
      </c>
      <c r="AC245">
        <v>13.5</v>
      </c>
      <c r="AD245">
        <v>0</v>
      </c>
      <c r="AE245">
        <v>0</v>
      </c>
      <c r="AF245">
        <v>31.26</v>
      </c>
      <c r="AG245">
        <v>13.5</v>
      </c>
      <c r="AH245">
        <v>0</v>
      </c>
      <c r="AI245">
        <v>1</v>
      </c>
      <c r="AJ245">
        <v>6.56</v>
      </c>
      <c r="AK245">
        <v>1</v>
      </c>
      <c r="AL245">
        <v>1</v>
      </c>
      <c r="AN245">
        <v>0</v>
      </c>
      <c r="AO245">
        <v>1</v>
      </c>
      <c r="AP245">
        <v>1</v>
      </c>
      <c r="AQ245">
        <v>0</v>
      </c>
      <c r="AR245">
        <v>0</v>
      </c>
      <c r="AS245" t="s">
        <v>6</v>
      </c>
      <c r="AT245">
        <v>0.21</v>
      </c>
      <c r="AU245" t="s">
        <v>446</v>
      </c>
      <c r="AV245">
        <v>0</v>
      </c>
      <c r="AW245">
        <v>2</v>
      </c>
      <c r="AX245">
        <v>16750387</v>
      </c>
      <c r="AY245">
        <v>1</v>
      </c>
      <c r="AZ245">
        <v>0</v>
      </c>
      <c r="BA245">
        <v>232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CX245">
        <f>Y245*Source!I155</f>
        <v>1.5907500000000001</v>
      </c>
      <c r="CY245">
        <f>AB245</f>
        <v>205.07</v>
      </c>
      <c r="CZ245">
        <f>AF245</f>
        <v>31.26</v>
      </c>
      <c r="DA245">
        <f>AJ245</f>
        <v>6.56</v>
      </c>
      <c r="DB245">
        <f>ROUND((ROUND(AT245*CZ245,2)*1.25*6),2)</f>
        <v>49.2</v>
      </c>
      <c r="DC245">
        <f>ROUND((ROUND(AT245*AG245,2)*1.25*6),2)</f>
        <v>21.3</v>
      </c>
    </row>
    <row r="246" spans="1:107" x14ac:dyDescent="0.2">
      <c r="A246">
        <f>ROW(Source!A155)</f>
        <v>155</v>
      </c>
      <c r="B246">
        <v>16748969</v>
      </c>
      <c r="C246">
        <v>16750378</v>
      </c>
      <c r="D246">
        <v>15248091</v>
      </c>
      <c r="E246">
        <v>1</v>
      </c>
      <c r="F246">
        <v>1</v>
      </c>
      <c r="G246">
        <v>1</v>
      </c>
      <c r="H246">
        <v>2</v>
      </c>
      <c r="I246" t="s">
        <v>1292</v>
      </c>
      <c r="J246" t="s">
        <v>1293</v>
      </c>
      <c r="K246" t="s">
        <v>1294</v>
      </c>
      <c r="L246">
        <v>1368</v>
      </c>
      <c r="N246">
        <v>1011</v>
      </c>
      <c r="O246" t="s">
        <v>1078</v>
      </c>
      <c r="P246" t="s">
        <v>1078</v>
      </c>
      <c r="Q246">
        <v>1</v>
      </c>
      <c r="W246">
        <v>0</v>
      </c>
      <c r="X246">
        <v>126902709</v>
      </c>
      <c r="Y246">
        <v>17.399999999999999</v>
      </c>
      <c r="AA246">
        <v>0</v>
      </c>
      <c r="AB246">
        <v>3.28</v>
      </c>
      <c r="AC246">
        <v>0</v>
      </c>
      <c r="AD246">
        <v>0</v>
      </c>
      <c r="AE246">
        <v>0</v>
      </c>
      <c r="AF246">
        <v>0.5</v>
      </c>
      <c r="AG246">
        <v>0</v>
      </c>
      <c r="AH246">
        <v>0</v>
      </c>
      <c r="AI246">
        <v>1</v>
      </c>
      <c r="AJ246">
        <v>6.56</v>
      </c>
      <c r="AK246">
        <v>1</v>
      </c>
      <c r="AL246">
        <v>1</v>
      </c>
      <c r="AN246">
        <v>0</v>
      </c>
      <c r="AO246">
        <v>1</v>
      </c>
      <c r="AP246">
        <v>1</v>
      </c>
      <c r="AQ246">
        <v>0</v>
      </c>
      <c r="AR246">
        <v>0</v>
      </c>
      <c r="AS246" t="s">
        <v>6</v>
      </c>
      <c r="AT246">
        <v>2.3199999999999998</v>
      </c>
      <c r="AU246" t="s">
        <v>446</v>
      </c>
      <c r="AV246">
        <v>0</v>
      </c>
      <c r="AW246">
        <v>2</v>
      </c>
      <c r="AX246">
        <v>16750388</v>
      </c>
      <c r="AY246">
        <v>1</v>
      </c>
      <c r="AZ246">
        <v>0</v>
      </c>
      <c r="BA246">
        <v>233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  <c r="CX246">
        <f>Y246*Source!I155</f>
        <v>17.573999999999998</v>
      </c>
      <c r="CY246">
        <f>AB246</f>
        <v>3.28</v>
      </c>
      <c r="CZ246">
        <f>AF246</f>
        <v>0.5</v>
      </c>
      <c r="DA246">
        <f>AJ246</f>
        <v>6.56</v>
      </c>
      <c r="DB246">
        <f>ROUND((ROUND(AT246*CZ246,2)*1.25*6),2)</f>
        <v>8.6999999999999993</v>
      </c>
      <c r="DC246">
        <f>ROUND((ROUND(AT246*AG246,2)*1.25*6),2)</f>
        <v>0</v>
      </c>
    </row>
    <row r="247" spans="1:107" x14ac:dyDescent="0.2">
      <c r="A247">
        <f>ROW(Source!A155)</f>
        <v>155</v>
      </c>
      <c r="B247">
        <v>16748969</v>
      </c>
      <c r="C247">
        <v>16750378</v>
      </c>
      <c r="D247">
        <v>15172442</v>
      </c>
      <c r="E247">
        <v>1</v>
      </c>
      <c r="F247">
        <v>1</v>
      </c>
      <c r="G247">
        <v>1</v>
      </c>
      <c r="H247">
        <v>3</v>
      </c>
      <c r="I247" t="s">
        <v>435</v>
      </c>
      <c r="J247" t="s">
        <v>437</v>
      </c>
      <c r="K247" t="s">
        <v>436</v>
      </c>
      <c r="L247">
        <v>1339</v>
      </c>
      <c r="N247">
        <v>1007</v>
      </c>
      <c r="O247" t="s">
        <v>283</v>
      </c>
      <c r="P247" t="s">
        <v>283</v>
      </c>
      <c r="Q247">
        <v>1</v>
      </c>
      <c r="W247">
        <v>0</v>
      </c>
      <c r="X247">
        <v>1435212761</v>
      </c>
      <c r="Y247">
        <v>3.06</v>
      </c>
      <c r="AA247">
        <v>4220.8999999999996</v>
      </c>
      <c r="AB247">
        <v>0</v>
      </c>
      <c r="AC247">
        <v>0</v>
      </c>
      <c r="AD247">
        <v>0</v>
      </c>
      <c r="AE247">
        <v>643.42999999999995</v>
      </c>
      <c r="AF247">
        <v>0</v>
      </c>
      <c r="AG247">
        <v>0</v>
      </c>
      <c r="AH247">
        <v>0</v>
      </c>
      <c r="AI247">
        <v>6.56</v>
      </c>
      <c r="AJ247">
        <v>1</v>
      </c>
      <c r="AK247">
        <v>1</v>
      </c>
      <c r="AL247">
        <v>1</v>
      </c>
      <c r="AN247">
        <v>0</v>
      </c>
      <c r="AO247">
        <v>0</v>
      </c>
      <c r="AP247">
        <v>1</v>
      </c>
      <c r="AQ247">
        <v>0</v>
      </c>
      <c r="AR247">
        <v>0</v>
      </c>
      <c r="AS247" t="s">
        <v>6</v>
      </c>
      <c r="AT247">
        <v>0.51</v>
      </c>
      <c r="AU247" t="s">
        <v>445</v>
      </c>
      <c r="AV247">
        <v>0</v>
      </c>
      <c r="AW247">
        <v>1</v>
      </c>
      <c r="AX247">
        <v>-1</v>
      </c>
      <c r="AY247">
        <v>0</v>
      </c>
      <c r="AZ247">
        <v>0</v>
      </c>
      <c r="BA247" t="s">
        <v>6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CX247">
        <f>Y247*Source!I155</f>
        <v>3.0906000000000002</v>
      </c>
      <c r="CY247">
        <f>AA247</f>
        <v>4220.8999999999996</v>
      </c>
      <c r="CZ247">
        <f>AE247</f>
        <v>643.42999999999995</v>
      </c>
      <c r="DA247">
        <f>AI247</f>
        <v>6.56</v>
      </c>
      <c r="DB247">
        <f>ROUND((ROUND(AT247*CZ247,2)*6),2)</f>
        <v>1968.9</v>
      </c>
      <c r="DC247">
        <f>ROUND((ROUND(AT247*AG247,2)*6),2)</f>
        <v>0</v>
      </c>
    </row>
    <row r="248" spans="1:107" x14ac:dyDescent="0.2">
      <c r="A248">
        <f>ROW(Source!A155)</f>
        <v>155</v>
      </c>
      <c r="B248">
        <v>16748969</v>
      </c>
      <c r="C248">
        <v>16750378</v>
      </c>
      <c r="D248">
        <v>15161601</v>
      </c>
      <c r="E248">
        <v>17</v>
      </c>
      <c r="F248">
        <v>1</v>
      </c>
      <c r="G248">
        <v>1</v>
      </c>
      <c r="H248">
        <v>3</v>
      </c>
      <c r="I248" t="s">
        <v>439</v>
      </c>
      <c r="J248" t="s">
        <v>6</v>
      </c>
      <c r="K248" t="s">
        <v>440</v>
      </c>
      <c r="L248">
        <v>1339</v>
      </c>
      <c r="N248">
        <v>1007</v>
      </c>
      <c r="O248" t="s">
        <v>283</v>
      </c>
      <c r="P248" t="s">
        <v>283</v>
      </c>
      <c r="Q248">
        <v>1</v>
      </c>
      <c r="W248">
        <v>0</v>
      </c>
      <c r="X248">
        <v>-355906858</v>
      </c>
      <c r="Y248">
        <v>3.06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6.56</v>
      </c>
      <c r="AJ248">
        <v>1</v>
      </c>
      <c r="AK248">
        <v>1</v>
      </c>
      <c r="AL248">
        <v>1</v>
      </c>
      <c r="AN248">
        <v>0</v>
      </c>
      <c r="AO248">
        <v>0</v>
      </c>
      <c r="AP248">
        <v>1</v>
      </c>
      <c r="AQ248">
        <v>0</v>
      </c>
      <c r="AR248">
        <v>0</v>
      </c>
      <c r="AS248" t="s">
        <v>6</v>
      </c>
      <c r="AT248">
        <v>0.51</v>
      </c>
      <c r="AU248" t="s">
        <v>445</v>
      </c>
      <c r="AV248">
        <v>0</v>
      </c>
      <c r="AW248">
        <v>2</v>
      </c>
      <c r="AX248">
        <v>16750389</v>
      </c>
      <c r="AY248">
        <v>1</v>
      </c>
      <c r="AZ248">
        <v>0</v>
      </c>
      <c r="BA248">
        <v>234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CX248">
        <f>Y248*Source!I155</f>
        <v>3.0906000000000002</v>
      </c>
      <c r="CY248">
        <f>AA248</f>
        <v>0</v>
      </c>
      <c r="CZ248">
        <f>AE248</f>
        <v>0</v>
      </c>
      <c r="DA248">
        <f>AI248</f>
        <v>6.56</v>
      </c>
      <c r="DB248">
        <f>ROUND((ROUND(AT248*CZ248,2)*6),2)</f>
        <v>0</v>
      </c>
      <c r="DC248">
        <f>ROUND((ROUND(AT248*AG248,2)*6),2)</f>
        <v>0</v>
      </c>
    </row>
    <row r="249" spans="1:107" x14ac:dyDescent="0.2">
      <c r="A249">
        <f>ROW(Source!A158)</f>
        <v>158</v>
      </c>
      <c r="B249">
        <v>16748969</v>
      </c>
      <c r="C249">
        <v>16750392</v>
      </c>
      <c r="D249">
        <v>15430767</v>
      </c>
      <c r="E249">
        <v>1</v>
      </c>
      <c r="F249">
        <v>1</v>
      </c>
      <c r="G249">
        <v>1</v>
      </c>
      <c r="H249">
        <v>1</v>
      </c>
      <c r="I249" t="s">
        <v>1070</v>
      </c>
      <c r="J249" t="s">
        <v>6</v>
      </c>
      <c r="K249" t="s">
        <v>1071</v>
      </c>
      <c r="L249">
        <v>1191</v>
      </c>
      <c r="N249">
        <v>1013</v>
      </c>
      <c r="O249" t="s">
        <v>1072</v>
      </c>
      <c r="P249" t="s">
        <v>1072</v>
      </c>
      <c r="Q249">
        <v>1</v>
      </c>
      <c r="W249">
        <v>0</v>
      </c>
      <c r="X249">
        <v>-400197608</v>
      </c>
      <c r="Y249">
        <v>43.320499999999996</v>
      </c>
      <c r="AA249">
        <v>0</v>
      </c>
      <c r="AB249">
        <v>0</v>
      </c>
      <c r="AC249">
        <v>0</v>
      </c>
      <c r="AD249">
        <v>55.96</v>
      </c>
      <c r="AE249">
        <v>0</v>
      </c>
      <c r="AF249">
        <v>0</v>
      </c>
      <c r="AG249">
        <v>0</v>
      </c>
      <c r="AH249">
        <v>8.5299999999999994</v>
      </c>
      <c r="AI249">
        <v>1</v>
      </c>
      <c r="AJ249">
        <v>1</v>
      </c>
      <c r="AK249">
        <v>1</v>
      </c>
      <c r="AL249">
        <v>6.56</v>
      </c>
      <c r="AN249">
        <v>0</v>
      </c>
      <c r="AO249">
        <v>1</v>
      </c>
      <c r="AP249">
        <v>1</v>
      </c>
      <c r="AQ249">
        <v>0</v>
      </c>
      <c r="AR249">
        <v>0</v>
      </c>
      <c r="AS249" t="s">
        <v>6</v>
      </c>
      <c r="AT249">
        <v>37.67</v>
      </c>
      <c r="AU249" t="s">
        <v>173</v>
      </c>
      <c r="AV249">
        <v>1</v>
      </c>
      <c r="AW249">
        <v>2</v>
      </c>
      <c r="AX249">
        <v>16750400</v>
      </c>
      <c r="AY249">
        <v>1</v>
      </c>
      <c r="AZ249">
        <v>0</v>
      </c>
      <c r="BA249">
        <v>235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CX249">
        <f>Y249*Source!I158</f>
        <v>43.753704999999997</v>
      </c>
      <c r="CY249">
        <f>AD249</f>
        <v>55.96</v>
      </c>
      <c r="CZ249">
        <f>AH249</f>
        <v>8.5299999999999994</v>
      </c>
      <c r="DA249">
        <f>AL249</f>
        <v>6.56</v>
      </c>
      <c r="DB249">
        <f>ROUND((ROUND(AT249*CZ249,2)*1.15),2)</f>
        <v>369.53</v>
      </c>
      <c r="DC249">
        <f>ROUND((ROUND(AT249*AG249,2)*1.15),2)</f>
        <v>0</v>
      </c>
    </row>
    <row r="250" spans="1:107" x14ac:dyDescent="0.2">
      <c r="A250">
        <f>ROW(Source!A158)</f>
        <v>158</v>
      </c>
      <c r="B250">
        <v>16748969</v>
      </c>
      <c r="C250">
        <v>16750392</v>
      </c>
      <c r="D250">
        <v>15430395</v>
      </c>
      <c r="E250">
        <v>1</v>
      </c>
      <c r="F250">
        <v>1</v>
      </c>
      <c r="G250">
        <v>1</v>
      </c>
      <c r="H250">
        <v>1</v>
      </c>
      <c r="I250" t="s">
        <v>1073</v>
      </c>
      <c r="J250" t="s">
        <v>6</v>
      </c>
      <c r="K250" t="s">
        <v>1074</v>
      </c>
      <c r="L250">
        <v>1191</v>
      </c>
      <c r="N250">
        <v>1013</v>
      </c>
      <c r="O250" t="s">
        <v>1072</v>
      </c>
      <c r="P250" t="s">
        <v>1072</v>
      </c>
      <c r="Q250">
        <v>1</v>
      </c>
      <c r="W250">
        <v>0</v>
      </c>
      <c r="X250">
        <v>-1417349443</v>
      </c>
      <c r="Y250">
        <v>0.17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1</v>
      </c>
      <c r="AJ250">
        <v>1</v>
      </c>
      <c r="AK250">
        <v>6.56</v>
      </c>
      <c r="AL250">
        <v>1</v>
      </c>
      <c r="AN250">
        <v>0</v>
      </c>
      <c r="AO250">
        <v>1</v>
      </c>
      <c r="AP250">
        <v>0</v>
      </c>
      <c r="AQ250">
        <v>0</v>
      </c>
      <c r="AR250">
        <v>0</v>
      </c>
      <c r="AS250" t="s">
        <v>6</v>
      </c>
      <c r="AT250">
        <v>0.17</v>
      </c>
      <c r="AU250" t="s">
        <v>6</v>
      </c>
      <c r="AV250">
        <v>2</v>
      </c>
      <c r="AW250">
        <v>2</v>
      </c>
      <c r="AX250">
        <v>16750401</v>
      </c>
      <c r="AY250">
        <v>1</v>
      </c>
      <c r="AZ250">
        <v>2048</v>
      </c>
      <c r="BA250">
        <v>236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CX250">
        <f>Y250*Source!I158</f>
        <v>0.17170000000000002</v>
      </c>
      <c r="CY250">
        <f>AD250</f>
        <v>0</v>
      </c>
      <c r="CZ250">
        <f>AH250</f>
        <v>0</v>
      </c>
      <c r="DA250">
        <f>AL250</f>
        <v>1</v>
      </c>
      <c r="DB250">
        <f>ROUND(ROUND(AT250*CZ250,2),2)</f>
        <v>0</v>
      </c>
      <c r="DC250">
        <f>ROUND(ROUND(AT250*AG250,2),2)</f>
        <v>0</v>
      </c>
    </row>
    <row r="251" spans="1:107" x14ac:dyDescent="0.2">
      <c r="A251">
        <f>ROW(Source!A158)</f>
        <v>158</v>
      </c>
      <c r="B251">
        <v>16748969</v>
      </c>
      <c r="C251">
        <v>16750392</v>
      </c>
      <c r="D251">
        <v>15247970</v>
      </c>
      <c r="E251">
        <v>1</v>
      </c>
      <c r="F251">
        <v>1</v>
      </c>
      <c r="G251">
        <v>1</v>
      </c>
      <c r="H251">
        <v>2</v>
      </c>
      <c r="I251" t="s">
        <v>1295</v>
      </c>
      <c r="J251" t="s">
        <v>1296</v>
      </c>
      <c r="K251" t="s">
        <v>1297</v>
      </c>
      <c r="L251">
        <v>1368</v>
      </c>
      <c r="N251">
        <v>1011</v>
      </c>
      <c r="O251" t="s">
        <v>1078</v>
      </c>
      <c r="P251" t="s">
        <v>1078</v>
      </c>
      <c r="Q251">
        <v>1</v>
      </c>
      <c r="W251">
        <v>0</v>
      </c>
      <c r="X251">
        <v>368031958</v>
      </c>
      <c r="Y251">
        <v>0.16250000000000001</v>
      </c>
      <c r="AA251">
        <v>0</v>
      </c>
      <c r="AB251">
        <v>181.45</v>
      </c>
      <c r="AC251">
        <v>11.6</v>
      </c>
      <c r="AD251">
        <v>0</v>
      </c>
      <c r="AE251">
        <v>0</v>
      </c>
      <c r="AF251">
        <v>27.66</v>
      </c>
      <c r="AG251">
        <v>11.6</v>
      </c>
      <c r="AH251">
        <v>0</v>
      </c>
      <c r="AI251">
        <v>1</v>
      </c>
      <c r="AJ251">
        <v>6.56</v>
      </c>
      <c r="AK251">
        <v>1</v>
      </c>
      <c r="AL251">
        <v>1</v>
      </c>
      <c r="AN251">
        <v>0</v>
      </c>
      <c r="AO251">
        <v>1</v>
      </c>
      <c r="AP251">
        <v>1</v>
      </c>
      <c r="AQ251">
        <v>0</v>
      </c>
      <c r="AR251">
        <v>0</v>
      </c>
      <c r="AS251" t="s">
        <v>6</v>
      </c>
      <c r="AT251">
        <v>0.13</v>
      </c>
      <c r="AU251" t="s">
        <v>172</v>
      </c>
      <c r="AV251">
        <v>0</v>
      </c>
      <c r="AW251">
        <v>2</v>
      </c>
      <c r="AX251">
        <v>16750402</v>
      </c>
      <c r="AY251">
        <v>1</v>
      </c>
      <c r="AZ251">
        <v>0</v>
      </c>
      <c r="BA251">
        <v>237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CX251">
        <f>Y251*Source!I158</f>
        <v>0.16412500000000002</v>
      </c>
      <c r="CY251">
        <f>AB251</f>
        <v>181.45</v>
      </c>
      <c r="CZ251">
        <f>AF251</f>
        <v>27.66</v>
      </c>
      <c r="DA251">
        <f>AJ251</f>
        <v>6.56</v>
      </c>
      <c r="DB251">
        <f>ROUND((ROUND(AT251*CZ251,2)*1.25),2)</f>
        <v>4.5</v>
      </c>
      <c r="DC251">
        <f>ROUND((ROUND(AT251*AG251,2)*1.25),2)</f>
        <v>1.89</v>
      </c>
    </row>
    <row r="252" spans="1:107" x14ac:dyDescent="0.2">
      <c r="A252">
        <f>ROW(Source!A158)</f>
        <v>158</v>
      </c>
      <c r="B252">
        <v>16748969</v>
      </c>
      <c r="C252">
        <v>16750392</v>
      </c>
      <c r="D252">
        <v>15249073</v>
      </c>
      <c r="E252">
        <v>1</v>
      </c>
      <c r="F252">
        <v>1</v>
      </c>
      <c r="G252">
        <v>1</v>
      </c>
      <c r="H252">
        <v>2</v>
      </c>
      <c r="I252" t="s">
        <v>1097</v>
      </c>
      <c r="J252" t="s">
        <v>1098</v>
      </c>
      <c r="K252" t="s">
        <v>1099</v>
      </c>
      <c r="L252">
        <v>1368</v>
      </c>
      <c r="N252">
        <v>1011</v>
      </c>
      <c r="O252" t="s">
        <v>1078</v>
      </c>
      <c r="P252" t="s">
        <v>1078</v>
      </c>
      <c r="Q252">
        <v>1</v>
      </c>
      <c r="W252">
        <v>0</v>
      </c>
      <c r="X252">
        <v>1372534845</v>
      </c>
      <c r="Y252">
        <v>0.05</v>
      </c>
      <c r="AA252">
        <v>0</v>
      </c>
      <c r="AB252">
        <v>431.06</v>
      </c>
      <c r="AC252">
        <v>11.6</v>
      </c>
      <c r="AD252">
        <v>0</v>
      </c>
      <c r="AE252">
        <v>0</v>
      </c>
      <c r="AF252">
        <v>65.709999999999994</v>
      </c>
      <c r="AG252">
        <v>11.6</v>
      </c>
      <c r="AH252">
        <v>0</v>
      </c>
      <c r="AI252">
        <v>1</v>
      </c>
      <c r="AJ252">
        <v>6.56</v>
      </c>
      <c r="AK252">
        <v>1</v>
      </c>
      <c r="AL252">
        <v>1</v>
      </c>
      <c r="AN252">
        <v>0</v>
      </c>
      <c r="AO252">
        <v>1</v>
      </c>
      <c r="AP252">
        <v>1</v>
      </c>
      <c r="AQ252">
        <v>0</v>
      </c>
      <c r="AR252">
        <v>0</v>
      </c>
      <c r="AS252" t="s">
        <v>6</v>
      </c>
      <c r="AT252">
        <v>0.04</v>
      </c>
      <c r="AU252" t="s">
        <v>172</v>
      </c>
      <c r="AV252">
        <v>0</v>
      </c>
      <c r="AW252">
        <v>2</v>
      </c>
      <c r="AX252">
        <v>16750403</v>
      </c>
      <c r="AY252">
        <v>1</v>
      </c>
      <c r="AZ252">
        <v>0</v>
      </c>
      <c r="BA252">
        <v>238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  <c r="CX252">
        <f>Y252*Source!I158</f>
        <v>5.0500000000000003E-2</v>
      </c>
      <c r="CY252">
        <f>AB252</f>
        <v>431.06</v>
      </c>
      <c r="CZ252">
        <f>AF252</f>
        <v>65.709999999999994</v>
      </c>
      <c r="DA252">
        <f>AJ252</f>
        <v>6.56</v>
      </c>
      <c r="DB252">
        <f>ROUND((ROUND(AT252*CZ252,2)*1.25),2)</f>
        <v>3.29</v>
      </c>
      <c r="DC252">
        <f>ROUND((ROUND(AT252*AG252,2)*1.25),2)</f>
        <v>0.57999999999999996</v>
      </c>
    </row>
    <row r="253" spans="1:107" x14ac:dyDescent="0.2">
      <c r="A253">
        <f>ROW(Source!A158)</f>
        <v>158</v>
      </c>
      <c r="B253">
        <v>16748969</v>
      </c>
      <c r="C253">
        <v>16750392</v>
      </c>
      <c r="D253">
        <v>15167286</v>
      </c>
      <c r="E253">
        <v>1</v>
      </c>
      <c r="F253">
        <v>1</v>
      </c>
      <c r="G253">
        <v>1</v>
      </c>
      <c r="H253">
        <v>3</v>
      </c>
      <c r="I253" t="s">
        <v>1079</v>
      </c>
      <c r="J253" t="s">
        <v>1080</v>
      </c>
      <c r="K253" t="s">
        <v>1081</v>
      </c>
      <c r="L253">
        <v>1339</v>
      </c>
      <c r="N253">
        <v>1007</v>
      </c>
      <c r="O253" t="s">
        <v>283</v>
      </c>
      <c r="P253" t="s">
        <v>283</v>
      </c>
      <c r="Q253">
        <v>1</v>
      </c>
      <c r="W253">
        <v>0</v>
      </c>
      <c r="X253">
        <v>-1660354250</v>
      </c>
      <c r="Y253">
        <v>0.17399999999999999</v>
      </c>
      <c r="AA253">
        <v>16.010000000000002</v>
      </c>
      <c r="AB253">
        <v>0</v>
      </c>
      <c r="AC253">
        <v>0</v>
      </c>
      <c r="AD253">
        <v>0</v>
      </c>
      <c r="AE253">
        <v>2.44</v>
      </c>
      <c r="AF253">
        <v>0</v>
      </c>
      <c r="AG253">
        <v>0</v>
      </c>
      <c r="AH253">
        <v>0</v>
      </c>
      <c r="AI253">
        <v>6.56</v>
      </c>
      <c r="AJ253">
        <v>1</v>
      </c>
      <c r="AK253">
        <v>1</v>
      </c>
      <c r="AL253">
        <v>1</v>
      </c>
      <c r="AN253">
        <v>0</v>
      </c>
      <c r="AO253">
        <v>1</v>
      </c>
      <c r="AP253">
        <v>0</v>
      </c>
      <c r="AQ253">
        <v>0</v>
      </c>
      <c r="AR253">
        <v>0</v>
      </c>
      <c r="AS253" t="s">
        <v>6</v>
      </c>
      <c r="AT253">
        <v>0.17399999999999999</v>
      </c>
      <c r="AU253" t="s">
        <v>6</v>
      </c>
      <c r="AV253">
        <v>0</v>
      </c>
      <c r="AW253">
        <v>2</v>
      </c>
      <c r="AX253">
        <v>16750404</v>
      </c>
      <c r="AY253">
        <v>1</v>
      </c>
      <c r="AZ253">
        <v>0</v>
      </c>
      <c r="BA253">
        <v>239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0</v>
      </c>
      <c r="BW253">
        <v>0</v>
      </c>
      <c r="CX253">
        <f>Y253*Source!I158</f>
        <v>0.17573999999999998</v>
      </c>
      <c r="CY253">
        <f>AA253</f>
        <v>16.010000000000002</v>
      </c>
      <c r="CZ253">
        <f>AE253</f>
        <v>2.44</v>
      </c>
      <c r="DA253">
        <f>AI253</f>
        <v>6.56</v>
      </c>
      <c r="DB253">
        <f>ROUND(ROUND(AT253*CZ253,2),2)</f>
        <v>0.42</v>
      </c>
      <c r="DC253">
        <f>ROUND(ROUND(AT253*AG253,2),2)</f>
        <v>0</v>
      </c>
    </row>
    <row r="254" spans="1:107" x14ac:dyDescent="0.2">
      <c r="A254">
        <f>ROW(Source!A158)</f>
        <v>158</v>
      </c>
      <c r="B254">
        <v>16748969</v>
      </c>
      <c r="C254">
        <v>16750392</v>
      </c>
      <c r="D254">
        <v>15172906</v>
      </c>
      <c r="E254">
        <v>1</v>
      </c>
      <c r="F254">
        <v>1</v>
      </c>
      <c r="G254">
        <v>1</v>
      </c>
      <c r="H254">
        <v>3</v>
      </c>
      <c r="I254" t="s">
        <v>1298</v>
      </c>
      <c r="J254" t="s">
        <v>1299</v>
      </c>
      <c r="K254" t="s">
        <v>1300</v>
      </c>
      <c r="L254">
        <v>1348</v>
      </c>
      <c r="N254">
        <v>1009</v>
      </c>
      <c r="O254" t="s">
        <v>71</v>
      </c>
      <c r="P254" t="s">
        <v>71</v>
      </c>
      <c r="Q254">
        <v>1000</v>
      </c>
      <c r="W254">
        <v>0</v>
      </c>
      <c r="X254">
        <v>-2114578287</v>
      </c>
      <c r="Y254">
        <v>0.9</v>
      </c>
      <c r="AA254">
        <v>74663.100000000006</v>
      </c>
      <c r="AB254">
        <v>0</v>
      </c>
      <c r="AC254">
        <v>0</v>
      </c>
      <c r="AD254">
        <v>0</v>
      </c>
      <c r="AE254">
        <v>11381.57</v>
      </c>
      <c r="AF254">
        <v>0</v>
      </c>
      <c r="AG254">
        <v>0</v>
      </c>
      <c r="AH254">
        <v>0</v>
      </c>
      <c r="AI254">
        <v>6.56</v>
      </c>
      <c r="AJ254">
        <v>1</v>
      </c>
      <c r="AK254">
        <v>1</v>
      </c>
      <c r="AL254">
        <v>1</v>
      </c>
      <c r="AN254">
        <v>0</v>
      </c>
      <c r="AO254">
        <v>1</v>
      </c>
      <c r="AP254">
        <v>0</v>
      </c>
      <c r="AQ254">
        <v>0</v>
      </c>
      <c r="AR254">
        <v>0</v>
      </c>
      <c r="AS254" t="s">
        <v>6</v>
      </c>
      <c r="AT254">
        <v>0.9</v>
      </c>
      <c r="AU254" t="s">
        <v>6</v>
      </c>
      <c r="AV254">
        <v>0</v>
      </c>
      <c r="AW254">
        <v>2</v>
      </c>
      <c r="AX254">
        <v>16750405</v>
      </c>
      <c r="AY254">
        <v>1</v>
      </c>
      <c r="AZ254">
        <v>0</v>
      </c>
      <c r="BA254">
        <v>240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CX254">
        <f>Y254*Source!I158</f>
        <v>0.90900000000000003</v>
      </c>
      <c r="CY254">
        <f>AA254</f>
        <v>74663.100000000006</v>
      </c>
      <c r="CZ254">
        <f>AE254</f>
        <v>11381.57</v>
      </c>
      <c r="DA254">
        <f>AI254</f>
        <v>6.56</v>
      </c>
      <c r="DB254">
        <f>ROUND(ROUND(AT254*CZ254,2),2)</f>
        <v>10243.41</v>
      </c>
      <c r="DC254">
        <f>ROUND(ROUND(AT254*AG254,2),2)</f>
        <v>0</v>
      </c>
    </row>
    <row r="255" spans="1:107" x14ac:dyDescent="0.2">
      <c r="A255">
        <f>ROW(Source!A158)</f>
        <v>158</v>
      </c>
      <c r="B255">
        <v>16748969</v>
      </c>
      <c r="C255">
        <v>16750392</v>
      </c>
      <c r="D255">
        <v>15203485</v>
      </c>
      <c r="E255">
        <v>1</v>
      </c>
      <c r="F255">
        <v>1</v>
      </c>
      <c r="G255">
        <v>1</v>
      </c>
      <c r="H255">
        <v>3</v>
      </c>
      <c r="I255" t="s">
        <v>1301</v>
      </c>
      <c r="J255" t="s">
        <v>1302</v>
      </c>
      <c r="K255" t="s">
        <v>1303</v>
      </c>
      <c r="L255">
        <v>1346</v>
      </c>
      <c r="N255">
        <v>1009</v>
      </c>
      <c r="O255" t="s">
        <v>323</v>
      </c>
      <c r="P255" t="s">
        <v>323</v>
      </c>
      <c r="Q255">
        <v>1</v>
      </c>
      <c r="W255">
        <v>0</v>
      </c>
      <c r="X255">
        <v>303141801</v>
      </c>
      <c r="Y255">
        <v>30</v>
      </c>
      <c r="AA255">
        <v>100.04</v>
      </c>
      <c r="AB255">
        <v>0</v>
      </c>
      <c r="AC255">
        <v>0</v>
      </c>
      <c r="AD255">
        <v>0</v>
      </c>
      <c r="AE255">
        <v>15.25</v>
      </c>
      <c r="AF255">
        <v>0</v>
      </c>
      <c r="AG255">
        <v>0</v>
      </c>
      <c r="AH255">
        <v>0</v>
      </c>
      <c r="AI255">
        <v>6.56</v>
      </c>
      <c r="AJ255">
        <v>1</v>
      </c>
      <c r="AK255">
        <v>1</v>
      </c>
      <c r="AL255">
        <v>1</v>
      </c>
      <c r="AN255">
        <v>0</v>
      </c>
      <c r="AO255">
        <v>1</v>
      </c>
      <c r="AP255">
        <v>0</v>
      </c>
      <c r="AQ255">
        <v>0</v>
      </c>
      <c r="AR255">
        <v>0</v>
      </c>
      <c r="AS255" t="s">
        <v>6</v>
      </c>
      <c r="AT255">
        <v>30</v>
      </c>
      <c r="AU255" t="s">
        <v>6</v>
      </c>
      <c r="AV255">
        <v>0</v>
      </c>
      <c r="AW255">
        <v>2</v>
      </c>
      <c r="AX255">
        <v>16750406</v>
      </c>
      <c r="AY255">
        <v>1</v>
      </c>
      <c r="AZ255">
        <v>0</v>
      </c>
      <c r="BA255">
        <v>241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  <c r="CX255">
        <f>Y255*Source!I158</f>
        <v>30.3</v>
      </c>
      <c r="CY255">
        <f>AA255</f>
        <v>100.04</v>
      </c>
      <c r="CZ255">
        <f>AE255</f>
        <v>15.25</v>
      </c>
      <c r="DA255">
        <f>AI255</f>
        <v>6.56</v>
      </c>
      <c r="DB255">
        <f>ROUND(ROUND(AT255*CZ255,2),2)</f>
        <v>457.5</v>
      </c>
      <c r="DC255">
        <f>ROUND(ROUND(AT255*AG255,2),2)</f>
        <v>0</v>
      </c>
    </row>
    <row r="256" spans="1:107" x14ac:dyDescent="0.2">
      <c r="A256">
        <f>ROW(Source!A159)</f>
        <v>159</v>
      </c>
      <c r="B256">
        <v>16748969</v>
      </c>
      <c r="C256">
        <v>16750407</v>
      </c>
      <c r="D256">
        <v>15430767</v>
      </c>
      <c r="E256">
        <v>1</v>
      </c>
      <c r="F256">
        <v>1</v>
      </c>
      <c r="G256">
        <v>1</v>
      </c>
      <c r="H256">
        <v>1</v>
      </c>
      <c r="I256" t="s">
        <v>1070</v>
      </c>
      <c r="J256" t="s">
        <v>6</v>
      </c>
      <c r="K256" t="s">
        <v>1071</v>
      </c>
      <c r="L256">
        <v>1191</v>
      </c>
      <c r="N256">
        <v>1013</v>
      </c>
      <c r="O256" t="s">
        <v>1072</v>
      </c>
      <c r="P256" t="s">
        <v>1072</v>
      </c>
      <c r="Q256">
        <v>1</v>
      </c>
      <c r="W256">
        <v>0</v>
      </c>
      <c r="X256">
        <v>-400197608</v>
      </c>
      <c r="Y256">
        <v>13.914999999999999</v>
      </c>
      <c r="AA256">
        <v>0</v>
      </c>
      <c r="AB256">
        <v>0</v>
      </c>
      <c r="AC256">
        <v>0</v>
      </c>
      <c r="AD256">
        <v>55.96</v>
      </c>
      <c r="AE256">
        <v>0</v>
      </c>
      <c r="AF256">
        <v>0</v>
      </c>
      <c r="AG256">
        <v>0</v>
      </c>
      <c r="AH256">
        <v>8.5299999999999994</v>
      </c>
      <c r="AI256">
        <v>1</v>
      </c>
      <c r="AJ256">
        <v>1</v>
      </c>
      <c r="AK256">
        <v>1</v>
      </c>
      <c r="AL256">
        <v>6.56</v>
      </c>
      <c r="AN256">
        <v>0</v>
      </c>
      <c r="AO256">
        <v>1</v>
      </c>
      <c r="AP256">
        <v>1</v>
      </c>
      <c r="AQ256">
        <v>0</v>
      </c>
      <c r="AR256">
        <v>0</v>
      </c>
      <c r="AS256" t="s">
        <v>6</v>
      </c>
      <c r="AT256">
        <v>2.42</v>
      </c>
      <c r="AU256" t="s">
        <v>460</v>
      </c>
      <c r="AV256">
        <v>1</v>
      </c>
      <c r="AW256">
        <v>2</v>
      </c>
      <c r="AX256">
        <v>16750414</v>
      </c>
      <c r="AY256">
        <v>1</v>
      </c>
      <c r="AZ256">
        <v>0</v>
      </c>
      <c r="BA256">
        <v>242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0</v>
      </c>
      <c r="CX256">
        <f>Y256*Source!I159</f>
        <v>14.05415</v>
      </c>
      <c r="CY256">
        <f>AD256</f>
        <v>55.96</v>
      </c>
      <c r="CZ256">
        <f>AH256</f>
        <v>8.5299999999999994</v>
      </c>
      <c r="DA256">
        <f>AL256</f>
        <v>6.56</v>
      </c>
      <c r="DB256">
        <f>ROUND((ROUND(AT256*CZ256,2)*1.15*5),2)</f>
        <v>118.68</v>
      </c>
      <c r="DC256">
        <f>ROUND((ROUND(AT256*AG256,2)*1.15*5),2)</f>
        <v>0</v>
      </c>
    </row>
    <row r="257" spans="1:107" x14ac:dyDescent="0.2">
      <c r="A257">
        <f>ROW(Source!A159)</f>
        <v>159</v>
      </c>
      <c r="B257">
        <v>16748969</v>
      </c>
      <c r="C257">
        <v>16750407</v>
      </c>
      <c r="D257">
        <v>15430395</v>
      </c>
      <c r="E257">
        <v>1</v>
      </c>
      <c r="F257">
        <v>1</v>
      </c>
      <c r="G257">
        <v>1</v>
      </c>
      <c r="H257">
        <v>1</v>
      </c>
      <c r="I257" t="s">
        <v>1073</v>
      </c>
      <c r="J257" t="s">
        <v>6</v>
      </c>
      <c r="K257" t="s">
        <v>1074</v>
      </c>
      <c r="L257">
        <v>1191</v>
      </c>
      <c r="N257">
        <v>1013</v>
      </c>
      <c r="O257" t="s">
        <v>1072</v>
      </c>
      <c r="P257" t="s">
        <v>1072</v>
      </c>
      <c r="Q257">
        <v>1</v>
      </c>
      <c r="W257">
        <v>0</v>
      </c>
      <c r="X257">
        <v>-1417349443</v>
      </c>
      <c r="Y257">
        <v>0.03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1</v>
      </c>
      <c r="AJ257">
        <v>1</v>
      </c>
      <c r="AK257">
        <v>6.56</v>
      </c>
      <c r="AL257">
        <v>1</v>
      </c>
      <c r="AN257">
        <v>0</v>
      </c>
      <c r="AO257">
        <v>1</v>
      </c>
      <c r="AP257">
        <v>0</v>
      </c>
      <c r="AQ257">
        <v>0</v>
      </c>
      <c r="AR257">
        <v>0</v>
      </c>
      <c r="AS257" t="s">
        <v>6</v>
      </c>
      <c r="AT257">
        <v>0.03</v>
      </c>
      <c r="AU257" t="s">
        <v>6</v>
      </c>
      <c r="AV257">
        <v>2</v>
      </c>
      <c r="AW257">
        <v>2</v>
      </c>
      <c r="AX257">
        <v>16750415</v>
      </c>
      <c r="AY257">
        <v>1</v>
      </c>
      <c r="AZ257">
        <v>2048</v>
      </c>
      <c r="BA257">
        <v>243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0</v>
      </c>
      <c r="CX257">
        <f>Y257*Source!I159</f>
        <v>3.0300000000000001E-2</v>
      </c>
      <c r="CY257">
        <f>AD257</f>
        <v>0</v>
      </c>
      <c r="CZ257">
        <f>AH257</f>
        <v>0</v>
      </c>
      <c r="DA257">
        <f>AL257</f>
        <v>1</v>
      </c>
      <c r="DB257">
        <f>ROUND(ROUND(AT257*CZ257,2),2)</f>
        <v>0</v>
      </c>
      <c r="DC257">
        <f>ROUND(ROUND(AT257*AG257,2),2)</f>
        <v>0</v>
      </c>
    </row>
    <row r="258" spans="1:107" x14ac:dyDescent="0.2">
      <c r="A258">
        <f>ROW(Source!A159)</f>
        <v>159</v>
      </c>
      <c r="B258">
        <v>16748969</v>
      </c>
      <c r="C258">
        <v>16750407</v>
      </c>
      <c r="D258">
        <v>15247970</v>
      </c>
      <c r="E258">
        <v>1</v>
      </c>
      <c r="F258">
        <v>1</v>
      </c>
      <c r="G258">
        <v>1</v>
      </c>
      <c r="H258">
        <v>2</v>
      </c>
      <c r="I258" t="s">
        <v>1295</v>
      </c>
      <c r="J258" t="s">
        <v>1296</v>
      </c>
      <c r="K258" t="s">
        <v>1297</v>
      </c>
      <c r="L258">
        <v>1368</v>
      </c>
      <c r="N258">
        <v>1011</v>
      </c>
      <c r="O258" t="s">
        <v>1078</v>
      </c>
      <c r="P258" t="s">
        <v>1078</v>
      </c>
      <c r="Q258">
        <v>1</v>
      </c>
      <c r="W258">
        <v>0</v>
      </c>
      <c r="X258">
        <v>368031958</v>
      </c>
      <c r="Y258">
        <v>0.125</v>
      </c>
      <c r="AA258">
        <v>0</v>
      </c>
      <c r="AB258">
        <v>181.45</v>
      </c>
      <c r="AC258">
        <v>11.6</v>
      </c>
      <c r="AD258">
        <v>0</v>
      </c>
      <c r="AE258">
        <v>0</v>
      </c>
      <c r="AF258">
        <v>27.66</v>
      </c>
      <c r="AG258">
        <v>11.6</v>
      </c>
      <c r="AH258">
        <v>0</v>
      </c>
      <c r="AI258">
        <v>1</v>
      </c>
      <c r="AJ258">
        <v>6.56</v>
      </c>
      <c r="AK258">
        <v>1</v>
      </c>
      <c r="AL258">
        <v>1</v>
      </c>
      <c r="AN258">
        <v>0</v>
      </c>
      <c r="AO258">
        <v>1</v>
      </c>
      <c r="AP258">
        <v>1</v>
      </c>
      <c r="AQ258">
        <v>0</v>
      </c>
      <c r="AR258">
        <v>0</v>
      </c>
      <c r="AS258" t="s">
        <v>6</v>
      </c>
      <c r="AT258">
        <v>0.02</v>
      </c>
      <c r="AU258" t="s">
        <v>459</v>
      </c>
      <c r="AV258">
        <v>0</v>
      </c>
      <c r="AW258">
        <v>2</v>
      </c>
      <c r="AX258">
        <v>16750416</v>
      </c>
      <c r="AY258">
        <v>1</v>
      </c>
      <c r="AZ258">
        <v>0</v>
      </c>
      <c r="BA258">
        <v>244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CX258">
        <f>Y258*Source!I159</f>
        <v>0.12625</v>
      </c>
      <c r="CY258">
        <f>AB258</f>
        <v>181.45</v>
      </c>
      <c r="CZ258">
        <f>AF258</f>
        <v>27.66</v>
      </c>
      <c r="DA258">
        <f>AJ258</f>
        <v>6.56</v>
      </c>
      <c r="DB258">
        <f>ROUND((ROUND(AT258*CZ258,2)*1.25*5),2)</f>
        <v>3.44</v>
      </c>
      <c r="DC258">
        <f>ROUND((ROUND(AT258*AG258,2)*1.25*5),2)</f>
        <v>1.44</v>
      </c>
    </row>
    <row r="259" spans="1:107" x14ac:dyDescent="0.2">
      <c r="A259">
        <f>ROW(Source!A159)</f>
        <v>159</v>
      </c>
      <c r="B259">
        <v>16748969</v>
      </c>
      <c r="C259">
        <v>16750407</v>
      </c>
      <c r="D259">
        <v>15249073</v>
      </c>
      <c r="E259">
        <v>1</v>
      </c>
      <c r="F259">
        <v>1</v>
      </c>
      <c r="G259">
        <v>1</v>
      </c>
      <c r="H259">
        <v>2</v>
      </c>
      <c r="I259" t="s">
        <v>1097</v>
      </c>
      <c r="J259" t="s">
        <v>1098</v>
      </c>
      <c r="K259" t="s">
        <v>1099</v>
      </c>
      <c r="L259">
        <v>1368</v>
      </c>
      <c r="N259">
        <v>1011</v>
      </c>
      <c r="O259" t="s">
        <v>1078</v>
      </c>
      <c r="P259" t="s">
        <v>1078</v>
      </c>
      <c r="Q259">
        <v>1</v>
      </c>
      <c r="W259">
        <v>0</v>
      </c>
      <c r="X259">
        <v>1372534845</v>
      </c>
      <c r="Y259">
        <v>6.25E-2</v>
      </c>
      <c r="AA259">
        <v>0</v>
      </c>
      <c r="AB259">
        <v>431.06</v>
      </c>
      <c r="AC259">
        <v>11.6</v>
      </c>
      <c r="AD259">
        <v>0</v>
      </c>
      <c r="AE259">
        <v>0</v>
      </c>
      <c r="AF259">
        <v>65.709999999999994</v>
      </c>
      <c r="AG259">
        <v>11.6</v>
      </c>
      <c r="AH259">
        <v>0</v>
      </c>
      <c r="AI259">
        <v>1</v>
      </c>
      <c r="AJ259">
        <v>6.56</v>
      </c>
      <c r="AK259">
        <v>1</v>
      </c>
      <c r="AL259">
        <v>1</v>
      </c>
      <c r="AN259">
        <v>0</v>
      </c>
      <c r="AO259">
        <v>1</v>
      </c>
      <c r="AP259">
        <v>1</v>
      </c>
      <c r="AQ259">
        <v>0</v>
      </c>
      <c r="AR259">
        <v>0</v>
      </c>
      <c r="AS259" t="s">
        <v>6</v>
      </c>
      <c r="AT259">
        <v>0.01</v>
      </c>
      <c r="AU259" t="s">
        <v>459</v>
      </c>
      <c r="AV259">
        <v>0</v>
      </c>
      <c r="AW259">
        <v>2</v>
      </c>
      <c r="AX259">
        <v>16750417</v>
      </c>
      <c r="AY259">
        <v>1</v>
      </c>
      <c r="AZ259">
        <v>0</v>
      </c>
      <c r="BA259">
        <v>245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  <c r="CX259">
        <f>Y259*Source!I159</f>
        <v>6.3125000000000001E-2</v>
      </c>
      <c r="CY259">
        <f>AB259</f>
        <v>431.06</v>
      </c>
      <c r="CZ259">
        <f>AF259</f>
        <v>65.709999999999994</v>
      </c>
      <c r="DA259">
        <f>AJ259</f>
        <v>6.56</v>
      </c>
      <c r="DB259">
        <f>ROUND((ROUND(AT259*CZ259,2)*1.25*5),2)</f>
        <v>4.13</v>
      </c>
      <c r="DC259">
        <f>ROUND((ROUND(AT259*AG259,2)*1.25*5),2)</f>
        <v>0.75</v>
      </c>
    </row>
    <row r="260" spans="1:107" x14ac:dyDescent="0.2">
      <c r="A260">
        <f>ROW(Source!A159)</f>
        <v>159</v>
      </c>
      <c r="B260">
        <v>16748969</v>
      </c>
      <c r="C260">
        <v>16750407</v>
      </c>
      <c r="D260">
        <v>15167286</v>
      </c>
      <c r="E260">
        <v>1</v>
      </c>
      <c r="F260">
        <v>1</v>
      </c>
      <c r="G260">
        <v>1</v>
      </c>
      <c r="H260">
        <v>3</v>
      </c>
      <c r="I260" t="s">
        <v>1079</v>
      </c>
      <c r="J260" t="s">
        <v>1080</v>
      </c>
      <c r="K260" t="s">
        <v>1081</v>
      </c>
      <c r="L260">
        <v>1339</v>
      </c>
      <c r="N260">
        <v>1007</v>
      </c>
      <c r="O260" t="s">
        <v>283</v>
      </c>
      <c r="P260" t="s">
        <v>283</v>
      </c>
      <c r="Q260">
        <v>1</v>
      </c>
      <c r="W260">
        <v>0</v>
      </c>
      <c r="X260">
        <v>-1660354250</v>
      </c>
      <c r="Y260">
        <v>0.15</v>
      </c>
      <c r="AA260">
        <v>16.010000000000002</v>
      </c>
      <c r="AB260">
        <v>0</v>
      </c>
      <c r="AC260">
        <v>0</v>
      </c>
      <c r="AD260">
        <v>0</v>
      </c>
      <c r="AE260">
        <v>2.44</v>
      </c>
      <c r="AF260">
        <v>0</v>
      </c>
      <c r="AG260">
        <v>0</v>
      </c>
      <c r="AH260">
        <v>0</v>
      </c>
      <c r="AI260">
        <v>6.56</v>
      </c>
      <c r="AJ260">
        <v>1</v>
      </c>
      <c r="AK260">
        <v>1</v>
      </c>
      <c r="AL260">
        <v>1</v>
      </c>
      <c r="AN260">
        <v>0</v>
      </c>
      <c r="AO260">
        <v>1</v>
      </c>
      <c r="AP260">
        <v>1</v>
      </c>
      <c r="AQ260">
        <v>0</v>
      </c>
      <c r="AR260">
        <v>0</v>
      </c>
      <c r="AS260" t="s">
        <v>6</v>
      </c>
      <c r="AT260">
        <v>0.03</v>
      </c>
      <c r="AU260" t="s">
        <v>458</v>
      </c>
      <c r="AV260">
        <v>0</v>
      </c>
      <c r="AW260">
        <v>2</v>
      </c>
      <c r="AX260">
        <v>16750418</v>
      </c>
      <c r="AY260">
        <v>1</v>
      </c>
      <c r="AZ260">
        <v>0</v>
      </c>
      <c r="BA260">
        <v>246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CX260">
        <f>Y260*Source!I159</f>
        <v>0.1515</v>
      </c>
      <c r="CY260">
        <f>AA260</f>
        <v>16.010000000000002</v>
      </c>
      <c r="CZ260">
        <f>AE260</f>
        <v>2.44</v>
      </c>
      <c r="DA260">
        <f>AI260</f>
        <v>6.56</v>
      </c>
      <c r="DB260">
        <f>ROUND((ROUND(AT260*CZ260,2)*5),2)</f>
        <v>0.35</v>
      </c>
      <c r="DC260">
        <f>ROUND((ROUND(AT260*AG260,2)*5),2)</f>
        <v>0</v>
      </c>
    </row>
    <row r="261" spans="1:107" x14ac:dyDescent="0.2">
      <c r="A261">
        <f>ROW(Source!A159)</f>
        <v>159</v>
      </c>
      <c r="B261">
        <v>16748969</v>
      </c>
      <c r="C261">
        <v>16750407</v>
      </c>
      <c r="D261">
        <v>15172906</v>
      </c>
      <c r="E261">
        <v>1</v>
      </c>
      <c r="F261">
        <v>1</v>
      </c>
      <c r="G261">
        <v>1</v>
      </c>
      <c r="H261">
        <v>3</v>
      </c>
      <c r="I261" t="s">
        <v>1298</v>
      </c>
      <c r="J261" t="s">
        <v>1299</v>
      </c>
      <c r="K261" t="s">
        <v>1300</v>
      </c>
      <c r="L261">
        <v>1348</v>
      </c>
      <c r="N261">
        <v>1009</v>
      </c>
      <c r="O261" t="s">
        <v>71</v>
      </c>
      <c r="P261" t="s">
        <v>71</v>
      </c>
      <c r="Q261">
        <v>1000</v>
      </c>
      <c r="W261">
        <v>0</v>
      </c>
      <c r="X261">
        <v>-2114578287</v>
      </c>
      <c r="Y261">
        <v>0.89999999999999991</v>
      </c>
      <c r="AA261">
        <v>74663.100000000006</v>
      </c>
      <c r="AB261">
        <v>0</v>
      </c>
      <c r="AC261">
        <v>0</v>
      </c>
      <c r="AD261">
        <v>0</v>
      </c>
      <c r="AE261">
        <v>11381.57</v>
      </c>
      <c r="AF261">
        <v>0</v>
      </c>
      <c r="AG261">
        <v>0</v>
      </c>
      <c r="AH261">
        <v>0</v>
      </c>
      <c r="AI261">
        <v>6.56</v>
      </c>
      <c r="AJ261">
        <v>1</v>
      </c>
      <c r="AK261">
        <v>1</v>
      </c>
      <c r="AL261">
        <v>1</v>
      </c>
      <c r="AN261">
        <v>0</v>
      </c>
      <c r="AO261">
        <v>1</v>
      </c>
      <c r="AP261">
        <v>1</v>
      </c>
      <c r="AQ261">
        <v>0</v>
      </c>
      <c r="AR261">
        <v>0</v>
      </c>
      <c r="AS261" t="s">
        <v>6</v>
      </c>
      <c r="AT261">
        <v>0.18</v>
      </c>
      <c r="AU261" t="s">
        <v>458</v>
      </c>
      <c r="AV261">
        <v>0</v>
      </c>
      <c r="AW261">
        <v>2</v>
      </c>
      <c r="AX261">
        <v>16750419</v>
      </c>
      <c r="AY261">
        <v>1</v>
      </c>
      <c r="AZ261">
        <v>0</v>
      </c>
      <c r="BA261">
        <v>247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0</v>
      </c>
      <c r="CX261">
        <f>Y261*Source!I159</f>
        <v>0.90899999999999992</v>
      </c>
      <c r="CY261">
        <f>AA261</f>
        <v>74663.100000000006</v>
      </c>
      <c r="CZ261">
        <f>AE261</f>
        <v>11381.57</v>
      </c>
      <c r="DA261">
        <f>AI261</f>
        <v>6.56</v>
      </c>
      <c r="DB261">
        <f>ROUND((ROUND(AT261*CZ261,2)*5),2)</f>
        <v>10243.4</v>
      </c>
      <c r="DC261">
        <f>ROUND((ROUND(AT261*AG261,2)*5),2)</f>
        <v>0</v>
      </c>
    </row>
    <row r="262" spans="1:107" x14ac:dyDescent="0.2">
      <c r="A262">
        <f>ROW(Source!A160)</f>
        <v>160</v>
      </c>
      <c r="B262">
        <v>16748969</v>
      </c>
      <c r="C262">
        <v>16750463</v>
      </c>
      <c r="D262">
        <v>15430447</v>
      </c>
      <c r="E262">
        <v>1</v>
      </c>
      <c r="F262">
        <v>1</v>
      </c>
      <c r="G262">
        <v>1</v>
      </c>
      <c r="H262">
        <v>1</v>
      </c>
      <c r="I262" t="s">
        <v>1304</v>
      </c>
      <c r="J262" t="s">
        <v>6</v>
      </c>
      <c r="K262" t="s">
        <v>1305</v>
      </c>
      <c r="L262">
        <v>1191</v>
      </c>
      <c r="N262">
        <v>1013</v>
      </c>
      <c r="O262" t="s">
        <v>1072</v>
      </c>
      <c r="P262" t="s">
        <v>1072</v>
      </c>
      <c r="Q262">
        <v>1</v>
      </c>
      <c r="W262">
        <v>0</v>
      </c>
      <c r="X262">
        <v>145020957</v>
      </c>
      <c r="Y262">
        <v>92.046000000000006</v>
      </c>
      <c r="AA262">
        <v>0</v>
      </c>
      <c r="AB262">
        <v>0</v>
      </c>
      <c r="AC262">
        <v>0</v>
      </c>
      <c r="AD262">
        <v>59.5</v>
      </c>
      <c r="AE262">
        <v>0</v>
      </c>
      <c r="AF262">
        <v>0</v>
      </c>
      <c r="AG262">
        <v>0</v>
      </c>
      <c r="AH262">
        <v>9.07</v>
      </c>
      <c r="AI262">
        <v>1</v>
      </c>
      <c r="AJ262">
        <v>1</v>
      </c>
      <c r="AK262">
        <v>1</v>
      </c>
      <c r="AL262">
        <v>6.56</v>
      </c>
      <c r="AN262">
        <v>0</v>
      </c>
      <c r="AO262">
        <v>1</v>
      </c>
      <c r="AP262">
        <v>1</v>
      </c>
      <c r="AQ262">
        <v>0</v>
      </c>
      <c r="AR262">
        <v>0</v>
      </c>
      <c r="AS262" t="s">
        <v>6</v>
      </c>
      <c r="AT262">
        <v>80.040000000000006</v>
      </c>
      <c r="AU262" t="s">
        <v>173</v>
      </c>
      <c r="AV262">
        <v>1</v>
      </c>
      <c r="AW262">
        <v>2</v>
      </c>
      <c r="AX262">
        <v>16753647</v>
      </c>
      <c r="AY262">
        <v>1</v>
      </c>
      <c r="AZ262">
        <v>0</v>
      </c>
      <c r="BA262">
        <v>248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  <c r="CX262">
        <f>Y262*Source!I160</f>
        <v>21.170580000000001</v>
      </c>
      <c r="CY262">
        <f>AD262</f>
        <v>59.5</v>
      </c>
      <c r="CZ262">
        <f>AH262</f>
        <v>9.07</v>
      </c>
      <c r="DA262">
        <f>AL262</f>
        <v>6.56</v>
      </c>
      <c r="DB262">
        <f>ROUND((ROUND(AT262*CZ262,2)*1.15),2)</f>
        <v>834.85</v>
      </c>
      <c r="DC262">
        <f>ROUND((ROUND(AT262*AG262,2)*1.15),2)</f>
        <v>0</v>
      </c>
    </row>
    <row r="263" spans="1:107" x14ac:dyDescent="0.2">
      <c r="A263">
        <f>ROW(Source!A160)</f>
        <v>160</v>
      </c>
      <c r="B263">
        <v>16748969</v>
      </c>
      <c r="C263">
        <v>16750463</v>
      </c>
      <c r="D263">
        <v>15430395</v>
      </c>
      <c r="E263">
        <v>1</v>
      </c>
      <c r="F263">
        <v>1</v>
      </c>
      <c r="G263">
        <v>1</v>
      </c>
      <c r="H263">
        <v>1</v>
      </c>
      <c r="I263" t="s">
        <v>1073</v>
      </c>
      <c r="J263" t="s">
        <v>6</v>
      </c>
      <c r="K263" t="s">
        <v>1074</v>
      </c>
      <c r="L263">
        <v>1191</v>
      </c>
      <c r="N263">
        <v>1013</v>
      </c>
      <c r="O263" t="s">
        <v>1072</v>
      </c>
      <c r="P263" t="s">
        <v>1072</v>
      </c>
      <c r="Q263">
        <v>1</v>
      </c>
      <c r="W263">
        <v>0</v>
      </c>
      <c r="X263">
        <v>-1417349443</v>
      </c>
      <c r="Y263">
        <v>2.09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1</v>
      </c>
      <c r="AJ263">
        <v>1</v>
      </c>
      <c r="AK263">
        <v>6.56</v>
      </c>
      <c r="AL263">
        <v>1</v>
      </c>
      <c r="AN263">
        <v>0</v>
      </c>
      <c r="AO263">
        <v>1</v>
      </c>
      <c r="AP263">
        <v>0</v>
      </c>
      <c r="AQ263">
        <v>0</v>
      </c>
      <c r="AR263">
        <v>0</v>
      </c>
      <c r="AS263" t="s">
        <v>6</v>
      </c>
      <c r="AT263">
        <v>2.09</v>
      </c>
      <c r="AU263" t="s">
        <v>6</v>
      </c>
      <c r="AV263">
        <v>2</v>
      </c>
      <c r="AW263">
        <v>2</v>
      </c>
      <c r="AX263">
        <v>16753648</v>
      </c>
      <c r="AY263">
        <v>1</v>
      </c>
      <c r="AZ263">
        <v>2048</v>
      </c>
      <c r="BA263">
        <v>249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0</v>
      </c>
      <c r="CX263">
        <f>Y263*Source!I160</f>
        <v>0.48069999999999996</v>
      </c>
      <c r="CY263">
        <f>AD263</f>
        <v>0</v>
      </c>
      <c r="CZ263">
        <f>AH263</f>
        <v>0</v>
      </c>
      <c r="DA263">
        <f>AL263</f>
        <v>1</v>
      </c>
      <c r="DB263">
        <f>ROUND(ROUND(AT263*CZ263,2),2)</f>
        <v>0</v>
      </c>
      <c r="DC263">
        <f>ROUND(ROUND(AT263*AG263,2),2)</f>
        <v>0</v>
      </c>
    </row>
    <row r="264" spans="1:107" x14ac:dyDescent="0.2">
      <c r="A264">
        <f>ROW(Source!A160)</f>
        <v>160</v>
      </c>
      <c r="B264">
        <v>16748969</v>
      </c>
      <c r="C264">
        <v>16750463</v>
      </c>
      <c r="D264">
        <v>15249397</v>
      </c>
      <c r="E264">
        <v>1</v>
      </c>
      <c r="F264">
        <v>1</v>
      </c>
      <c r="G264">
        <v>1</v>
      </c>
      <c r="H264">
        <v>2</v>
      </c>
      <c r="I264" t="s">
        <v>1200</v>
      </c>
      <c r="J264" t="s">
        <v>1201</v>
      </c>
      <c r="K264" t="s">
        <v>1202</v>
      </c>
      <c r="L264">
        <v>1368</v>
      </c>
      <c r="N264">
        <v>1011</v>
      </c>
      <c r="O264" t="s">
        <v>1078</v>
      </c>
      <c r="P264" t="s">
        <v>1078</v>
      </c>
      <c r="Q264">
        <v>1</v>
      </c>
      <c r="W264">
        <v>0</v>
      </c>
      <c r="X264">
        <v>-1589061407</v>
      </c>
      <c r="Y264">
        <v>2.6124999999999998</v>
      </c>
      <c r="AA264">
        <v>0</v>
      </c>
      <c r="AB264">
        <v>590.4</v>
      </c>
      <c r="AC264">
        <v>10.06</v>
      </c>
      <c r="AD264">
        <v>0</v>
      </c>
      <c r="AE264">
        <v>0</v>
      </c>
      <c r="AF264">
        <v>90</v>
      </c>
      <c r="AG264">
        <v>10.06</v>
      </c>
      <c r="AH264">
        <v>0</v>
      </c>
      <c r="AI264">
        <v>1</v>
      </c>
      <c r="AJ264">
        <v>6.56</v>
      </c>
      <c r="AK264">
        <v>1</v>
      </c>
      <c r="AL264">
        <v>1</v>
      </c>
      <c r="AN264">
        <v>0</v>
      </c>
      <c r="AO264">
        <v>1</v>
      </c>
      <c r="AP264">
        <v>1</v>
      </c>
      <c r="AQ264">
        <v>0</v>
      </c>
      <c r="AR264">
        <v>0</v>
      </c>
      <c r="AS264" t="s">
        <v>6</v>
      </c>
      <c r="AT264">
        <v>2.09</v>
      </c>
      <c r="AU264" t="s">
        <v>172</v>
      </c>
      <c r="AV264">
        <v>0</v>
      </c>
      <c r="AW264">
        <v>2</v>
      </c>
      <c r="AX264">
        <v>16753649</v>
      </c>
      <c r="AY264">
        <v>1</v>
      </c>
      <c r="AZ264">
        <v>0</v>
      </c>
      <c r="BA264">
        <v>250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0</v>
      </c>
      <c r="CX264">
        <f>Y264*Source!I160</f>
        <v>0.60087499999999994</v>
      </c>
      <c r="CY264">
        <f>AB264</f>
        <v>590.4</v>
      </c>
      <c r="CZ264">
        <f>AF264</f>
        <v>90</v>
      </c>
      <c r="DA264">
        <f>AJ264</f>
        <v>6.56</v>
      </c>
      <c r="DB264">
        <f>ROUND((ROUND(AT264*CZ264,2)*1.25),2)</f>
        <v>235.13</v>
      </c>
      <c r="DC264">
        <f>ROUND((ROUND(AT264*AG264,2)*1.25),2)</f>
        <v>26.29</v>
      </c>
    </row>
    <row r="265" spans="1:107" x14ac:dyDescent="0.2">
      <c r="A265">
        <f>ROW(Source!A160)</f>
        <v>160</v>
      </c>
      <c r="B265">
        <v>16748969</v>
      </c>
      <c r="C265">
        <v>16750463</v>
      </c>
      <c r="D265">
        <v>15249979</v>
      </c>
      <c r="E265">
        <v>1</v>
      </c>
      <c r="F265">
        <v>1</v>
      </c>
      <c r="G265">
        <v>1</v>
      </c>
      <c r="H265">
        <v>2</v>
      </c>
      <c r="I265" t="s">
        <v>1306</v>
      </c>
      <c r="J265" t="s">
        <v>1307</v>
      </c>
      <c r="K265" t="s">
        <v>1308</v>
      </c>
      <c r="L265">
        <v>1368</v>
      </c>
      <c r="N265">
        <v>1011</v>
      </c>
      <c r="O265" t="s">
        <v>1078</v>
      </c>
      <c r="P265" t="s">
        <v>1078</v>
      </c>
      <c r="Q265">
        <v>1</v>
      </c>
      <c r="W265">
        <v>0</v>
      </c>
      <c r="X265">
        <v>2131372584</v>
      </c>
      <c r="Y265">
        <v>40</v>
      </c>
      <c r="AA265">
        <v>0</v>
      </c>
      <c r="AB265">
        <v>9.84</v>
      </c>
      <c r="AC265">
        <v>0</v>
      </c>
      <c r="AD265">
        <v>0</v>
      </c>
      <c r="AE265">
        <v>0</v>
      </c>
      <c r="AF265">
        <v>1.5</v>
      </c>
      <c r="AG265">
        <v>0</v>
      </c>
      <c r="AH265">
        <v>0</v>
      </c>
      <c r="AI265">
        <v>1</v>
      </c>
      <c r="AJ265">
        <v>6.56</v>
      </c>
      <c r="AK265">
        <v>1</v>
      </c>
      <c r="AL265">
        <v>1</v>
      </c>
      <c r="AN265">
        <v>0</v>
      </c>
      <c r="AO265">
        <v>1</v>
      </c>
      <c r="AP265">
        <v>1</v>
      </c>
      <c r="AQ265">
        <v>0</v>
      </c>
      <c r="AR265">
        <v>0</v>
      </c>
      <c r="AS265" t="s">
        <v>6</v>
      </c>
      <c r="AT265">
        <v>32</v>
      </c>
      <c r="AU265" t="s">
        <v>172</v>
      </c>
      <c r="AV265">
        <v>0</v>
      </c>
      <c r="AW265">
        <v>2</v>
      </c>
      <c r="AX265">
        <v>16753650</v>
      </c>
      <c r="AY265">
        <v>1</v>
      </c>
      <c r="AZ265">
        <v>0</v>
      </c>
      <c r="BA265">
        <v>251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0</v>
      </c>
      <c r="CX265">
        <f>Y265*Source!I160</f>
        <v>9.2000000000000011</v>
      </c>
      <c r="CY265">
        <f>AB265</f>
        <v>9.84</v>
      </c>
      <c r="CZ265">
        <f>AF265</f>
        <v>1.5</v>
      </c>
      <c r="DA265">
        <f>AJ265</f>
        <v>6.56</v>
      </c>
      <c r="DB265">
        <f>ROUND((ROUND(AT265*CZ265,2)*1.25),2)</f>
        <v>60</v>
      </c>
      <c r="DC265">
        <f>ROUND((ROUND(AT265*AG265,2)*1.25),2)</f>
        <v>0</v>
      </c>
    </row>
    <row r="266" spans="1:107" x14ac:dyDescent="0.2">
      <c r="A266">
        <f>ROW(Source!A160)</f>
        <v>160</v>
      </c>
      <c r="B266">
        <v>16748969</v>
      </c>
      <c r="C266">
        <v>16750463</v>
      </c>
      <c r="D266">
        <v>15167286</v>
      </c>
      <c r="E266">
        <v>1</v>
      </c>
      <c r="F266">
        <v>1</v>
      </c>
      <c r="G266">
        <v>1</v>
      </c>
      <c r="H266">
        <v>3</v>
      </c>
      <c r="I266" t="s">
        <v>1079</v>
      </c>
      <c r="J266" t="s">
        <v>1080</v>
      </c>
      <c r="K266" t="s">
        <v>1081</v>
      </c>
      <c r="L266">
        <v>1339</v>
      </c>
      <c r="N266">
        <v>1007</v>
      </c>
      <c r="O266" t="s">
        <v>283</v>
      </c>
      <c r="P266" t="s">
        <v>283</v>
      </c>
      <c r="Q266">
        <v>1</v>
      </c>
      <c r="W266">
        <v>0</v>
      </c>
      <c r="X266">
        <v>-1660354250</v>
      </c>
      <c r="Y266">
        <v>2</v>
      </c>
      <c r="AA266">
        <v>16.010000000000002</v>
      </c>
      <c r="AB266">
        <v>0</v>
      </c>
      <c r="AC266">
        <v>0</v>
      </c>
      <c r="AD266">
        <v>0</v>
      </c>
      <c r="AE266">
        <v>2.44</v>
      </c>
      <c r="AF266">
        <v>0</v>
      </c>
      <c r="AG266">
        <v>0</v>
      </c>
      <c r="AH266">
        <v>0</v>
      </c>
      <c r="AI266">
        <v>6.56</v>
      </c>
      <c r="AJ266">
        <v>1</v>
      </c>
      <c r="AK266">
        <v>1</v>
      </c>
      <c r="AL266">
        <v>1</v>
      </c>
      <c r="AN266">
        <v>0</v>
      </c>
      <c r="AO266">
        <v>1</v>
      </c>
      <c r="AP266">
        <v>0</v>
      </c>
      <c r="AQ266">
        <v>0</v>
      </c>
      <c r="AR266">
        <v>0</v>
      </c>
      <c r="AS266" t="s">
        <v>6</v>
      </c>
      <c r="AT266">
        <v>2</v>
      </c>
      <c r="AU266" t="s">
        <v>6</v>
      </c>
      <c r="AV266">
        <v>0</v>
      </c>
      <c r="AW266">
        <v>2</v>
      </c>
      <c r="AX266">
        <v>16753651</v>
      </c>
      <c r="AY266">
        <v>1</v>
      </c>
      <c r="AZ266">
        <v>0</v>
      </c>
      <c r="BA266">
        <v>252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  <c r="CX266">
        <f>Y266*Source!I160</f>
        <v>0.46</v>
      </c>
      <c r="CY266">
        <f>AA266</f>
        <v>16.010000000000002</v>
      </c>
      <c r="CZ266">
        <f>AE266</f>
        <v>2.44</v>
      </c>
      <c r="DA266">
        <f>AI266</f>
        <v>6.56</v>
      </c>
      <c r="DB266">
        <f>ROUND(ROUND(AT266*CZ266,2),2)</f>
        <v>4.88</v>
      </c>
      <c r="DC266">
        <f>ROUND(ROUND(AT266*AG266,2),2)</f>
        <v>0</v>
      </c>
    </row>
    <row r="267" spans="1:107" x14ac:dyDescent="0.2">
      <c r="A267">
        <f>ROW(Source!A160)</f>
        <v>160</v>
      </c>
      <c r="B267">
        <v>16748969</v>
      </c>
      <c r="C267">
        <v>16750463</v>
      </c>
      <c r="D267">
        <v>15170537</v>
      </c>
      <c r="E267">
        <v>1</v>
      </c>
      <c r="F267">
        <v>1</v>
      </c>
      <c r="G267">
        <v>1</v>
      </c>
      <c r="H267">
        <v>3</v>
      </c>
      <c r="I267" t="s">
        <v>1309</v>
      </c>
      <c r="J267" t="s">
        <v>1310</v>
      </c>
      <c r="K267" t="s">
        <v>1311</v>
      </c>
      <c r="L267">
        <v>1346</v>
      </c>
      <c r="N267">
        <v>1009</v>
      </c>
      <c r="O267" t="s">
        <v>323</v>
      </c>
      <c r="P267" t="s">
        <v>323</v>
      </c>
      <c r="Q267">
        <v>1</v>
      </c>
      <c r="W267">
        <v>0</v>
      </c>
      <c r="X267">
        <v>-1110671496</v>
      </c>
      <c r="Y267">
        <v>2</v>
      </c>
      <c r="AA267">
        <v>37.46</v>
      </c>
      <c r="AB267">
        <v>0</v>
      </c>
      <c r="AC267">
        <v>0</v>
      </c>
      <c r="AD267">
        <v>0</v>
      </c>
      <c r="AE267">
        <v>5.71</v>
      </c>
      <c r="AF267">
        <v>0</v>
      </c>
      <c r="AG267">
        <v>0</v>
      </c>
      <c r="AH267">
        <v>0</v>
      </c>
      <c r="AI267">
        <v>6.56</v>
      </c>
      <c r="AJ267">
        <v>1</v>
      </c>
      <c r="AK267">
        <v>1</v>
      </c>
      <c r="AL267">
        <v>1</v>
      </c>
      <c r="AN267">
        <v>0</v>
      </c>
      <c r="AO267">
        <v>1</v>
      </c>
      <c r="AP267">
        <v>0</v>
      </c>
      <c r="AQ267">
        <v>0</v>
      </c>
      <c r="AR267">
        <v>0</v>
      </c>
      <c r="AS267" t="s">
        <v>6</v>
      </c>
      <c r="AT267">
        <v>2</v>
      </c>
      <c r="AU267" t="s">
        <v>6</v>
      </c>
      <c r="AV267">
        <v>0</v>
      </c>
      <c r="AW267">
        <v>2</v>
      </c>
      <c r="AX267">
        <v>16753652</v>
      </c>
      <c r="AY267">
        <v>1</v>
      </c>
      <c r="AZ267">
        <v>0</v>
      </c>
      <c r="BA267">
        <v>253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0</v>
      </c>
      <c r="CX267">
        <f>Y267*Source!I160</f>
        <v>0.46</v>
      </c>
      <c r="CY267">
        <f>AA267</f>
        <v>37.46</v>
      </c>
      <c r="CZ267">
        <f>AE267</f>
        <v>5.71</v>
      </c>
      <c r="DA267">
        <f>AI267</f>
        <v>6.56</v>
      </c>
      <c r="DB267">
        <f>ROUND(ROUND(AT267*CZ267,2),2)</f>
        <v>11.42</v>
      </c>
      <c r="DC267">
        <f>ROUND(ROUND(AT267*AG267,2),2)</f>
        <v>0</v>
      </c>
    </row>
    <row r="268" spans="1:107" x14ac:dyDescent="0.2">
      <c r="A268">
        <f>ROW(Source!A161)</f>
        <v>161</v>
      </c>
      <c r="B268">
        <v>16748969</v>
      </c>
      <c r="C268">
        <v>16750503</v>
      </c>
      <c r="D268">
        <v>15436014</v>
      </c>
      <c r="E268">
        <v>1</v>
      </c>
      <c r="F268">
        <v>1</v>
      </c>
      <c r="G268">
        <v>1</v>
      </c>
      <c r="H268">
        <v>1</v>
      </c>
      <c r="I268" t="s">
        <v>1123</v>
      </c>
      <c r="J268" t="s">
        <v>6</v>
      </c>
      <c r="K268" t="s">
        <v>1124</v>
      </c>
      <c r="L268">
        <v>1191</v>
      </c>
      <c r="N268">
        <v>1013</v>
      </c>
      <c r="O268" t="s">
        <v>1072</v>
      </c>
      <c r="P268" t="s">
        <v>1072</v>
      </c>
      <c r="Q268">
        <v>1</v>
      </c>
      <c r="W268">
        <v>0</v>
      </c>
      <c r="X268">
        <v>-784637506</v>
      </c>
      <c r="Y268">
        <v>356.983</v>
      </c>
      <c r="AA268">
        <v>0</v>
      </c>
      <c r="AB268">
        <v>0</v>
      </c>
      <c r="AC268">
        <v>0</v>
      </c>
      <c r="AD268">
        <v>57.33</v>
      </c>
      <c r="AE268">
        <v>0</v>
      </c>
      <c r="AF268">
        <v>0</v>
      </c>
      <c r="AG268">
        <v>0</v>
      </c>
      <c r="AH268">
        <v>8.74</v>
      </c>
      <c r="AI268">
        <v>1</v>
      </c>
      <c r="AJ268">
        <v>1</v>
      </c>
      <c r="AK268">
        <v>1</v>
      </c>
      <c r="AL268">
        <v>6.56</v>
      </c>
      <c r="AN268">
        <v>0</v>
      </c>
      <c r="AO268">
        <v>1</v>
      </c>
      <c r="AP268">
        <v>1</v>
      </c>
      <c r="AQ268">
        <v>0</v>
      </c>
      <c r="AR268">
        <v>0</v>
      </c>
      <c r="AS268" t="s">
        <v>6</v>
      </c>
      <c r="AT268">
        <v>310.42</v>
      </c>
      <c r="AU268" t="s">
        <v>173</v>
      </c>
      <c r="AV268">
        <v>1</v>
      </c>
      <c r="AW268">
        <v>2</v>
      </c>
      <c r="AX268">
        <v>16750515</v>
      </c>
      <c r="AY268">
        <v>1</v>
      </c>
      <c r="AZ268">
        <v>0</v>
      </c>
      <c r="BA268">
        <v>254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0</v>
      </c>
      <c r="BW268">
        <v>0</v>
      </c>
      <c r="CX268">
        <f>Y268*Source!I161</f>
        <v>40.696062000000005</v>
      </c>
      <c r="CY268">
        <f>AD268</f>
        <v>57.33</v>
      </c>
      <c r="CZ268">
        <f>AH268</f>
        <v>8.74</v>
      </c>
      <c r="DA268">
        <f>AL268</f>
        <v>6.56</v>
      </c>
      <c r="DB268">
        <f>ROUND((ROUND(AT268*CZ268,2)*1.15),2)</f>
        <v>3120.03</v>
      </c>
      <c r="DC268">
        <f>ROUND((ROUND(AT268*AG268,2)*1.15),2)</f>
        <v>0</v>
      </c>
    </row>
    <row r="269" spans="1:107" x14ac:dyDescent="0.2">
      <c r="A269">
        <f>ROW(Source!A161)</f>
        <v>161</v>
      </c>
      <c r="B269">
        <v>16748969</v>
      </c>
      <c r="C269">
        <v>16750503</v>
      </c>
      <c r="D269">
        <v>15430395</v>
      </c>
      <c r="E269">
        <v>1</v>
      </c>
      <c r="F269">
        <v>1</v>
      </c>
      <c r="G269">
        <v>1</v>
      </c>
      <c r="H269">
        <v>1</v>
      </c>
      <c r="I269" t="s">
        <v>1073</v>
      </c>
      <c r="J269" t="s">
        <v>6</v>
      </c>
      <c r="K269" t="s">
        <v>1074</v>
      </c>
      <c r="L269">
        <v>1191</v>
      </c>
      <c r="N269">
        <v>1013</v>
      </c>
      <c r="O269" t="s">
        <v>1072</v>
      </c>
      <c r="P269" t="s">
        <v>1072</v>
      </c>
      <c r="Q269">
        <v>1</v>
      </c>
      <c r="W269">
        <v>0</v>
      </c>
      <c r="X269">
        <v>-1417349443</v>
      </c>
      <c r="Y269">
        <v>1.73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1</v>
      </c>
      <c r="AJ269">
        <v>1</v>
      </c>
      <c r="AK269">
        <v>6.56</v>
      </c>
      <c r="AL269">
        <v>1</v>
      </c>
      <c r="AN269">
        <v>0</v>
      </c>
      <c r="AO269">
        <v>1</v>
      </c>
      <c r="AP269">
        <v>0</v>
      </c>
      <c r="AQ269">
        <v>0</v>
      </c>
      <c r="AR269">
        <v>0</v>
      </c>
      <c r="AS269" t="s">
        <v>6</v>
      </c>
      <c r="AT269">
        <v>1.73</v>
      </c>
      <c r="AU269" t="s">
        <v>6</v>
      </c>
      <c r="AV269">
        <v>2</v>
      </c>
      <c r="AW269">
        <v>2</v>
      </c>
      <c r="AX269">
        <v>16750516</v>
      </c>
      <c r="AY269">
        <v>1</v>
      </c>
      <c r="AZ269">
        <v>2048</v>
      </c>
      <c r="BA269">
        <v>255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0</v>
      </c>
      <c r="CX269">
        <f>Y269*Source!I161</f>
        <v>0.19722000000000001</v>
      </c>
      <c r="CY269">
        <f>AD269</f>
        <v>0</v>
      </c>
      <c r="CZ269">
        <f>AH269</f>
        <v>0</v>
      </c>
      <c r="DA269">
        <f>AL269</f>
        <v>1</v>
      </c>
      <c r="DB269">
        <f>ROUND(ROUND(AT269*CZ269,2),2)</f>
        <v>0</v>
      </c>
      <c r="DC269">
        <f>ROUND(ROUND(AT269*AG269,2),2)</f>
        <v>0</v>
      </c>
    </row>
    <row r="270" spans="1:107" x14ac:dyDescent="0.2">
      <c r="A270">
        <f>ROW(Source!A161)</f>
        <v>161</v>
      </c>
      <c r="B270">
        <v>16748969</v>
      </c>
      <c r="C270">
        <v>16750503</v>
      </c>
      <c r="D270">
        <v>15247576</v>
      </c>
      <c r="E270">
        <v>1</v>
      </c>
      <c r="F270">
        <v>1</v>
      </c>
      <c r="G270">
        <v>1</v>
      </c>
      <c r="H270">
        <v>2</v>
      </c>
      <c r="I270" t="s">
        <v>1208</v>
      </c>
      <c r="J270" t="s">
        <v>1209</v>
      </c>
      <c r="K270" t="s">
        <v>1210</v>
      </c>
      <c r="L270">
        <v>1368</v>
      </c>
      <c r="N270">
        <v>1011</v>
      </c>
      <c r="O270" t="s">
        <v>1078</v>
      </c>
      <c r="P270" t="s">
        <v>1078</v>
      </c>
      <c r="Q270">
        <v>1</v>
      </c>
      <c r="W270">
        <v>0</v>
      </c>
      <c r="X270">
        <v>257150282</v>
      </c>
      <c r="Y270">
        <v>2.5000000000000001E-2</v>
      </c>
      <c r="AA270">
        <v>0</v>
      </c>
      <c r="AB270">
        <v>547.29999999999995</v>
      </c>
      <c r="AC270">
        <v>13.5</v>
      </c>
      <c r="AD270">
        <v>0</v>
      </c>
      <c r="AE270">
        <v>0</v>
      </c>
      <c r="AF270">
        <v>83.43</v>
      </c>
      <c r="AG270">
        <v>13.5</v>
      </c>
      <c r="AH270">
        <v>0</v>
      </c>
      <c r="AI270">
        <v>1</v>
      </c>
      <c r="AJ270">
        <v>6.56</v>
      </c>
      <c r="AK270">
        <v>1</v>
      </c>
      <c r="AL270">
        <v>1</v>
      </c>
      <c r="AN270">
        <v>0</v>
      </c>
      <c r="AO270">
        <v>1</v>
      </c>
      <c r="AP270">
        <v>1</v>
      </c>
      <c r="AQ270">
        <v>0</v>
      </c>
      <c r="AR270">
        <v>0</v>
      </c>
      <c r="AS270" t="s">
        <v>6</v>
      </c>
      <c r="AT270">
        <v>0.02</v>
      </c>
      <c r="AU270" t="s">
        <v>172</v>
      </c>
      <c r="AV270">
        <v>0</v>
      </c>
      <c r="AW270">
        <v>2</v>
      </c>
      <c r="AX270">
        <v>16750517</v>
      </c>
      <c r="AY270">
        <v>1</v>
      </c>
      <c r="AZ270">
        <v>0</v>
      </c>
      <c r="BA270">
        <v>256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  <c r="CX270">
        <f>Y270*Source!I161</f>
        <v>2.8500000000000001E-3</v>
      </c>
      <c r="CY270">
        <f>AB270</f>
        <v>547.29999999999995</v>
      </c>
      <c r="CZ270">
        <f>AF270</f>
        <v>83.43</v>
      </c>
      <c r="DA270">
        <f>AJ270</f>
        <v>6.56</v>
      </c>
      <c r="DB270">
        <f>ROUND((ROUND(AT270*CZ270,2)*1.25),2)</f>
        <v>2.09</v>
      </c>
      <c r="DC270">
        <f>ROUND((ROUND(AT270*AG270,2)*1.25),2)</f>
        <v>0.34</v>
      </c>
    </row>
    <row r="271" spans="1:107" x14ac:dyDescent="0.2">
      <c r="A271">
        <f>ROW(Source!A161)</f>
        <v>161</v>
      </c>
      <c r="B271">
        <v>16748969</v>
      </c>
      <c r="C271">
        <v>16750503</v>
      </c>
      <c r="D271">
        <v>15247678</v>
      </c>
      <c r="E271">
        <v>1</v>
      </c>
      <c r="F271">
        <v>1</v>
      </c>
      <c r="G271">
        <v>1</v>
      </c>
      <c r="H271">
        <v>2</v>
      </c>
      <c r="I271" t="s">
        <v>1312</v>
      </c>
      <c r="J271" t="s">
        <v>1313</v>
      </c>
      <c r="K271" t="s">
        <v>1314</v>
      </c>
      <c r="L271">
        <v>1368</v>
      </c>
      <c r="N271">
        <v>1011</v>
      </c>
      <c r="O271" t="s">
        <v>1078</v>
      </c>
      <c r="P271" t="s">
        <v>1078</v>
      </c>
      <c r="Q271">
        <v>1</v>
      </c>
      <c r="W271">
        <v>0</v>
      </c>
      <c r="X271">
        <v>1330025190</v>
      </c>
      <c r="Y271">
        <v>1.2500000000000001E-2</v>
      </c>
      <c r="AA271">
        <v>0</v>
      </c>
      <c r="AB271">
        <v>577.35</v>
      </c>
      <c r="AC271">
        <v>11.6</v>
      </c>
      <c r="AD271">
        <v>0</v>
      </c>
      <c r="AE271">
        <v>0</v>
      </c>
      <c r="AF271">
        <v>88.01</v>
      </c>
      <c r="AG271">
        <v>11.6</v>
      </c>
      <c r="AH271">
        <v>0</v>
      </c>
      <c r="AI271">
        <v>1</v>
      </c>
      <c r="AJ271">
        <v>6.56</v>
      </c>
      <c r="AK271">
        <v>1</v>
      </c>
      <c r="AL271">
        <v>1</v>
      </c>
      <c r="AN271">
        <v>0</v>
      </c>
      <c r="AO271">
        <v>1</v>
      </c>
      <c r="AP271">
        <v>1</v>
      </c>
      <c r="AQ271">
        <v>0</v>
      </c>
      <c r="AR271">
        <v>0</v>
      </c>
      <c r="AS271" t="s">
        <v>6</v>
      </c>
      <c r="AT271">
        <v>0.01</v>
      </c>
      <c r="AU271" t="s">
        <v>172</v>
      </c>
      <c r="AV271">
        <v>0</v>
      </c>
      <c r="AW271">
        <v>2</v>
      </c>
      <c r="AX271">
        <v>16750518</v>
      </c>
      <c r="AY271">
        <v>1</v>
      </c>
      <c r="AZ271">
        <v>0</v>
      </c>
      <c r="BA271">
        <v>257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CX271">
        <f>Y271*Source!I161</f>
        <v>1.4250000000000001E-3</v>
      </c>
      <c r="CY271">
        <f>AB271</f>
        <v>577.35</v>
      </c>
      <c r="CZ271">
        <f>AF271</f>
        <v>88.01</v>
      </c>
      <c r="DA271">
        <f>AJ271</f>
        <v>6.56</v>
      </c>
      <c r="DB271">
        <f>ROUND((ROUND(AT271*CZ271,2)*1.25),2)</f>
        <v>1.1000000000000001</v>
      </c>
      <c r="DC271">
        <f>ROUND((ROUND(AT271*AG271,2)*1.25),2)</f>
        <v>0.15</v>
      </c>
    </row>
    <row r="272" spans="1:107" x14ac:dyDescent="0.2">
      <c r="A272">
        <f>ROW(Source!A161)</f>
        <v>161</v>
      </c>
      <c r="B272">
        <v>16748969</v>
      </c>
      <c r="C272">
        <v>16750503</v>
      </c>
      <c r="D272">
        <v>15248143</v>
      </c>
      <c r="E272">
        <v>1</v>
      </c>
      <c r="F272">
        <v>1</v>
      </c>
      <c r="G272">
        <v>1</v>
      </c>
      <c r="H272">
        <v>2</v>
      </c>
      <c r="I272" t="s">
        <v>1231</v>
      </c>
      <c r="J272" t="s">
        <v>1232</v>
      </c>
      <c r="K272" t="s">
        <v>1233</v>
      </c>
      <c r="L272">
        <v>1368</v>
      </c>
      <c r="N272">
        <v>1011</v>
      </c>
      <c r="O272" t="s">
        <v>1078</v>
      </c>
      <c r="P272" t="s">
        <v>1078</v>
      </c>
      <c r="Q272">
        <v>1</v>
      </c>
      <c r="W272">
        <v>0</v>
      </c>
      <c r="X272">
        <v>983187852</v>
      </c>
      <c r="Y272">
        <v>2.1124999999999998</v>
      </c>
      <c r="AA272">
        <v>0</v>
      </c>
      <c r="AB272">
        <v>81.28</v>
      </c>
      <c r="AC272">
        <v>10.06</v>
      </c>
      <c r="AD272">
        <v>0</v>
      </c>
      <c r="AE272">
        <v>0</v>
      </c>
      <c r="AF272">
        <v>12.39</v>
      </c>
      <c r="AG272">
        <v>10.06</v>
      </c>
      <c r="AH272">
        <v>0</v>
      </c>
      <c r="AI272">
        <v>1</v>
      </c>
      <c r="AJ272">
        <v>6.56</v>
      </c>
      <c r="AK272">
        <v>1</v>
      </c>
      <c r="AL272">
        <v>1</v>
      </c>
      <c r="AN272">
        <v>0</v>
      </c>
      <c r="AO272">
        <v>1</v>
      </c>
      <c r="AP272">
        <v>1</v>
      </c>
      <c r="AQ272">
        <v>0</v>
      </c>
      <c r="AR272">
        <v>0</v>
      </c>
      <c r="AS272" t="s">
        <v>6</v>
      </c>
      <c r="AT272">
        <v>1.69</v>
      </c>
      <c r="AU272" t="s">
        <v>172</v>
      </c>
      <c r="AV272">
        <v>0</v>
      </c>
      <c r="AW272">
        <v>2</v>
      </c>
      <c r="AX272">
        <v>16750519</v>
      </c>
      <c r="AY272">
        <v>1</v>
      </c>
      <c r="AZ272">
        <v>0</v>
      </c>
      <c r="BA272">
        <v>258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  <c r="CX272">
        <f>Y272*Source!I161</f>
        <v>0.24082499999999998</v>
      </c>
      <c r="CY272">
        <f>AB272</f>
        <v>81.28</v>
      </c>
      <c r="CZ272">
        <f>AF272</f>
        <v>12.39</v>
      </c>
      <c r="DA272">
        <f>AJ272</f>
        <v>6.56</v>
      </c>
      <c r="DB272">
        <f>ROUND((ROUND(AT272*CZ272,2)*1.25),2)</f>
        <v>26.18</v>
      </c>
      <c r="DC272">
        <f>ROUND((ROUND(AT272*AG272,2)*1.25),2)</f>
        <v>21.25</v>
      </c>
    </row>
    <row r="273" spans="1:107" x14ac:dyDescent="0.2">
      <c r="A273">
        <f>ROW(Source!A161)</f>
        <v>161</v>
      </c>
      <c r="B273">
        <v>16748969</v>
      </c>
      <c r="C273">
        <v>16750503</v>
      </c>
      <c r="D273">
        <v>15249073</v>
      </c>
      <c r="E273">
        <v>1</v>
      </c>
      <c r="F273">
        <v>1</v>
      </c>
      <c r="G273">
        <v>1</v>
      </c>
      <c r="H273">
        <v>2</v>
      </c>
      <c r="I273" t="s">
        <v>1097</v>
      </c>
      <c r="J273" t="s">
        <v>1098</v>
      </c>
      <c r="K273" t="s">
        <v>1099</v>
      </c>
      <c r="L273">
        <v>1368</v>
      </c>
      <c r="N273">
        <v>1011</v>
      </c>
      <c r="O273" t="s">
        <v>1078</v>
      </c>
      <c r="P273" t="s">
        <v>1078</v>
      </c>
      <c r="Q273">
        <v>1</v>
      </c>
      <c r="W273">
        <v>0</v>
      </c>
      <c r="X273">
        <v>1372534845</v>
      </c>
      <c r="Y273">
        <v>1.2500000000000001E-2</v>
      </c>
      <c r="AA273">
        <v>0</v>
      </c>
      <c r="AB273">
        <v>431.06</v>
      </c>
      <c r="AC273">
        <v>11.6</v>
      </c>
      <c r="AD273">
        <v>0</v>
      </c>
      <c r="AE273">
        <v>0</v>
      </c>
      <c r="AF273">
        <v>65.709999999999994</v>
      </c>
      <c r="AG273">
        <v>11.6</v>
      </c>
      <c r="AH273">
        <v>0</v>
      </c>
      <c r="AI273">
        <v>1</v>
      </c>
      <c r="AJ273">
        <v>6.56</v>
      </c>
      <c r="AK273">
        <v>1</v>
      </c>
      <c r="AL273">
        <v>1</v>
      </c>
      <c r="AN273">
        <v>0</v>
      </c>
      <c r="AO273">
        <v>1</v>
      </c>
      <c r="AP273">
        <v>1</v>
      </c>
      <c r="AQ273">
        <v>0</v>
      </c>
      <c r="AR273">
        <v>0</v>
      </c>
      <c r="AS273" t="s">
        <v>6</v>
      </c>
      <c r="AT273">
        <v>0.01</v>
      </c>
      <c r="AU273" t="s">
        <v>172</v>
      </c>
      <c r="AV273">
        <v>0</v>
      </c>
      <c r="AW273">
        <v>2</v>
      </c>
      <c r="AX273">
        <v>16750520</v>
      </c>
      <c r="AY273">
        <v>1</v>
      </c>
      <c r="AZ273">
        <v>0</v>
      </c>
      <c r="BA273">
        <v>259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0</v>
      </c>
      <c r="CX273">
        <f>Y273*Source!I161</f>
        <v>1.4250000000000001E-3</v>
      </c>
      <c r="CY273">
        <f>AB273</f>
        <v>431.06</v>
      </c>
      <c r="CZ273">
        <f>AF273</f>
        <v>65.709999999999994</v>
      </c>
      <c r="DA273">
        <f>AJ273</f>
        <v>6.56</v>
      </c>
      <c r="DB273">
        <f>ROUND((ROUND(AT273*CZ273,2)*1.25),2)</f>
        <v>0.83</v>
      </c>
      <c r="DC273">
        <f>ROUND((ROUND(AT273*AG273,2)*1.25),2)</f>
        <v>0.15</v>
      </c>
    </row>
    <row r="274" spans="1:107" x14ac:dyDescent="0.2">
      <c r="A274">
        <f>ROW(Source!A161)</f>
        <v>161</v>
      </c>
      <c r="B274">
        <v>16748969</v>
      </c>
      <c r="C274">
        <v>16750503</v>
      </c>
      <c r="D274">
        <v>15167286</v>
      </c>
      <c r="E274">
        <v>1</v>
      </c>
      <c r="F274">
        <v>1</v>
      </c>
      <c r="G274">
        <v>1</v>
      </c>
      <c r="H274">
        <v>3</v>
      </c>
      <c r="I274" t="s">
        <v>1079</v>
      </c>
      <c r="J274" t="s">
        <v>1080</v>
      </c>
      <c r="K274" t="s">
        <v>1081</v>
      </c>
      <c r="L274">
        <v>1339</v>
      </c>
      <c r="N274">
        <v>1007</v>
      </c>
      <c r="O274" t="s">
        <v>283</v>
      </c>
      <c r="P274" t="s">
        <v>283</v>
      </c>
      <c r="Q274">
        <v>1</v>
      </c>
      <c r="W274">
        <v>0</v>
      </c>
      <c r="X274">
        <v>-1660354250</v>
      </c>
      <c r="Y274">
        <v>0.44</v>
      </c>
      <c r="AA274">
        <v>16.010000000000002</v>
      </c>
      <c r="AB274">
        <v>0</v>
      </c>
      <c r="AC274">
        <v>0</v>
      </c>
      <c r="AD274">
        <v>0</v>
      </c>
      <c r="AE274">
        <v>2.44</v>
      </c>
      <c r="AF274">
        <v>0</v>
      </c>
      <c r="AG274">
        <v>0</v>
      </c>
      <c r="AH274">
        <v>0</v>
      </c>
      <c r="AI274">
        <v>6.56</v>
      </c>
      <c r="AJ274">
        <v>1</v>
      </c>
      <c r="AK274">
        <v>1</v>
      </c>
      <c r="AL274">
        <v>1</v>
      </c>
      <c r="AN274">
        <v>0</v>
      </c>
      <c r="AO274">
        <v>1</v>
      </c>
      <c r="AP274">
        <v>0</v>
      </c>
      <c r="AQ274">
        <v>0</v>
      </c>
      <c r="AR274">
        <v>0</v>
      </c>
      <c r="AS274" t="s">
        <v>6</v>
      </c>
      <c r="AT274">
        <v>0.44</v>
      </c>
      <c r="AU274" t="s">
        <v>6</v>
      </c>
      <c r="AV274">
        <v>0</v>
      </c>
      <c r="AW274">
        <v>2</v>
      </c>
      <c r="AX274">
        <v>16750521</v>
      </c>
      <c r="AY274">
        <v>1</v>
      </c>
      <c r="AZ274">
        <v>0</v>
      </c>
      <c r="BA274">
        <v>260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  <c r="CX274">
        <f>Y274*Source!I161</f>
        <v>5.0160000000000003E-2</v>
      </c>
      <c r="CY274">
        <f>AA274</f>
        <v>16.010000000000002</v>
      </c>
      <c r="CZ274">
        <f>AE274</f>
        <v>2.44</v>
      </c>
      <c r="DA274">
        <f>AI274</f>
        <v>6.56</v>
      </c>
      <c r="DB274">
        <f>ROUND(ROUND(AT274*CZ274,2),2)</f>
        <v>1.07</v>
      </c>
      <c r="DC274">
        <f>ROUND(ROUND(AT274*AG274,2),2)</f>
        <v>0</v>
      </c>
    </row>
    <row r="275" spans="1:107" x14ac:dyDescent="0.2">
      <c r="A275">
        <f>ROW(Source!A161)</f>
        <v>161</v>
      </c>
      <c r="B275">
        <v>16748969</v>
      </c>
      <c r="C275">
        <v>16750503</v>
      </c>
      <c r="D275">
        <v>15173044</v>
      </c>
      <c r="E275">
        <v>1</v>
      </c>
      <c r="F275">
        <v>1</v>
      </c>
      <c r="G275">
        <v>1</v>
      </c>
      <c r="H275">
        <v>3</v>
      </c>
      <c r="I275" t="s">
        <v>1315</v>
      </c>
      <c r="J275" t="s">
        <v>1316</v>
      </c>
      <c r="K275" t="s">
        <v>1317</v>
      </c>
      <c r="L275">
        <v>1348</v>
      </c>
      <c r="N275">
        <v>1009</v>
      </c>
      <c r="O275" t="s">
        <v>71</v>
      </c>
      <c r="P275" t="s">
        <v>71</v>
      </c>
      <c r="Q275">
        <v>1000</v>
      </c>
      <c r="W275">
        <v>0</v>
      </c>
      <c r="X275">
        <v>2108657288</v>
      </c>
      <c r="Y275">
        <v>1.2999999999999999E-2</v>
      </c>
      <c r="AA275">
        <v>42725.279999999999</v>
      </c>
      <c r="AB275">
        <v>0</v>
      </c>
      <c r="AC275">
        <v>0</v>
      </c>
      <c r="AD275">
        <v>0</v>
      </c>
      <c r="AE275">
        <v>6513</v>
      </c>
      <c r="AF275">
        <v>0</v>
      </c>
      <c r="AG275">
        <v>0</v>
      </c>
      <c r="AH275">
        <v>0</v>
      </c>
      <c r="AI275">
        <v>6.56</v>
      </c>
      <c r="AJ275">
        <v>1</v>
      </c>
      <c r="AK275">
        <v>1</v>
      </c>
      <c r="AL275">
        <v>1</v>
      </c>
      <c r="AN275">
        <v>0</v>
      </c>
      <c r="AO275">
        <v>1</v>
      </c>
      <c r="AP275">
        <v>0</v>
      </c>
      <c r="AQ275">
        <v>0</v>
      </c>
      <c r="AR275">
        <v>0</v>
      </c>
      <c r="AS275" t="s">
        <v>6</v>
      </c>
      <c r="AT275">
        <v>1.2999999999999999E-2</v>
      </c>
      <c r="AU275" t="s">
        <v>6</v>
      </c>
      <c r="AV275">
        <v>0</v>
      </c>
      <c r="AW275">
        <v>2</v>
      </c>
      <c r="AX275">
        <v>16750522</v>
      </c>
      <c r="AY275">
        <v>1</v>
      </c>
      <c r="AZ275">
        <v>0</v>
      </c>
      <c r="BA275">
        <v>261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0</v>
      </c>
      <c r="CX275">
        <f>Y275*Source!I161</f>
        <v>1.482E-3</v>
      </c>
      <c r="CY275">
        <f>AA275</f>
        <v>42725.279999999999</v>
      </c>
      <c r="CZ275">
        <f>AE275</f>
        <v>6513</v>
      </c>
      <c r="DA275">
        <f>AI275</f>
        <v>6.56</v>
      </c>
      <c r="DB275">
        <f>ROUND(ROUND(AT275*CZ275,2),2)</f>
        <v>84.67</v>
      </c>
      <c r="DC275">
        <f>ROUND(ROUND(AT275*AG275,2),2)</f>
        <v>0</v>
      </c>
    </row>
    <row r="276" spans="1:107" x14ac:dyDescent="0.2">
      <c r="A276">
        <f>ROW(Source!A161)</f>
        <v>161</v>
      </c>
      <c r="B276">
        <v>16748969</v>
      </c>
      <c r="C276">
        <v>16750503</v>
      </c>
      <c r="D276">
        <v>15187102</v>
      </c>
      <c r="E276">
        <v>1</v>
      </c>
      <c r="F276">
        <v>1</v>
      </c>
      <c r="G276">
        <v>1</v>
      </c>
      <c r="H276">
        <v>3</v>
      </c>
      <c r="I276" t="s">
        <v>470</v>
      </c>
      <c r="J276" t="s">
        <v>472</v>
      </c>
      <c r="K276" t="s">
        <v>471</v>
      </c>
      <c r="L276">
        <v>1327</v>
      </c>
      <c r="N276">
        <v>1005</v>
      </c>
      <c r="O276" t="s">
        <v>89</v>
      </c>
      <c r="P276" t="s">
        <v>89</v>
      </c>
      <c r="Q276">
        <v>1</v>
      </c>
      <c r="W276">
        <v>1</v>
      </c>
      <c r="X276">
        <v>2046761779</v>
      </c>
      <c r="Y276">
        <v>-102</v>
      </c>
      <c r="AA276">
        <v>921.35</v>
      </c>
      <c r="AB276">
        <v>0</v>
      </c>
      <c r="AC276">
        <v>0</v>
      </c>
      <c r="AD276">
        <v>0</v>
      </c>
      <c r="AE276">
        <v>140.44999999999999</v>
      </c>
      <c r="AF276">
        <v>0</v>
      </c>
      <c r="AG276">
        <v>0</v>
      </c>
      <c r="AH276">
        <v>0</v>
      </c>
      <c r="AI276">
        <v>6.56</v>
      </c>
      <c r="AJ276">
        <v>1</v>
      </c>
      <c r="AK276">
        <v>1</v>
      </c>
      <c r="AL276">
        <v>1</v>
      </c>
      <c r="AN276">
        <v>0</v>
      </c>
      <c r="AO276">
        <v>1</v>
      </c>
      <c r="AP276">
        <v>0</v>
      </c>
      <c r="AQ276">
        <v>0</v>
      </c>
      <c r="AR276">
        <v>0</v>
      </c>
      <c r="AS276" t="s">
        <v>6</v>
      </c>
      <c r="AT276">
        <v>-102</v>
      </c>
      <c r="AU276" t="s">
        <v>6</v>
      </c>
      <c r="AV276">
        <v>0</v>
      </c>
      <c r="AW276">
        <v>2</v>
      </c>
      <c r="AX276">
        <v>16750523</v>
      </c>
      <c r="AY276">
        <v>1</v>
      </c>
      <c r="AZ276">
        <v>6144</v>
      </c>
      <c r="BA276">
        <v>262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0</v>
      </c>
      <c r="CX276">
        <f>Y276*Source!I161</f>
        <v>-11.628</v>
      </c>
      <c r="CY276">
        <f>AA276</f>
        <v>921.35</v>
      </c>
      <c r="CZ276">
        <f>AE276</f>
        <v>140.44999999999999</v>
      </c>
      <c r="DA276">
        <f>AI276</f>
        <v>6.56</v>
      </c>
      <c r="DB276">
        <f>ROUND(ROUND(AT276*CZ276,2),2)</f>
        <v>-14325.9</v>
      </c>
      <c r="DC276">
        <f>ROUND(ROUND(AT276*AG276,2),2)</f>
        <v>0</v>
      </c>
    </row>
    <row r="277" spans="1:107" x14ac:dyDescent="0.2">
      <c r="A277">
        <f>ROW(Source!A161)</f>
        <v>161</v>
      </c>
      <c r="B277">
        <v>16748969</v>
      </c>
      <c r="C277">
        <v>16750503</v>
      </c>
      <c r="D277">
        <v>15187108</v>
      </c>
      <c r="E277">
        <v>1</v>
      </c>
      <c r="F277">
        <v>1</v>
      </c>
      <c r="G277">
        <v>1</v>
      </c>
      <c r="H277">
        <v>3</v>
      </c>
      <c r="I277" t="s">
        <v>474</v>
      </c>
      <c r="J277" t="s">
        <v>476</v>
      </c>
      <c r="K277" t="s">
        <v>475</v>
      </c>
      <c r="L277">
        <v>1327</v>
      </c>
      <c r="N277">
        <v>1005</v>
      </c>
      <c r="O277" t="s">
        <v>89</v>
      </c>
      <c r="P277" t="s">
        <v>89</v>
      </c>
      <c r="Q277">
        <v>1</v>
      </c>
      <c r="W277">
        <v>0</v>
      </c>
      <c r="X277">
        <v>-1253069128</v>
      </c>
      <c r="Y277">
        <v>102</v>
      </c>
      <c r="AA277">
        <v>372.41</v>
      </c>
      <c r="AB277">
        <v>0</v>
      </c>
      <c r="AC277">
        <v>0</v>
      </c>
      <c r="AD277">
        <v>0</v>
      </c>
      <c r="AE277">
        <v>56.77</v>
      </c>
      <c r="AF277">
        <v>0</v>
      </c>
      <c r="AG277">
        <v>0</v>
      </c>
      <c r="AH277">
        <v>0</v>
      </c>
      <c r="AI277">
        <v>6.56</v>
      </c>
      <c r="AJ277">
        <v>1</v>
      </c>
      <c r="AK277">
        <v>1</v>
      </c>
      <c r="AL277">
        <v>1</v>
      </c>
      <c r="AN277">
        <v>0</v>
      </c>
      <c r="AO277">
        <v>0</v>
      </c>
      <c r="AP277">
        <v>0</v>
      </c>
      <c r="AQ277">
        <v>0</v>
      </c>
      <c r="AR277">
        <v>0</v>
      </c>
      <c r="AS277" t="s">
        <v>6</v>
      </c>
      <c r="AT277">
        <v>102</v>
      </c>
      <c r="AU277" t="s">
        <v>6</v>
      </c>
      <c r="AV277">
        <v>0</v>
      </c>
      <c r="AW277">
        <v>1</v>
      </c>
      <c r="AX277">
        <v>-1</v>
      </c>
      <c r="AY277">
        <v>0</v>
      </c>
      <c r="AZ277">
        <v>0</v>
      </c>
      <c r="BA277" t="s">
        <v>6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0</v>
      </c>
      <c r="CX277">
        <f>Y277*Source!I161</f>
        <v>11.628</v>
      </c>
      <c r="CY277">
        <f>AA277</f>
        <v>372.41</v>
      </c>
      <c r="CZ277">
        <f>AE277</f>
        <v>56.77</v>
      </c>
      <c r="DA277">
        <f>AI277</f>
        <v>6.56</v>
      </c>
      <c r="DB277">
        <f>ROUND(ROUND(AT277*CZ277,2),2)</f>
        <v>5790.54</v>
      </c>
      <c r="DC277">
        <f>ROUND(ROUND(AT277*AG277,2),2)</f>
        <v>0</v>
      </c>
    </row>
    <row r="278" spans="1:107" x14ac:dyDescent="0.2">
      <c r="A278">
        <f>ROW(Source!A161)</f>
        <v>161</v>
      </c>
      <c r="B278">
        <v>16748969</v>
      </c>
      <c r="C278">
        <v>16750503</v>
      </c>
      <c r="D278">
        <v>15202597</v>
      </c>
      <c r="E278">
        <v>1</v>
      </c>
      <c r="F278">
        <v>1</v>
      </c>
      <c r="G278">
        <v>1</v>
      </c>
      <c r="H278">
        <v>3</v>
      </c>
      <c r="I278" t="s">
        <v>1318</v>
      </c>
      <c r="J278" t="s">
        <v>1319</v>
      </c>
      <c r="K278" t="s">
        <v>1320</v>
      </c>
      <c r="L278">
        <v>1346</v>
      </c>
      <c r="N278">
        <v>1009</v>
      </c>
      <c r="O278" t="s">
        <v>323</v>
      </c>
      <c r="P278" t="s">
        <v>323</v>
      </c>
      <c r="Q278">
        <v>1</v>
      </c>
      <c r="W278">
        <v>0</v>
      </c>
      <c r="X278">
        <v>830044740</v>
      </c>
      <c r="Y278">
        <v>1200</v>
      </c>
      <c r="AA278">
        <v>24.21</v>
      </c>
      <c r="AB278">
        <v>0</v>
      </c>
      <c r="AC278">
        <v>0</v>
      </c>
      <c r="AD278">
        <v>0</v>
      </c>
      <c r="AE278">
        <v>3.69</v>
      </c>
      <c r="AF278">
        <v>0</v>
      </c>
      <c r="AG278">
        <v>0</v>
      </c>
      <c r="AH278">
        <v>0</v>
      </c>
      <c r="AI278">
        <v>6.56</v>
      </c>
      <c r="AJ278">
        <v>1</v>
      </c>
      <c r="AK278">
        <v>1</v>
      </c>
      <c r="AL278">
        <v>1</v>
      </c>
      <c r="AN278">
        <v>0</v>
      </c>
      <c r="AO278">
        <v>1</v>
      </c>
      <c r="AP278">
        <v>0</v>
      </c>
      <c r="AQ278">
        <v>0</v>
      </c>
      <c r="AR278">
        <v>0</v>
      </c>
      <c r="AS278" t="s">
        <v>6</v>
      </c>
      <c r="AT278">
        <v>1200</v>
      </c>
      <c r="AU278" t="s">
        <v>6</v>
      </c>
      <c r="AV278">
        <v>0</v>
      </c>
      <c r="AW278">
        <v>2</v>
      </c>
      <c r="AX278">
        <v>16750525</v>
      </c>
      <c r="AY278">
        <v>1</v>
      </c>
      <c r="AZ278">
        <v>0</v>
      </c>
      <c r="BA278">
        <v>264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  <c r="CX278">
        <f>Y278*Source!I161</f>
        <v>136.80000000000001</v>
      </c>
      <c r="CY278">
        <f>AA278</f>
        <v>24.21</v>
      </c>
      <c r="CZ278">
        <f>AE278</f>
        <v>3.69</v>
      </c>
      <c r="DA278">
        <f>AI278</f>
        <v>6.56</v>
      </c>
      <c r="DB278">
        <f>ROUND(ROUND(AT278*CZ278,2),2)</f>
        <v>4428</v>
      </c>
      <c r="DC278">
        <f>ROUND(ROUND(AT278*AG278,2),2)</f>
        <v>0</v>
      </c>
    </row>
    <row r="279" spans="1:107" x14ac:dyDescent="0.2">
      <c r="A279">
        <f>ROW(Source!A164)</f>
        <v>164</v>
      </c>
      <c r="B279">
        <v>16748969</v>
      </c>
      <c r="C279">
        <v>16750529</v>
      </c>
      <c r="D279">
        <v>15435695</v>
      </c>
      <c r="E279">
        <v>1</v>
      </c>
      <c r="F279">
        <v>1</v>
      </c>
      <c r="G279">
        <v>1</v>
      </c>
      <c r="H279">
        <v>1</v>
      </c>
      <c r="I279" t="s">
        <v>1321</v>
      </c>
      <c r="J279" t="s">
        <v>6</v>
      </c>
      <c r="K279" t="s">
        <v>1322</v>
      </c>
      <c r="L279">
        <v>1191</v>
      </c>
      <c r="N279">
        <v>1013</v>
      </c>
      <c r="O279" t="s">
        <v>1072</v>
      </c>
      <c r="P279" t="s">
        <v>1072</v>
      </c>
      <c r="Q279">
        <v>1</v>
      </c>
      <c r="W279">
        <v>0</v>
      </c>
      <c r="X279">
        <v>1881689430</v>
      </c>
      <c r="Y279">
        <v>31.015499999999996</v>
      </c>
      <c r="AA279">
        <v>0</v>
      </c>
      <c r="AB279">
        <v>0</v>
      </c>
      <c r="AC279">
        <v>0</v>
      </c>
      <c r="AD279">
        <v>71.77</v>
      </c>
      <c r="AE279">
        <v>0</v>
      </c>
      <c r="AF279">
        <v>0</v>
      </c>
      <c r="AG279">
        <v>0</v>
      </c>
      <c r="AH279">
        <v>10.94</v>
      </c>
      <c r="AI279">
        <v>1</v>
      </c>
      <c r="AJ279">
        <v>1</v>
      </c>
      <c r="AK279">
        <v>1</v>
      </c>
      <c r="AL279">
        <v>6.56</v>
      </c>
      <c r="AN279">
        <v>0</v>
      </c>
      <c r="AO279">
        <v>1</v>
      </c>
      <c r="AP279">
        <v>1</v>
      </c>
      <c r="AQ279">
        <v>0</v>
      </c>
      <c r="AR279">
        <v>0</v>
      </c>
      <c r="AS279" t="s">
        <v>6</v>
      </c>
      <c r="AT279">
        <v>26.97</v>
      </c>
      <c r="AU279" t="s">
        <v>173</v>
      </c>
      <c r="AV279">
        <v>1</v>
      </c>
      <c r="AW279">
        <v>2</v>
      </c>
      <c r="AX279">
        <v>16750542</v>
      </c>
      <c r="AY279">
        <v>1</v>
      </c>
      <c r="AZ279">
        <v>0</v>
      </c>
      <c r="BA279">
        <v>266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CX279">
        <f>Y279*Source!I164</f>
        <v>3.5357669999999994</v>
      </c>
      <c r="CY279">
        <f>AD279</f>
        <v>71.77</v>
      </c>
      <c r="CZ279">
        <f>AH279</f>
        <v>10.94</v>
      </c>
      <c r="DA279">
        <f>AL279</f>
        <v>6.56</v>
      </c>
      <c r="DB279">
        <f>ROUND((ROUND(AT279*CZ279,2)*1.15),2)</f>
        <v>339.31</v>
      </c>
      <c r="DC279">
        <f>ROUND((ROUND(AT279*AG279,2)*1.15),2)</f>
        <v>0</v>
      </c>
    </row>
    <row r="280" spans="1:107" x14ac:dyDescent="0.2">
      <c r="A280">
        <f>ROW(Source!A164)</f>
        <v>164</v>
      </c>
      <c r="B280">
        <v>16748969</v>
      </c>
      <c r="C280">
        <v>16750529</v>
      </c>
      <c r="D280">
        <v>15430395</v>
      </c>
      <c r="E280">
        <v>1</v>
      </c>
      <c r="F280">
        <v>1</v>
      </c>
      <c r="G280">
        <v>1</v>
      </c>
      <c r="H280">
        <v>1</v>
      </c>
      <c r="I280" t="s">
        <v>1073</v>
      </c>
      <c r="J280" t="s">
        <v>6</v>
      </c>
      <c r="K280" t="s">
        <v>1074</v>
      </c>
      <c r="L280">
        <v>1191</v>
      </c>
      <c r="N280">
        <v>1013</v>
      </c>
      <c r="O280" t="s">
        <v>1072</v>
      </c>
      <c r="P280" t="s">
        <v>1072</v>
      </c>
      <c r="Q280">
        <v>1</v>
      </c>
      <c r="W280">
        <v>0</v>
      </c>
      <c r="X280">
        <v>-1417349443</v>
      </c>
      <c r="Y280">
        <v>0.43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1</v>
      </c>
      <c r="AJ280">
        <v>1</v>
      </c>
      <c r="AK280">
        <v>6.56</v>
      </c>
      <c r="AL280">
        <v>1</v>
      </c>
      <c r="AN280">
        <v>0</v>
      </c>
      <c r="AO280">
        <v>1</v>
      </c>
      <c r="AP280">
        <v>0</v>
      </c>
      <c r="AQ280">
        <v>0</v>
      </c>
      <c r="AR280">
        <v>0</v>
      </c>
      <c r="AS280" t="s">
        <v>6</v>
      </c>
      <c r="AT280">
        <v>0.43</v>
      </c>
      <c r="AU280" t="s">
        <v>6</v>
      </c>
      <c r="AV280">
        <v>2</v>
      </c>
      <c r="AW280">
        <v>2</v>
      </c>
      <c r="AX280">
        <v>16750543</v>
      </c>
      <c r="AY280">
        <v>1</v>
      </c>
      <c r="AZ280">
        <v>2048</v>
      </c>
      <c r="BA280">
        <v>267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CX280">
        <f>Y280*Source!I164</f>
        <v>4.9020000000000001E-2</v>
      </c>
      <c r="CY280">
        <f>AD280</f>
        <v>0</v>
      </c>
      <c r="CZ280">
        <f>AH280</f>
        <v>0</v>
      </c>
      <c r="DA280">
        <f>AL280</f>
        <v>1</v>
      </c>
      <c r="DB280">
        <f>ROUND(ROUND(AT280*CZ280,2),2)</f>
        <v>0</v>
      </c>
      <c r="DC280">
        <f>ROUND(ROUND(AT280*AG280,2),2)</f>
        <v>0</v>
      </c>
    </row>
    <row r="281" spans="1:107" x14ac:dyDescent="0.2">
      <c r="A281">
        <f>ROW(Source!A164)</f>
        <v>164</v>
      </c>
      <c r="B281">
        <v>16748969</v>
      </c>
      <c r="C281">
        <v>16750529</v>
      </c>
      <c r="D281">
        <v>15247974</v>
      </c>
      <c r="E281">
        <v>1</v>
      </c>
      <c r="F281">
        <v>1</v>
      </c>
      <c r="G281">
        <v>1</v>
      </c>
      <c r="H281">
        <v>2</v>
      </c>
      <c r="I281" t="s">
        <v>1075</v>
      </c>
      <c r="J281" t="s">
        <v>1076</v>
      </c>
      <c r="K281" t="s">
        <v>1077</v>
      </c>
      <c r="L281">
        <v>1368</v>
      </c>
      <c r="N281">
        <v>1011</v>
      </c>
      <c r="O281" t="s">
        <v>1078</v>
      </c>
      <c r="P281" t="s">
        <v>1078</v>
      </c>
      <c r="Q281">
        <v>1</v>
      </c>
      <c r="W281">
        <v>0</v>
      </c>
      <c r="X281">
        <v>1188625873</v>
      </c>
      <c r="Y281">
        <v>0.22499999999999998</v>
      </c>
      <c r="AA281">
        <v>0</v>
      </c>
      <c r="AB281">
        <v>205.07</v>
      </c>
      <c r="AC281">
        <v>13.5</v>
      </c>
      <c r="AD281">
        <v>0</v>
      </c>
      <c r="AE281">
        <v>0</v>
      </c>
      <c r="AF281">
        <v>31.26</v>
      </c>
      <c r="AG281">
        <v>13.5</v>
      </c>
      <c r="AH281">
        <v>0</v>
      </c>
      <c r="AI281">
        <v>1</v>
      </c>
      <c r="AJ281">
        <v>6.56</v>
      </c>
      <c r="AK281">
        <v>1</v>
      </c>
      <c r="AL281">
        <v>1</v>
      </c>
      <c r="AN281">
        <v>0</v>
      </c>
      <c r="AO281">
        <v>1</v>
      </c>
      <c r="AP281">
        <v>1</v>
      </c>
      <c r="AQ281">
        <v>0</v>
      </c>
      <c r="AR281">
        <v>0</v>
      </c>
      <c r="AS281" t="s">
        <v>6</v>
      </c>
      <c r="AT281">
        <v>0.18</v>
      </c>
      <c r="AU281" t="s">
        <v>172</v>
      </c>
      <c r="AV281">
        <v>0</v>
      </c>
      <c r="AW281">
        <v>2</v>
      </c>
      <c r="AX281">
        <v>16750544</v>
      </c>
      <c r="AY281">
        <v>1</v>
      </c>
      <c r="AZ281">
        <v>0</v>
      </c>
      <c r="BA281">
        <v>268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CX281">
        <f>Y281*Source!I164</f>
        <v>2.5649999999999999E-2</v>
      </c>
      <c r="CY281">
        <f>AB281</f>
        <v>205.07</v>
      </c>
      <c r="CZ281">
        <f>AF281</f>
        <v>31.26</v>
      </c>
      <c r="DA281">
        <f>AJ281</f>
        <v>6.56</v>
      </c>
      <c r="DB281">
        <f>ROUND((ROUND(AT281*CZ281,2)*1.25),2)</f>
        <v>7.04</v>
      </c>
      <c r="DC281">
        <f>ROUND((ROUND(AT281*AG281,2)*1.25),2)</f>
        <v>3.04</v>
      </c>
    </row>
    <row r="282" spans="1:107" x14ac:dyDescent="0.2">
      <c r="A282">
        <f>ROW(Source!A164)</f>
        <v>164</v>
      </c>
      <c r="B282">
        <v>16748969</v>
      </c>
      <c r="C282">
        <v>16750529</v>
      </c>
      <c r="D282">
        <v>15248306</v>
      </c>
      <c r="E282">
        <v>1</v>
      </c>
      <c r="F282">
        <v>1</v>
      </c>
      <c r="G282">
        <v>1</v>
      </c>
      <c r="H282">
        <v>2</v>
      </c>
      <c r="I282" t="s">
        <v>1323</v>
      </c>
      <c r="J282" t="s">
        <v>1324</v>
      </c>
      <c r="K282" t="s">
        <v>1325</v>
      </c>
      <c r="L282">
        <v>1368</v>
      </c>
      <c r="N282">
        <v>1011</v>
      </c>
      <c r="O282" t="s">
        <v>1078</v>
      </c>
      <c r="P282" t="s">
        <v>1078</v>
      </c>
      <c r="Q282">
        <v>1</v>
      </c>
      <c r="W282">
        <v>0</v>
      </c>
      <c r="X282">
        <v>520357435</v>
      </c>
      <c r="Y282">
        <v>5.4625000000000004</v>
      </c>
      <c r="AA282">
        <v>0</v>
      </c>
      <c r="AB282">
        <v>196.8</v>
      </c>
      <c r="AC282">
        <v>0</v>
      </c>
      <c r="AD282">
        <v>0</v>
      </c>
      <c r="AE282">
        <v>0</v>
      </c>
      <c r="AF282">
        <v>30</v>
      </c>
      <c r="AG282">
        <v>0</v>
      </c>
      <c r="AH282">
        <v>0</v>
      </c>
      <c r="AI282">
        <v>1</v>
      </c>
      <c r="AJ282">
        <v>6.56</v>
      </c>
      <c r="AK282">
        <v>1</v>
      </c>
      <c r="AL282">
        <v>1</v>
      </c>
      <c r="AN282">
        <v>0</v>
      </c>
      <c r="AO282">
        <v>1</v>
      </c>
      <c r="AP282">
        <v>1</v>
      </c>
      <c r="AQ282">
        <v>0</v>
      </c>
      <c r="AR282">
        <v>0</v>
      </c>
      <c r="AS282" t="s">
        <v>6</v>
      </c>
      <c r="AT282">
        <v>4.37</v>
      </c>
      <c r="AU282" t="s">
        <v>172</v>
      </c>
      <c r="AV282">
        <v>0</v>
      </c>
      <c r="AW282">
        <v>2</v>
      </c>
      <c r="AX282">
        <v>16750545</v>
      </c>
      <c r="AY282">
        <v>1</v>
      </c>
      <c r="AZ282">
        <v>0</v>
      </c>
      <c r="BA282">
        <v>269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0</v>
      </c>
      <c r="CX282">
        <f>Y282*Source!I164</f>
        <v>0.62272500000000008</v>
      </c>
      <c r="CY282">
        <f>AB282</f>
        <v>196.8</v>
      </c>
      <c r="CZ282">
        <f>AF282</f>
        <v>30</v>
      </c>
      <c r="DA282">
        <f>AJ282</f>
        <v>6.56</v>
      </c>
      <c r="DB282">
        <f>ROUND((ROUND(AT282*CZ282,2)*1.25),2)</f>
        <v>163.88</v>
      </c>
      <c r="DC282">
        <f>ROUND((ROUND(AT282*AG282,2)*1.25),2)</f>
        <v>0</v>
      </c>
    </row>
    <row r="283" spans="1:107" x14ac:dyDescent="0.2">
      <c r="A283">
        <f>ROW(Source!A164)</f>
        <v>164</v>
      </c>
      <c r="B283">
        <v>16748969</v>
      </c>
      <c r="C283">
        <v>16750529</v>
      </c>
      <c r="D283">
        <v>15249073</v>
      </c>
      <c r="E283">
        <v>1</v>
      </c>
      <c r="F283">
        <v>1</v>
      </c>
      <c r="G283">
        <v>1</v>
      </c>
      <c r="H283">
        <v>2</v>
      </c>
      <c r="I283" t="s">
        <v>1097</v>
      </c>
      <c r="J283" t="s">
        <v>1098</v>
      </c>
      <c r="K283" t="s">
        <v>1099</v>
      </c>
      <c r="L283">
        <v>1368</v>
      </c>
      <c r="N283">
        <v>1011</v>
      </c>
      <c r="O283" t="s">
        <v>1078</v>
      </c>
      <c r="P283" t="s">
        <v>1078</v>
      </c>
      <c r="Q283">
        <v>1</v>
      </c>
      <c r="W283">
        <v>0</v>
      </c>
      <c r="X283">
        <v>1372534845</v>
      </c>
      <c r="Y283">
        <v>0.3125</v>
      </c>
      <c r="AA283">
        <v>0</v>
      </c>
      <c r="AB283">
        <v>431.06</v>
      </c>
      <c r="AC283">
        <v>11.6</v>
      </c>
      <c r="AD283">
        <v>0</v>
      </c>
      <c r="AE283">
        <v>0</v>
      </c>
      <c r="AF283">
        <v>65.709999999999994</v>
      </c>
      <c r="AG283">
        <v>11.6</v>
      </c>
      <c r="AH283">
        <v>0</v>
      </c>
      <c r="AI283">
        <v>1</v>
      </c>
      <c r="AJ283">
        <v>6.56</v>
      </c>
      <c r="AK283">
        <v>1</v>
      </c>
      <c r="AL283">
        <v>1</v>
      </c>
      <c r="AN283">
        <v>0</v>
      </c>
      <c r="AO283">
        <v>1</v>
      </c>
      <c r="AP283">
        <v>1</v>
      </c>
      <c r="AQ283">
        <v>0</v>
      </c>
      <c r="AR283">
        <v>0</v>
      </c>
      <c r="AS283" t="s">
        <v>6</v>
      </c>
      <c r="AT283">
        <v>0.25</v>
      </c>
      <c r="AU283" t="s">
        <v>172</v>
      </c>
      <c r="AV283">
        <v>0</v>
      </c>
      <c r="AW283">
        <v>2</v>
      </c>
      <c r="AX283">
        <v>16750546</v>
      </c>
      <c r="AY283">
        <v>1</v>
      </c>
      <c r="AZ283">
        <v>0</v>
      </c>
      <c r="BA283">
        <v>270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CX283">
        <f>Y283*Source!I164</f>
        <v>3.5625000000000004E-2</v>
      </c>
      <c r="CY283">
        <f>AB283</f>
        <v>431.06</v>
      </c>
      <c r="CZ283">
        <f>AF283</f>
        <v>65.709999999999994</v>
      </c>
      <c r="DA283">
        <f>AJ283</f>
        <v>6.56</v>
      </c>
      <c r="DB283">
        <f>ROUND((ROUND(AT283*CZ283,2)*1.25),2)</f>
        <v>20.54</v>
      </c>
      <c r="DC283">
        <f>ROUND((ROUND(AT283*AG283,2)*1.25),2)</f>
        <v>3.63</v>
      </c>
    </row>
    <row r="284" spans="1:107" x14ac:dyDescent="0.2">
      <c r="A284">
        <f>ROW(Source!A164)</f>
        <v>164</v>
      </c>
      <c r="B284">
        <v>16748969</v>
      </c>
      <c r="C284">
        <v>16750529</v>
      </c>
      <c r="D284">
        <v>15250226</v>
      </c>
      <c r="E284">
        <v>1</v>
      </c>
      <c r="F284">
        <v>1</v>
      </c>
      <c r="G284">
        <v>1</v>
      </c>
      <c r="H284">
        <v>2</v>
      </c>
      <c r="I284" t="s">
        <v>1326</v>
      </c>
      <c r="J284" t="s">
        <v>1327</v>
      </c>
      <c r="K284" t="s">
        <v>1328</v>
      </c>
      <c r="L284">
        <v>1368</v>
      </c>
      <c r="N284">
        <v>1011</v>
      </c>
      <c r="O284" t="s">
        <v>1078</v>
      </c>
      <c r="P284" t="s">
        <v>1078</v>
      </c>
      <c r="Q284">
        <v>1</v>
      </c>
      <c r="W284">
        <v>0</v>
      </c>
      <c r="X284">
        <v>-53362720</v>
      </c>
      <c r="Y284">
        <v>1.875</v>
      </c>
      <c r="AA284">
        <v>0</v>
      </c>
      <c r="AB284">
        <v>17.71</v>
      </c>
      <c r="AC284">
        <v>0</v>
      </c>
      <c r="AD284">
        <v>0</v>
      </c>
      <c r="AE284">
        <v>0</v>
      </c>
      <c r="AF284">
        <v>2.7</v>
      </c>
      <c r="AG284">
        <v>0</v>
      </c>
      <c r="AH284">
        <v>0</v>
      </c>
      <c r="AI284">
        <v>1</v>
      </c>
      <c r="AJ284">
        <v>6.56</v>
      </c>
      <c r="AK284">
        <v>1</v>
      </c>
      <c r="AL284">
        <v>1</v>
      </c>
      <c r="AN284">
        <v>0</v>
      </c>
      <c r="AO284">
        <v>1</v>
      </c>
      <c r="AP284">
        <v>1</v>
      </c>
      <c r="AQ284">
        <v>0</v>
      </c>
      <c r="AR284">
        <v>0</v>
      </c>
      <c r="AS284" t="s">
        <v>6</v>
      </c>
      <c r="AT284">
        <v>1.5</v>
      </c>
      <c r="AU284" t="s">
        <v>172</v>
      </c>
      <c r="AV284">
        <v>0</v>
      </c>
      <c r="AW284">
        <v>2</v>
      </c>
      <c r="AX284">
        <v>16750547</v>
      </c>
      <c r="AY284">
        <v>1</v>
      </c>
      <c r="AZ284">
        <v>0</v>
      </c>
      <c r="BA284">
        <v>271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CX284">
        <f>Y284*Source!I164</f>
        <v>0.21375</v>
      </c>
      <c r="CY284">
        <f>AB284</f>
        <v>17.71</v>
      </c>
      <c r="CZ284">
        <f>AF284</f>
        <v>2.7</v>
      </c>
      <c r="DA284">
        <f>AJ284</f>
        <v>6.56</v>
      </c>
      <c r="DB284">
        <f>ROUND((ROUND(AT284*CZ284,2)*1.25),2)</f>
        <v>5.0599999999999996</v>
      </c>
      <c r="DC284">
        <f>ROUND((ROUND(AT284*AG284,2)*1.25),2)</f>
        <v>0</v>
      </c>
    </row>
    <row r="285" spans="1:107" x14ac:dyDescent="0.2">
      <c r="A285">
        <f>ROW(Source!A164)</f>
        <v>164</v>
      </c>
      <c r="B285">
        <v>16748969</v>
      </c>
      <c r="C285">
        <v>16750529</v>
      </c>
      <c r="D285">
        <v>15165310</v>
      </c>
      <c r="E285">
        <v>1</v>
      </c>
      <c r="F285">
        <v>1</v>
      </c>
      <c r="G285">
        <v>1</v>
      </c>
      <c r="H285">
        <v>3</v>
      </c>
      <c r="I285" t="s">
        <v>1329</v>
      </c>
      <c r="J285" t="s">
        <v>1330</v>
      </c>
      <c r="K285" t="s">
        <v>1331</v>
      </c>
      <c r="L285">
        <v>1348</v>
      </c>
      <c r="N285">
        <v>1009</v>
      </c>
      <c r="O285" t="s">
        <v>71</v>
      </c>
      <c r="P285" t="s">
        <v>71</v>
      </c>
      <c r="Q285">
        <v>1000</v>
      </c>
      <c r="W285">
        <v>0</v>
      </c>
      <c r="X285">
        <v>-1006529954</v>
      </c>
      <c r="Y285">
        <v>8.0000000000000002E-3</v>
      </c>
      <c r="AA285">
        <v>7609.6</v>
      </c>
      <c r="AB285">
        <v>0</v>
      </c>
      <c r="AC285">
        <v>0</v>
      </c>
      <c r="AD285">
        <v>0</v>
      </c>
      <c r="AE285">
        <v>1160</v>
      </c>
      <c r="AF285">
        <v>0</v>
      </c>
      <c r="AG285">
        <v>0</v>
      </c>
      <c r="AH285">
        <v>0</v>
      </c>
      <c r="AI285">
        <v>6.56</v>
      </c>
      <c r="AJ285">
        <v>1</v>
      </c>
      <c r="AK285">
        <v>1</v>
      </c>
      <c r="AL285">
        <v>1</v>
      </c>
      <c r="AN285">
        <v>0</v>
      </c>
      <c r="AO285">
        <v>1</v>
      </c>
      <c r="AP285">
        <v>0</v>
      </c>
      <c r="AQ285">
        <v>0</v>
      </c>
      <c r="AR285">
        <v>0</v>
      </c>
      <c r="AS285" t="s">
        <v>6</v>
      </c>
      <c r="AT285">
        <v>8.0000000000000002E-3</v>
      </c>
      <c r="AU285" t="s">
        <v>6</v>
      </c>
      <c r="AV285">
        <v>0</v>
      </c>
      <c r="AW285">
        <v>2</v>
      </c>
      <c r="AX285">
        <v>16750548</v>
      </c>
      <c r="AY285">
        <v>1</v>
      </c>
      <c r="AZ285">
        <v>0</v>
      </c>
      <c r="BA285">
        <v>272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CX285">
        <f>Y285*Source!I164</f>
        <v>9.1200000000000005E-4</v>
      </c>
      <c r="CY285">
        <f t="shared" ref="CY285:CY290" si="47">AA285</f>
        <v>7609.6</v>
      </c>
      <c r="CZ285">
        <f t="shared" ref="CZ285:CZ290" si="48">AE285</f>
        <v>1160</v>
      </c>
      <c r="DA285">
        <f t="shared" ref="DA285:DA290" si="49">AI285</f>
        <v>6.56</v>
      </c>
      <c r="DB285">
        <f t="shared" ref="DB285:DB290" si="50">ROUND(ROUND(AT285*CZ285,2),2)</f>
        <v>9.2799999999999994</v>
      </c>
      <c r="DC285">
        <f t="shared" ref="DC285:DC290" si="51">ROUND(ROUND(AT285*AG285,2),2)</f>
        <v>0</v>
      </c>
    </row>
    <row r="286" spans="1:107" x14ac:dyDescent="0.2">
      <c r="A286">
        <f>ROW(Source!A164)</f>
        <v>164</v>
      </c>
      <c r="B286">
        <v>16748969</v>
      </c>
      <c r="C286">
        <v>16750529</v>
      </c>
      <c r="D286">
        <v>15165346</v>
      </c>
      <c r="E286">
        <v>1</v>
      </c>
      <c r="F286">
        <v>1</v>
      </c>
      <c r="G286">
        <v>1</v>
      </c>
      <c r="H286">
        <v>3</v>
      </c>
      <c r="I286" t="s">
        <v>1332</v>
      </c>
      <c r="J286" t="s">
        <v>1333</v>
      </c>
      <c r="K286" t="s">
        <v>1334</v>
      </c>
      <c r="L286">
        <v>1348</v>
      </c>
      <c r="N286">
        <v>1009</v>
      </c>
      <c r="O286" t="s">
        <v>71</v>
      </c>
      <c r="P286" t="s">
        <v>71</v>
      </c>
      <c r="Q286">
        <v>1000</v>
      </c>
      <c r="W286">
        <v>0</v>
      </c>
      <c r="X286">
        <v>243290531</v>
      </c>
      <c r="Y286">
        <v>1.9E-2</v>
      </c>
      <c r="AA286">
        <v>10007.280000000001</v>
      </c>
      <c r="AB286">
        <v>0</v>
      </c>
      <c r="AC286">
        <v>0</v>
      </c>
      <c r="AD286">
        <v>0</v>
      </c>
      <c r="AE286">
        <v>1525.5</v>
      </c>
      <c r="AF286">
        <v>0</v>
      </c>
      <c r="AG286">
        <v>0</v>
      </c>
      <c r="AH286">
        <v>0</v>
      </c>
      <c r="AI286">
        <v>6.56</v>
      </c>
      <c r="AJ286">
        <v>1</v>
      </c>
      <c r="AK286">
        <v>1</v>
      </c>
      <c r="AL286">
        <v>1</v>
      </c>
      <c r="AN286">
        <v>0</v>
      </c>
      <c r="AO286">
        <v>1</v>
      </c>
      <c r="AP286">
        <v>0</v>
      </c>
      <c r="AQ286">
        <v>0</v>
      </c>
      <c r="AR286">
        <v>0</v>
      </c>
      <c r="AS286" t="s">
        <v>6</v>
      </c>
      <c r="AT286">
        <v>1.9E-2</v>
      </c>
      <c r="AU286" t="s">
        <v>6</v>
      </c>
      <c r="AV286">
        <v>0</v>
      </c>
      <c r="AW286">
        <v>2</v>
      </c>
      <c r="AX286">
        <v>16750549</v>
      </c>
      <c r="AY286">
        <v>1</v>
      </c>
      <c r="AZ286">
        <v>0</v>
      </c>
      <c r="BA286">
        <v>273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CX286">
        <f>Y286*Source!I164</f>
        <v>2.166E-3</v>
      </c>
      <c r="CY286">
        <f t="shared" si="47"/>
        <v>10007.280000000001</v>
      </c>
      <c r="CZ286">
        <f t="shared" si="48"/>
        <v>1525.5</v>
      </c>
      <c r="DA286">
        <f t="shared" si="49"/>
        <v>6.56</v>
      </c>
      <c r="DB286">
        <f t="shared" si="50"/>
        <v>28.98</v>
      </c>
      <c r="DC286">
        <f t="shared" si="51"/>
        <v>0</v>
      </c>
    </row>
    <row r="287" spans="1:107" x14ac:dyDescent="0.2">
      <c r="A287">
        <f>ROW(Source!A164)</f>
        <v>164</v>
      </c>
      <c r="B287">
        <v>16748969</v>
      </c>
      <c r="C287">
        <v>16750529</v>
      </c>
      <c r="D287">
        <v>15165348</v>
      </c>
      <c r="E287">
        <v>1</v>
      </c>
      <c r="F287">
        <v>1</v>
      </c>
      <c r="G287">
        <v>1</v>
      </c>
      <c r="H287">
        <v>3</v>
      </c>
      <c r="I287" t="s">
        <v>1335</v>
      </c>
      <c r="J287" t="s">
        <v>1336</v>
      </c>
      <c r="K287" t="s">
        <v>1337</v>
      </c>
      <c r="L287">
        <v>1348</v>
      </c>
      <c r="N287">
        <v>1009</v>
      </c>
      <c r="O287" t="s">
        <v>71</v>
      </c>
      <c r="P287" t="s">
        <v>71</v>
      </c>
      <c r="Q287">
        <v>1000</v>
      </c>
      <c r="W287">
        <v>0</v>
      </c>
      <c r="X287">
        <v>110322092</v>
      </c>
      <c r="Y287">
        <v>0.157</v>
      </c>
      <c r="AA287">
        <v>9073.14</v>
      </c>
      <c r="AB287">
        <v>0</v>
      </c>
      <c r="AC287">
        <v>0</v>
      </c>
      <c r="AD287">
        <v>0</v>
      </c>
      <c r="AE287">
        <v>1383.1</v>
      </c>
      <c r="AF287">
        <v>0</v>
      </c>
      <c r="AG287">
        <v>0</v>
      </c>
      <c r="AH287">
        <v>0</v>
      </c>
      <c r="AI287">
        <v>6.56</v>
      </c>
      <c r="AJ287">
        <v>1</v>
      </c>
      <c r="AK287">
        <v>1</v>
      </c>
      <c r="AL287">
        <v>1</v>
      </c>
      <c r="AN287">
        <v>0</v>
      </c>
      <c r="AO287">
        <v>1</v>
      </c>
      <c r="AP287">
        <v>0</v>
      </c>
      <c r="AQ287">
        <v>0</v>
      </c>
      <c r="AR287">
        <v>0</v>
      </c>
      <c r="AS287" t="s">
        <v>6</v>
      </c>
      <c r="AT287">
        <v>0.157</v>
      </c>
      <c r="AU287" t="s">
        <v>6</v>
      </c>
      <c r="AV287">
        <v>0</v>
      </c>
      <c r="AW287">
        <v>2</v>
      </c>
      <c r="AX287">
        <v>16750550</v>
      </c>
      <c r="AY287">
        <v>1</v>
      </c>
      <c r="AZ287">
        <v>0</v>
      </c>
      <c r="BA287">
        <v>274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CX287">
        <f>Y287*Source!I164</f>
        <v>1.7898000000000001E-2</v>
      </c>
      <c r="CY287">
        <f t="shared" si="47"/>
        <v>9073.14</v>
      </c>
      <c r="CZ287">
        <f t="shared" si="48"/>
        <v>1383.1</v>
      </c>
      <c r="DA287">
        <f t="shared" si="49"/>
        <v>6.56</v>
      </c>
      <c r="DB287">
        <f t="shared" si="50"/>
        <v>217.15</v>
      </c>
      <c r="DC287">
        <f t="shared" si="51"/>
        <v>0</v>
      </c>
    </row>
    <row r="288" spans="1:107" x14ac:dyDescent="0.2">
      <c r="A288">
        <f>ROW(Source!A164)</f>
        <v>164</v>
      </c>
      <c r="B288">
        <v>16748969</v>
      </c>
      <c r="C288">
        <v>16750529</v>
      </c>
      <c r="D288">
        <v>15165532</v>
      </c>
      <c r="E288">
        <v>1</v>
      </c>
      <c r="F288">
        <v>1</v>
      </c>
      <c r="G288">
        <v>1</v>
      </c>
      <c r="H288">
        <v>3</v>
      </c>
      <c r="I288" t="s">
        <v>1338</v>
      </c>
      <c r="J288" t="s">
        <v>1339</v>
      </c>
      <c r="K288" t="s">
        <v>1340</v>
      </c>
      <c r="L288">
        <v>1348</v>
      </c>
      <c r="N288">
        <v>1009</v>
      </c>
      <c r="O288" t="s">
        <v>71</v>
      </c>
      <c r="P288" t="s">
        <v>71</v>
      </c>
      <c r="Q288">
        <v>1000</v>
      </c>
      <c r="W288">
        <v>0</v>
      </c>
      <c r="X288">
        <v>-1414849288</v>
      </c>
      <c r="Y288">
        <v>5.7000000000000002E-2</v>
      </c>
      <c r="AA288">
        <v>40303.33</v>
      </c>
      <c r="AB288">
        <v>0</v>
      </c>
      <c r="AC288">
        <v>0</v>
      </c>
      <c r="AD288">
        <v>0</v>
      </c>
      <c r="AE288">
        <v>6143.8</v>
      </c>
      <c r="AF288">
        <v>0</v>
      </c>
      <c r="AG288">
        <v>0</v>
      </c>
      <c r="AH288">
        <v>0</v>
      </c>
      <c r="AI288">
        <v>6.56</v>
      </c>
      <c r="AJ288">
        <v>1</v>
      </c>
      <c r="AK288">
        <v>1</v>
      </c>
      <c r="AL288">
        <v>1</v>
      </c>
      <c r="AN288">
        <v>0</v>
      </c>
      <c r="AO288">
        <v>1</v>
      </c>
      <c r="AP288">
        <v>0</v>
      </c>
      <c r="AQ288">
        <v>0</v>
      </c>
      <c r="AR288">
        <v>0</v>
      </c>
      <c r="AS288" t="s">
        <v>6</v>
      </c>
      <c r="AT288">
        <v>5.7000000000000002E-2</v>
      </c>
      <c r="AU288" t="s">
        <v>6</v>
      </c>
      <c r="AV288">
        <v>0</v>
      </c>
      <c r="AW288">
        <v>2</v>
      </c>
      <c r="AX288">
        <v>16750551</v>
      </c>
      <c r="AY288">
        <v>1</v>
      </c>
      <c r="AZ288">
        <v>0</v>
      </c>
      <c r="BA288">
        <v>275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CX288">
        <f>Y288*Source!I164</f>
        <v>6.4980000000000003E-3</v>
      </c>
      <c r="CY288">
        <f t="shared" si="47"/>
        <v>40303.33</v>
      </c>
      <c r="CZ288">
        <f t="shared" si="48"/>
        <v>6143.8</v>
      </c>
      <c r="DA288">
        <f t="shared" si="49"/>
        <v>6.56</v>
      </c>
      <c r="DB288">
        <f t="shared" si="50"/>
        <v>350.2</v>
      </c>
      <c r="DC288">
        <f t="shared" si="51"/>
        <v>0</v>
      </c>
    </row>
    <row r="289" spans="1:107" x14ac:dyDescent="0.2">
      <c r="A289">
        <f>ROW(Source!A164)</f>
        <v>164</v>
      </c>
      <c r="B289">
        <v>16748969</v>
      </c>
      <c r="C289">
        <v>16750529</v>
      </c>
      <c r="D289">
        <v>15167803</v>
      </c>
      <c r="E289">
        <v>1</v>
      </c>
      <c r="F289">
        <v>1</v>
      </c>
      <c r="G289">
        <v>1</v>
      </c>
      <c r="H289">
        <v>3</v>
      </c>
      <c r="I289" t="s">
        <v>1341</v>
      </c>
      <c r="J289" t="s">
        <v>1342</v>
      </c>
      <c r="K289" t="s">
        <v>1343</v>
      </c>
      <c r="L289">
        <v>1348</v>
      </c>
      <c r="N289">
        <v>1009</v>
      </c>
      <c r="O289" t="s">
        <v>71</v>
      </c>
      <c r="P289" t="s">
        <v>71</v>
      </c>
      <c r="Q289">
        <v>1000</v>
      </c>
      <c r="W289">
        <v>0</v>
      </c>
      <c r="X289">
        <v>-956606579</v>
      </c>
      <c r="Y289">
        <v>0.125</v>
      </c>
      <c r="AA289">
        <v>4518.53</v>
      </c>
      <c r="AB289">
        <v>0</v>
      </c>
      <c r="AC289">
        <v>0</v>
      </c>
      <c r="AD289">
        <v>0</v>
      </c>
      <c r="AE289">
        <v>688.8</v>
      </c>
      <c r="AF289">
        <v>0</v>
      </c>
      <c r="AG289">
        <v>0</v>
      </c>
      <c r="AH289">
        <v>0</v>
      </c>
      <c r="AI289">
        <v>6.56</v>
      </c>
      <c r="AJ289">
        <v>1</v>
      </c>
      <c r="AK289">
        <v>1</v>
      </c>
      <c r="AL289">
        <v>1</v>
      </c>
      <c r="AN289">
        <v>0</v>
      </c>
      <c r="AO289">
        <v>1</v>
      </c>
      <c r="AP289">
        <v>0</v>
      </c>
      <c r="AQ289">
        <v>0</v>
      </c>
      <c r="AR289">
        <v>0</v>
      </c>
      <c r="AS289" t="s">
        <v>6</v>
      </c>
      <c r="AT289">
        <v>0.125</v>
      </c>
      <c r="AU289" t="s">
        <v>6</v>
      </c>
      <c r="AV289">
        <v>0</v>
      </c>
      <c r="AW289">
        <v>2</v>
      </c>
      <c r="AX289">
        <v>16750552</v>
      </c>
      <c r="AY289">
        <v>1</v>
      </c>
      <c r="AZ289">
        <v>0</v>
      </c>
      <c r="BA289">
        <v>276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CX289">
        <f>Y289*Source!I164</f>
        <v>1.4250000000000001E-2</v>
      </c>
      <c r="CY289">
        <f t="shared" si="47"/>
        <v>4518.53</v>
      </c>
      <c r="CZ289">
        <f t="shared" si="48"/>
        <v>688.8</v>
      </c>
      <c r="DA289">
        <f t="shared" si="49"/>
        <v>6.56</v>
      </c>
      <c r="DB289">
        <f t="shared" si="50"/>
        <v>86.1</v>
      </c>
      <c r="DC289">
        <f t="shared" si="51"/>
        <v>0</v>
      </c>
    </row>
    <row r="290" spans="1:107" x14ac:dyDescent="0.2">
      <c r="A290">
        <f>ROW(Source!A164)</f>
        <v>164</v>
      </c>
      <c r="B290">
        <v>16748969</v>
      </c>
      <c r="C290">
        <v>16750529</v>
      </c>
      <c r="D290">
        <v>15171018</v>
      </c>
      <c r="E290">
        <v>1</v>
      </c>
      <c r="F290">
        <v>1</v>
      </c>
      <c r="G290">
        <v>1</v>
      </c>
      <c r="H290">
        <v>3</v>
      </c>
      <c r="I290" t="s">
        <v>1168</v>
      </c>
      <c r="J290" t="s">
        <v>1169</v>
      </c>
      <c r="K290" t="s">
        <v>1170</v>
      </c>
      <c r="L290">
        <v>1346</v>
      </c>
      <c r="N290">
        <v>1009</v>
      </c>
      <c r="O290" t="s">
        <v>323</v>
      </c>
      <c r="P290" t="s">
        <v>323</v>
      </c>
      <c r="Q290">
        <v>1</v>
      </c>
      <c r="W290">
        <v>0</v>
      </c>
      <c r="X290">
        <v>813963326</v>
      </c>
      <c r="Y290">
        <v>0.5</v>
      </c>
      <c r="AA290">
        <v>11.94</v>
      </c>
      <c r="AB290">
        <v>0</v>
      </c>
      <c r="AC290">
        <v>0</v>
      </c>
      <c r="AD290">
        <v>0</v>
      </c>
      <c r="AE290">
        <v>1.82</v>
      </c>
      <c r="AF290">
        <v>0</v>
      </c>
      <c r="AG290">
        <v>0</v>
      </c>
      <c r="AH290">
        <v>0</v>
      </c>
      <c r="AI290">
        <v>6.56</v>
      </c>
      <c r="AJ290">
        <v>1</v>
      </c>
      <c r="AK290">
        <v>1</v>
      </c>
      <c r="AL290">
        <v>1</v>
      </c>
      <c r="AN290">
        <v>0</v>
      </c>
      <c r="AO290">
        <v>1</v>
      </c>
      <c r="AP290">
        <v>0</v>
      </c>
      <c r="AQ290">
        <v>0</v>
      </c>
      <c r="AR290">
        <v>0</v>
      </c>
      <c r="AS290" t="s">
        <v>6</v>
      </c>
      <c r="AT290">
        <v>0.5</v>
      </c>
      <c r="AU290" t="s">
        <v>6</v>
      </c>
      <c r="AV290">
        <v>0</v>
      </c>
      <c r="AW290">
        <v>2</v>
      </c>
      <c r="AX290">
        <v>16750553</v>
      </c>
      <c r="AY290">
        <v>1</v>
      </c>
      <c r="AZ290">
        <v>0</v>
      </c>
      <c r="BA290">
        <v>277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CX290">
        <f>Y290*Source!I164</f>
        <v>5.7000000000000002E-2</v>
      </c>
      <c r="CY290">
        <f t="shared" si="47"/>
        <v>11.94</v>
      </c>
      <c r="CZ290">
        <f t="shared" si="48"/>
        <v>1.82</v>
      </c>
      <c r="DA290">
        <f t="shared" si="49"/>
        <v>6.56</v>
      </c>
      <c r="DB290">
        <f t="shared" si="50"/>
        <v>0.91</v>
      </c>
      <c r="DC290">
        <f t="shared" si="51"/>
        <v>0</v>
      </c>
    </row>
    <row r="291" spans="1:107" x14ac:dyDescent="0.2">
      <c r="A291">
        <f>ROW(Source!A165)</f>
        <v>165</v>
      </c>
      <c r="B291">
        <v>16748969</v>
      </c>
      <c r="C291">
        <v>16750575</v>
      </c>
      <c r="D291">
        <v>15430397</v>
      </c>
      <c r="E291">
        <v>1</v>
      </c>
      <c r="F291">
        <v>1</v>
      </c>
      <c r="G291">
        <v>1</v>
      </c>
      <c r="H291">
        <v>1</v>
      </c>
      <c r="I291" t="s">
        <v>1234</v>
      </c>
      <c r="J291" t="s">
        <v>6</v>
      </c>
      <c r="K291" t="s">
        <v>1235</v>
      </c>
      <c r="L291">
        <v>1191</v>
      </c>
      <c r="N291">
        <v>1013</v>
      </c>
      <c r="O291" t="s">
        <v>1072</v>
      </c>
      <c r="P291" t="s">
        <v>1072</v>
      </c>
      <c r="Q291">
        <v>1</v>
      </c>
      <c r="W291">
        <v>0</v>
      </c>
      <c r="X291">
        <v>-1081351934</v>
      </c>
      <c r="Y291">
        <v>29.451499999999996</v>
      </c>
      <c r="AA291">
        <v>0</v>
      </c>
      <c r="AB291">
        <v>0</v>
      </c>
      <c r="AC291">
        <v>0</v>
      </c>
      <c r="AD291">
        <v>61.66</v>
      </c>
      <c r="AE291">
        <v>0</v>
      </c>
      <c r="AF291">
        <v>0</v>
      </c>
      <c r="AG291">
        <v>0</v>
      </c>
      <c r="AH291">
        <v>9.4</v>
      </c>
      <c r="AI291">
        <v>1</v>
      </c>
      <c r="AJ291">
        <v>1</v>
      </c>
      <c r="AK291">
        <v>1</v>
      </c>
      <c r="AL291">
        <v>6.56</v>
      </c>
      <c r="AN291">
        <v>0</v>
      </c>
      <c r="AO291">
        <v>1</v>
      </c>
      <c r="AP291">
        <v>1</v>
      </c>
      <c r="AQ291">
        <v>0</v>
      </c>
      <c r="AR291">
        <v>0</v>
      </c>
      <c r="AS291" t="s">
        <v>6</v>
      </c>
      <c r="AT291">
        <v>25.61</v>
      </c>
      <c r="AU291" t="s">
        <v>173</v>
      </c>
      <c r="AV291">
        <v>1</v>
      </c>
      <c r="AW291">
        <v>2</v>
      </c>
      <c r="AX291">
        <v>16750582</v>
      </c>
      <c r="AY291">
        <v>1</v>
      </c>
      <c r="AZ291">
        <v>0</v>
      </c>
      <c r="BA291">
        <v>278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CX291">
        <f>Y291*Source!I165</f>
        <v>29.746014999999996</v>
      </c>
      <c r="CY291">
        <f>AD291</f>
        <v>61.66</v>
      </c>
      <c r="CZ291">
        <f>AH291</f>
        <v>9.4</v>
      </c>
      <c r="DA291">
        <f>AL291</f>
        <v>6.56</v>
      </c>
      <c r="DB291">
        <f>ROUND((ROUND(AT291*CZ291,2)*1.15),2)</f>
        <v>276.83999999999997</v>
      </c>
      <c r="DC291">
        <f>ROUND((ROUND(AT291*AG291,2)*1.15),2)</f>
        <v>0</v>
      </c>
    </row>
    <row r="292" spans="1:107" x14ac:dyDescent="0.2">
      <c r="A292">
        <f>ROW(Source!A165)</f>
        <v>165</v>
      </c>
      <c r="B292">
        <v>16748969</v>
      </c>
      <c r="C292">
        <v>16750575</v>
      </c>
      <c r="D292">
        <v>15430395</v>
      </c>
      <c r="E292">
        <v>1</v>
      </c>
      <c r="F292">
        <v>1</v>
      </c>
      <c r="G292">
        <v>1</v>
      </c>
      <c r="H292">
        <v>1</v>
      </c>
      <c r="I292" t="s">
        <v>1073</v>
      </c>
      <c r="J292" t="s">
        <v>6</v>
      </c>
      <c r="K292" t="s">
        <v>1074</v>
      </c>
      <c r="L292">
        <v>1191</v>
      </c>
      <c r="N292">
        <v>1013</v>
      </c>
      <c r="O292" t="s">
        <v>1072</v>
      </c>
      <c r="P292" t="s">
        <v>1072</v>
      </c>
      <c r="Q292">
        <v>1</v>
      </c>
      <c r="W292">
        <v>0</v>
      </c>
      <c r="X292">
        <v>-1417349443</v>
      </c>
      <c r="Y292">
        <v>0.1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1</v>
      </c>
      <c r="AJ292">
        <v>1</v>
      </c>
      <c r="AK292">
        <v>6.56</v>
      </c>
      <c r="AL292">
        <v>1</v>
      </c>
      <c r="AN292">
        <v>0</v>
      </c>
      <c r="AO292">
        <v>1</v>
      </c>
      <c r="AP292">
        <v>0</v>
      </c>
      <c r="AQ292">
        <v>0</v>
      </c>
      <c r="AR292">
        <v>0</v>
      </c>
      <c r="AS292" t="s">
        <v>6</v>
      </c>
      <c r="AT292">
        <v>0.1</v>
      </c>
      <c r="AU292" t="s">
        <v>6</v>
      </c>
      <c r="AV292">
        <v>2</v>
      </c>
      <c r="AW292">
        <v>2</v>
      </c>
      <c r="AX292">
        <v>16750583</v>
      </c>
      <c r="AY292">
        <v>1</v>
      </c>
      <c r="AZ292">
        <v>2048</v>
      </c>
      <c r="BA292">
        <v>279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CX292">
        <f>Y292*Source!I165</f>
        <v>0.10100000000000001</v>
      </c>
      <c r="CY292">
        <f>AD292</f>
        <v>0</v>
      </c>
      <c r="CZ292">
        <f>AH292</f>
        <v>0</v>
      </c>
      <c r="DA292">
        <f>AL292</f>
        <v>1</v>
      </c>
      <c r="DB292">
        <f>ROUND(ROUND(AT292*CZ292,2),2)</f>
        <v>0</v>
      </c>
      <c r="DC292">
        <f>ROUND(ROUND(AT292*AG292,2),2)</f>
        <v>0</v>
      </c>
    </row>
    <row r="293" spans="1:107" x14ac:dyDescent="0.2">
      <c r="A293">
        <f>ROW(Source!A165)</f>
        <v>165</v>
      </c>
      <c r="B293">
        <v>16748969</v>
      </c>
      <c r="C293">
        <v>16750575</v>
      </c>
      <c r="D293">
        <v>15249073</v>
      </c>
      <c r="E293">
        <v>1</v>
      </c>
      <c r="F293">
        <v>1</v>
      </c>
      <c r="G293">
        <v>1</v>
      </c>
      <c r="H293">
        <v>2</v>
      </c>
      <c r="I293" t="s">
        <v>1097</v>
      </c>
      <c r="J293" t="s">
        <v>1098</v>
      </c>
      <c r="K293" t="s">
        <v>1099</v>
      </c>
      <c r="L293">
        <v>1368</v>
      </c>
      <c r="N293">
        <v>1011</v>
      </c>
      <c r="O293" t="s">
        <v>1078</v>
      </c>
      <c r="P293" t="s">
        <v>1078</v>
      </c>
      <c r="Q293">
        <v>1</v>
      </c>
      <c r="W293">
        <v>0</v>
      </c>
      <c r="X293">
        <v>1372534845</v>
      </c>
      <c r="Y293">
        <v>0.125</v>
      </c>
      <c r="AA293">
        <v>0</v>
      </c>
      <c r="AB293">
        <v>431.06</v>
      </c>
      <c r="AC293">
        <v>11.6</v>
      </c>
      <c r="AD293">
        <v>0</v>
      </c>
      <c r="AE293">
        <v>0</v>
      </c>
      <c r="AF293">
        <v>65.709999999999994</v>
      </c>
      <c r="AG293">
        <v>11.6</v>
      </c>
      <c r="AH293">
        <v>0</v>
      </c>
      <c r="AI293">
        <v>1</v>
      </c>
      <c r="AJ293">
        <v>6.56</v>
      </c>
      <c r="AK293">
        <v>1</v>
      </c>
      <c r="AL293">
        <v>1</v>
      </c>
      <c r="AN293">
        <v>0</v>
      </c>
      <c r="AO293">
        <v>1</v>
      </c>
      <c r="AP293">
        <v>1</v>
      </c>
      <c r="AQ293">
        <v>0</v>
      </c>
      <c r="AR293">
        <v>0</v>
      </c>
      <c r="AS293" t="s">
        <v>6</v>
      </c>
      <c r="AT293">
        <v>0.1</v>
      </c>
      <c r="AU293" t="s">
        <v>172</v>
      </c>
      <c r="AV293">
        <v>0</v>
      </c>
      <c r="AW293">
        <v>2</v>
      </c>
      <c r="AX293">
        <v>16750584</v>
      </c>
      <c r="AY293">
        <v>1</v>
      </c>
      <c r="AZ293">
        <v>0</v>
      </c>
      <c r="BA293">
        <v>280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CX293">
        <f>Y293*Source!I165</f>
        <v>0.12625</v>
      </c>
      <c r="CY293">
        <f>AB293</f>
        <v>431.06</v>
      </c>
      <c r="CZ293">
        <f>AF293</f>
        <v>65.709999999999994</v>
      </c>
      <c r="DA293">
        <f>AJ293</f>
        <v>6.56</v>
      </c>
      <c r="DB293">
        <f>ROUND((ROUND(AT293*CZ293,2)*1.25),2)</f>
        <v>8.2100000000000009</v>
      </c>
      <c r="DC293">
        <f>ROUND((ROUND(AT293*AG293,2)*1.25),2)</f>
        <v>1.45</v>
      </c>
    </row>
    <row r="294" spans="1:107" x14ac:dyDescent="0.2">
      <c r="A294">
        <f>ROW(Source!A165)</f>
        <v>165</v>
      </c>
      <c r="B294">
        <v>16748969</v>
      </c>
      <c r="C294">
        <v>16750575</v>
      </c>
      <c r="D294">
        <v>15162728</v>
      </c>
      <c r="E294">
        <v>17</v>
      </c>
      <c r="F294">
        <v>1</v>
      </c>
      <c r="G294">
        <v>1</v>
      </c>
      <c r="H294">
        <v>3</v>
      </c>
      <c r="I294" t="s">
        <v>490</v>
      </c>
      <c r="J294" t="s">
        <v>6</v>
      </c>
      <c r="K294" t="s">
        <v>491</v>
      </c>
      <c r="L294">
        <v>1327</v>
      </c>
      <c r="N294">
        <v>1005</v>
      </c>
      <c r="O294" t="s">
        <v>89</v>
      </c>
      <c r="P294" t="s">
        <v>89</v>
      </c>
      <c r="Q294">
        <v>1</v>
      </c>
      <c r="W294">
        <v>0</v>
      </c>
      <c r="X294">
        <v>-1235377378</v>
      </c>
      <c r="Y294">
        <v>102.5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6.56</v>
      </c>
      <c r="AJ294">
        <v>1</v>
      </c>
      <c r="AK294">
        <v>1</v>
      </c>
      <c r="AL294">
        <v>1</v>
      </c>
      <c r="AN294">
        <v>0</v>
      </c>
      <c r="AO294">
        <v>0</v>
      </c>
      <c r="AP294">
        <v>0</v>
      </c>
      <c r="AQ294">
        <v>0</v>
      </c>
      <c r="AR294">
        <v>0</v>
      </c>
      <c r="AS294" t="s">
        <v>6</v>
      </c>
      <c r="AT294">
        <v>102.5</v>
      </c>
      <c r="AU294" t="s">
        <v>6</v>
      </c>
      <c r="AV294">
        <v>0</v>
      </c>
      <c r="AW294">
        <v>2</v>
      </c>
      <c r="AX294">
        <v>16750585</v>
      </c>
      <c r="AY294">
        <v>1</v>
      </c>
      <c r="AZ294">
        <v>0</v>
      </c>
      <c r="BA294">
        <v>281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CX294">
        <f>Y294*Source!I165</f>
        <v>103.52500000000001</v>
      </c>
      <c r="CY294">
        <f>AA294</f>
        <v>0</v>
      </c>
      <c r="CZ294">
        <f>AE294</f>
        <v>0</v>
      </c>
      <c r="DA294">
        <f>AI294</f>
        <v>6.56</v>
      </c>
      <c r="DB294">
        <f>ROUND(ROUND(AT294*CZ294,2),2)</f>
        <v>0</v>
      </c>
      <c r="DC294">
        <f>ROUND(ROUND(AT294*AG294,2),2)</f>
        <v>0</v>
      </c>
    </row>
    <row r="295" spans="1:107" x14ac:dyDescent="0.2">
      <c r="A295">
        <f>ROW(Source!A165)</f>
        <v>165</v>
      </c>
      <c r="B295">
        <v>16748969</v>
      </c>
      <c r="C295">
        <v>16750575</v>
      </c>
      <c r="D295">
        <v>15196283</v>
      </c>
      <c r="E295">
        <v>1</v>
      </c>
      <c r="F295">
        <v>1</v>
      </c>
      <c r="G295">
        <v>1</v>
      </c>
      <c r="H295">
        <v>3</v>
      </c>
      <c r="I295" t="s">
        <v>486</v>
      </c>
      <c r="J295" t="s">
        <v>488</v>
      </c>
      <c r="K295" t="s">
        <v>487</v>
      </c>
      <c r="L295">
        <v>1327</v>
      </c>
      <c r="N295">
        <v>1005</v>
      </c>
      <c r="O295" t="s">
        <v>89</v>
      </c>
      <c r="P295" t="s">
        <v>89</v>
      </c>
      <c r="Q295">
        <v>1</v>
      </c>
      <c r="W295">
        <v>0</v>
      </c>
      <c r="X295">
        <v>1140903144</v>
      </c>
      <c r="Y295">
        <v>102.5</v>
      </c>
      <c r="AA295">
        <v>788.12</v>
      </c>
      <c r="AB295">
        <v>0</v>
      </c>
      <c r="AC295">
        <v>0</v>
      </c>
      <c r="AD295">
        <v>0</v>
      </c>
      <c r="AE295">
        <v>120.14</v>
      </c>
      <c r="AF295">
        <v>0</v>
      </c>
      <c r="AG295">
        <v>0</v>
      </c>
      <c r="AH295">
        <v>0</v>
      </c>
      <c r="AI295">
        <v>6.56</v>
      </c>
      <c r="AJ295">
        <v>1</v>
      </c>
      <c r="AK295">
        <v>1</v>
      </c>
      <c r="AL295">
        <v>1</v>
      </c>
      <c r="AN295">
        <v>0</v>
      </c>
      <c r="AO295">
        <v>0</v>
      </c>
      <c r="AP295">
        <v>0</v>
      </c>
      <c r="AQ295">
        <v>0</v>
      </c>
      <c r="AR295">
        <v>0</v>
      </c>
      <c r="AS295" t="s">
        <v>6</v>
      </c>
      <c r="AT295">
        <v>102.5</v>
      </c>
      <c r="AU295" t="s">
        <v>6</v>
      </c>
      <c r="AV295">
        <v>0</v>
      </c>
      <c r="AW295">
        <v>1</v>
      </c>
      <c r="AX295">
        <v>-1</v>
      </c>
      <c r="AY295">
        <v>0</v>
      </c>
      <c r="AZ295">
        <v>0</v>
      </c>
      <c r="BA295" t="s">
        <v>6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CX295">
        <f>Y295*Source!I165</f>
        <v>103.52500000000001</v>
      </c>
      <c r="CY295">
        <f>AA295</f>
        <v>788.12</v>
      </c>
      <c r="CZ295">
        <f>AE295</f>
        <v>120.14</v>
      </c>
      <c r="DA295">
        <f>AI295</f>
        <v>6.56</v>
      </c>
      <c r="DB295">
        <f>ROUND(ROUND(AT295*CZ295,2),2)</f>
        <v>12314.35</v>
      </c>
      <c r="DC295">
        <f>ROUND(ROUND(AT295*AG295,2),2)</f>
        <v>0</v>
      </c>
    </row>
    <row r="296" spans="1:107" x14ac:dyDescent="0.2">
      <c r="A296">
        <f>ROW(Source!A165)</f>
        <v>165</v>
      </c>
      <c r="B296">
        <v>16748969</v>
      </c>
      <c r="C296">
        <v>16750575</v>
      </c>
      <c r="D296">
        <v>15197694</v>
      </c>
      <c r="E296">
        <v>1</v>
      </c>
      <c r="F296">
        <v>1</v>
      </c>
      <c r="G296">
        <v>1</v>
      </c>
      <c r="H296">
        <v>3</v>
      </c>
      <c r="I296" t="s">
        <v>1344</v>
      </c>
      <c r="J296" t="s">
        <v>1345</v>
      </c>
      <c r="K296" t="s">
        <v>1346</v>
      </c>
      <c r="L296">
        <v>1330</v>
      </c>
      <c r="N296">
        <v>1005</v>
      </c>
      <c r="O296" t="s">
        <v>1347</v>
      </c>
      <c r="P296" t="s">
        <v>1347</v>
      </c>
      <c r="Q296">
        <v>10</v>
      </c>
      <c r="W296">
        <v>0</v>
      </c>
      <c r="X296">
        <v>1442250580</v>
      </c>
      <c r="Y296">
        <v>10.5</v>
      </c>
      <c r="AA296">
        <v>228.94</v>
      </c>
      <c r="AB296">
        <v>0</v>
      </c>
      <c r="AC296">
        <v>0</v>
      </c>
      <c r="AD296">
        <v>0</v>
      </c>
      <c r="AE296">
        <v>34.9</v>
      </c>
      <c r="AF296">
        <v>0</v>
      </c>
      <c r="AG296">
        <v>0</v>
      </c>
      <c r="AH296">
        <v>0</v>
      </c>
      <c r="AI296">
        <v>6.56</v>
      </c>
      <c r="AJ296">
        <v>1</v>
      </c>
      <c r="AK296">
        <v>1</v>
      </c>
      <c r="AL296">
        <v>1</v>
      </c>
      <c r="AN296">
        <v>0</v>
      </c>
      <c r="AO296">
        <v>1</v>
      </c>
      <c r="AP296">
        <v>0</v>
      </c>
      <c r="AQ296">
        <v>0</v>
      </c>
      <c r="AR296">
        <v>0</v>
      </c>
      <c r="AS296" t="s">
        <v>6</v>
      </c>
      <c r="AT296">
        <v>10.5</v>
      </c>
      <c r="AU296" t="s">
        <v>6</v>
      </c>
      <c r="AV296">
        <v>0</v>
      </c>
      <c r="AW296">
        <v>2</v>
      </c>
      <c r="AX296">
        <v>16750586</v>
      </c>
      <c r="AY296">
        <v>1</v>
      </c>
      <c r="AZ296">
        <v>0</v>
      </c>
      <c r="BA296">
        <v>282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  <c r="CX296">
        <f>Y296*Source!I165</f>
        <v>10.605</v>
      </c>
      <c r="CY296">
        <f>AA296</f>
        <v>228.94</v>
      </c>
      <c r="CZ296">
        <f>AE296</f>
        <v>34.9</v>
      </c>
      <c r="DA296">
        <f>AI296</f>
        <v>6.56</v>
      </c>
      <c r="DB296">
        <f>ROUND(ROUND(AT296*CZ296,2),2)</f>
        <v>366.45</v>
      </c>
      <c r="DC296">
        <f>ROUND(ROUND(AT296*AG296,2),2)</f>
        <v>0</v>
      </c>
    </row>
    <row r="297" spans="1:107" x14ac:dyDescent="0.2">
      <c r="A297">
        <f>ROW(Source!A168)</f>
        <v>168</v>
      </c>
      <c r="B297">
        <v>16748969</v>
      </c>
      <c r="C297">
        <v>16750589</v>
      </c>
      <c r="D297">
        <v>15447742</v>
      </c>
      <c r="E297">
        <v>1</v>
      </c>
      <c r="F297">
        <v>1</v>
      </c>
      <c r="G297">
        <v>1</v>
      </c>
      <c r="H297">
        <v>1</v>
      </c>
      <c r="I297" t="s">
        <v>1348</v>
      </c>
      <c r="J297" t="s">
        <v>6</v>
      </c>
      <c r="K297" t="s">
        <v>1349</v>
      </c>
      <c r="L297">
        <v>1191</v>
      </c>
      <c r="N297">
        <v>1013</v>
      </c>
      <c r="O297" t="s">
        <v>1072</v>
      </c>
      <c r="P297" t="s">
        <v>1072</v>
      </c>
      <c r="Q297">
        <v>1</v>
      </c>
      <c r="W297">
        <v>0</v>
      </c>
      <c r="X297">
        <v>-2143564933</v>
      </c>
      <c r="Y297">
        <v>10.361499999999999</v>
      </c>
      <c r="AA297">
        <v>0</v>
      </c>
      <c r="AB297">
        <v>0</v>
      </c>
      <c r="AC297">
        <v>0</v>
      </c>
      <c r="AD297">
        <v>64.03</v>
      </c>
      <c r="AE297">
        <v>0</v>
      </c>
      <c r="AF297">
        <v>0</v>
      </c>
      <c r="AG297">
        <v>0</v>
      </c>
      <c r="AH297">
        <v>9.76</v>
      </c>
      <c r="AI297">
        <v>1</v>
      </c>
      <c r="AJ297">
        <v>1</v>
      </c>
      <c r="AK297">
        <v>1</v>
      </c>
      <c r="AL297">
        <v>6.56</v>
      </c>
      <c r="AN297">
        <v>0</v>
      </c>
      <c r="AO297">
        <v>1</v>
      </c>
      <c r="AP297">
        <v>1</v>
      </c>
      <c r="AQ297">
        <v>0</v>
      </c>
      <c r="AR297">
        <v>0</v>
      </c>
      <c r="AS297" t="s">
        <v>6</v>
      </c>
      <c r="AT297">
        <v>9.01</v>
      </c>
      <c r="AU297" t="s">
        <v>173</v>
      </c>
      <c r="AV297">
        <v>1</v>
      </c>
      <c r="AW297">
        <v>2</v>
      </c>
      <c r="AX297">
        <v>16750597</v>
      </c>
      <c r="AY297">
        <v>1</v>
      </c>
      <c r="AZ297">
        <v>0</v>
      </c>
      <c r="BA297">
        <v>283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CX297">
        <f>Y297*Source!I168</f>
        <v>6.7038905</v>
      </c>
      <c r="CY297">
        <f>AD297</f>
        <v>64.03</v>
      </c>
      <c r="CZ297">
        <f>AH297</f>
        <v>9.76</v>
      </c>
      <c r="DA297">
        <f>AL297</f>
        <v>6.56</v>
      </c>
      <c r="DB297">
        <f>ROUND((ROUND(AT297*CZ297,2)*1.15),2)</f>
        <v>101.13</v>
      </c>
      <c r="DC297">
        <f>ROUND((ROUND(AT297*AG297,2)*1.15),2)</f>
        <v>0</v>
      </c>
    </row>
    <row r="298" spans="1:107" x14ac:dyDescent="0.2">
      <c r="A298">
        <f>ROW(Source!A168)</f>
        <v>168</v>
      </c>
      <c r="B298">
        <v>16748969</v>
      </c>
      <c r="C298">
        <v>16750589</v>
      </c>
      <c r="D298">
        <v>15430395</v>
      </c>
      <c r="E298">
        <v>1</v>
      </c>
      <c r="F298">
        <v>1</v>
      </c>
      <c r="G298">
        <v>1</v>
      </c>
      <c r="H298">
        <v>1</v>
      </c>
      <c r="I298" t="s">
        <v>1073</v>
      </c>
      <c r="J298" t="s">
        <v>6</v>
      </c>
      <c r="K298" t="s">
        <v>1074</v>
      </c>
      <c r="L298">
        <v>1191</v>
      </c>
      <c r="N298">
        <v>1013</v>
      </c>
      <c r="O298" t="s">
        <v>1072</v>
      </c>
      <c r="P298" t="s">
        <v>1072</v>
      </c>
      <c r="Q298">
        <v>1</v>
      </c>
      <c r="W298">
        <v>0</v>
      </c>
      <c r="X298">
        <v>-1417349443</v>
      </c>
      <c r="Y298">
        <v>0.04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1</v>
      </c>
      <c r="AJ298">
        <v>1</v>
      </c>
      <c r="AK298">
        <v>6.56</v>
      </c>
      <c r="AL298">
        <v>1</v>
      </c>
      <c r="AN298">
        <v>0</v>
      </c>
      <c r="AO298">
        <v>1</v>
      </c>
      <c r="AP298">
        <v>0</v>
      </c>
      <c r="AQ298">
        <v>0</v>
      </c>
      <c r="AR298">
        <v>0</v>
      </c>
      <c r="AS298" t="s">
        <v>6</v>
      </c>
      <c r="AT298">
        <v>0.04</v>
      </c>
      <c r="AU298" t="s">
        <v>6</v>
      </c>
      <c r="AV298">
        <v>2</v>
      </c>
      <c r="AW298">
        <v>2</v>
      </c>
      <c r="AX298">
        <v>16750598</v>
      </c>
      <c r="AY298">
        <v>1</v>
      </c>
      <c r="AZ298">
        <v>2048</v>
      </c>
      <c r="BA298">
        <v>284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0</v>
      </c>
      <c r="CX298">
        <f>Y298*Source!I168</f>
        <v>2.588E-2</v>
      </c>
      <c r="CY298">
        <f>AD298</f>
        <v>0</v>
      </c>
      <c r="CZ298">
        <f>AH298</f>
        <v>0</v>
      </c>
      <c r="DA298">
        <f>AL298</f>
        <v>1</v>
      </c>
      <c r="DB298">
        <f>ROUND(ROUND(AT298*CZ298,2),2)</f>
        <v>0</v>
      </c>
      <c r="DC298">
        <f>ROUND(ROUND(AT298*AG298,2),2)</f>
        <v>0</v>
      </c>
    </row>
    <row r="299" spans="1:107" x14ac:dyDescent="0.2">
      <c r="A299">
        <f>ROW(Source!A168)</f>
        <v>168</v>
      </c>
      <c r="B299">
        <v>16748969</v>
      </c>
      <c r="C299">
        <v>16750589</v>
      </c>
      <c r="D299">
        <v>15247974</v>
      </c>
      <c r="E299">
        <v>1</v>
      </c>
      <c r="F299">
        <v>1</v>
      </c>
      <c r="G299">
        <v>1</v>
      </c>
      <c r="H299">
        <v>2</v>
      </c>
      <c r="I299" t="s">
        <v>1075</v>
      </c>
      <c r="J299" t="s">
        <v>1076</v>
      </c>
      <c r="K299" t="s">
        <v>1077</v>
      </c>
      <c r="L299">
        <v>1368</v>
      </c>
      <c r="N299">
        <v>1011</v>
      </c>
      <c r="O299" t="s">
        <v>1078</v>
      </c>
      <c r="P299" t="s">
        <v>1078</v>
      </c>
      <c r="Q299">
        <v>1</v>
      </c>
      <c r="W299">
        <v>0</v>
      </c>
      <c r="X299">
        <v>1188625873</v>
      </c>
      <c r="Y299">
        <v>6.2500000000000003E-3</v>
      </c>
      <c r="AA299">
        <v>0</v>
      </c>
      <c r="AB299">
        <v>205.07</v>
      </c>
      <c r="AC299">
        <v>13.5</v>
      </c>
      <c r="AD299">
        <v>0</v>
      </c>
      <c r="AE299">
        <v>0</v>
      </c>
      <c r="AF299">
        <v>31.26</v>
      </c>
      <c r="AG299">
        <v>13.5</v>
      </c>
      <c r="AH299">
        <v>0</v>
      </c>
      <c r="AI299">
        <v>1</v>
      </c>
      <c r="AJ299">
        <v>6.56</v>
      </c>
      <c r="AK299">
        <v>1</v>
      </c>
      <c r="AL299">
        <v>1</v>
      </c>
      <c r="AN299">
        <v>0</v>
      </c>
      <c r="AO299">
        <v>1</v>
      </c>
      <c r="AP299">
        <v>1</v>
      </c>
      <c r="AQ299">
        <v>0</v>
      </c>
      <c r="AR299">
        <v>0</v>
      </c>
      <c r="AS299" t="s">
        <v>6</v>
      </c>
      <c r="AT299">
        <v>5.0000000000000001E-3</v>
      </c>
      <c r="AU299" t="s">
        <v>172</v>
      </c>
      <c r="AV299">
        <v>0</v>
      </c>
      <c r="AW299">
        <v>2</v>
      </c>
      <c r="AX299">
        <v>16750599</v>
      </c>
      <c r="AY299">
        <v>1</v>
      </c>
      <c r="AZ299">
        <v>0</v>
      </c>
      <c r="BA299">
        <v>285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  <c r="CX299">
        <f>Y299*Source!I168</f>
        <v>4.0437500000000005E-3</v>
      </c>
      <c r="CY299">
        <f>AB299</f>
        <v>205.07</v>
      </c>
      <c r="CZ299">
        <f>AF299</f>
        <v>31.26</v>
      </c>
      <c r="DA299">
        <f>AJ299</f>
        <v>6.56</v>
      </c>
      <c r="DB299">
        <f>ROUND((ROUND(AT299*CZ299,2)*1.25),2)</f>
        <v>0.2</v>
      </c>
      <c r="DC299">
        <f>ROUND((ROUND(AT299*AG299,2)*1.25),2)</f>
        <v>0.09</v>
      </c>
    </row>
    <row r="300" spans="1:107" x14ac:dyDescent="0.2">
      <c r="A300">
        <f>ROW(Source!A168)</f>
        <v>168</v>
      </c>
      <c r="B300">
        <v>16748969</v>
      </c>
      <c r="C300">
        <v>16750589</v>
      </c>
      <c r="D300">
        <v>15249073</v>
      </c>
      <c r="E300">
        <v>1</v>
      </c>
      <c r="F300">
        <v>1</v>
      </c>
      <c r="G300">
        <v>1</v>
      </c>
      <c r="H300">
        <v>2</v>
      </c>
      <c r="I300" t="s">
        <v>1097</v>
      </c>
      <c r="J300" t="s">
        <v>1098</v>
      </c>
      <c r="K300" t="s">
        <v>1099</v>
      </c>
      <c r="L300">
        <v>1368</v>
      </c>
      <c r="N300">
        <v>1011</v>
      </c>
      <c r="O300" t="s">
        <v>1078</v>
      </c>
      <c r="P300" t="s">
        <v>1078</v>
      </c>
      <c r="Q300">
        <v>1</v>
      </c>
      <c r="W300">
        <v>0</v>
      </c>
      <c r="X300">
        <v>1372534845</v>
      </c>
      <c r="Y300">
        <v>3.7499999999999999E-2</v>
      </c>
      <c r="AA300">
        <v>0</v>
      </c>
      <c r="AB300">
        <v>431.06</v>
      </c>
      <c r="AC300">
        <v>11.6</v>
      </c>
      <c r="AD300">
        <v>0</v>
      </c>
      <c r="AE300">
        <v>0</v>
      </c>
      <c r="AF300">
        <v>65.709999999999994</v>
      </c>
      <c r="AG300">
        <v>11.6</v>
      </c>
      <c r="AH300">
        <v>0</v>
      </c>
      <c r="AI300">
        <v>1</v>
      </c>
      <c r="AJ300">
        <v>6.56</v>
      </c>
      <c r="AK300">
        <v>1</v>
      </c>
      <c r="AL300">
        <v>1</v>
      </c>
      <c r="AN300">
        <v>0</v>
      </c>
      <c r="AO300">
        <v>1</v>
      </c>
      <c r="AP300">
        <v>1</v>
      </c>
      <c r="AQ300">
        <v>0</v>
      </c>
      <c r="AR300">
        <v>0</v>
      </c>
      <c r="AS300" t="s">
        <v>6</v>
      </c>
      <c r="AT300">
        <v>0.03</v>
      </c>
      <c r="AU300" t="s">
        <v>172</v>
      </c>
      <c r="AV300">
        <v>0</v>
      </c>
      <c r="AW300">
        <v>2</v>
      </c>
      <c r="AX300">
        <v>16750600</v>
      </c>
      <c r="AY300">
        <v>1</v>
      </c>
      <c r="AZ300">
        <v>0</v>
      </c>
      <c r="BA300">
        <v>286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0</v>
      </c>
      <c r="CX300">
        <f>Y300*Source!I168</f>
        <v>2.4262499999999999E-2</v>
      </c>
      <c r="CY300">
        <f>AB300</f>
        <v>431.06</v>
      </c>
      <c r="CZ300">
        <f>AF300</f>
        <v>65.709999999999994</v>
      </c>
      <c r="DA300">
        <f>AJ300</f>
        <v>6.56</v>
      </c>
      <c r="DB300">
        <f>ROUND((ROUND(AT300*CZ300,2)*1.25),2)</f>
        <v>2.46</v>
      </c>
      <c r="DC300">
        <f>ROUND((ROUND(AT300*AG300,2)*1.25),2)</f>
        <v>0.44</v>
      </c>
    </row>
    <row r="301" spans="1:107" x14ac:dyDescent="0.2">
      <c r="A301">
        <f>ROW(Source!A168)</f>
        <v>168</v>
      </c>
      <c r="B301">
        <v>16748969</v>
      </c>
      <c r="C301">
        <v>16750589</v>
      </c>
      <c r="D301">
        <v>15162756</v>
      </c>
      <c r="E301">
        <v>17</v>
      </c>
      <c r="F301">
        <v>1</v>
      </c>
      <c r="G301">
        <v>1</v>
      </c>
      <c r="H301">
        <v>3</v>
      </c>
      <c r="I301" t="s">
        <v>501</v>
      </c>
      <c r="J301" t="s">
        <v>6</v>
      </c>
      <c r="K301" t="s">
        <v>502</v>
      </c>
      <c r="L301">
        <v>1301</v>
      </c>
      <c r="N301">
        <v>1003</v>
      </c>
      <c r="O301" t="s">
        <v>206</v>
      </c>
      <c r="P301" t="s">
        <v>206</v>
      </c>
      <c r="Q301">
        <v>1</v>
      </c>
      <c r="W301">
        <v>0</v>
      </c>
      <c r="X301">
        <v>-2049262376</v>
      </c>
      <c r="Y301">
        <v>101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6.56</v>
      </c>
      <c r="AJ301">
        <v>1</v>
      </c>
      <c r="AK301">
        <v>1</v>
      </c>
      <c r="AL301">
        <v>1</v>
      </c>
      <c r="AN301">
        <v>0</v>
      </c>
      <c r="AO301">
        <v>0</v>
      </c>
      <c r="AP301">
        <v>0</v>
      </c>
      <c r="AQ301">
        <v>0</v>
      </c>
      <c r="AR301">
        <v>0</v>
      </c>
      <c r="AS301" t="s">
        <v>6</v>
      </c>
      <c r="AT301">
        <v>101</v>
      </c>
      <c r="AU301" t="s">
        <v>6</v>
      </c>
      <c r="AV301">
        <v>0</v>
      </c>
      <c r="AW301">
        <v>2</v>
      </c>
      <c r="AX301">
        <v>16750601</v>
      </c>
      <c r="AY301">
        <v>1</v>
      </c>
      <c r="AZ301">
        <v>0</v>
      </c>
      <c r="BA301">
        <v>287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  <c r="CX301">
        <f>Y301*Source!I168</f>
        <v>65.347000000000008</v>
      </c>
      <c r="CY301">
        <f>AA301</f>
        <v>0</v>
      </c>
      <c r="CZ301">
        <f>AE301</f>
        <v>0</v>
      </c>
      <c r="DA301">
        <f>AI301</f>
        <v>6.56</v>
      </c>
      <c r="DB301">
        <f>ROUND(ROUND(AT301*CZ301,2),2)</f>
        <v>0</v>
      </c>
      <c r="DC301">
        <f>ROUND(ROUND(AT301*AG301,2),2)</f>
        <v>0</v>
      </c>
    </row>
    <row r="302" spans="1:107" x14ac:dyDescent="0.2">
      <c r="A302">
        <f>ROW(Source!A168)</f>
        <v>168</v>
      </c>
      <c r="B302">
        <v>16748969</v>
      </c>
      <c r="C302">
        <v>16750589</v>
      </c>
      <c r="D302">
        <v>15197683</v>
      </c>
      <c r="E302">
        <v>1</v>
      </c>
      <c r="F302">
        <v>1</v>
      </c>
      <c r="G302">
        <v>1</v>
      </c>
      <c r="H302">
        <v>3</v>
      </c>
      <c r="I302" t="s">
        <v>497</v>
      </c>
      <c r="J302" t="s">
        <v>499</v>
      </c>
      <c r="K302" t="s">
        <v>498</v>
      </c>
      <c r="L302">
        <v>1301</v>
      </c>
      <c r="N302">
        <v>1003</v>
      </c>
      <c r="O302" t="s">
        <v>206</v>
      </c>
      <c r="P302" t="s">
        <v>206</v>
      </c>
      <c r="Q302">
        <v>1</v>
      </c>
      <c r="W302">
        <v>0</v>
      </c>
      <c r="X302">
        <v>1244447769</v>
      </c>
      <c r="Y302">
        <v>101</v>
      </c>
      <c r="AA302">
        <v>134.47999999999999</v>
      </c>
      <c r="AB302">
        <v>0</v>
      </c>
      <c r="AC302">
        <v>0</v>
      </c>
      <c r="AD302">
        <v>0</v>
      </c>
      <c r="AE302">
        <v>20.5</v>
      </c>
      <c r="AF302">
        <v>0</v>
      </c>
      <c r="AG302">
        <v>0</v>
      </c>
      <c r="AH302">
        <v>0</v>
      </c>
      <c r="AI302">
        <v>6.56</v>
      </c>
      <c r="AJ302">
        <v>1</v>
      </c>
      <c r="AK302">
        <v>1</v>
      </c>
      <c r="AL302">
        <v>1</v>
      </c>
      <c r="AN302">
        <v>0</v>
      </c>
      <c r="AO302">
        <v>0</v>
      </c>
      <c r="AP302">
        <v>0</v>
      </c>
      <c r="AQ302">
        <v>0</v>
      </c>
      <c r="AR302">
        <v>0</v>
      </c>
      <c r="AS302" t="s">
        <v>6</v>
      </c>
      <c r="AT302">
        <v>101</v>
      </c>
      <c r="AU302" t="s">
        <v>6</v>
      </c>
      <c r="AV302">
        <v>0</v>
      </c>
      <c r="AW302">
        <v>1</v>
      </c>
      <c r="AX302">
        <v>-1</v>
      </c>
      <c r="AY302">
        <v>0</v>
      </c>
      <c r="AZ302">
        <v>0</v>
      </c>
      <c r="BA302" t="s">
        <v>6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  <c r="CX302">
        <f>Y302*Source!I168</f>
        <v>65.347000000000008</v>
      </c>
      <c r="CY302">
        <f>AA302</f>
        <v>134.47999999999999</v>
      </c>
      <c r="CZ302">
        <f>AE302</f>
        <v>20.5</v>
      </c>
      <c r="DA302">
        <f>AI302</f>
        <v>6.56</v>
      </c>
      <c r="DB302">
        <f>ROUND(ROUND(AT302*CZ302,2),2)</f>
        <v>2070.5</v>
      </c>
      <c r="DC302">
        <f>ROUND(ROUND(AT302*AG302,2),2)</f>
        <v>0</v>
      </c>
    </row>
    <row r="303" spans="1:107" x14ac:dyDescent="0.2">
      <c r="A303">
        <f>ROW(Source!A168)</f>
        <v>168</v>
      </c>
      <c r="B303">
        <v>16748969</v>
      </c>
      <c r="C303">
        <v>16750589</v>
      </c>
      <c r="D303">
        <v>15204415</v>
      </c>
      <c r="E303">
        <v>1</v>
      </c>
      <c r="F303">
        <v>1</v>
      </c>
      <c r="G303">
        <v>1</v>
      </c>
      <c r="H303">
        <v>3</v>
      </c>
      <c r="I303" t="s">
        <v>1350</v>
      </c>
      <c r="J303" t="s">
        <v>1351</v>
      </c>
      <c r="K303" t="s">
        <v>1352</v>
      </c>
      <c r="L303">
        <v>1346</v>
      </c>
      <c r="N303">
        <v>1009</v>
      </c>
      <c r="O303" t="s">
        <v>323</v>
      </c>
      <c r="P303" t="s">
        <v>323</v>
      </c>
      <c r="Q303">
        <v>1</v>
      </c>
      <c r="W303">
        <v>0</v>
      </c>
      <c r="X303">
        <v>-593408865</v>
      </c>
      <c r="Y303">
        <v>5.15</v>
      </c>
      <c r="AA303">
        <v>54.84</v>
      </c>
      <c r="AB303">
        <v>0</v>
      </c>
      <c r="AC303">
        <v>0</v>
      </c>
      <c r="AD303">
        <v>0</v>
      </c>
      <c r="AE303">
        <v>8.36</v>
      </c>
      <c r="AF303">
        <v>0</v>
      </c>
      <c r="AG303">
        <v>0</v>
      </c>
      <c r="AH303">
        <v>0</v>
      </c>
      <c r="AI303">
        <v>6.56</v>
      </c>
      <c r="AJ303">
        <v>1</v>
      </c>
      <c r="AK303">
        <v>1</v>
      </c>
      <c r="AL303">
        <v>1</v>
      </c>
      <c r="AN303">
        <v>0</v>
      </c>
      <c r="AO303">
        <v>1</v>
      </c>
      <c r="AP303">
        <v>0</v>
      </c>
      <c r="AQ303">
        <v>0</v>
      </c>
      <c r="AR303">
        <v>0</v>
      </c>
      <c r="AS303" t="s">
        <v>6</v>
      </c>
      <c r="AT303">
        <v>5.15</v>
      </c>
      <c r="AU303" t="s">
        <v>6</v>
      </c>
      <c r="AV303">
        <v>0</v>
      </c>
      <c r="AW303">
        <v>2</v>
      </c>
      <c r="AX303">
        <v>16750602</v>
      </c>
      <c r="AY303">
        <v>1</v>
      </c>
      <c r="AZ303">
        <v>0</v>
      </c>
      <c r="BA303">
        <v>288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CX303">
        <f>Y303*Source!I168</f>
        <v>3.3320500000000002</v>
      </c>
      <c r="CY303">
        <f>AA303</f>
        <v>54.84</v>
      </c>
      <c r="CZ303">
        <f>AE303</f>
        <v>8.36</v>
      </c>
      <c r="DA303">
        <f>AI303</f>
        <v>6.56</v>
      </c>
      <c r="DB303">
        <f>ROUND(ROUND(AT303*CZ303,2),2)</f>
        <v>43.05</v>
      </c>
      <c r="DC303">
        <f>ROUND(ROUND(AT303*AG303,2),2)</f>
        <v>0</v>
      </c>
    </row>
    <row r="304" spans="1:107" x14ac:dyDescent="0.2">
      <c r="A304">
        <f>ROW(Source!A171)</f>
        <v>171</v>
      </c>
      <c r="B304">
        <v>16748969</v>
      </c>
      <c r="C304">
        <v>16750605</v>
      </c>
      <c r="D304">
        <v>15435721</v>
      </c>
      <c r="E304">
        <v>1</v>
      </c>
      <c r="F304">
        <v>1</v>
      </c>
      <c r="G304">
        <v>1</v>
      </c>
      <c r="H304">
        <v>1</v>
      </c>
      <c r="I304" t="s">
        <v>1353</v>
      </c>
      <c r="J304" t="s">
        <v>6</v>
      </c>
      <c r="K304" t="s">
        <v>1354</v>
      </c>
      <c r="L304">
        <v>1191</v>
      </c>
      <c r="N304">
        <v>1013</v>
      </c>
      <c r="O304" t="s">
        <v>1072</v>
      </c>
      <c r="P304" t="s">
        <v>1072</v>
      </c>
      <c r="Q304">
        <v>1</v>
      </c>
      <c r="W304">
        <v>0</v>
      </c>
      <c r="X304">
        <v>1983201532</v>
      </c>
      <c r="Y304">
        <v>27.392999999999997</v>
      </c>
      <c r="AA304">
        <v>0</v>
      </c>
      <c r="AB304">
        <v>0</v>
      </c>
      <c r="AC304">
        <v>0</v>
      </c>
      <c r="AD304">
        <v>62.39</v>
      </c>
      <c r="AE304">
        <v>0</v>
      </c>
      <c r="AF304">
        <v>0</v>
      </c>
      <c r="AG304">
        <v>0</v>
      </c>
      <c r="AH304">
        <v>9.51</v>
      </c>
      <c r="AI304">
        <v>1</v>
      </c>
      <c r="AJ304">
        <v>1</v>
      </c>
      <c r="AK304">
        <v>1</v>
      </c>
      <c r="AL304">
        <v>6.56</v>
      </c>
      <c r="AN304">
        <v>0</v>
      </c>
      <c r="AO304">
        <v>1</v>
      </c>
      <c r="AP304">
        <v>1</v>
      </c>
      <c r="AQ304">
        <v>0</v>
      </c>
      <c r="AR304">
        <v>0</v>
      </c>
      <c r="AS304" t="s">
        <v>6</v>
      </c>
      <c r="AT304">
        <v>23.82</v>
      </c>
      <c r="AU304" t="s">
        <v>173</v>
      </c>
      <c r="AV304">
        <v>1</v>
      </c>
      <c r="AW304">
        <v>2</v>
      </c>
      <c r="AX304">
        <v>16750612</v>
      </c>
      <c r="AY304">
        <v>1</v>
      </c>
      <c r="AZ304">
        <v>0</v>
      </c>
      <c r="BA304">
        <v>289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0</v>
      </c>
      <c r="BW304">
        <v>0</v>
      </c>
      <c r="CX304">
        <f>Y304*Source!I171</f>
        <v>3.8350200000000001</v>
      </c>
      <c r="CY304">
        <f>AD304</f>
        <v>62.39</v>
      </c>
      <c r="CZ304">
        <f>AH304</f>
        <v>9.51</v>
      </c>
      <c r="DA304">
        <f>AL304</f>
        <v>6.56</v>
      </c>
      <c r="DB304">
        <f>ROUND((ROUND(AT304*CZ304,2)*1.15),2)</f>
        <v>260.51</v>
      </c>
      <c r="DC304">
        <f>ROUND((ROUND(AT304*AG304,2)*1.15),2)</f>
        <v>0</v>
      </c>
    </row>
    <row r="305" spans="1:107" x14ac:dyDescent="0.2">
      <c r="A305">
        <f>ROW(Source!A171)</f>
        <v>171</v>
      </c>
      <c r="B305">
        <v>16748969</v>
      </c>
      <c r="C305">
        <v>16750605</v>
      </c>
      <c r="D305">
        <v>15430395</v>
      </c>
      <c r="E305">
        <v>1</v>
      </c>
      <c r="F305">
        <v>1</v>
      </c>
      <c r="G305">
        <v>1</v>
      </c>
      <c r="H305">
        <v>1</v>
      </c>
      <c r="I305" t="s">
        <v>1073</v>
      </c>
      <c r="J305" t="s">
        <v>6</v>
      </c>
      <c r="K305" t="s">
        <v>1074</v>
      </c>
      <c r="L305">
        <v>1191</v>
      </c>
      <c r="N305">
        <v>1013</v>
      </c>
      <c r="O305" t="s">
        <v>1072</v>
      </c>
      <c r="P305" t="s">
        <v>1072</v>
      </c>
      <c r="Q305">
        <v>1</v>
      </c>
      <c r="W305">
        <v>0</v>
      </c>
      <c r="X305">
        <v>-1417349443</v>
      </c>
      <c r="Y305">
        <v>0.11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1</v>
      </c>
      <c r="AJ305">
        <v>1</v>
      </c>
      <c r="AK305">
        <v>6.56</v>
      </c>
      <c r="AL305">
        <v>1</v>
      </c>
      <c r="AN305">
        <v>0</v>
      </c>
      <c r="AO305">
        <v>1</v>
      </c>
      <c r="AP305">
        <v>0</v>
      </c>
      <c r="AQ305">
        <v>0</v>
      </c>
      <c r="AR305">
        <v>0</v>
      </c>
      <c r="AS305" t="s">
        <v>6</v>
      </c>
      <c r="AT305">
        <v>0.11</v>
      </c>
      <c r="AU305" t="s">
        <v>6</v>
      </c>
      <c r="AV305">
        <v>2</v>
      </c>
      <c r="AW305">
        <v>2</v>
      </c>
      <c r="AX305">
        <v>16750613</v>
      </c>
      <c r="AY305">
        <v>1</v>
      </c>
      <c r="AZ305">
        <v>2048</v>
      </c>
      <c r="BA305">
        <v>290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0</v>
      </c>
      <c r="CX305">
        <f>Y305*Source!I171</f>
        <v>1.5400000000000002E-2</v>
      </c>
      <c r="CY305">
        <f>AD305</f>
        <v>0</v>
      </c>
      <c r="CZ305">
        <f>AH305</f>
        <v>0</v>
      </c>
      <c r="DA305">
        <f>AL305</f>
        <v>1</v>
      </c>
      <c r="DB305">
        <f>ROUND(ROUND(AT305*CZ305,2),2)</f>
        <v>0</v>
      </c>
      <c r="DC305">
        <f>ROUND(ROUND(AT305*AG305,2),2)</f>
        <v>0</v>
      </c>
    </row>
    <row r="306" spans="1:107" x14ac:dyDescent="0.2">
      <c r="A306">
        <f>ROW(Source!A171)</f>
        <v>171</v>
      </c>
      <c r="B306">
        <v>16748969</v>
      </c>
      <c r="C306">
        <v>16750605</v>
      </c>
      <c r="D306">
        <v>15247974</v>
      </c>
      <c r="E306">
        <v>1</v>
      </c>
      <c r="F306">
        <v>1</v>
      </c>
      <c r="G306">
        <v>1</v>
      </c>
      <c r="H306">
        <v>2</v>
      </c>
      <c r="I306" t="s">
        <v>1075</v>
      </c>
      <c r="J306" t="s">
        <v>1076</v>
      </c>
      <c r="K306" t="s">
        <v>1077</v>
      </c>
      <c r="L306">
        <v>1368</v>
      </c>
      <c r="N306">
        <v>1011</v>
      </c>
      <c r="O306" t="s">
        <v>1078</v>
      </c>
      <c r="P306" t="s">
        <v>1078</v>
      </c>
      <c r="Q306">
        <v>1</v>
      </c>
      <c r="W306">
        <v>0</v>
      </c>
      <c r="X306">
        <v>1188625873</v>
      </c>
      <c r="Y306">
        <v>6.25E-2</v>
      </c>
      <c r="AA306">
        <v>0</v>
      </c>
      <c r="AB306">
        <v>205.07</v>
      </c>
      <c r="AC306">
        <v>13.5</v>
      </c>
      <c r="AD306">
        <v>0</v>
      </c>
      <c r="AE306">
        <v>0</v>
      </c>
      <c r="AF306">
        <v>31.26</v>
      </c>
      <c r="AG306">
        <v>13.5</v>
      </c>
      <c r="AH306">
        <v>0</v>
      </c>
      <c r="AI306">
        <v>1</v>
      </c>
      <c r="AJ306">
        <v>6.56</v>
      </c>
      <c r="AK306">
        <v>1</v>
      </c>
      <c r="AL306">
        <v>1</v>
      </c>
      <c r="AN306">
        <v>0</v>
      </c>
      <c r="AO306">
        <v>1</v>
      </c>
      <c r="AP306">
        <v>1</v>
      </c>
      <c r="AQ306">
        <v>0</v>
      </c>
      <c r="AR306">
        <v>0</v>
      </c>
      <c r="AS306" t="s">
        <v>6</v>
      </c>
      <c r="AT306">
        <v>0.05</v>
      </c>
      <c r="AU306" t="s">
        <v>172</v>
      </c>
      <c r="AV306">
        <v>0</v>
      </c>
      <c r="AW306">
        <v>2</v>
      </c>
      <c r="AX306">
        <v>16750614</v>
      </c>
      <c r="AY306">
        <v>1</v>
      </c>
      <c r="AZ306">
        <v>0</v>
      </c>
      <c r="BA306">
        <v>291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0</v>
      </c>
      <c r="CX306">
        <f>Y306*Source!I171</f>
        <v>8.7500000000000008E-3</v>
      </c>
      <c r="CY306">
        <f>AB306</f>
        <v>205.07</v>
      </c>
      <c r="CZ306">
        <f>AF306</f>
        <v>31.26</v>
      </c>
      <c r="DA306">
        <f>AJ306</f>
        <v>6.56</v>
      </c>
      <c r="DB306">
        <f>ROUND((ROUND(AT306*CZ306,2)*1.25),2)</f>
        <v>1.95</v>
      </c>
      <c r="DC306">
        <f>ROUND((ROUND(AT306*AG306,2)*1.25),2)</f>
        <v>0.85</v>
      </c>
    </row>
    <row r="307" spans="1:107" x14ac:dyDescent="0.2">
      <c r="A307">
        <f>ROW(Source!A171)</f>
        <v>171</v>
      </c>
      <c r="B307">
        <v>16748969</v>
      </c>
      <c r="C307">
        <v>16750605</v>
      </c>
      <c r="D307">
        <v>15249073</v>
      </c>
      <c r="E307">
        <v>1</v>
      </c>
      <c r="F307">
        <v>1</v>
      </c>
      <c r="G307">
        <v>1</v>
      </c>
      <c r="H307">
        <v>2</v>
      </c>
      <c r="I307" t="s">
        <v>1097</v>
      </c>
      <c r="J307" t="s">
        <v>1098</v>
      </c>
      <c r="K307" t="s">
        <v>1099</v>
      </c>
      <c r="L307">
        <v>1368</v>
      </c>
      <c r="N307">
        <v>1011</v>
      </c>
      <c r="O307" t="s">
        <v>1078</v>
      </c>
      <c r="P307" t="s">
        <v>1078</v>
      </c>
      <c r="Q307">
        <v>1</v>
      </c>
      <c r="W307">
        <v>0</v>
      </c>
      <c r="X307">
        <v>1372534845</v>
      </c>
      <c r="Y307">
        <v>7.4999999999999997E-2</v>
      </c>
      <c r="AA307">
        <v>0</v>
      </c>
      <c r="AB307">
        <v>431.06</v>
      </c>
      <c r="AC307">
        <v>11.6</v>
      </c>
      <c r="AD307">
        <v>0</v>
      </c>
      <c r="AE307">
        <v>0</v>
      </c>
      <c r="AF307">
        <v>65.709999999999994</v>
      </c>
      <c r="AG307">
        <v>11.6</v>
      </c>
      <c r="AH307">
        <v>0</v>
      </c>
      <c r="AI307">
        <v>1</v>
      </c>
      <c r="AJ307">
        <v>6.56</v>
      </c>
      <c r="AK307">
        <v>1</v>
      </c>
      <c r="AL307">
        <v>1</v>
      </c>
      <c r="AN307">
        <v>0</v>
      </c>
      <c r="AO307">
        <v>1</v>
      </c>
      <c r="AP307">
        <v>1</v>
      </c>
      <c r="AQ307">
        <v>0</v>
      </c>
      <c r="AR307">
        <v>0</v>
      </c>
      <c r="AS307" t="s">
        <v>6</v>
      </c>
      <c r="AT307">
        <v>0.06</v>
      </c>
      <c r="AU307" t="s">
        <v>172</v>
      </c>
      <c r="AV307">
        <v>0</v>
      </c>
      <c r="AW307">
        <v>2</v>
      </c>
      <c r="AX307">
        <v>16750615</v>
      </c>
      <c r="AY307">
        <v>1</v>
      </c>
      <c r="AZ307">
        <v>0</v>
      </c>
      <c r="BA307">
        <v>292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0</v>
      </c>
      <c r="CX307">
        <f>Y307*Source!I171</f>
        <v>1.0500000000000001E-2</v>
      </c>
      <c r="CY307">
        <f>AB307</f>
        <v>431.06</v>
      </c>
      <c r="CZ307">
        <f>AF307</f>
        <v>65.709999999999994</v>
      </c>
      <c r="DA307">
        <f>AJ307</f>
        <v>6.56</v>
      </c>
      <c r="DB307">
        <f>ROUND((ROUND(AT307*CZ307,2)*1.25),2)</f>
        <v>4.93</v>
      </c>
      <c r="DC307">
        <f>ROUND((ROUND(AT307*AG307,2)*1.25),2)</f>
        <v>0.88</v>
      </c>
    </row>
    <row r="308" spans="1:107" x14ac:dyDescent="0.2">
      <c r="A308">
        <f>ROW(Source!A171)</f>
        <v>171</v>
      </c>
      <c r="B308">
        <v>16748969</v>
      </c>
      <c r="C308">
        <v>16750605</v>
      </c>
      <c r="D308">
        <v>15162753</v>
      </c>
      <c r="E308">
        <v>17</v>
      </c>
      <c r="F308">
        <v>1</v>
      </c>
      <c r="G308">
        <v>1</v>
      </c>
      <c r="H308">
        <v>3</v>
      </c>
      <c r="I308" t="s">
        <v>512</v>
      </c>
      <c r="J308" t="s">
        <v>6</v>
      </c>
      <c r="K308" t="s">
        <v>513</v>
      </c>
      <c r="L308">
        <v>1301</v>
      </c>
      <c r="N308">
        <v>1003</v>
      </c>
      <c r="O308" t="s">
        <v>206</v>
      </c>
      <c r="P308" t="s">
        <v>206</v>
      </c>
      <c r="Q308">
        <v>1</v>
      </c>
      <c r="W308">
        <v>0</v>
      </c>
      <c r="X308">
        <v>1949164399</v>
      </c>
      <c r="Y308">
        <v>101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6.56</v>
      </c>
      <c r="AJ308">
        <v>1</v>
      </c>
      <c r="AK308">
        <v>1</v>
      </c>
      <c r="AL308">
        <v>1</v>
      </c>
      <c r="AN308">
        <v>0</v>
      </c>
      <c r="AO308">
        <v>0</v>
      </c>
      <c r="AP308">
        <v>0</v>
      </c>
      <c r="AQ308">
        <v>0</v>
      </c>
      <c r="AR308">
        <v>0</v>
      </c>
      <c r="AS308" t="s">
        <v>6</v>
      </c>
      <c r="AT308">
        <v>101</v>
      </c>
      <c r="AU308" t="s">
        <v>6</v>
      </c>
      <c r="AV308">
        <v>0</v>
      </c>
      <c r="AW308">
        <v>2</v>
      </c>
      <c r="AX308">
        <v>16750617</v>
      </c>
      <c r="AY308">
        <v>1</v>
      </c>
      <c r="AZ308">
        <v>0</v>
      </c>
      <c r="BA308">
        <v>294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  <c r="CX308">
        <f>Y308*Source!I171</f>
        <v>14.14</v>
      </c>
      <c r="CY308">
        <f>AA308</f>
        <v>0</v>
      </c>
      <c r="CZ308">
        <f>AE308</f>
        <v>0</v>
      </c>
      <c r="DA308">
        <f>AI308</f>
        <v>6.56</v>
      </c>
      <c r="DB308">
        <f>ROUND(ROUND(AT308*CZ308,2),2)</f>
        <v>0</v>
      </c>
      <c r="DC308">
        <f>ROUND(ROUND(AT308*AG308,2),2)</f>
        <v>0</v>
      </c>
    </row>
    <row r="309" spans="1:107" x14ac:dyDescent="0.2">
      <c r="A309">
        <f>ROW(Source!A171)</f>
        <v>171</v>
      </c>
      <c r="B309">
        <v>16748969</v>
      </c>
      <c r="C309">
        <v>16750605</v>
      </c>
      <c r="D309">
        <v>15187109</v>
      </c>
      <c r="E309">
        <v>1</v>
      </c>
      <c r="F309">
        <v>1</v>
      </c>
      <c r="G309">
        <v>1</v>
      </c>
      <c r="H309">
        <v>3</v>
      </c>
      <c r="I309" t="s">
        <v>508</v>
      </c>
      <c r="J309" t="s">
        <v>510</v>
      </c>
      <c r="K309" t="s">
        <v>509</v>
      </c>
      <c r="L309">
        <v>1301</v>
      </c>
      <c r="N309">
        <v>1003</v>
      </c>
      <c r="O309" t="s">
        <v>206</v>
      </c>
      <c r="P309" t="s">
        <v>206</v>
      </c>
      <c r="Q309">
        <v>1</v>
      </c>
      <c r="W309">
        <v>0</v>
      </c>
      <c r="X309">
        <v>831643793</v>
      </c>
      <c r="Y309">
        <v>101</v>
      </c>
      <c r="AA309">
        <v>155.66999999999999</v>
      </c>
      <c r="AB309">
        <v>0</v>
      </c>
      <c r="AC309">
        <v>0</v>
      </c>
      <c r="AD309">
        <v>0</v>
      </c>
      <c r="AE309">
        <v>23.73</v>
      </c>
      <c r="AF309">
        <v>0</v>
      </c>
      <c r="AG309">
        <v>0</v>
      </c>
      <c r="AH309">
        <v>0</v>
      </c>
      <c r="AI309">
        <v>6.56</v>
      </c>
      <c r="AJ309">
        <v>1</v>
      </c>
      <c r="AK309">
        <v>1</v>
      </c>
      <c r="AL309">
        <v>1</v>
      </c>
      <c r="AN309">
        <v>0</v>
      </c>
      <c r="AO309">
        <v>0</v>
      </c>
      <c r="AP309">
        <v>0</v>
      </c>
      <c r="AQ309">
        <v>0</v>
      </c>
      <c r="AR309">
        <v>0</v>
      </c>
      <c r="AS309" t="s">
        <v>6</v>
      </c>
      <c r="AT309">
        <v>101</v>
      </c>
      <c r="AU309" t="s">
        <v>6</v>
      </c>
      <c r="AV309">
        <v>0</v>
      </c>
      <c r="AW309">
        <v>1</v>
      </c>
      <c r="AX309">
        <v>-1</v>
      </c>
      <c r="AY309">
        <v>0</v>
      </c>
      <c r="AZ309">
        <v>0</v>
      </c>
      <c r="BA309" t="s">
        <v>6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0</v>
      </c>
      <c r="CX309">
        <f>Y309*Source!I171</f>
        <v>14.14</v>
      </c>
      <c r="CY309">
        <f>AA309</f>
        <v>155.66999999999999</v>
      </c>
      <c r="CZ309">
        <f>AE309</f>
        <v>23.73</v>
      </c>
      <c r="DA309">
        <f>AI309</f>
        <v>6.56</v>
      </c>
      <c r="DB309">
        <f>ROUND(ROUND(AT309*CZ309,2),2)</f>
        <v>2396.73</v>
      </c>
      <c r="DC309">
        <f>ROUND(ROUND(AT309*AG309,2),2)</f>
        <v>0</v>
      </c>
    </row>
    <row r="310" spans="1:107" x14ac:dyDescent="0.2">
      <c r="A310">
        <f>ROW(Source!A174)</f>
        <v>174</v>
      </c>
      <c r="B310">
        <v>16748969</v>
      </c>
      <c r="C310">
        <v>16750620</v>
      </c>
      <c r="D310">
        <v>15436014</v>
      </c>
      <c r="E310">
        <v>1</v>
      </c>
      <c r="F310">
        <v>1</v>
      </c>
      <c r="G310">
        <v>1</v>
      </c>
      <c r="H310">
        <v>1</v>
      </c>
      <c r="I310" t="s">
        <v>1123</v>
      </c>
      <c r="J310" t="s">
        <v>6</v>
      </c>
      <c r="K310" t="s">
        <v>1124</v>
      </c>
      <c r="L310">
        <v>1191</v>
      </c>
      <c r="N310">
        <v>1013</v>
      </c>
      <c r="O310" t="s">
        <v>1072</v>
      </c>
      <c r="P310" t="s">
        <v>1072</v>
      </c>
      <c r="Q310">
        <v>1</v>
      </c>
      <c r="W310">
        <v>0</v>
      </c>
      <c r="X310">
        <v>-784637506</v>
      </c>
      <c r="Y310">
        <v>19.135999999999999</v>
      </c>
      <c r="AA310">
        <v>0</v>
      </c>
      <c r="AB310">
        <v>0</v>
      </c>
      <c r="AC310">
        <v>0</v>
      </c>
      <c r="AD310">
        <v>57.33</v>
      </c>
      <c r="AE310">
        <v>0</v>
      </c>
      <c r="AF310">
        <v>0</v>
      </c>
      <c r="AG310">
        <v>0</v>
      </c>
      <c r="AH310">
        <v>8.74</v>
      </c>
      <c r="AI310">
        <v>1</v>
      </c>
      <c r="AJ310">
        <v>1</v>
      </c>
      <c r="AK310">
        <v>1</v>
      </c>
      <c r="AL310">
        <v>6.56</v>
      </c>
      <c r="AN310">
        <v>0</v>
      </c>
      <c r="AO310">
        <v>1</v>
      </c>
      <c r="AP310">
        <v>1</v>
      </c>
      <c r="AQ310">
        <v>0</v>
      </c>
      <c r="AR310">
        <v>0</v>
      </c>
      <c r="AS310" t="s">
        <v>6</v>
      </c>
      <c r="AT310">
        <v>16.64</v>
      </c>
      <c r="AU310" t="s">
        <v>173</v>
      </c>
      <c r="AV310">
        <v>1</v>
      </c>
      <c r="AW310">
        <v>2</v>
      </c>
      <c r="AX310">
        <v>16750626</v>
      </c>
      <c r="AY310">
        <v>1</v>
      </c>
      <c r="AZ310">
        <v>0</v>
      </c>
      <c r="BA310">
        <v>295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0</v>
      </c>
      <c r="BS310">
        <v>0</v>
      </c>
      <c r="BT310">
        <v>0</v>
      </c>
      <c r="BU310">
        <v>0</v>
      </c>
      <c r="BV310">
        <v>0</v>
      </c>
      <c r="BW310">
        <v>0</v>
      </c>
      <c r="CX310">
        <f>Y310*Source!I174</f>
        <v>0.78457600000000005</v>
      </c>
      <c r="CY310">
        <f>AD310</f>
        <v>57.33</v>
      </c>
      <c r="CZ310">
        <f>AH310</f>
        <v>8.74</v>
      </c>
      <c r="DA310">
        <f>AL310</f>
        <v>6.56</v>
      </c>
      <c r="DB310">
        <f>ROUND((ROUND(AT310*CZ310,2)*1.15),2)</f>
        <v>167.24</v>
      </c>
      <c r="DC310">
        <f>ROUND((ROUND(AT310*AG310,2)*1.15),2)</f>
        <v>0</v>
      </c>
    </row>
    <row r="311" spans="1:107" x14ac:dyDescent="0.2">
      <c r="A311">
        <f>ROW(Source!A174)</f>
        <v>174</v>
      </c>
      <c r="B311">
        <v>16748969</v>
      </c>
      <c r="C311">
        <v>16750620</v>
      </c>
      <c r="D311">
        <v>15169972</v>
      </c>
      <c r="E311">
        <v>1</v>
      </c>
      <c r="F311">
        <v>1</v>
      </c>
      <c r="G311">
        <v>1</v>
      </c>
      <c r="H311">
        <v>3</v>
      </c>
      <c r="I311" t="s">
        <v>1355</v>
      </c>
      <c r="J311" t="s">
        <v>1356</v>
      </c>
      <c r="K311" t="s">
        <v>1357</v>
      </c>
      <c r="L311">
        <v>1355</v>
      </c>
      <c r="N311">
        <v>1010</v>
      </c>
      <c r="O311" t="s">
        <v>724</v>
      </c>
      <c r="P311" t="s">
        <v>724</v>
      </c>
      <c r="Q311">
        <v>100</v>
      </c>
      <c r="W311">
        <v>0</v>
      </c>
      <c r="X311">
        <v>-725528132</v>
      </c>
      <c r="Y311">
        <v>6.7</v>
      </c>
      <c r="AA311">
        <v>78.72</v>
      </c>
      <c r="AB311">
        <v>0</v>
      </c>
      <c r="AC311">
        <v>0</v>
      </c>
      <c r="AD311">
        <v>0</v>
      </c>
      <c r="AE311">
        <v>12</v>
      </c>
      <c r="AF311">
        <v>0</v>
      </c>
      <c r="AG311">
        <v>0</v>
      </c>
      <c r="AH311">
        <v>0</v>
      </c>
      <c r="AI311">
        <v>6.56</v>
      </c>
      <c r="AJ311">
        <v>1</v>
      </c>
      <c r="AK311">
        <v>1</v>
      </c>
      <c r="AL311">
        <v>1</v>
      </c>
      <c r="AN311">
        <v>0</v>
      </c>
      <c r="AO311">
        <v>1</v>
      </c>
      <c r="AP311">
        <v>0</v>
      </c>
      <c r="AQ311">
        <v>0</v>
      </c>
      <c r="AR311">
        <v>0</v>
      </c>
      <c r="AS311" t="s">
        <v>6</v>
      </c>
      <c r="AT311">
        <v>6.7</v>
      </c>
      <c r="AU311" t="s">
        <v>6</v>
      </c>
      <c r="AV311">
        <v>0</v>
      </c>
      <c r="AW311">
        <v>2</v>
      </c>
      <c r="AX311">
        <v>16750627</v>
      </c>
      <c r="AY311">
        <v>1</v>
      </c>
      <c r="AZ311">
        <v>0</v>
      </c>
      <c r="BA311">
        <v>296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0</v>
      </c>
      <c r="CX311">
        <f>Y311*Source!I174</f>
        <v>0.2747</v>
      </c>
      <c r="CY311">
        <f>AA311</f>
        <v>78.72</v>
      </c>
      <c r="CZ311">
        <f>AE311</f>
        <v>12</v>
      </c>
      <c r="DA311">
        <f>AI311</f>
        <v>6.56</v>
      </c>
      <c r="DB311">
        <f>ROUND(ROUND(AT311*CZ311,2),2)</f>
        <v>80.400000000000006</v>
      </c>
      <c r="DC311">
        <f>ROUND(ROUND(AT311*AG311,2),2)</f>
        <v>0</v>
      </c>
    </row>
    <row r="312" spans="1:107" x14ac:dyDescent="0.2">
      <c r="A312">
        <f>ROW(Source!A174)</f>
        <v>174</v>
      </c>
      <c r="B312">
        <v>16748969</v>
      </c>
      <c r="C312">
        <v>16750620</v>
      </c>
      <c r="D312">
        <v>15162775</v>
      </c>
      <c r="E312">
        <v>17</v>
      </c>
      <c r="F312">
        <v>1</v>
      </c>
      <c r="G312">
        <v>1</v>
      </c>
      <c r="H312">
        <v>3</v>
      </c>
      <c r="I312" t="s">
        <v>527</v>
      </c>
      <c r="J312" t="s">
        <v>6</v>
      </c>
      <c r="K312" t="s">
        <v>528</v>
      </c>
      <c r="L312">
        <v>1301</v>
      </c>
      <c r="N312">
        <v>1003</v>
      </c>
      <c r="O312" t="s">
        <v>206</v>
      </c>
      <c r="P312" t="s">
        <v>206</v>
      </c>
      <c r="Q312">
        <v>1</v>
      </c>
      <c r="W312">
        <v>0</v>
      </c>
      <c r="X312">
        <v>2101938969</v>
      </c>
      <c r="Y312">
        <v>105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0</v>
      </c>
      <c r="AH312">
        <v>0</v>
      </c>
      <c r="AI312">
        <v>6.56</v>
      </c>
      <c r="AJ312">
        <v>1</v>
      </c>
      <c r="AK312">
        <v>1</v>
      </c>
      <c r="AL312">
        <v>1</v>
      </c>
      <c r="AN312">
        <v>0</v>
      </c>
      <c r="AO312">
        <v>0</v>
      </c>
      <c r="AP312">
        <v>0</v>
      </c>
      <c r="AQ312">
        <v>0</v>
      </c>
      <c r="AR312">
        <v>0</v>
      </c>
      <c r="AS312" t="s">
        <v>6</v>
      </c>
      <c r="AT312">
        <v>105</v>
      </c>
      <c r="AU312" t="s">
        <v>6</v>
      </c>
      <c r="AV312">
        <v>0</v>
      </c>
      <c r="AW312">
        <v>2</v>
      </c>
      <c r="AX312">
        <v>16750628</v>
      </c>
      <c r="AY312">
        <v>1</v>
      </c>
      <c r="AZ312">
        <v>0</v>
      </c>
      <c r="BA312">
        <v>297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0</v>
      </c>
      <c r="BW312">
        <v>0</v>
      </c>
      <c r="CX312">
        <f>Y312*Source!I174</f>
        <v>4.3050000000000006</v>
      </c>
      <c r="CY312">
        <f>AA312</f>
        <v>0</v>
      </c>
      <c r="CZ312">
        <f>AE312</f>
        <v>0</v>
      </c>
      <c r="DA312">
        <f>AI312</f>
        <v>6.56</v>
      </c>
      <c r="DB312">
        <f>ROUND(ROUND(AT312*CZ312,2),2)</f>
        <v>0</v>
      </c>
      <c r="DC312">
        <f>ROUND(ROUND(AT312*AG312,2),2)</f>
        <v>0</v>
      </c>
    </row>
    <row r="313" spans="1:107" x14ac:dyDescent="0.2">
      <c r="A313">
        <f>ROW(Source!A174)</f>
        <v>174</v>
      </c>
      <c r="B313">
        <v>16748969</v>
      </c>
      <c r="C313">
        <v>16750620</v>
      </c>
      <c r="D313">
        <v>15192878</v>
      </c>
      <c r="E313">
        <v>1</v>
      </c>
      <c r="F313">
        <v>1</v>
      </c>
      <c r="G313">
        <v>1</v>
      </c>
      <c r="H313">
        <v>3</v>
      </c>
      <c r="I313" t="s">
        <v>519</v>
      </c>
      <c r="J313" t="s">
        <v>521</v>
      </c>
      <c r="K313" t="s">
        <v>520</v>
      </c>
      <c r="L313">
        <v>1354</v>
      </c>
      <c r="N313">
        <v>1010</v>
      </c>
      <c r="O313" t="s">
        <v>53</v>
      </c>
      <c r="P313" t="s">
        <v>53</v>
      </c>
      <c r="Q313">
        <v>1</v>
      </c>
      <c r="W313">
        <v>0</v>
      </c>
      <c r="X313">
        <v>-1858633972</v>
      </c>
      <c r="Y313">
        <v>97.560975999999997</v>
      </c>
      <c r="AA313">
        <v>98.86</v>
      </c>
      <c r="AB313">
        <v>0</v>
      </c>
      <c r="AC313">
        <v>0</v>
      </c>
      <c r="AD313">
        <v>0</v>
      </c>
      <c r="AE313">
        <v>15.07</v>
      </c>
      <c r="AF313">
        <v>0</v>
      </c>
      <c r="AG313">
        <v>0</v>
      </c>
      <c r="AH313">
        <v>0</v>
      </c>
      <c r="AI313">
        <v>6.56</v>
      </c>
      <c r="AJ313">
        <v>1</v>
      </c>
      <c r="AK313">
        <v>1</v>
      </c>
      <c r="AL313">
        <v>1</v>
      </c>
      <c r="AN313">
        <v>0</v>
      </c>
      <c r="AO313">
        <v>0</v>
      </c>
      <c r="AP313">
        <v>0</v>
      </c>
      <c r="AQ313">
        <v>0</v>
      </c>
      <c r="AR313">
        <v>0</v>
      </c>
      <c r="AS313" t="s">
        <v>6</v>
      </c>
      <c r="AT313">
        <v>97.560975999999997</v>
      </c>
      <c r="AU313" t="s">
        <v>6</v>
      </c>
      <c r="AV313">
        <v>0</v>
      </c>
      <c r="AW313">
        <v>1</v>
      </c>
      <c r="AX313">
        <v>-1</v>
      </c>
      <c r="AY313">
        <v>0</v>
      </c>
      <c r="AZ313">
        <v>0</v>
      </c>
      <c r="BA313" t="s">
        <v>6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0</v>
      </c>
      <c r="BS313">
        <v>0</v>
      </c>
      <c r="BT313">
        <v>0</v>
      </c>
      <c r="BU313">
        <v>0</v>
      </c>
      <c r="BV313">
        <v>0</v>
      </c>
      <c r="BW313">
        <v>0</v>
      </c>
      <c r="CX313">
        <f>Y313*Source!I174</f>
        <v>4.0000000160000004</v>
      </c>
      <c r="CY313">
        <f>AA313</f>
        <v>98.86</v>
      </c>
      <c r="CZ313">
        <f>AE313</f>
        <v>15.07</v>
      </c>
      <c r="DA313">
        <f>AI313</f>
        <v>6.56</v>
      </c>
      <c r="DB313">
        <f>ROUND(ROUND(AT313*CZ313,2),2)</f>
        <v>1470.24</v>
      </c>
      <c r="DC313">
        <f>ROUND(ROUND(AT313*AG313,2),2)</f>
        <v>0</v>
      </c>
    </row>
    <row r="314" spans="1:107" x14ac:dyDescent="0.2">
      <c r="A314">
        <f>ROW(Source!A174)</f>
        <v>174</v>
      </c>
      <c r="B314">
        <v>16748969</v>
      </c>
      <c r="C314">
        <v>16750620</v>
      </c>
      <c r="D314">
        <v>15192879</v>
      </c>
      <c r="E314">
        <v>1</v>
      </c>
      <c r="F314">
        <v>1</v>
      </c>
      <c r="G314">
        <v>1</v>
      </c>
      <c r="H314">
        <v>3</v>
      </c>
      <c r="I314" t="s">
        <v>523</v>
      </c>
      <c r="J314" t="s">
        <v>525</v>
      </c>
      <c r="K314" t="s">
        <v>524</v>
      </c>
      <c r="L314">
        <v>1354</v>
      </c>
      <c r="N314">
        <v>1010</v>
      </c>
      <c r="O314" t="s">
        <v>53</v>
      </c>
      <c r="P314" t="s">
        <v>53</v>
      </c>
      <c r="Q314">
        <v>1</v>
      </c>
      <c r="W314">
        <v>0</v>
      </c>
      <c r="X314">
        <v>-94522557</v>
      </c>
      <c r="Y314">
        <v>24.390243999999999</v>
      </c>
      <c r="AA314">
        <v>205.2</v>
      </c>
      <c r="AB314">
        <v>0</v>
      </c>
      <c r="AC314">
        <v>0</v>
      </c>
      <c r="AD314">
        <v>0</v>
      </c>
      <c r="AE314">
        <v>31.28</v>
      </c>
      <c r="AF314">
        <v>0</v>
      </c>
      <c r="AG314">
        <v>0</v>
      </c>
      <c r="AH314">
        <v>0</v>
      </c>
      <c r="AI314">
        <v>6.56</v>
      </c>
      <c r="AJ314">
        <v>1</v>
      </c>
      <c r="AK314">
        <v>1</v>
      </c>
      <c r="AL314">
        <v>1</v>
      </c>
      <c r="AN314">
        <v>0</v>
      </c>
      <c r="AO314">
        <v>0</v>
      </c>
      <c r="AP314">
        <v>0</v>
      </c>
      <c r="AQ314">
        <v>0</v>
      </c>
      <c r="AR314">
        <v>0</v>
      </c>
      <c r="AS314" t="s">
        <v>6</v>
      </c>
      <c r="AT314">
        <v>24.390243999999999</v>
      </c>
      <c r="AU314" t="s">
        <v>6</v>
      </c>
      <c r="AV314">
        <v>0</v>
      </c>
      <c r="AW314">
        <v>1</v>
      </c>
      <c r="AX314">
        <v>-1</v>
      </c>
      <c r="AY314">
        <v>0</v>
      </c>
      <c r="AZ314">
        <v>0</v>
      </c>
      <c r="BA314" t="s">
        <v>6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0</v>
      </c>
      <c r="CX314">
        <f>Y314*Source!I174</f>
        <v>1.0000000040000001</v>
      </c>
      <c r="CY314">
        <f>AA314</f>
        <v>205.2</v>
      </c>
      <c r="CZ314">
        <f>AE314</f>
        <v>31.28</v>
      </c>
      <c r="DA314">
        <f>AI314</f>
        <v>6.56</v>
      </c>
      <c r="DB314">
        <f>ROUND(ROUND(AT314*CZ314,2),2)</f>
        <v>762.93</v>
      </c>
      <c r="DC314">
        <f>ROUND(ROUND(AT314*AG314,2),2)</f>
        <v>0</v>
      </c>
    </row>
    <row r="315" spans="1:107" x14ac:dyDescent="0.2">
      <c r="A315">
        <f>ROW(Source!A178)</f>
        <v>178</v>
      </c>
      <c r="B315">
        <v>16748969</v>
      </c>
      <c r="C315">
        <v>16750632</v>
      </c>
      <c r="D315">
        <v>15430397</v>
      </c>
      <c r="E315">
        <v>1</v>
      </c>
      <c r="F315">
        <v>1</v>
      </c>
      <c r="G315">
        <v>1</v>
      </c>
      <c r="H315">
        <v>1</v>
      </c>
      <c r="I315" t="s">
        <v>1234</v>
      </c>
      <c r="J315" t="s">
        <v>6</v>
      </c>
      <c r="K315" t="s">
        <v>1235</v>
      </c>
      <c r="L315">
        <v>1191</v>
      </c>
      <c r="N315">
        <v>1013</v>
      </c>
      <c r="O315" t="s">
        <v>1072</v>
      </c>
      <c r="P315" t="s">
        <v>1072</v>
      </c>
      <c r="Q315">
        <v>1</v>
      </c>
      <c r="W315">
        <v>0</v>
      </c>
      <c r="X315">
        <v>-1081351934</v>
      </c>
      <c r="Y315">
        <v>117.82899999999998</v>
      </c>
      <c r="AA315">
        <v>0</v>
      </c>
      <c r="AB315">
        <v>0</v>
      </c>
      <c r="AC315">
        <v>0</v>
      </c>
      <c r="AD315">
        <v>61.66</v>
      </c>
      <c r="AE315">
        <v>0</v>
      </c>
      <c r="AF315">
        <v>0</v>
      </c>
      <c r="AG315">
        <v>0</v>
      </c>
      <c r="AH315">
        <v>9.4</v>
      </c>
      <c r="AI315">
        <v>1</v>
      </c>
      <c r="AJ315">
        <v>1</v>
      </c>
      <c r="AK315">
        <v>1</v>
      </c>
      <c r="AL315">
        <v>6.56</v>
      </c>
      <c r="AN315">
        <v>0</v>
      </c>
      <c r="AO315">
        <v>1</v>
      </c>
      <c r="AP315">
        <v>1</v>
      </c>
      <c r="AQ315">
        <v>0</v>
      </c>
      <c r="AR315">
        <v>0</v>
      </c>
      <c r="AS315" t="s">
        <v>6</v>
      </c>
      <c r="AT315">
        <v>102.46</v>
      </c>
      <c r="AU315" t="s">
        <v>173</v>
      </c>
      <c r="AV315">
        <v>1</v>
      </c>
      <c r="AW315">
        <v>2</v>
      </c>
      <c r="AX315">
        <v>16750638</v>
      </c>
      <c r="AY315">
        <v>1</v>
      </c>
      <c r="AZ315">
        <v>0</v>
      </c>
      <c r="BA315">
        <v>298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0</v>
      </c>
      <c r="CX315">
        <f>Y315*Source!I178</f>
        <v>146.10795999999996</v>
      </c>
      <c r="CY315">
        <f>AD315</f>
        <v>61.66</v>
      </c>
      <c r="CZ315">
        <f>AH315</f>
        <v>9.4</v>
      </c>
      <c r="DA315">
        <f>AL315</f>
        <v>6.56</v>
      </c>
      <c r="DB315">
        <f>ROUND((ROUND(AT315*CZ315,2)*1.15),2)</f>
        <v>1107.5899999999999</v>
      </c>
      <c r="DC315">
        <f>ROUND((ROUND(AT315*AG315,2)*1.15),2)</f>
        <v>0</v>
      </c>
    </row>
    <row r="316" spans="1:107" x14ac:dyDescent="0.2">
      <c r="A316">
        <f>ROW(Source!A178)</f>
        <v>178</v>
      </c>
      <c r="B316">
        <v>16748969</v>
      </c>
      <c r="C316">
        <v>16750632</v>
      </c>
      <c r="D316">
        <v>15430395</v>
      </c>
      <c r="E316">
        <v>1</v>
      </c>
      <c r="F316">
        <v>1</v>
      </c>
      <c r="G316">
        <v>1</v>
      </c>
      <c r="H316">
        <v>1</v>
      </c>
      <c r="I316" t="s">
        <v>1073</v>
      </c>
      <c r="J316" t="s">
        <v>6</v>
      </c>
      <c r="K316" t="s">
        <v>1074</v>
      </c>
      <c r="L316">
        <v>1191</v>
      </c>
      <c r="N316">
        <v>1013</v>
      </c>
      <c r="O316" t="s">
        <v>1072</v>
      </c>
      <c r="P316" t="s">
        <v>1072</v>
      </c>
      <c r="Q316">
        <v>1</v>
      </c>
      <c r="W316">
        <v>0</v>
      </c>
      <c r="X316">
        <v>-1417349443</v>
      </c>
      <c r="Y316">
        <v>5.34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0</v>
      </c>
      <c r="AG316">
        <v>0</v>
      </c>
      <c r="AH316">
        <v>0</v>
      </c>
      <c r="AI316">
        <v>1</v>
      </c>
      <c r="AJ316">
        <v>1</v>
      </c>
      <c r="AK316">
        <v>6.56</v>
      </c>
      <c r="AL316">
        <v>1</v>
      </c>
      <c r="AN316">
        <v>0</v>
      </c>
      <c r="AO316">
        <v>1</v>
      </c>
      <c r="AP316">
        <v>0</v>
      </c>
      <c r="AQ316">
        <v>0</v>
      </c>
      <c r="AR316">
        <v>0</v>
      </c>
      <c r="AS316" t="s">
        <v>6</v>
      </c>
      <c r="AT316">
        <v>5.34</v>
      </c>
      <c r="AU316" t="s">
        <v>6</v>
      </c>
      <c r="AV316">
        <v>2</v>
      </c>
      <c r="AW316">
        <v>2</v>
      </c>
      <c r="AX316">
        <v>16750639</v>
      </c>
      <c r="AY316">
        <v>1</v>
      </c>
      <c r="AZ316">
        <v>2048</v>
      </c>
      <c r="BA316">
        <v>299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0</v>
      </c>
      <c r="CX316">
        <f>Y316*Source!I178</f>
        <v>6.6215999999999999</v>
      </c>
      <c r="CY316">
        <f>AD316</f>
        <v>0</v>
      </c>
      <c r="CZ316">
        <f>AH316</f>
        <v>0</v>
      </c>
      <c r="DA316">
        <f>AL316</f>
        <v>1</v>
      </c>
      <c r="DB316">
        <f>ROUND(ROUND(AT316*CZ316,2),2)</f>
        <v>0</v>
      </c>
      <c r="DC316">
        <f>ROUND(ROUND(AT316*AG316,2),2)</f>
        <v>0</v>
      </c>
    </row>
    <row r="317" spans="1:107" x14ac:dyDescent="0.2">
      <c r="A317">
        <f>ROW(Source!A178)</f>
        <v>178</v>
      </c>
      <c r="B317">
        <v>16748969</v>
      </c>
      <c r="C317">
        <v>16750632</v>
      </c>
      <c r="D317">
        <v>15247974</v>
      </c>
      <c r="E317">
        <v>1</v>
      </c>
      <c r="F317">
        <v>1</v>
      </c>
      <c r="G317">
        <v>1</v>
      </c>
      <c r="H317">
        <v>2</v>
      </c>
      <c r="I317" t="s">
        <v>1075</v>
      </c>
      <c r="J317" t="s">
        <v>1076</v>
      </c>
      <c r="K317" t="s">
        <v>1077</v>
      </c>
      <c r="L317">
        <v>1368</v>
      </c>
      <c r="N317">
        <v>1011</v>
      </c>
      <c r="O317" t="s">
        <v>1078</v>
      </c>
      <c r="P317" t="s">
        <v>1078</v>
      </c>
      <c r="Q317">
        <v>1</v>
      </c>
      <c r="W317">
        <v>0</v>
      </c>
      <c r="X317">
        <v>1188625873</v>
      </c>
      <c r="Y317">
        <v>0.95</v>
      </c>
      <c r="AA317">
        <v>0</v>
      </c>
      <c r="AB317">
        <v>205.07</v>
      </c>
      <c r="AC317">
        <v>13.5</v>
      </c>
      <c r="AD317">
        <v>0</v>
      </c>
      <c r="AE317">
        <v>0</v>
      </c>
      <c r="AF317">
        <v>31.26</v>
      </c>
      <c r="AG317">
        <v>13.5</v>
      </c>
      <c r="AH317">
        <v>0</v>
      </c>
      <c r="AI317">
        <v>1</v>
      </c>
      <c r="AJ317">
        <v>6.56</v>
      </c>
      <c r="AK317">
        <v>1</v>
      </c>
      <c r="AL317">
        <v>1</v>
      </c>
      <c r="AN317">
        <v>0</v>
      </c>
      <c r="AO317">
        <v>1</v>
      </c>
      <c r="AP317">
        <v>1</v>
      </c>
      <c r="AQ317">
        <v>0</v>
      </c>
      <c r="AR317">
        <v>0</v>
      </c>
      <c r="AS317" t="s">
        <v>6</v>
      </c>
      <c r="AT317">
        <v>0.76</v>
      </c>
      <c r="AU317" t="s">
        <v>172</v>
      </c>
      <c r="AV317">
        <v>0</v>
      </c>
      <c r="AW317">
        <v>2</v>
      </c>
      <c r="AX317">
        <v>16750640</v>
      </c>
      <c r="AY317">
        <v>1</v>
      </c>
      <c r="AZ317">
        <v>0</v>
      </c>
      <c r="BA317">
        <v>300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  <c r="CX317">
        <f>Y317*Source!I178</f>
        <v>1.1779999999999999</v>
      </c>
      <c r="CY317">
        <f>AB317</f>
        <v>205.07</v>
      </c>
      <c r="CZ317">
        <f>AF317</f>
        <v>31.26</v>
      </c>
      <c r="DA317">
        <f>AJ317</f>
        <v>6.56</v>
      </c>
      <c r="DB317">
        <f>ROUND((ROUND(AT317*CZ317,2)*1.25),2)</f>
        <v>29.7</v>
      </c>
      <c r="DC317">
        <f>ROUND((ROUND(AT317*AG317,2)*1.25),2)</f>
        <v>12.83</v>
      </c>
    </row>
    <row r="318" spans="1:107" x14ac:dyDescent="0.2">
      <c r="A318">
        <f>ROW(Source!A178)</f>
        <v>178</v>
      </c>
      <c r="B318">
        <v>16748969</v>
      </c>
      <c r="C318">
        <v>16750632</v>
      </c>
      <c r="D318">
        <v>15249073</v>
      </c>
      <c r="E318">
        <v>1</v>
      </c>
      <c r="F318">
        <v>1</v>
      </c>
      <c r="G318">
        <v>1</v>
      </c>
      <c r="H318">
        <v>2</v>
      </c>
      <c r="I318" t="s">
        <v>1097</v>
      </c>
      <c r="J318" t="s">
        <v>1098</v>
      </c>
      <c r="K318" t="s">
        <v>1099</v>
      </c>
      <c r="L318">
        <v>1368</v>
      </c>
      <c r="N318">
        <v>1011</v>
      </c>
      <c r="O318" t="s">
        <v>1078</v>
      </c>
      <c r="P318" t="s">
        <v>1078</v>
      </c>
      <c r="Q318">
        <v>1</v>
      </c>
      <c r="W318">
        <v>0</v>
      </c>
      <c r="X318">
        <v>1372534845</v>
      </c>
      <c r="Y318">
        <v>5.7249999999999996</v>
      </c>
      <c r="AA318">
        <v>0</v>
      </c>
      <c r="AB318">
        <v>431.06</v>
      </c>
      <c r="AC318">
        <v>11.6</v>
      </c>
      <c r="AD318">
        <v>0</v>
      </c>
      <c r="AE318">
        <v>0</v>
      </c>
      <c r="AF318">
        <v>65.709999999999994</v>
      </c>
      <c r="AG318">
        <v>11.6</v>
      </c>
      <c r="AH318">
        <v>0</v>
      </c>
      <c r="AI318">
        <v>1</v>
      </c>
      <c r="AJ318">
        <v>6.56</v>
      </c>
      <c r="AK318">
        <v>1</v>
      </c>
      <c r="AL318">
        <v>1</v>
      </c>
      <c r="AN318">
        <v>0</v>
      </c>
      <c r="AO318">
        <v>1</v>
      </c>
      <c r="AP318">
        <v>1</v>
      </c>
      <c r="AQ318">
        <v>0</v>
      </c>
      <c r="AR318">
        <v>0</v>
      </c>
      <c r="AS318" t="s">
        <v>6</v>
      </c>
      <c r="AT318">
        <v>4.58</v>
      </c>
      <c r="AU318" t="s">
        <v>172</v>
      </c>
      <c r="AV318">
        <v>0</v>
      </c>
      <c r="AW318">
        <v>2</v>
      </c>
      <c r="AX318">
        <v>16750641</v>
      </c>
      <c r="AY318">
        <v>1</v>
      </c>
      <c r="AZ318">
        <v>0</v>
      </c>
      <c r="BA318">
        <v>301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0</v>
      </c>
      <c r="CX318">
        <f>Y318*Source!I178</f>
        <v>7.0989999999999993</v>
      </c>
      <c r="CY318">
        <f>AB318</f>
        <v>431.06</v>
      </c>
      <c r="CZ318">
        <f>AF318</f>
        <v>65.709999999999994</v>
      </c>
      <c r="DA318">
        <f>AJ318</f>
        <v>6.56</v>
      </c>
      <c r="DB318">
        <f>ROUND((ROUND(AT318*CZ318,2)*1.25),2)</f>
        <v>376.19</v>
      </c>
      <c r="DC318">
        <f>ROUND((ROUND(AT318*AG318,2)*1.25),2)</f>
        <v>66.41</v>
      </c>
    </row>
    <row r="319" spans="1:107" x14ac:dyDescent="0.2">
      <c r="A319">
        <f>ROW(Source!A178)</f>
        <v>178</v>
      </c>
      <c r="B319">
        <v>16748969</v>
      </c>
      <c r="C319">
        <v>16750632</v>
      </c>
      <c r="D319">
        <v>15167143</v>
      </c>
      <c r="E319">
        <v>1</v>
      </c>
      <c r="F319">
        <v>1</v>
      </c>
      <c r="G319">
        <v>1</v>
      </c>
      <c r="H319">
        <v>3</v>
      </c>
      <c r="I319" t="s">
        <v>1358</v>
      </c>
      <c r="J319" t="s">
        <v>1359</v>
      </c>
      <c r="K319" t="s">
        <v>1360</v>
      </c>
      <c r="L319">
        <v>1327</v>
      </c>
      <c r="N319">
        <v>1005</v>
      </c>
      <c r="O319" t="s">
        <v>89</v>
      </c>
      <c r="P319" t="s">
        <v>89</v>
      </c>
      <c r="Q319">
        <v>1</v>
      </c>
      <c r="W319">
        <v>0</v>
      </c>
      <c r="X319">
        <v>1385600515</v>
      </c>
      <c r="Y319">
        <v>103</v>
      </c>
      <c r="AA319">
        <v>339.81</v>
      </c>
      <c r="AB319">
        <v>0</v>
      </c>
      <c r="AC319">
        <v>0</v>
      </c>
      <c r="AD319">
        <v>0</v>
      </c>
      <c r="AE319">
        <v>51.8</v>
      </c>
      <c r="AF319">
        <v>0</v>
      </c>
      <c r="AG319">
        <v>0</v>
      </c>
      <c r="AH319">
        <v>0</v>
      </c>
      <c r="AI319">
        <v>6.56</v>
      </c>
      <c r="AJ319">
        <v>1</v>
      </c>
      <c r="AK319">
        <v>1</v>
      </c>
      <c r="AL319">
        <v>1</v>
      </c>
      <c r="AN319">
        <v>0</v>
      </c>
      <c r="AO319">
        <v>1</v>
      </c>
      <c r="AP319">
        <v>0</v>
      </c>
      <c r="AQ319">
        <v>0</v>
      </c>
      <c r="AR319">
        <v>0</v>
      </c>
      <c r="AS319" t="s">
        <v>6</v>
      </c>
      <c r="AT319">
        <v>103</v>
      </c>
      <c r="AU319" t="s">
        <v>6</v>
      </c>
      <c r="AV319">
        <v>0</v>
      </c>
      <c r="AW319">
        <v>2</v>
      </c>
      <c r="AX319">
        <v>16750642</v>
      </c>
      <c r="AY319">
        <v>1</v>
      </c>
      <c r="AZ319">
        <v>0</v>
      </c>
      <c r="BA319">
        <v>302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0</v>
      </c>
      <c r="BT319">
        <v>0</v>
      </c>
      <c r="BU319">
        <v>0</v>
      </c>
      <c r="BV319">
        <v>0</v>
      </c>
      <c r="BW319">
        <v>0</v>
      </c>
      <c r="CX319">
        <f>Y319*Source!I178</f>
        <v>127.72</v>
      </c>
      <c r="CY319">
        <f>AA319</f>
        <v>339.81</v>
      </c>
      <c r="CZ319">
        <f>AE319</f>
        <v>51.8</v>
      </c>
      <c r="DA319">
        <f>AI319</f>
        <v>6.56</v>
      </c>
      <c r="DB319">
        <f>ROUND(ROUND(AT319*CZ319,2),2)</f>
        <v>5335.4</v>
      </c>
      <c r="DC319">
        <f>ROUND(ROUND(AT319*AG319,2),2)</f>
        <v>0</v>
      </c>
    </row>
    <row r="320" spans="1:107" x14ac:dyDescent="0.2">
      <c r="A320">
        <f>ROW(Source!A179)</f>
        <v>179</v>
      </c>
      <c r="B320">
        <v>16748969</v>
      </c>
      <c r="C320">
        <v>16750643</v>
      </c>
      <c r="D320">
        <v>15430397</v>
      </c>
      <c r="E320">
        <v>1</v>
      </c>
      <c r="F320">
        <v>1</v>
      </c>
      <c r="G320">
        <v>1</v>
      </c>
      <c r="H320">
        <v>1</v>
      </c>
      <c r="I320" t="s">
        <v>1234</v>
      </c>
      <c r="J320" t="s">
        <v>6</v>
      </c>
      <c r="K320" t="s">
        <v>1235</v>
      </c>
      <c r="L320">
        <v>1191</v>
      </c>
      <c r="N320">
        <v>1013</v>
      </c>
      <c r="O320" t="s">
        <v>1072</v>
      </c>
      <c r="P320" t="s">
        <v>1072</v>
      </c>
      <c r="Q320">
        <v>1</v>
      </c>
      <c r="W320">
        <v>0</v>
      </c>
      <c r="X320">
        <v>-1081351934</v>
      </c>
      <c r="Y320">
        <v>124.61399999999999</v>
      </c>
      <c r="AA320">
        <v>0</v>
      </c>
      <c r="AB320">
        <v>0</v>
      </c>
      <c r="AC320">
        <v>0</v>
      </c>
      <c r="AD320">
        <v>61.66</v>
      </c>
      <c r="AE320">
        <v>0</v>
      </c>
      <c r="AF320">
        <v>0</v>
      </c>
      <c r="AG320">
        <v>0</v>
      </c>
      <c r="AH320">
        <v>9.4</v>
      </c>
      <c r="AI320">
        <v>1</v>
      </c>
      <c r="AJ320">
        <v>1</v>
      </c>
      <c r="AK320">
        <v>1</v>
      </c>
      <c r="AL320">
        <v>6.56</v>
      </c>
      <c r="AN320">
        <v>0</v>
      </c>
      <c r="AO320">
        <v>1</v>
      </c>
      <c r="AP320">
        <v>1</v>
      </c>
      <c r="AQ320">
        <v>0</v>
      </c>
      <c r="AR320">
        <v>0</v>
      </c>
      <c r="AS320" t="s">
        <v>6</v>
      </c>
      <c r="AT320">
        <v>108.36</v>
      </c>
      <c r="AU320" t="s">
        <v>173</v>
      </c>
      <c r="AV320">
        <v>1</v>
      </c>
      <c r="AW320">
        <v>2</v>
      </c>
      <c r="AX320">
        <v>16750654</v>
      </c>
      <c r="AY320">
        <v>1</v>
      </c>
      <c r="AZ320">
        <v>0</v>
      </c>
      <c r="BA320">
        <v>303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  <c r="CX320">
        <f>Y320*Source!I179</f>
        <v>14.205995999999999</v>
      </c>
      <c r="CY320">
        <f>AD320</f>
        <v>61.66</v>
      </c>
      <c r="CZ320">
        <f>AH320</f>
        <v>9.4</v>
      </c>
      <c r="DA320">
        <f>AL320</f>
        <v>6.56</v>
      </c>
      <c r="DB320">
        <f>ROUND((ROUND(AT320*CZ320,2)*1.15),2)</f>
        <v>1171.3699999999999</v>
      </c>
      <c r="DC320">
        <f>ROUND((ROUND(AT320*AG320,2)*1.15),2)</f>
        <v>0</v>
      </c>
    </row>
    <row r="321" spans="1:107" x14ac:dyDescent="0.2">
      <c r="A321">
        <f>ROW(Source!A179)</f>
        <v>179</v>
      </c>
      <c r="B321">
        <v>16748969</v>
      </c>
      <c r="C321">
        <v>16750643</v>
      </c>
      <c r="D321">
        <v>15430395</v>
      </c>
      <c r="E321">
        <v>1</v>
      </c>
      <c r="F321">
        <v>1</v>
      </c>
      <c r="G321">
        <v>1</v>
      </c>
      <c r="H321">
        <v>1</v>
      </c>
      <c r="I321" t="s">
        <v>1073</v>
      </c>
      <c r="J321" t="s">
        <v>6</v>
      </c>
      <c r="K321" t="s">
        <v>1074</v>
      </c>
      <c r="L321">
        <v>1191</v>
      </c>
      <c r="N321">
        <v>1013</v>
      </c>
      <c r="O321" t="s">
        <v>1072</v>
      </c>
      <c r="P321" t="s">
        <v>1072</v>
      </c>
      <c r="Q321">
        <v>1</v>
      </c>
      <c r="W321">
        <v>0</v>
      </c>
      <c r="X321">
        <v>-1417349443</v>
      </c>
      <c r="Y321">
        <v>0.39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0</v>
      </c>
      <c r="AG321">
        <v>0</v>
      </c>
      <c r="AH321">
        <v>0</v>
      </c>
      <c r="AI321">
        <v>1</v>
      </c>
      <c r="AJ321">
        <v>1</v>
      </c>
      <c r="AK321">
        <v>6.56</v>
      </c>
      <c r="AL321">
        <v>1</v>
      </c>
      <c r="AN321">
        <v>0</v>
      </c>
      <c r="AO321">
        <v>1</v>
      </c>
      <c r="AP321">
        <v>0</v>
      </c>
      <c r="AQ321">
        <v>0</v>
      </c>
      <c r="AR321">
        <v>0</v>
      </c>
      <c r="AS321" t="s">
        <v>6</v>
      </c>
      <c r="AT321">
        <v>0.39</v>
      </c>
      <c r="AU321" t="s">
        <v>6</v>
      </c>
      <c r="AV321">
        <v>2</v>
      </c>
      <c r="AW321">
        <v>2</v>
      </c>
      <c r="AX321">
        <v>16750655</v>
      </c>
      <c r="AY321">
        <v>1</v>
      </c>
      <c r="AZ321">
        <v>2048</v>
      </c>
      <c r="BA321">
        <v>304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0</v>
      </c>
      <c r="BW321">
        <v>0</v>
      </c>
      <c r="CX321">
        <f>Y321*Source!I179</f>
        <v>4.4460000000000006E-2</v>
      </c>
      <c r="CY321">
        <f>AD321</f>
        <v>0</v>
      </c>
      <c r="CZ321">
        <f>AH321</f>
        <v>0</v>
      </c>
      <c r="DA321">
        <f>AL321</f>
        <v>1</v>
      </c>
      <c r="DB321">
        <f>ROUND(ROUND(AT321*CZ321,2),2)</f>
        <v>0</v>
      </c>
      <c r="DC321">
        <f>ROUND(ROUND(AT321*AG321,2),2)</f>
        <v>0</v>
      </c>
    </row>
    <row r="322" spans="1:107" x14ac:dyDescent="0.2">
      <c r="A322">
        <f>ROW(Source!A179)</f>
        <v>179</v>
      </c>
      <c r="B322">
        <v>16748969</v>
      </c>
      <c r="C322">
        <v>16750643</v>
      </c>
      <c r="D322">
        <v>15247680</v>
      </c>
      <c r="E322">
        <v>1</v>
      </c>
      <c r="F322">
        <v>1</v>
      </c>
      <c r="G322">
        <v>1</v>
      </c>
      <c r="H322">
        <v>2</v>
      </c>
      <c r="I322" t="s">
        <v>1211</v>
      </c>
      <c r="J322" t="s">
        <v>1212</v>
      </c>
      <c r="K322" t="s">
        <v>1213</v>
      </c>
      <c r="L322">
        <v>1368</v>
      </c>
      <c r="N322">
        <v>1011</v>
      </c>
      <c r="O322" t="s">
        <v>1078</v>
      </c>
      <c r="P322" t="s">
        <v>1078</v>
      </c>
      <c r="Q322">
        <v>1</v>
      </c>
      <c r="W322">
        <v>0</v>
      </c>
      <c r="X322">
        <v>-1718674368</v>
      </c>
      <c r="Y322">
        <v>0.3125</v>
      </c>
      <c r="AA322">
        <v>0</v>
      </c>
      <c r="AB322">
        <v>734.65</v>
      </c>
      <c r="AC322">
        <v>13.5</v>
      </c>
      <c r="AD322">
        <v>0</v>
      </c>
      <c r="AE322">
        <v>0</v>
      </c>
      <c r="AF322">
        <v>111.99</v>
      </c>
      <c r="AG322">
        <v>13.5</v>
      </c>
      <c r="AH322">
        <v>0</v>
      </c>
      <c r="AI322">
        <v>1</v>
      </c>
      <c r="AJ322">
        <v>6.56</v>
      </c>
      <c r="AK322">
        <v>1</v>
      </c>
      <c r="AL322">
        <v>1</v>
      </c>
      <c r="AN322">
        <v>0</v>
      </c>
      <c r="AO322">
        <v>1</v>
      </c>
      <c r="AP322">
        <v>1</v>
      </c>
      <c r="AQ322">
        <v>0</v>
      </c>
      <c r="AR322">
        <v>0</v>
      </c>
      <c r="AS322" t="s">
        <v>6</v>
      </c>
      <c r="AT322">
        <v>0.25</v>
      </c>
      <c r="AU322" t="s">
        <v>172</v>
      </c>
      <c r="AV322">
        <v>0</v>
      </c>
      <c r="AW322">
        <v>2</v>
      </c>
      <c r="AX322">
        <v>16750656</v>
      </c>
      <c r="AY322">
        <v>1</v>
      </c>
      <c r="AZ322">
        <v>0</v>
      </c>
      <c r="BA322">
        <v>305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0</v>
      </c>
      <c r="BW322">
        <v>0</v>
      </c>
      <c r="CX322">
        <f>Y322*Source!I179</f>
        <v>3.5625000000000004E-2</v>
      </c>
      <c r="CY322">
        <f>AB322</f>
        <v>734.65</v>
      </c>
      <c r="CZ322">
        <f>AF322</f>
        <v>111.99</v>
      </c>
      <c r="DA322">
        <f>AJ322</f>
        <v>6.56</v>
      </c>
      <c r="DB322">
        <f>ROUND((ROUND(AT322*CZ322,2)*1.25),2)</f>
        <v>35</v>
      </c>
      <c r="DC322">
        <f>ROUND((ROUND(AT322*AG322,2)*1.25),2)</f>
        <v>4.2300000000000004</v>
      </c>
    </row>
    <row r="323" spans="1:107" x14ac:dyDescent="0.2">
      <c r="A323">
        <f>ROW(Source!A179)</f>
        <v>179</v>
      </c>
      <c r="B323">
        <v>16748969</v>
      </c>
      <c r="C323">
        <v>16750643</v>
      </c>
      <c r="D323">
        <v>15247880</v>
      </c>
      <c r="E323">
        <v>1</v>
      </c>
      <c r="F323">
        <v>1</v>
      </c>
      <c r="G323">
        <v>1</v>
      </c>
      <c r="H323">
        <v>2</v>
      </c>
      <c r="I323" t="s">
        <v>1361</v>
      </c>
      <c r="J323" t="s">
        <v>1362</v>
      </c>
      <c r="K323" t="s">
        <v>1363</v>
      </c>
      <c r="L323">
        <v>1368</v>
      </c>
      <c r="N323">
        <v>1011</v>
      </c>
      <c r="O323" t="s">
        <v>1078</v>
      </c>
      <c r="P323" t="s">
        <v>1078</v>
      </c>
      <c r="Q323">
        <v>1</v>
      </c>
      <c r="W323">
        <v>0</v>
      </c>
      <c r="X323">
        <v>1544661785</v>
      </c>
      <c r="Y323">
        <v>20.25</v>
      </c>
      <c r="AA323">
        <v>0</v>
      </c>
      <c r="AB323">
        <v>45.26</v>
      </c>
      <c r="AC323">
        <v>0</v>
      </c>
      <c r="AD323">
        <v>0</v>
      </c>
      <c r="AE323">
        <v>0</v>
      </c>
      <c r="AF323">
        <v>6.9</v>
      </c>
      <c r="AG323">
        <v>0</v>
      </c>
      <c r="AH323">
        <v>0</v>
      </c>
      <c r="AI323">
        <v>1</v>
      </c>
      <c r="AJ323">
        <v>6.56</v>
      </c>
      <c r="AK323">
        <v>1</v>
      </c>
      <c r="AL323">
        <v>1</v>
      </c>
      <c r="AN323">
        <v>0</v>
      </c>
      <c r="AO323">
        <v>1</v>
      </c>
      <c r="AP323">
        <v>1</v>
      </c>
      <c r="AQ323">
        <v>0</v>
      </c>
      <c r="AR323">
        <v>0</v>
      </c>
      <c r="AS323" t="s">
        <v>6</v>
      </c>
      <c r="AT323">
        <v>16.2</v>
      </c>
      <c r="AU323" t="s">
        <v>172</v>
      </c>
      <c r="AV323">
        <v>0</v>
      </c>
      <c r="AW323">
        <v>2</v>
      </c>
      <c r="AX323">
        <v>16750657</v>
      </c>
      <c r="AY323">
        <v>1</v>
      </c>
      <c r="AZ323">
        <v>0</v>
      </c>
      <c r="BA323">
        <v>306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0</v>
      </c>
      <c r="BW323">
        <v>0</v>
      </c>
      <c r="CX323">
        <f>Y323*Source!I179</f>
        <v>2.3085</v>
      </c>
      <c r="CY323">
        <f>AB323</f>
        <v>45.26</v>
      </c>
      <c r="CZ323">
        <f>AF323</f>
        <v>6.9</v>
      </c>
      <c r="DA323">
        <f>AJ323</f>
        <v>6.56</v>
      </c>
      <c r="DB323">
        <f>ROUND((ROUND(AT323*CZ323,2)*1.25),2)</f>
        <v>139.72999999999999</v>
      </c>
      <c r="DC323">
        <f>ROUND((ROUND(AT323*AG323,2)*1.25),2)</f>
        <v>0</v>
      </c>
    </row>
    <row r="324" spans="1:107" x14ac:dyDescent="0.2">
      <c r="A324">
        <f>ROW(Source!A179)</f>
        <v>179</v>
      </c>
      <c r="B324">
        <v>16748969</v>
      </c>
      <c r="C324">
        <v>16750643</v>
      </c>
      <c r="D324">
        <v>15249073</v>
      </c>
      <c r="E324">
        <v>1</v>
      </c>
      <c r="F324">
        <v>1</v>
      </c>
      <c r="G324">
        <v>1</v>
      </c>
      <c r="H324">
        <v>2</v>
      </c>
      <c r="I324" t="s">
        <v>1097</v>
      </c>
      <c r="J324" t="s">
        <v>1098</v>
      </c>
      <c r="K324" t="s">
        <v>1099</v>
      </c>
      <c r="L324">
        <v>1368</v>
      </c>
      <c r="N324">
        <v>1011</v>
      </c>
      <c r="O324" t="s">
        <v>1078</v>
      </c>
      <c r="P324" t="s">
        <v>1078</v>
      </c>
      <c r="Q324">
        <v>1</v>
      </c>
      <c r="W324">
        <v>0</v>
      </c>
      <c r="X324">
        <v>1372534845</v>
      </c>
      <c r="Y324">
        <v>0.17500000000000002</v>
      </c>
      <c r="AA324">
        <v>0</v>
      </c>
      <c r="AB324">
        <v>431.06</v>
      </c>
      <c r="AC324">
        <v>11.6</v>
      </c>
      <c r="AD324">
        <v>0</v>
      </c>
      <c r="AE324">
        <v>0</v>
      </c>
      <c r="AF324">
        <v>65.709999999999994</v>
      </c>
      <c r="AG324">
        <v>11.6</v>
      </c>
      <c r="AH324">
        <v>0</v>
      </c>
      <c r="AI324">
        <v>1</v>
      </c>
      <c r="AJ324">
        <v>6.56</v>
      </c>
      <c r="AK324">
        <v>1</v>
      </c>
      <c r="AL324">
        <v>1</v>
      </c>
      <c r="AN324">
        <v>0</v>
      </c>
      <c r="AO324">
        <v>1</v>
      </c>
      <c r="AP324">
        <v>1</v>
      </c>
      <c r="AQ324">
        <v>0</v>
      </c>
      <c r="AR324">
        <v>0</v>
      </c>
      <c r="AS324" t="s">
        <v>6</v>
      </c>
      <c r="AT324">
        <v>0.14000000000000001</v>
      </c>
      <c r="AU324" t="s">
        <v>172</v>
      </c>
      <c r="AV324">
        <v>0</v>
      </c>
      <c r="AW324">
        <v>2</v>
      </c>
      <c r="AX324">
        <v>16750658</v>
      </c>
      <c r="AY324">
        <v>1</v>
      </c>
      <c r="AZ324">
        <v>0</v>
      </c>
      <c r="BA324">
        <v>307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0</v>
      </c>
      <c r="BR324">
        <v>0</v>
      </c>
      <c r="BS324">
        <v>0</v>
      </c>
      <c r="BT324">
        <v>0</v>
      </c>
      <c r="BU324">
        <v>0</v>
      </c>
      <c r="BV324">
        <v>0</v>
      </c>
      <c r="BW324">
        <v>0</v>
      </c>
      <c r="CX324">
        <f>Y324*Source!I179</f>
        <v>1.9950000000000002E-2</v>
      </c>
      <c r="CY324">
        <f>AB324</f>
        <v>431.06</v>
      </c>
      <c r="CZ324">
        <f>AF324</f>
        <v>65.709999999999994</v>
      </c>
      <c r="DA324">
        <f>AJ324</f>
        <v>6.56</v>
      </c>
      <c r="DB324">
        <f>ROUND((ROUND(AT324*CZ324,2)*1.25),2)</f>
        <v>11.5</v>
      </c>
      <c r="DC324">
        <f>ROUND((ROUND(AT324*AG324,2)*1.25),2)</f>
        <v>2.0299999999999998</v>
      </c>
    </row>
    <row r="325" spans="1:107" x14ac:dyDescent="0.2">
      <c r="A325">
        <f>ROW(Source!A179)</f>
        <v>179</v>
      </c>
      <c r="B325">
        <v>16748969</v>
      </c>
      <c r="C325">
        <v>16750643</v>
      </c>
      <c r="D325">
        <v>15192822</v>
      </c>
      <c r="E325">
        <v>1</v>
      </c>
      <c r="F325">
        <v>1</v>
      </c>
      <c r="G325">
        <v>1</v>
      </c>
      <c r="H325">
        <v>3</v>
      </c>
      <c r="I325" t="s">
        <v>1364</v>
      </c>
      <c r="J325" t="s">
        <v>1365</v>
      </c>
      <c r="K325" t="s">
        <v>1366</v>
      </c>
      <c r="L325">
        <v>1301</v>
      </c>
      <c r="N325">
        <v>1003</v>
      </c>
      <c r="O325" t="s">
        <v>206</v>
      </c>
      <c r="P325" t="s">
        <v>206</v>
      </c>
      <c r="Q325">
        <v>1</v>
      </c>
      <c r="W325">
        <v>0</v>
      </c>
      <c r="X325">
        <v>-1256792299</v>
      </c>
      <c r="Y325">
        <v>100</v>
      </c>
      <c r="AA325">
        <v>134.28</v>
      </c>
      <c r="AB325">
        <v>0</v>
      </c>
      <c r="AC325">
        <v>0</v>
      </c>
      <c r="AD325">
        <v>0</v>
      </c>
      <c r="AE325">
        <v>20.47</v>
      </c>
      <c r="AF325">
        <v>0</v>
      </c>
      <c r="AG325">
        <v>0</v>
      </c>
      <c r="AH325">
        <v>0</v>
      </c>
      <c r="AI325">
        <v>6.56</v>
      </c>
      <c r="AJ325">
        <v>1</v>
      </c>
      <c r="AK325">
        <v>1</v>
      </c>
      <c r="AL325">
        <v>1</v>
      </c>
      <c r="AN325">
        <v>0</v>
      </c>
      <c r="AO325">
        <v>1</v>
      </c>
      <c r="AP325">
        <v>0</v>
      </c>
      <c r="AQ325">
        <v>0</v>
      </c>
      <c r="AR325">
        <v>0</v>
      </c>
      <c r="AS325" t="s">
        <v>6</v>
      </c>
      <c r="AT325">
        <v>100</v>
      </c>
      <c r="AU325" t="s">
        <v>6</v>
      </c>
      <c r="AV325">
        <v>0</v>
      </c>
      <c r="AW325">
        <v>2</v>
      </c>
      <c r="AX325">
        <v>16750659</v>
      </c>
      <c r="AY325">
        <v>1</v>
      </c>
      <c r="AZ325">
        <v>0</v>
      </c>
      <c r="BA325">
        <v>308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  <c r="CX325">
        <f>Y325*Source!I179</f>
        <v>11.4</v>
      </c>
      <c r="CY325">
        <f>AA325</f>
        <v>134.28</v>
      </c>
      <c r="CZ325">
        <f>AE325</f>
        <v>20.47</v>
      </c>
      <c r="DA325">
        <f>AI325</f>
        <v>6.56</v>
      </c>
      <c r="DB325">
        <f t="shared" ref="DB325:DB338" si="52">ROUND(ROUND(AT325*CZ325,2),2)</f>
        <v>2047</v>
      </c>
      <c r="DC325">
        <f t="shared" ref="DC325:DC338" si="53">ROUND(ROUND(AT325*AG325,2),2)</f>
        <v>0</v>
      </c>
    </row>
    <row r="326" spans="1:107" x14ac:dyDescent="0.2">
      <c r="A326">
        <f>ROW(Source!A179)</f>
        <v>179</v>
      </c>
      <c r="B326">
        <v>16748969</v>
      </c>
      <c r="C326">
        <v>16750643</v>
      </c>
      <c r="D326">
        <v>15192828</v>
      </c>
      <c r="E326">
        <v>1</v>
      </c>
      <c r="F326">
        <v>1</v>
      </c>
      <c r="G326">
        <v>1</v>
      </c>
      <c r="H326">
        <v>3</v>
      </c>
      <c r="I326" t="s">
        <v>1367</v>
      </c>
      <c r="J326" t="s">
        <v>1368</v>
      </c>
      <c r="K326" t="s">
        <v>1369</v>
      </c>
      <c r="L326">
        <v>1355</v>
      </c>
      <c r="N326">
        <v>1010</v>
      </c>
      <c r="O326" t="s">
        <v>724</v>
      </c>
      <c r="P326" t="s">
        <v>724</v>
      </c>
      <c r="Q326">
        <v>100</v>
      </c>
      <c r="W326">
        <v>0</v>
      </c>
      <c r="X326">
        <v>-845701651</v>
      </c>
      <c r="Y326">
        <v>0.7</v>
      </c>
      <c r="AA326">
        <v>2400.96</v>
      </c>
      <c r="AB326">
        <v>0</v>
      </c>
      <c r="AC326">
        <v>0</v>
      </c>
      <c r="AD326">
        <v>0</v>
      </c>
      <c r="AE326">
        <v>366</v>
      </c>
      <c r="AF326">
        <v>0</v>
      </c>
      <c r="AG326">
        <v>0</v>
      </c>
      <c r="AH326">
        <v>0</v>
      </c>
      <c r="AI326">
        <v>6.56</v>
      </c>
      <c r="AJ326">
        <v>1</v>
      </c>
      <c r="AK326">
        <v>1</v>
      </c>
      <c r="AL326">
        <v>1</v>
      </c>
      <c r="AN326">
        <v>0</v>
      </c>
      <c r="AO326">
        <v>1</v>
      </c>
      <c r="AP326">
        <v>0</v>
      </c>
      <c r="AQ326">
        <v>0</v>
      </c>
      <c r="AR326">
        <v>0</v>
      </c>
      <c r="AS326" t="s">
        <v>6</v>
      </c>
      <c r="AT326">
        <v>0.7</v>
      </c>
      <c r="AU326" t="s">
        <v>6</v>
      </c>
      <c r="AV326">
        <v>0</v>
      </c>
      <c r="AW326">
        <v>2</v>
      </c>
      <c r="AX326">
        <v>16750660</v>
      </c>
      <c r="AY326">
        <v>1</v>
      </c>
      <c r="AZ326">
        <v>0</v>
      </c>
      <c r="BA326">
        <v>309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0</v>
      </c>
      <c r="BW326">
        <v>0</v>
      </c>
      <c r="CX326">
        <f>Y326*Source!I179</f>
        <v>7.9799999999999996E-2</v>
      </c>
      <c r="CY326">
        <f>AA326</f>
        <v>2400.96</v>
      </c>
      <c r="CZ326">
        <f>AE326</f>
        <v>366</v>
      </c>
      <c r="DA326">
        <f>AI326</f>
        <v>6.56</v>
      </c>
      <c r="DB326">
        <f t="shared" si="52"/>
        <v>256.2</v>
      </c>
      <c r="DC326">
        <f t="shared" si="53"/>
        <v>0</v>
      </c>
    </row>
    <row r="327" spans="1:107" x14ac:dyDescent="0.2">
      <c r="A327">
        <f>ROW(Source!A179)</f>
        <v>179</v>
      </c>
      <c r="B327">
        <v>16748969</v>
      </c>
      <c r="C327">
        <v>16750643</v>
      </c>
      <c r="D327">
        <v>15192835</v>
      </c>
      <c r="E327">
        <v>1</v>
      </c>
      <c r="F327">
        <v>1</v>
      </c>
      <c r="G327">
        <v>1</v>
      </c>
      <c r="H327">
        <v>3</v>
      </c>
      <c r="I327" t="s">
        <v>538</v>
      </c>
      <c r="J327" t="s">
        <v>540</v>
      </c>
      <c r="K327" t="s">
        <v>539</v>
      </c>
      <c r="L327">
        <v>1301</v>
      </c>
      <c r="N327">
        <v>1003</v>
      </c>
      <c r="O327" t="s">
        <v>206</v>
      </c>
      <c r="P327" t="s">
        <v>206</v>
      </c>
      <c r="Q327">
        <v>1</v>
      </c>
      <c r="W327">
        <v>0</v>
      </c>
      <c r="X327">
        <v>956506138</v>
      </c>
      <c r="Y327">
        <v>57.077626000000002</v>
      </c>
      <c r="AA327">
        <v>41.2</v>
      </c>
      <c r="AB327">
        <v>0</v>
      </c>
      <c r="AC327">
        <v>0</v>
      </c>
      <c r="AD327">
        <v>0</v>
      </c>
      <c r="AE327">
        <v>6.28</v>
      </c>
      <c r="AF327">
        <v>0</v>
      </c>
      <c r="AG327">
        <v>0</v>
      </c>
      <c r="AH327">
        <v>0</v>
      </c>
      <c r="AI327">
        <v>6.56</v>
      </c>
      <c r="AJ327">
        <v>1</v>
      </c>
      <c r="AK327">
        <v>1</v>
      </c>
      <c r="AL327">
        <v>1</v>
      </c>
      <c r="AN327">
        <v>1</v>
      </c>
      <c r="AO327">
        <v>0</v>
      </c>
      <c r="AP327">
        <v>0</v>
      </c>
      <c r="AQ327">
        <v>0</v>
      </c>
      <c r="AR327">
        <v>0</v>
      </c>
      <c r="AS327" t="s">
        <v>6</v>
      </c>
      <c r="AT327">
        <v>57.077626000000002</v>
      </c>
      <c r="AU327" t="s">
        <v>6</v>
      </c>
      <c r="AV327">
        <v>0</v>
      </c>
      <c r="AW327">
        <v>2</v>
      </c>
      <c r="AX327">
        <v>16750661</v>
      </c>
      <c r="AY327">
        <v>1</v>
      </c>
      <c r="AZ327">
        <v>6144</v>
      </c>
      <c r="BA327">
        <v>310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0</v>
      </c>
      <c r="BW327">
        <v>0</v>
      </c>
      <c r="CX327">
        <f>Y327*Source!I179</f>
        <v>6.5068493640000007</v>
      </c>
      <c r="CY327">
        <f>AA327</f>
        <v>41.2</v>
      </c>
      <c r="CZ327">
        <f>AE327</f>
        <v>6.28</v>
      </c>
      <c r="DA327">
        <f>AI327</f>
        <v>6.56</v>
      </c>
      <c r="DB327">
        <f t="shared" si="52"/>
        <v>358.45</v>
      </c>
      <c r="DC327">
        <f t="shared" si="53"/>
        <v>0</v>
      </c>
    </row>
    <row r="328" spans="1:107" x14ac:dyDescent="0.2">
      <c r="A328">
        <f>ROW(Source!A179)</f>
        <v>179</v>
      </c>
      <c r="B328">
        <v>16748969</v>
      </c>
      <c r="C328">
        <v>16750643</v>
      </c>
      <c r="D328">
        <v>15192865</v>
      </c>
      <c r="E328">
        <v>1</v>
      </c>
      <c r="F328">
        <v>1</v>
      </c>
      <c r="G328">
        <v>1</v>
      </c>
      <c r="H328">
        <v>3</v>
      </c>
      <c r="I328" t="s">
        <v>546</v>
      </c>
      <c r="J328" t="s">
        <v>548</v>
      </c>
      <c r="K328" t="s">
        <v>547</v>
      </c>
      <c r="L328">
        <v>1328</v>
      </c>
      <c r="N328">
        <v>1005</v>
      </c>
      <c r="O328" t="s">
        <v>20</v>
      </c>
      <c r="P328" t="s">
        <v>20</v>
      </c>
      <c r="Q328">
        <v>100</v>
      </c>
      <c r="W328">
        <v>0</v>
      </c>
      <c r="X328">
        <v>1530368068</v>
      </c>
      <c r="Y328">
        <v>1</v>
      </c>
      <c r="AA328">
        <v>111146.08</v>
      </c>
      <c r="AB328">
        <v>0</v>
      </c>
      <c r="AC328">
        <v>0</v>
      </c>
      <c r="AD328">
        <v>0</v>
      </c>
      <c r="AE328">
        <v>16943</v>
      </c>
      <c r="AF328">
        <v>0</v>
      </c>
      <c r="AG328">
        <v>0</v>
      </c>
      <c r="AH328">
        <v>0</v>
      </c>
      <c r="AI328">
        <v>6.56</v>
      </c>
      <c r="AJ328">
        <v>1</v>
      </c>
      <c r="AK328">
        <v>1</v>
      </c>
      <c r="AL328">
        <v>1</v>
      </c>
      <c r="AN328">
        <v>0</v>
      </c>
      <c r="AO328">
        <v>0</v>
      </c>
      <c r="AP328">
        <v>0</v>
      </c>
      <c r="AQ328">
        <v>0</v>
      </c>
      <c r="AR328">
        <v>0</v>
      </c>
      <c r="AS328" t="s">
        <v>6</v>
      </c>
      <c r="AT328">
        <v>1</v>
      </c>
      <c r="AU328" t="s">
        <v>6</v>
      </c>
      <c r="AV328">
        <v>0</v>
      </c>
      <c r="AW328">
        <v>1</v>
      </c>
      <c r="AX328">
        <v>-1</v>
      </c>
      <c r="AY328">
        <v>0</v>
      </c>
      <c r="AZ328">
        <v>0</v>
      </c>
      <c r="BA328" t="s">
        <v>6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0</v>
      </c>
      <c r="CX328">
        <f>Y328*Source!I179</f>
        <v>0.114</v>
      </c>
      <c r="CY328">
        <f>AA328</f>
        <v>111146.08</v>
      </c>
      <c r="CZ328">
        <f>AE328</f>
        <v>16943</v>
      </c>
      <c r="DA328">
        <f>AI328</f>
        <v>6.56</v>
      </c>
      <c r="DB328">
        <f t="shared" si="52"/>
        <v>16943</v>
      </c>
      <c r="DC328">
        <f t="shared" si="53"/>
        <v>0</v>
      </c>
    </row>
    <row r="329" spans="1:107" x14ac:dyDescent="0.2">
      <c r="A329">
        <f>ROW(Source!A179)</f>
        <v>179</v>
      </c>
      <c r="B329">
        <v>16748969</v>
      </c>
      <c r="C329">
        <v>16750643</v>
      </c>
      <c r="D329">
        <v>15192866</v>
      </c>
      <c r="E329">
        <v>1</v>
      </c>
      <c r="F329">
        <v>1</v>
      </c>
      <c r="G329">
        <v>1</v>
      </c>
      <c r="H329">
        <v>3</v>
      </c>
      <c r="I329" t="s">
        <v>542</v>
      </c>
      <c r="J329" t="s">
        <v>544</v>
      </c>
      <c r="K329" t="s">
        <v>543</v>
      </c>
      <c r="L329">
        <v>1301</v>
      </c>
      <c r="N329">
        <v>1003</v>
      </c>
      <c r="O329" t="s">
        <v>206</v>
      </c>
      <c r="P329" t="s">
        <v>206</v>
      </c>
      <c r="Q329">
        <v>1</v>
      </c>
      <c r="W329">
        <v>1</v>
      </c>
      <c r="X329">
        <v>1265826934</v>
      </c>
      <c r="Y329">
        <v>-1050</v>
      </c>
      <c r="AA329">
        <v>162.1</v>
      </c>
      <c r="AB329">
        <v>0</v>
      </c>
      <c r="AC329">
        <v>0</v>
      </c>
      <c r="AD329">
        <v>0</v>
      </c>
      <c r="AE329">
        <v>24.71</v>
      </c>
      <c r="AF329">
        <v>0</v>
      </c>
      <c r="AG329">
        <v>0</v>
      </c>
      <c r="AH329">
        <v>0</v>
      </c>
      <c r="AI329">
        <v>6.56</v>
      </c>
      <c r="AJ329">
        <v>1</v>
      </c>
      <c r="AK329">
        <v>1</v>
      </c>
      <c r="AL329">
        <v>1</v>
      </c>
      <c r="AN329">
        <v>0</v>
      </c>
      <c r="AO329">
        <v>1</v>
      </c>
      <c r="AP329">
        <v>0</v>
      </c>
      <c r="AQ329">
        <v>0</v>
      </c>
      <c r="AR329">
        <v>0</v>
      </c>
      <c r="AS329" t="s">
        <v>6</v>
      </c>
      <c r="AT329">
        <v>-1050</v>
      </c>
      <c r="AU329" t="s">
        <v>6</v>
      </c>
      <c r="AV329">
        <v>0</v>
      </c>
      <c r="AW329">
        <v>2</v>
      </c>
      <c r="AX329">
        <v>16750662</v>
      </c>
      <c r="AY329">
        <v>1</v>
      </c>
      <c r="AZ329">
        <v>6144</v>
      </c>
      <c r="BA329">
        <v>311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0</v>
      </c>
      <c r="CX329">
        <f>Y329*Source!I179</f>
        <v>-119.7</v>
      </c>
      <c r="CY329">
        <f>AA329</f>
        <v>162.1</v>
      </c>
      <c r="CZ329">
        <f>AE329</f>
        <v>24.71</v>
      </c>
      <c r="DA329">
        <f>AI329</f>
        <v>6.56</v>
      </c>
      <c r="DB329">
        <f t="shared" si="52"/>
        <v>-25945.5</v>
      </c>
      <c r="DC329">
        <f t="shared" si="53"/>
        <v>0</v>
      </c>
    </row>
    <row r="330" spans="1:107" x14ac:dyDescent="0.2">
      <c r="A330">
        <f>ROW(Source!A183)</f>
        <v>183</v>
      </c>
      <c r="B330">
        <v>16748969</v>
      </c>
      <c r="C330">
        <v>16750801</v>
      </c>
      <c r="D330">
        <v>15433629</v>
      </c>
      <c r="E330">
        <v>1</v>
      </c>
      <c r="F330">
        <v>1</v>
      </c>
      <c r="G330">
        <v>1</v>
      </c>
      <c r="H330">
        <v>1</v>
      </c>
      <c r="I330" t="s">
        <v>1370</v>
      </c>
      <c r="J330" t="s">
        <v>6</v>
      </c>
      <c r="K330" t="s">
        <v>1371</v>
      </c>
      <c r="L330">
        <v>1191</v>
      </c>
      <c r="N330">
        <v>1013</v>
      </c>
      <c r="O330" t="s">
        <v>1072</v>
      </c>
      <c r="P330" t="s">
        <v>1072</v>
      </c>
      <c r="Q330">
        <v>1</v>
      </c>
      <c r="W330">
        <v>0</v>
      </c>
      <c r="X330">
        <v>-576067263</v>
      </c>
      <c r="Y330">
        <v>1.03</v>
      </c>
      <c r="AA330">
        <v>0</v>
      </c>
      <c r="AB330">
        <v>0</v>
      </c>
      <c r="AC330">
        <v>0</v>
      </c>
      <c r="AD330">
        <v>47.17</v>
      </c>
      <c r="AE330">
        <v>0</v>
      </c>
      <c r="AF330">
        <v>0</v>
      </c>
      <c r="AG330">
        <v>0</v>
      </c>
      <c r="AH330">
        <v>7.19</v>
      </c>
      <c r="AI330">
        <v>1</v>
      </c>
      <c r="AJ330">
        <v>1</v>
      </c>
      <c r="AK330">
        <v>1</v>
      </c>
      <c r="AL330">
        <v>6.56</v>
      </c>
      <c r="AN330">
        <v>0</v>
      </c>
      <c r="AO330">
        <v>1</v>
      </c>
      <c r="AP330">
        <v>0</v>
      </c>
      <c r="AQ330">
        <v>0</v>
      </c>
      <c r="AR330">
        <v>0</v>
      </c>
      <c r="AS330" t="s">
        <v>6</v>
      </c>
      <c r="AT330">
        <v>1.03</v>
      </c>
      <c r="AU330" t="s">
        <v>6</v>
      </c>
      <c r="AV330">
        <v>1</v>
      </c>
      <c r="AW330">
        <v>2</v>
      </c>
      <c r="AX330">
        <v>16750804</v>
      </c>
      <c r="AY330">
        <v>1</v>
      </c>
      <c r="AZ330">
        <v>0</v>
      </c>
      <c r="BA330">
        <v>312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0</v>
      </c>
      <c r="BW330">
        <v>0</v>
      </c>
      <c r="CX330">
        <f>Y330*Source!I183</f>
        <v>18.54</v>
      </c>
      <c r="CY330">
        <f>AD330</f>
        <v>47.17</v>
      </c>
      <c r="CZ330">
        <f>AH330</f>
        <v>7.19</v>
      </c>
      <c r="DA330">
        <f>AL330</f>
        <v>6.56</v>
      </c>
      <c r="DB330">
        <f t="shared" si="52"/>
        <v>7.41</v>
      </c>
      <c r="DC330">
        <f t="shared" si="53"/>
        <v>0</v>
      </c>
    </row>
    <row r="331" spans="1:107" x14ac:dyDescent="0.2">
      <c r="A331">
        <f>ROW(Source!A183)</f>
        <v>183</v>
      </c>
      <c r="B331">
        <v>16748969</v>
      </c>
      <c r="C331">
        <v>16750801</v>
      </c>
      <c r="D331">
        <v>15170984</v>
      </c>
      <c r="E331">
        <v>1</v>
      </c>
      <c r="F331">
        <v>1</v>
      </c>
      <c r="G331">
        <v>1</v>
      </c>
      <c r="H331">
        <v>3</v>
      </c>
      <c r="I331" t="s">
        <v>1372</v>
      </c>
      <c r="J331" t="s">
        <v>1373</v>
      </c>
      <c r="K331" t="s">
        <v>1374</v>
      </c>
      <c r="L331">
        <v>1355</v>
      </c>
      <c r="N331">
        <v>1010</v>
      </c>
      <c r="O331" t="s">
        <v>724</v>
      </c>
      <c r="P331" t="s">
        <v>724</v>
      </c>
      <c r="Q331">
        <v>100</v>
      </c>
      <c r="W331">
        <v>0</v>
      </c>
      <c r="X331">
        <v>1092967459</v>
      </c>
      <c r="Y331">
        <v>0.2</v>
      </c>
      <c r="AA331">
        <v>537.91999999999996</v>
      </c>
      <c r="AB331">
        <v>0</v>
      </c>
      <c r="AC331">
        <v>0</v>
      </c>
      <c r="AD331">
        <v>0</v>
      </c>
      <c r="AE331">
        <v>82</v>
      </c>
      <c r="AF331">
        <v>0</v>
      </c>
      <c r="AG331">
        <v>0</v>
      </c>
      <c r="AH331">
        <v>0</v>
      </c>
      <c r="AI331">
        <v>6.56</v>
      </c>
      <c r="AJ331">
        <v>1</v>
      </c>
      <c r="AK331">
        <v>1</v>
      </c>
      <c r="AL331">
        <v>1</v>
      </c>
      <c r="AN331">
        <v>0</v>
      </c>
      <c r="AO331">
        <v>1</v>
      </c>
      <c r="AP331">
        <v>0</v>
      </c>
      <c r="AQ331">
        <v>0</v>
      </c>
      <c r="AR331">
        <v>0</v>
      </c>
      <c r="AS331" t="s">
        <v>6</v>
      </c>
      <c r="AT331">
        <v>0.2</v>
      </c>
      <c r="AU331" t="s">
        <v>6</v>
      </c>
      <c r="AV331">
        <v>0</v>
      </c>
      <c r="AW331">
        <v>2</v>
      </c>
      <c r="AX331">
        <v>16750805</v>
      </c>
      <c r="AY331">
        <v>1</v>
      </c>
      <c r="AZ331">
        <v>0</v>
      </c>
      <c r="BA331">
        <v>313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CX331">
        <f>Y331*Source!I183</f>
        <v>3.6</v>
      </c>
      <c r="CY331">
        <f>AA331</f>
        <v>537.91999999999996</v>
      </c>
      <c r="CZ331">
        <f>AE331</f>
        <v>82</v>
      </c>
      <c r="DA331">
        <f>AI331</f>
        <v>6.56</v>
      </c>
      <c r="DB331">
        <f t="shared" si="52"/>
        <v>16.399999999999999</v>
      </c>
      <c r="DC331">
        <f t="shared" si="53"/>
        <v>0</v>
      </c>
    </row>
    <row r="332" spans="1:107" x14ac:dyDescent="0.2">
      <c r="A332">
        <f>ROW(Source!A253)</f>
        <v>253</v>
      </c>
      <c r="B332">
        <v>16748969</v>
      </c>
      <c r="C332">
        <v>16750808</v>
      </c>
      <c r="D332">
        <v>15432010</v>
      </c>
      <c r="E332">
        <v>1</v>
      </c>
      <c r="F332">
        <v>1</v>
      </c>
      <c r="G332">
        <v>1</v>
      </c>
      <c r="H332">
        <v>1</v>
      </c>
      <c r="I332" t="s">
        <v>1375</v>
      </c>
      <c r="J332" t="s">
        <v>6</v>
      </c>
      <c r="K332" t="s">
        <v>1376</v>
      </c>
      <c r="L332">
        <v>1191</v>
      </c>
      <c r="N332">
        <v>1013</v>
      </c>
      <c r="O332" t="s">
        <v>1072</v>
      </c>
      <c r="P332" t="s">
        <v>1072</v>
      </c>
      <c r="Q332">
        <v>1</v>
      </c>
      <c r="W332">
        <v>0</v>
      </c>
      <c r="X332">
        <v>-228054128</v>
      </c>
      <c r="Y332">
        <v>17.89</v>
      </c>
      <c r="AA332">
        <v>0</v>
      </c>
      <c r="AB332">
        <v>0</v>
      </c>
      <c r="AC332">
        <v>0</v>
      </c>
      <c r="AD332">
        <v>52.61</v>
      </c>
      <c r="AE332">
        <v>0</v>
      </c>
      <c r="AF332">
        <v>0</v>
      </c>
      <c r="AG332">
        <v>0</v>
      </c>
      <c r="AH332">
        <v>8.02</v>
      </c>
      <c r="AI332">
        <v>1</v>
      </c>
      <c r="AJ332">
        <v>1</v>
      </c>
      <c r="AK332">
        <v>1</v>
      </c>
      <c r="AL332">
        <v>6.56</v>
      </c>
      <c r="AN332">
        <v>0</v>
      </c>
      <c r="AO332">
        <v>1</v>
      </c>
      <c r="AP332">
        <v>0</v>
      </c>
      <c r="AQ332">
        <v>0</v>
      </c>
      <c r="AR332">
        <v>0</v>
      </c>
      <c r="AS332" t="s">
        <v>6</v>
      </c>
      <c r="AT332">
        <v>17.89</v>
      </c>
      <c r="AU332" t="s">
        <v>6</v>
      </c>
      <c r="AV332">
        <v>1</v>
      </c>
      <c r="AW332">
        <v>2</v>
      </c>
      <c r="AX332">
        <v>16750812</v>
      </c>
      <c r="AY332">
        <v>1</v>
      </c>
      <c r="AZ332">
        <v>0</v>
      </c>
      <c r="BA332">
        <v>314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0</v>
      </c>
      <c r="BW332">
        <v>0</v>
      </c>
      <c r="CX332">
        <f>Y332*Source!I253</f>
        <v>5.0092000000000008</v>
      </c>
      <c r="CY332">
        <f>AD332</f>
        <v>52.61</v>
      </c>
      <c r="CZ332">
        <f>AH332</f>
        <v>8.02</v>
      </c>
      <c r="DA332">
        <f>AL332</f>
        <v>6.56</v>
      </c>
      <c r="DB332">
        <f t="shared" si="52"/>
        <v>143.47999999999999</v>
      </c>
      <c r="DC332">
        <f t="shared" si="53"/>
        <v>0</v>
      </c>
    </row>
    <row r="333" spans="1:107" x14ac:dyDescent="0.2">
      <c r="A333">
        <f>ROW(Source!A253)</f>
        <v>253</v>
      </c>
      <c r="B333">
        <v>16748969</v>
      </c>
      <c r="C333">
        <v>16750808</v>
      </c>
      <c r="D333">
        <v>15430395</v>
      </c>
      <c r="E333">
        <v>1</v>
      </c>
      <c r="F333">
        <v>1</v>
      </c>
      <c r="G333">
        <v>1</v>
      </c>
      <c r="H333">
        <v>1</v>
      </c>
      <c r="I333" t="s">
        <v>1073</v>
      </c>
      <c r="J333" t="s">
        <v>6</v>
      </c>
      <c r="K333" t="s">
        <v>1074</v>
      </c>
      <c r="L333">
        <v>1191</v>
      </c>
      <c r="N333">
        <v>1013</v>
      </c>
      <c r="O333" t="s">
        <v>1072</v>
      </c>
      <c r="P333" t="s">
        <v>1072</v>
      </c>
      <c r="Q333">
        <v>1</v>
      </c>
      <c r="W333">
        <v>0</v>
      </c>
      <c r="X333">
        <v>-1417349443</v>
      </c>
      <c r="Y333">
        <v>0.08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v>0</v>
      </c>
      <c r="AH333">
        <v>0</v>
      </c>
      <c r="AI333">
        <v>1</v>
      </c>
      <c r="AJ333">
        <v>1</v>
      </c>
      <c r="AK333">
        <v>6.56</v>
      </c>
      <c r="AL333">
        <v>1</v>
      </c>
      <c r="AN333">
        <v>0</v>
      </c>
      <c r="AO333">
        <v>1</v>
      </c>
      <c r="AP333">
        <v>0</v>
      </c>
      <c r="AQ333">
        <v>0</v>
      </c>
      <c r="AR333">
        <v>0</v>
      </c>
      <c r="AS333" t="s">
        <v>6</v>
      </c>
      <c r="AT333">
        <v>0.08</v>
      </c>
      <c r="AU333" t="s">
        <v>6</v>
      </c>
      <c r="AV333">
        <v>2</v>
      </c>
      <c r="AW333">
        <v>2</v>
      </c>
      <c r="AX333">
        <v>16750813</v>
      </c>
      <c r="AY333">
        <v>1</v>
      </c>
      <c r="AZ333">
        <v>0</v>
      </c>
      <c r="BA333">
        <v>315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CX333">
        <f>Y333*Source!I253</f>
        <v>2.2400000000000003E-2</v>
      </c>
      <c r="CY333">
        <f>AD333</f>
        <v>0</v>
      </c>
      <c r="CZ333">
        <f>AH333</f>
        <v>0</v>
      </c>
      <c r="DA333">
        <f>AL333</f>
        <v>1</v>
      </c>
      <c r="DB333">
        <f t="shared" si="52"/>
        <v>0</v>
      </c>
      <c r="DC333">
        <f t="shared" si="53"/>
        <v>0</v>
      </c>
    </row>
    <row r="334" spans="1:107" x14ac:dyDescent="0.2">
      <c r="A334">
        <f>ROW(Source!A253)</f>
        <v>253</v>
      </c>
      <c r="B334">
        <v>16748969</v>
      </c>
      <c r="C334">
        <v>16750808</v>
      </c>
      <c r="D334">
        <v>15247974</v>
      </c>
      <c r="E334">
        <v>1</v>
      </c>
      <c r="F334">
        <v>1</v>
      </c>
      <c r="G334">
        <v>1</v>
      </c>
      <c r="H334">
        <v>2</v>
      </c>
      <c r="I334" t="s">
        <v>1075</v>
      </c>
      <c r="J334" t="s">
        <v>1076</v>
      </c>
      <c r="K334" t="s">
        <v>1077</v>
      </c>
      <c r="L334">
        <v>1368</v>
      </c>
      <c r="N334">
        <v>1011</v>
      </c>
      <c r="O334" t="s">
        <v>1078</v>
      </c>
      <c r="P334" t="s">
        <v>1078</v>
      </c>
      <c r="Q334">
        <v>1</v>
      </c>
      <c r="W334">
        <v>0</v>
      </c>
      <c r="X334">
        <v>1188625873</v>
      </c>
      <c r="Y334">
        <v>0.08</v>
      </c>
      <c r="AA334">
        <v>0</v>
      </c>
      <c r="AB334">
        <v>205.07</v>
      </c>
      <c r="AC334">
        <v>13.5</v>
      </c>
      <c r="AD334">
        <v>0</v>
      </c>
      <c r="AE334">
        <v>0</v>
      </c>
      <c r="AF334">
        <v>31.26</v>
      </c>
      <c r="AG334">
        <v>13.5</v>
      </c>
      <c r="AH334">
        <v>0</v>
      </c>
      <c r="AI334">
        <v>1</v>
      </c>
      <c r="AJ334">
        <v>6.56</v>
      </c>
      <c r="AK334">
        <v>1</v>
      </c>
      <c r="AL334">
        <v>1</v>
      </c>
      <c r="AN334">
        <v>0</v>
      </c>
      <c r="AO334">
        <v>1</v>
      </c>
      <c r="AP334">
        <v>0</v>
      </c>
      <c r="AQ334">
        <v>0</v>
      </c>
      <c r="AR334">
        <v>0</v>
      </c>
      <c r="AS334" t="s">
        <v>6</v>
      </c>
      <c r="AT334">
        <v>0.08</v>
      </c>
      <c r="AU334" t="s">
        <v>6</v>
      </c>
      <c r="AV334">
        <v>0</v>
      </c>
      <c r="AW334">
        <v>2</v>
      </c>
      <c r="AX334">
        <v>16750814</v>
      </c>
      <c r="AY334">
        <v>1</v>
      </c>
      <c r="AZ334">
        <v>0</v>
      </c>
      <c r="BA334">
        <v>316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0</v>
      </c>
      <c r="BS334">
        <v>0</v>
      </c>
      <c r="BT334">
        <v>0</v>
      </c>
      <c r="BU334">
        <v>0</v>
      </c>
      <c r="BV334">
        <v>0</v>
      </c>
      <c r="BW334">
        <v>0</v>
      </c>
      <c r="CX334">
        <f>Y334*Source!I253</f>
        <v>2.2400000000000003E-2</v>
      </c>
      <c r="CY334">
        <f>AB334</f>
        <v>205.07</v>
      </c>
      <c r="CZ334">
        <f>AF334</f>
        <v>31.26</v>
      </c>
      <c r="DA334">
        <f>AJ334</f>
        <v>6.56</v>
      </c>
      <c r="DB334">
        <f t="shared" si="52"/>
        <v>2.5</v>
      </c>
      <c r="DC334">
        <f t="shared" si="53"/>
        <v>1.08</v>
      </c>
    </row>
    <row r="335" spans="1:107" x14ac:dyDescent="0.2">
      <c r="A335">
        <f>ROW(Source!A254)</f>
        <v>254</v>
      </c>
      <c r="B335">
        <v>16748969</v>
      </c>
      <c r="C335">
        <v>16750815</v>
      </c>
      <c r="D335">
        <v>15430517</v>
      </c>
      <c r="E335">
        <v>1</v>
      </c>
      <c r="F335">
        <v>1</v>
      </c>
      <c r="G335">
        <v>1</v>
      </c>
      <c r="H335">
        <v>1</v>
      </c>
      <c r="I335" t="s">
        <v>1085</v>
      </c>
      <c r="J335" t="s">
        <v>6</v>
      </c>
      <c r="K335" t="s">
        <v>1086</v>
      </c>
      <c r="L335">
        <v>1191</v>
      </c>
      <c r="N335">
        <v>1013</v>
      </c>
      <c r="O335" t="s">
        <v>1072</v>
      </c>
      <c r="P335" t="s">
        <v>1072</v>
      </c>
      <c r="Q335">
        <v>1</v>
      </c>
      <c r="W335">
        <v>0</v>
      </c>
      <c r="X335">
        <v>735429535</v>
      </c>
      <c r="Y335">
        <v>9.64</v>
      </c>
      <c r="AA335">
        <v>0</v>
      </c>
      <c r="AB335">
        <v>0</v>
      </c>
      <c r="AC335">
        <v>0</v>
      </c>
      <c r="AD335">
        <v>51.17</v>
      </c>
      <c r="AE335">
        <v>0</v>
      </c>
      <c r="AF335">
        <v>0</v>
      </c>
      <c r="AG335">
        <v>0</v>
      </c>
      <c r="AH335">
        <v>7.8</v>
      </c>
      <c r="AI335">
        <v>1</v>
      </c>
      <c r="AJ335">
        <v>1</v>
      </c>
      <c r="AK335">
        <v>1</v>
      </c>
      <c r="AL335">
        <v>6.56</v>
      </c>
      <c r="AN335">
        <v>0</v>
      </c>
      <c r="AO335">
        <v>1</v>
      </c>
      <c r="AP335">
        <v>0</v>
      </c>
      <c r="AQ335">
        <v>0</v>
      </c>
      <c r="AR335">
        <v>0</v>
      </c>
      <c r="AS335" t="s">
        <v>6</v>
      </c>
      <c r="AT335">
        <v>9.64</v>
      </c>
      <c r="AU335" t="s">
        <v>6</v>
      </c>
      <c r="AV335">
        <v>1</v>
      </c>
      <c r="AW335">
        <v>2</v>
      </c>
      <c r="AX335">
        <v>16750819</v>
      </c>
      <c r="AY335">
        <v>1</v>
      </c>
      <c r="AZ335">
        <v>0</v>
      </c>
      <c r="BA335">
        <v>317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CX335">
        <f>Y335*Source!I254</f>
        <v>28.7272</v>
      </c>
      <c r="CY335">
        <f>AD335</f>
        <v>51.17</v>
      </c>
      <c r="CZ335">
        <f>AH335</f>
        <v>7.8</v>
      </c>
      <c r="DA335">
        <f>AL335</f>
        <v>6.56</v>
      </c>
      <c r="DB335">
        <f t="shared" si="52"/>
        <v>75.19</v>
      </c>
      <c r="DC335">
        <f t="shared" si="53"/>
        <v>0</v>
      </c>
    </row>
    <row r="336" spans="1:107" x14ac:dyDescent="0.2">
      <c r="A336">
        <f>ROW(Source!A254)</f>
        <v>254</v>
      </c>
      <c r="B336">
        <v>16748969</v>
      </c>
      <c r="C336">
        <v>16750815</v>
      </c>
      <c r="D336">
        <v>15430395</v>
      </c>
      <c r="E336">
        <v>1</v>
      </c>
      <c r="F336">
        <v>1</v>
      </c>
      <c r="G336">
        <v>1</v>
      </c>
      <c r="H336">
        <v>1</v>
      </c>
      <c r="I336" t="s">
        <v>1073</v>
      </c>
      <c r="J336" t="s">
        <v>6</v>
      </c>
      <c r="K336" t="s">
        <v>1074</v>
      </c>
      <c r="L336">
        <v>1191</v>
      </c>
      <c r="N336">
        <v>1013</v>
      </c>
      <c r="O336" t="s">
        <v>1072</v>
      </c>
      <c r="P336" t="s">
        <v>1072</v>
      </c>
      <c r="Q336">
        <v>1</v>
      </c>
      <c r="W336">
        <v>0</v>
      </c>
      <c r="X336">
        <v>-1417349443</v>
      </c>
      <c r="Y336">
        <v>0.01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0</v>
      </c>
      <c r="AG336">
        <v>0</v>
      </c>
      <c r="AH336">
        <v>0</v>
      </c>
      <c r="AI336">
        <v>1</v>
      </c>
      <c r="AJ336">
        <v>1</v>
      </c>
      <c r="AK336">
        <v>6.56</v>
      </c>
      <c r="AL336">
        <v>1</v>
      </c>
      <c r="AN336">
        <v>0</v>
      </c>
      <c r="AO336">
        <v>1</v>
      </c>
      <c r="AP336">
        <v>0</v>
      </c>
      <c r="AQ336">
        <v>0</v>
      </c>
      <c r="AR336">
        <v>0</v>
      </c>
      <c r="AS336" t="s">
        <v>6</v>
      </c>
      <c r="AT336">
        <v>0.01</v>
      </c>
      <c r="AU336" t="s">
        <v>6</v>
      </c>
      <c r="AV336">
        <v>2</v>
      </c>
      <c r="AW336">
        <v>2</v>
      </c>
      <c r="AX336">
        <v>16750820</v>
      </c>
      <c r="AY336">
        <v>1</v>
      </c>
      <c r="AZ336">
        <v>0</v>
      </c>
      <c r="BA336">
        <v>318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0</v>
      </c>
      <c r="CX336">
        <f>Y336*Source!I254</f>
        <v>2.98E-2</v>
      </c>
      <c r="CY336">
        <f>AD336</f>
        <v>0</v>
      </c>
      <c r="CZ336">
        <f>AH336</f>
        <v>0</v>
      </c>
      <c r="DA336">
        <f>AL336</f>
        <v>1</v>
      </c>
      <c r="DB336">
        <f t="shared" si="52"/>
        <v>0</v>
      </c>
      <c r="DC336">
        <f t="shared" si="53"/>
        <v>0</v>
      </c>
    </row>
    <row r="337" spans="1:107" x14ac:dyDescent="0.2">
      <c r="A337">
        <f>ROW(Source!A254)</f>
        <v>254</v>
      </c>
      <c r="B337">
        <v>16748969</v>
      </c>
      <c r="C337">
        <v>16750815</v>
      </c>
      <c r="D337">
        <v>15247974</v>
      </c>
      <c r="E337">
        <v>1</v>
      </c>
      <c r="F337">
        <v>1</v>
      </c>
      <c r="G337">
        <v>1</v>
      </c>
      <c r="H337">
        <v>2</v>
      </c>
      <c r="I337" t="s">
        <v>1075</v>
      </c>
      <c r="J337" t="s">
        <v>1076</v>
      </c>
      <c r="K337" t="s">
        <v>1077</v>
      </c>
      <c r="L337">
        <v>1368</v>
      </c>
      <c r="N337">
        <v>1011</v>
      </c>
      <c r="O337" t="s">
        <v>1078</v>
      </c>
      <c r="P337" t="s">
        <v>1078</v>
      </c>
      <c r="Q337">
        <v>1</v>
      </c>
      <c r="W337">
        <v>0</v>
      </c>
      <c r="X337">
        <v>1188625873</v>
      </c>
      <c r="Y337">
        <v>0.01</v>
      </c>
      <c r="AA337">
        <v>0</v>
      </c>
      <c r="AB337">
        <v>205.07</v>
      </c>
      <c r="AC337">
        <v>13.5</v>
      </c>
      <c r="AD337">
        <v>0</v>
      </c>
      <c r="AE337">
        <v>0</v>
      </c>
      <c r="AF337">
        <v>31.26</v>
      </c>
      <c r="AG337">
        <v>13.5</v>
      </c>
      <c r="AH337">
        <v>0</v>
      </c>
      <c r="AI337">
        <v>1</v>
      </c>
      <c r="AJ337">
        <v>6.56</v>
      </c>
      <c r="AK337">
        <v>1</v>
      </c>
      <c r="AL337">
        <v>1</v>
      </c>
      <c r="AN337">
        <v>0</v>
      </c>
      <c r="AO337">
        <v>1</v>
      </c>
      <c r="AP337">
        <v>0</v>
      </c>
      <c r="AQ337">
        <v>0</v>
      </c>
      <c r="AR337">
        <v>0</v>
      </c>
      <c r="AS337" t="s">
        <v>6</v>
      </c>
      <c r="AT337">
        <v>0.01</v>
      </c>
      <c r="AU337" t="s">
        <v>6</v>
      </c>
      <c r="AV337">
        <v>0</v>
      </c>
      <c r="AW337">
        <v>2</v>
      </c>
      <c r="AX337">
        <v>16750821</v>
      </c>
      <c r="AY337">
        <v>1</v>
      </c>
      <c r="AZ337">
        <v>0</v>
      </c>
      <c r="BA337">
        <v>319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0</v>
      </c>
      <c r="CX337">
        <f>Y337*Source!I254</f>
        <v>2.98E-2</v>
      </c>
      <c r="CY337">
        <f>AB337</f>
        <v>205.07</v>
      </c>
      <c r="CZ337">
        <f>AF337</f>
        <v>31.26</v>
      </c>
      <c r="DA337">
        <f>AJ337</f>
        <v>6.56</v>
      </c>
      <c r="DB337">
        <f t="shared" si="52"/>
        <v>0.31</v>
      </c>
      <c r="DC337">
        <f t="shared" si="53"/>
        <v>0.14000000000000001</v>
      </c>
    </row>
    <row r="338" spans="1:107" x14ac:dyDescent="0.2">
      <c r="A338">
        <f>ROW(Source!A255)</f>
        <v>255</v>
      </c>
      <c r="B338">
        <v>16748969</v>
      </c>
      <c r="C338">
        <v>16750822</v>
      </c>
      <c r="D338">
        <v>15430517</v>
      </c>
      <c r="E338">
        <v>1</v>
      </c>
      <c r="F338">
        <v>1</v>
      </c>
      <c r="G338">
        <v>1</v>
      </c>
      <c r="H338">
        <v>1</v>
      </c>
      <c r="I338" t="s">
        <v>1085</v>
      </c>
      <c r="J338" t="s">
        <v>6</v>
      </c>
      <c r="K338" t="s">
        <v>1086</v>
      </c>
      <c r="L338">
        <v>1191</v>
      </c>
      <c r="N338">
        <v>1013</v>
      </c>
      <c r="O338" t="s">
        <v>1072</v>
      </c>
      <c r="P338" t="s">
        <v>1072</v>
      </c>
      <c r="Q338">
        <v>1</v>
      </c>
      <c r="W338">
        <v>0</v>
      </c>
      <c r="X338">
        <v>735429535</v>
      </c>
      <c r="Y338">
        <v>5.84</v>
      </c>
      <c r="AA338">
        <v>0</v>
      </c>
      <c r="AB338">
        <v>0</v>
      </c>
      <c r="AC338">
        <v>0</v>
      </c>
      <c r="AD338">
        <v>51.17</v>
      </c>
      <c r="AE338">
        <v>0</v>
      </c>
      <c r="AF338">
        <v>0</v>
      </c>
      <c r="AG338">
        <v>0</v>
      </c>
      <c r="AH338">
        <v>7.8</v>
      </c>
      <c r="AI338">
        <v>1</v>
      </c>
      <c r="AJ338">
        <v>1</v>
      </c>
      <c r="AK338">
        <v>1</v>
      </c>
      <c r="AL338">
        <v>6.56</v>
      </c>
      <c r="AN338">
        <v>0</v>
      </c>
      <c r="AO338">
        <v>1</v>
      </c>
      <c r="AP338">
        <v>0</v>
      </c>
      <c r="AQ338">
        <v>0</v>
      </c>
      <c r="AR338">
        <v>0</v>
      </c>
      <c r="AS338" t="s">
        <v>6</v>
      </c>
      <c r="AT338">
        <v>5.84</v>
      </c>
      <c r="AU338" t="s">
        <v>6</v>
      </c>
      <c r="AV338">
        <v>1</v>
      </c>
      <c r="AW338">
        <v>2</v>
      </c>
      <c r="AX338">
        <v>16750824</v>
      </c>
      <c r="AY338">
        <v>1</v>
      </c>
      <c r="AZ338">
        <v>0</v>
      </c>
      <c r="BA338">
        <v>320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  <c r="CX338">
        <f>Y338*Source!I255</f>
        <v>1.2263999999999999</v>
      </c>
      <c r="CY338">
        <f>AD338</f>
        <v>51.17</v>
      </c>
      <c r="CZ338">
        <f>AH338</f>
        <v>7.8</v>
      </c>
      <c r="DA338">
        <f>AL338</f>
        <v>6.56</v>
      </c>
      <c r="DB338">
        <f t="shared" si="52"/>
        <v>45.55</v>
      </c>
      <c r="DC338">
        <f t="shared" si="53"/>
        <v>0</v>
      </c>
    </row>
    <row r="339" spans="1:107" x14ac:dyDescent="0.2">
      <c r="A339">
        <f>ROW(Source!A256)</f>
        <v>256</v>
      </c>
      <c r="B339">
        <v>16748969</v>
      </c>
      <c r="C339">
        <v>16750825</v>
      </c>
      <c r="D339">
        <v>15435721</v>
      </c>
      <c r="E339">
        <v>1</v>
      </c>
      <c r="F339">
        <v>1</v>
      </c>
      <c r="G339">
        <v>1</v>
      </c>
      <c r="H339">
        <v>1</v>
      </c>
      <c r="I339" t="s">
        <v>1353</v>
      </c>
      <c r="J339" t="s">
        <v>6</v>
      </c>
      <c r="K339" t="s">
        <v>1354</v>
      </c>
      <c r="L339">
        <v>1191</v>
      </c>
      <c r="N339">
        <v>1013</v>
      </c>
      <c r="O339" t="s">
        <v>1072</v>
      </c>
      <c r="P339" t="s">
        <v>1072</v>
      </c>
      <c r="Q339">
        <v>1</v>
      </c>
      <c r="W339">
        <v>0</v>
      </c>
      <c r="X339">
        <v>1983201532</v>
      </c>
      <c r="Y339">
        <v>4.8869999999999996</v>
      </c>
      <c r="AA339">
        <v>0</v>
      </c>
      <c r="AB339">
        <v>0</v>
      </c>
      <c r="AC339">
        <v>0</v>
      </c>
      <c r="AD339">
        <v>62.39</v>
      </c>
      <c r="AE339">
        <v>0</v>
      </c>
      <c r="AF339">
        <v>0</v>
      </c>
      <c r="AG339">
        <v>0</v>
      </c>
      <c r="AH339">
        <v>9.51</v>
      </c>
      <c r="AI339">
        <v>1</v>
      </c>
      <c r="AJ339">
        <v>1</v>
      </c>
      <c r="AK339">
        <v>1</v>
      </c>
      <c r="AL339">
        <v>6.56</v>
      </c>
      <c r="AN339">
        <v>0</v>
      </c>
      <c r="AO339">
        <v>1</v>
      </c>
      <c r="AP339">
        <v>1</v>
      </c>
      <c r="AQ339">
        <v>0</v>
      </c>
      <c r="AR339">
        <v>0</v>
      </c>
      <c r="AS339" t="s">
        <v>6</v>
      </c>
      <c r="AT339">
        <v>16.29</v>
      </c>
      <c r="AU339" t="s">
        <v>590</v>
      </c>
      <c r="AV339">
        <v>1</v>
      </c>
      <c r="AW339">
        <v>2</v>
      </c>
      <c r="AX339">
        <v>16750832</v>
      </c>
      <c r="AY339">
        <v>1</v>
      </c>
      <c r="AZ339">
        <v>0</v>
      </c>
      <c r="BA339">
        <v>321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0</v>
      </c>
      <c r="CX339">
        <f>Y339*Source!I256</f>
        <v>1.5638399999999999</v>
      </c>
      <c r="CY339">
        <f>AD339</f>
        <v>62.39</v>
      </c>
      <c r="CZ339">
        <f>AH339</f>
        <v>9.51</v>
      </c>
      <c r="DA339">
        <f>AL339</f>
        <v>6.56</v>
      </c>
      <c r="DB339">
        <f>ROUND((ROUND(AT339*CZ339,2)*0.3),2)</f>
        <v>46.48</v>
      </c>
      <c r="DC339">
        <f>ROUND((ROUND(AT339*AG339,2)*0.3),2)</f>
        <v>0</v>
      </c>
    </row>
    <row r="340" spans="1:107" x14ac:dyDescent="0.2">
      <c r="A340">
        <f>ROW(Source!A256)</f>
        <v>256</v>
      </c>
      <c r="B340">
        <v>16748969</v>
      </c>
      <c r="C340">
        <v>16750825</v>
      </c>
      <c r="D340">
        <v>15430395</v>
      </c>
      <c r="E340">
        <v>1</v>
      </c>
      <c r="F340">
        <v>1</v>
      </c>
      <c r="G340">
        <v>1</v>
      </c>
      <c r="H340">
        <v>1</v>
      </c>
      <c r="I340" t="s">
        <v>1073</v>
      </c>
      <c r="J340" t="s">
        <v>6</v>
      </c>
      <c r="K340" t="s">
        <v>1074</v>
      </c>
      <c r="L340">
        <v>1191</v>
      </c>
      <c r="N340">
        <v>1013</v>
      </c>
      <c r="O340" t="s">
        <v>1072</v>
      </c>
      <c r="P340" t="s">
        <v>1072</v>
      </c>
      <c r="Q340">
        <v>1</v>
      </c>
      <c r="W340">
        <v>0</v>
      </c>
      <c r="X340">
        <v>-1417349443</v>
      </c>
      <c r="Y340">
        <v>0.01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0</v>
      </c>
      <c r="AI340">
        <v>1</v>
      </c>
      <c r="AJ340">
        <v>1</v>
      </c>
      <c r="AK340">
        <v>6.56</v>
      </c>
      <c r="AL340">
        <v>1</v>
      </c>
      <c r="AN340">
        <v>0</v>
      </c>
      <c r="AO340">
        <v>1</v>
      </c>
      <c r="AP340">
        <v>0</v>
      </c>
      <c r="AQ340">
        <v>0</v>
      </c>
      <c r="AR340">
        <v>0</v>
      </c>
      <c r="AS340" t="s">
        <v>6</v>
      </c>
      <c r="AT340">
        <v>0.01</v>
      </c>
      <c r="AU340" t="s">
        <v>6</v>
      </c>
      <c r="AV340">
        <v>2</v>
      </c>
      <c r="AW340">
        <v>2</v>
      </c>
      <c r="AX340">
        <v>16750833</v>
      </c>
      <c r="AY340">
        <v>1</v>
      </c>
      <c r="AZ340">
        <v>2048</v>
      </c>
      <c r="BA340">
        <v>322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0</v>
      </c>
      <c r="BW340">
        <v>0</v>
      </c>
      <c r="CX340">
        <f>Y340*Source!I256</f>
        <v>3.2000000000000002E-3</v>
      </c>
      <c r="CY340">
        <f>AD340</f>
        <v>0</v>
      </c>
      <c r="CZ340">
        <f>AH340</f>
        <v>0</v>
      </c>
      <c r="DA340">
        <f>AL340</f>
        <v>1</v>
      </c>
      <c r="DB340">
        <f>ROUND(ROUND(AT340*CZ340,2),2)</f>
        <v>0</v>
      </c>
      <c r="DC340">
        <f>ROUND(ROUND(AT340*AG340,2),2)</f>
        <v>0</v>
      </c>
    </row>
    <row r="341" spans="1:107" x14ac:dyDescent="0.2">
      <c r="A341">
        <f>ROW(Source!A256)</f>
        <v>256</v>
      </c>
      <c r="B341">
        <v>16748969</v>
      </c>
      <c r="C341">
        <v>16750825</v>
      </c>
      <c r="D341">
        <v>15247974</v>
      </c>
      <c r="E341">
        <v>1</v>
      </c>
      <c r="F341">
        <v>1</v>
      </c>
      <c r="G341">
        <v>1</v>
      </c>
      <c r="H341">
        <v>2</v>
      </c>
      <c r="I341" t="s">
        <v>1075</v>
      </c>
      <c r="J341" t="s">
        <v>1076</v>
      </c>
      <c r="K341" t="s">
        <v>1077</v>
      </c>
      <c r="L341">
        <v>1368</v>
      </c>
      <c r="N341">
        <v>1011</v>
      </c>
      <c r="O341" t="s">
        <v>1078</v>
      </c>
      <c r="P341" t="s">
        <v>1078</v>
      </c>
      <c r="Q341">
        <v>1</v>
      </c>
      <c r="W341">
        <v>0</v>
      </c>
      <c r="X341">
        <v>1188625873</v>
      </c>
      <c r="Y341">
        <v>3.0000000000000001E-3</v>
      </c>
      <c r="AA341">
        <v>0</v>
      </c>
      <c r="AB341">
        <v>205.07</v>
      </c>
      <c r="AC341">
        <v>13.5</v>
      </c>
      <c r="AD341">
        <v>0</v>
      </c>
      <c r="AE341">
        <v>0</v>
      </c>
      <c r="AF341">
        <v>31.26</v>
      </c>
      <c r="AG341">
        <v>13.5</v>
      </c>
      <c r="AH341">
        <v>0</v>
      </c>
      <c r="AI341">
        <v>1</v>
      </c>
      <c r="AJ341">
        <v>6.56</v>
      </c>
      <c r="AK341">
        <v>1</v>
      </c>
      <c r="AL341">
        <v>1</v>
      </c>
      <c r="AN341">
        <v>0</v>
      </c>
      <c r="AO341">
        <v>1</v>
      </c>
      <c r="AP341">
        <v>1</v>
      </c>
      <c r="AQ341">
        <v>0</v>
      </c>
      <c r="AR341">
        <v>0</v>
      </c>
      <c r="AS341" t="s">
        <v>6</v>
      </c>
      <c r="AT341">
        <v>0.01</v>
      </c>
      <c r="AU341" t="s">
        <v>590</v>
      </c>
      <c r="AV341">
        <v>0</v>
      </c>
      <c r="AW341">
        <v>2</v>
      </c>
      <c r="AX341">
        <v>16750834</v>
      </c>
      <c r="AY341">
        <v>1</v>
      </c>
      <c r="AZ341">
        <v>0</v>
      </c>
      <c r="BA341">
        <v>323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0</v>
      </c>
      <c r="CX341">
        <f>Y341*Source!I256</f>
        <v>9.6000000000000002E-4</v>
      </c>
      <c r="CY341">
        <f>AB341</f>
        <v>205.07</v>
      </c>
      <c r="CZ341">
        <f>AF341</f>
        <v>31.26</v>
      </c>
      <c r="DA341">
        <f>AJ341</f>
        <v>6.56</v>
      </c>
      <c r="DB341">
        <f>ROUND((ROUND(AT341*CZ341,2)*0.3),2)</f>
        <v>0.09</v>
      </c>
      <c r="DC341">
        <f>ROUND((ROUND(AT341*AG341,2)*0.3),2)</f>
        <v>0.04</v>
      </c>
    </row>
    <row r="342" spans="1:107" x14ac:dyDescent="0.2">
      <c r="A342">
        <f>ROW(Source!A256)</f>
        <v>256</v>
      </c>
      <c r="B342">
        <v>16748969</v>
      </c>
      <c r="C342">
        <v>16750825</v>
      </c>
      <c r="D342">
        <v>15170076</v>
      </c>
      <c r="E342">
        <v>1</v>
      </c>
      <c r="F342">
        <v>1</v>
      </c>
      <c r="G342">
        <v>1</v>
      </c>
      <c r="H342">
        <v>3</v>
      </c>
      <c r="I342" t="s">
        <v>1377</v>
      </c>
      <c r="J342" t="s">
        <v>1378</v>
      </c>
      <c r="K342" t="s">
        <v>1379</v>
      </c>
      <c r="L342">
        <v>1356</v>
      </c>
      <c r="N342">
        <v>1010</v>
      </c>
      <c r="O342" t="s">
        <v>288</v>
      </c>
      <c r="P342" t="s">
        <v>288</v>
      </c>
      <c r="Q342">
        <v>1000</v>
      </c>
      <c r="W342">
        <v>0</v>
      </c>
      <c r="X342">
        <v>1975348994</v>
      </c>
      <c r="Y342">
        <v>0</v>
      </c>
      <c r="AA342">
        <v>1180.8</v>
      </c>
      <c r="AB342">
        <v>0</v>
      </c>
      <c r="AC342">
        <v>0</v>
      </c>
      <c r="AD342">
        <v>0</v>
      </c>
      <c r="AE342">
        <v>180</v>
      </c>
      <c r="AF342">
        <v>0</v>
      </c>
      <c r="AG342">
        <v>0</v>
      </c>
      <c r="AH342">
        <v>0</v>
      </c>
      <c r="AI342">
        <v>6.56</v>
      </c>
      <c r="AJ342">
        <v>1</v>
      </c>
      <c r="AK342">
        <v>1</v>
      </c>
      <c r="AL342">
        <v>1</v>
      </c>
      <c r="AN342">
        <v>0</v>
      </c>
      <c r="AO342">
        <v>1</v>
      </c>
      <c r="AP342">
        <v>1</v>
      </c>
      <c r="AQ342">
        <v>0</v>
      </c>
      <c r="AR342">
        <v>0</v>
      </c>
      <c r="AS342" t="s">
        <v>6</v>
      </c>
      <c r="AT342">
        <v>0.2</v>
      </c>
      <c r="AU342" t="s">
        <v>92</v>
      </c>
      <c r="AV342">
        <v>0</v>
      </c>
      <c r="AW342">
        <v>2</v>
      </c>
      <c r="AX342">
        <v>16750835</v>
      </c>
      <c r="AY342">
        <v>1</v>
      </c>
      <c r="AZ342">
        <v>0</v>
      </c>
      <c r="BA342">
        <v>324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CX342">
        <f>Y342*Source!I256</f>
        <v>0</v>
      </c>
      <c r="CY342">
        <f>AA342</f>
        <v>1180.8</v>
      </c>
      <c r="CZ342">
        <f>AE342</f>
        <v>180</v>
      </c>
      <c r="DA342">
        <f>AI342</f>
        <v>6.56</v>
      </c>
      <c r="DB342">
        <f>ROUND((ROUND(AT342*CZ342,2)*0),2)</f>
        <v>0</v>
      </c>
      <c r="DC342">
        <f>ROUND((ROUND(AT342*AG342,2)*0),2)</f>
        <v>0</v>
      </c>
    </row>
    <row r="343" spans="1:107" x14ac:dyDescent="0.2">
      <c r="A343">
        <f>ROW(Source!A256)</f>
        <v>256</v>
      </c>
      <c r="B343">
        <v>16748969</v>
      </c>
      <c r="C343">
        <v>16750825</v>
      </c>
      <c r="D343">
        <v>15170438</v>
      </c>
      <c r="E343">
        <v>1</v>
      </c>
      <c r="F343">
        <v>1</v>
      </c>
      <c r="G343">
        <v>1</v>
      </c>
      <c r="H343">
        <v>3</v>
      </c>
      <c r="I343" t="s">
        <v>1380</v>
      </c>
      <c r="J343" t="s">
        <v>1381</v>
      </c>
      <c r="K343" t="s">
        <v>1382</v>
      </c>
      <c r="L343">
        <v>1348</v>
      </c>
      <c r="N343">
        <v>1009</v>
      </c>
      <c r="O343" t="s">
        <v>71</v>
      </c>
      <c r="P343" t="s">
        <v>71</v>
      </c>
      <c r="Q343">
        <v>1000</v>
      </c>
      <c r="W343">
        <v>0</v>
      </c>
      <c r="X343">
        <v>-1755229539</v>
      </c>
      <c r="Y343">
        <v>0</v>
      </c>
      <c r="AA343">
        <v>81540.800000000003</v>
      </c>
      <c r="AB343">
        <v>0</v>
      </c>
      <c r="AC343">
        <v>0</v>
      </c>
      <c r="AD343">
        <v>0</v>
      </c>
      <c r="AE343">
        <v>12430</v>
      </c>
      <c r="AF343">
        <v>0</v>
      </c>
      <c r="AG343">
        <v>0</v>
      </c>
      <c r="AH343">
        <v>0</v>
      </c>
      <c r="AI343">
        <v>6.56</v>
      </c>
      <c r="AJ343">
        <v>1</v>
      </c>
      <c r="AK343">
        <v>1</v>
      </c>
      <c r="AL343">
        <v>1</v>
      </c>
      <c r="AN343">
        <v>0</v>
      </c>
      <c r="AO343">
        <v>1</v>
      </c>
      <c r="AP343">
        <v>1</v>
      </c>
      <c r="AQ343">
        <v>0</v>
      </c>
      <c r="AR343">
        <v>0</v>
      </c>
      <c r="AS343" t="s">
        <v>6</v>
      </c>
      <c r="AT343">
        <v>1E-3</v>
      </c>
      <c r="AU343" t="s">
        <v>92</v>
      </c>
      <c r="AV343">
        <v>0</v>
      </c>
      <c r="AW343">
        <v>2</v>
      </c>
      <c r="AX343">
        <v>16750836</v>
      </c>
      <c r="AY343">
        <v>1</v>
      </c>
      <c r="AZ343">
        <v>0</v>
      </c>
      <c r="BA343">
        <v>325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0</v>
      </c>
      <c r="CX343">
        <f>Y343*Source!I256</f>
        <v>0</v>
      </c>
      <c r="CY343">
        <f>AA343</f>
        <v>81540.800000000003</v>
      </c>
      <c r="CZ343">
        <f>AE343</f>
        <v>12430</v>
      </c>
      <c r="DA343">
        <f>AI343</f>
        <v>6.56</v>
      </c>
      <c r="DB343">
        <f>ROUND((ROUND(AT343*CZ343,2)*0),2)</f>
        <v>0</v>
      </c>
      <c r="DC343">
        <f>ROUND((ROUND(AT343*AG343,2)*0),2)</f>
        <v>0</v>
      </c>
    </row>
    <row r="344" spans="1:107" x14ac:dyDescent="0.2">
      <c r="A344">
        <f>ROW(Source!A256)</f>
        <v>256</v>
      </c>
      <c r="B344">
        <v>16748969</v>
      </c>
      <c r="C344">
        <v>16750825</v>
      </c>
      <c r="D344">
        <v>15164559</v>
      </c>
      <c r="E344">
        <v>17</v>
      </c>
      <c r="F344">
        <v>1</v>
      </c>
      <c r="G344">
        <v>1</v>
      </c>
      <c r="H344">
        <v>3</v>
      </c>
      <c r="I344" t="s">
        <v>1383</v>
      </c>
      <c r="J344" t="s">
        <v>6</v>
      </c>
      <c r="K344" t="s">
        <v>1384</v>
      </c>
      <c r="L344">
        <v>1374</v>
      </c>
      <c r="N344">
        <v>1013</v>
      </c>
      <c r="O344" t="s">
        <v>1385</v>
      </c>
      <c r="P344" t="s">
        <v>1385</v>
      </c>
      <c r="Q344">
        <v>1</v>
      </c>
      <c r="W344">
        <v>0</v>
      </c>
      <c r="X344">
        <v>-1731369543</v>
      </c>
      <c r="Y344">
        <v>0</v>
      </c>
      <c r="AA344">
        <v>1</v>
      </c>
      <c r="AB344">
        <v>0</v>
      </c>
      <c r="AC344">
        <v>0</v>
      </c>
      <c r="AD344">
        <v>0</v>
      </c>
      <c r="AE344">
        <v>1</v>
      </c>
      <c r="AF344">
        <v>0</v>
      </c>
      <c r="AG344">
        <v>0</v>
      </c>
      <c r="AH344">
        <v>0</v>
      </c>
      <c r="AI344">
        <v>1</v>
      </c>
      <c r="AJ344">
        <v>1</v>
      </c>
      <c r="AK344">
        <v>1</v>
      </c>
      <c r="AL344">
        <v>1</v>
      </c>
      <c r="AN344">
        <v>0</v>
      </c>
      <c r="AO344">
        <v>1</v>
      </c>
      <c r="AP344">
        <v>1</v>
      </c>
      <c r="AQ344">
        <v>0</v>
      </c>
      <c r="AR344">
        <v>0</v>
      </c>
      <c r="AS344" t="s">
        <v>6</v>
      </c>
      <c r="AT344">
        <v>3.1</v>
      </c>
      <c r="AU344" t="s">
        <v>92</v>
      </c>
      <c r="AV344">
        <v>0</v>
      </c>
      <c r="AW344">
        <v>2</v>
      </c>
      <c r="AX344">
        <v>16750837</v>
      </c>
      <c r="AY344">
        <v>1</v>
      </c>
      <c r="AZ344">
        <v>0</v>
      </c>
      <c r="BA344">
        <v>326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  <c r="CX344">
        <f>Y344*Source!I256</f>
        <v>0</v>
      </c>
      <c r="CY344">
        <f>AA344</f>
        <v>1</v>
      </c>
      <c r="CZ344">
        <f>AE344</f>
        <v>1</v>
      </c>
      <c r="DA344">
        <f>AI344</f>
        <v>1</v>
      </c>
      <c r="DB344">
        <f>ROUND((ROUND(AT344*CZ344,2)*0),2)</f>
        <v>0</v>
      </c>
      <c r="DC344">
        <f>ROUND((ROUND(AT344*AG344,2)*0),2)</f>
        <v>0</v>
      </c>
    </row>
    <row r="345" spans="1:107" x14ac:dyDescent="0.2">
      <c r="A345">
        <f>ROW(Source!A257)</f>
        <v>257</v>
      </c>
      <c r="B345">
        <v>16748969</v>
      </c>
      <c r="C345">
        <v>16750838</v>
      </c>
      <c r="D345">
        <v>15442878</v>
      </c>
      <c r="E345">
        <v>1</v>
      </c>
      <c r="F345">
        <v>1</v>
      </c>
      <c r="G345">
        <v>1</v>
      </c>
      <c r="H345">
        <v>1</v>
      </c>
      <c r="I345" t="s">
        <v>1386</v>
      </c>
      <c r="J345" t="s">
        <v>6</v>
      </c>
      <c r="K345" t="s">
        <v>1387</v>
      </c>
      <c r="L345">
        <v>1191</v>
      </c>
      <c r="N345">
        <v>1013</v>
      </c>
      <c r="O345" t="s">
        <v>1072</v>
      </c>
      <c r="P345" t="s">
        <v>1072</v>
      </c>
      <c r="Q345">
        <v>1</v>
      </c>
      <c r="W345">
        <v>0</v>
      </c>
      <c r="X345">
        <v>-362667798</v>
      </c>
      <c r="Y345">
        <v>0.27</v>
      </c>
      <c r="AA345">
        <v>0</v>
      </c>
      <c r="AB345">
        <v>0</v>
      </c>
      <c r="AC345">
        <v>0</v>
      </c>
      <c r="AD345">
        <v>68.88</v>
      </c>
      <c r="AE345">
        <v>0</v>
      </c>
      <c r="AF345">
        <v>0</v>
      </c>
      <c r="AG345">
        <v>0</v>
      </c>
      <c r="AH345">
        <v>10.5</v>
      </c>
      <c r="AI345">
        <v>1</v>
      </c>
      <c r="AJ345">
        <v>1</v>
      </c>
      <c r="AK345">
        <v>1</v>
      </c>
      <c r="AL345">
        <v>6.56</v>
      </c>
      <c r="AN345">
        <v>0</v>
      </c>
      <c r="AO345">
        <v>1</v>
      </c>
      <c r="AP345">
        <v>1</v>
      </c>
      <c r="AQ345">
        <v>0</v>
      </c>
      <c r="AR345">
        <v>0</v>
      </c>
      <c r="AS345" t="s">
        <v>6</v>
      </c>
      <c r="AT345">
        <v>0.9</v>
      </c>
      <c r="AU345" t="s">
        <v>590</v>
      </c>
      <c r="AV345">
        <v>1</v>
      </c>
      <c r="AW345">
        <v>2</v>
      </c>
      <c r="AX345">
        <v>16750847</v>
      </c>
      <c r="AY345">
        <v>1</v>
      </c>
      <c r="AZ345">
        <v>0</v>
      </c>
      <c r="BA345">
        <v>327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0</v>
      </c>
      <c r="CX345">
        <f>Y345*Source!I257</f>
        <v>1.62</v>
      </c>
      <c r="CY345">
        <f>AD345</f>
        <v>68.88</v>
      </c>
      <c r="CZ345">
        <f>AH345</f>
        <v>10.5</v>
      </c>
      <c r="DA345">
        <f>AL345</f>
        <v>6.56</v>
      </c>
      <c r="DB345">
        <f>ROUND((ROUND(AT345*CZ345,2)*0.3),2)</f>
        <v>2.84</v>
      </c>
      <c r="DC345">
        <f>ROUND((ROUND(AT345*AG345,2)*0.3),2)</f>
        <v>0</v>
      </c>
    </row>
    <row r="346" spans="1:107" x14ac:dyDescent="0.2">
      <c r="A346">
        <f>ROW(Source!A257)</f>
        <v>257</v>
      </c>
      <c r="B346">
        <v>16748969</v>
      </c>
      <c r="C346">
        <v>16750838</v>
      </c>
      <c r="D346">
        <v>15430395</v>
      </c>
      <c r="E346">
        <v>1</v>
      </c>
      <c r="F346">
        <v>1</v>
      </c>
      <c r="G346">
        <v>1</v>
      </c>
      <c r="H346">
        <v>1</v>
      </c>
      <c r="I346" t="s">
        <v>1073</v>
      </c>
      <c r="J346" t="s">
        <v>6</v>
      </c>
      <c r="K346" t="s">
        <v>1074</v>
      </c>
      <c r="L346">
        <v>1191</v>
      </c>
      <c r="N346">
        <v>1013</v>
      </c>
      <c r="O346" t="s">
        <v>1072</v>
      </c>
      <c r="P346" t="s">
        <v>1072</v>
      </c>
      <c r="Q346">
        <v>1</v>
      </c>
      <c r="W346">
        <v>0</v>
      </c>
      <c r="X346">
        <v>-1417349443</v>
      </c>
      <c r="Y346">
        <v>0.2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0</v>
      </c>
      <c r="AI346">
        <v>1</v>
      </c>
      <c r="AJ346">
        <v>1</v>
      </c>
      <c r="AK346">
        <v>6.56</v>
      </c>
      <c r="AL346">
        <v>1</v>
      </c>
      <c r="AN346">
        <v>0</v>
      </c>
      <c r="AO346">
        <v>1</v>
      </c>
      <c r="AP346">
        <v>0</v>
      </c>
      <c r="AQ346">
        <v>0</v>
      </c>
      <c r="AR346">
        <v>0</v>
      </c>
      <c r="AS346" t="s">
        <v>6</v>
      </c>
      <c r="AT346">
        <v>0.2</v>
      </c>
      <c r="AU346" t="s">
        <v>6</v>
      </c>
      <c r="AV346">
        <v>2</v>
      </c>
      <c r="AW346">
        <v>2</v>
      </c>
      <c r="AX346">
        <v>16750848</v>
      </c>
      <c r="AY346">
        <v>1</v>
      </c>
      <c r="AZ346">
        <v>2048</v>
      </c>
      <c r="BA346">
        <v>328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  <c r="BS346">
        <v>0</v>
      </c>
      <c r="BT346">
        <v>0</v>
      </c>
      <c r="BU346">
        <v>0</v>
      </c>
      <c r="BV346">
        <v>0</v>
      </c>
      <c r="BW346">
        <v>0</v>
      </c>
      <c r="CX346">
        <f>Y346*Source!I257</f>
        <v>1.2000000000000002</v>
      </c>
      <c r="CY346">
        <f>AD346</f>
        <v>0</v>
      </c>
      <c r="CZ346">
        <f>AH346</f>
        <v>0</v>
      </c>
      <c r="DA346">
        <f>AL346</f>
        <v>1</v>
      </c>
      <c r="DB346">
        <f>ROUND(ROUND(AT346*CZ346,2),2)</f>
        <v>0</v>
      </c>
      <c r="DC346">
        <f>ROUND(ROUND(AT346*AG346,2),2)</f>
        <v>0</v>
      </c>
    </row>
    <row r="347" spans="1:107" x14ac:dyDescent="0.2">
      <c r="A347">
        <f>ROW(Source!A257)</f>
        <v>257</v>
      </c>
      <c r="B347">
        <v>16748969</v>
      </c>
      <c r="C347">
        <v>16750838</v>
      </c>
      <c r="D347">
        <v>15247680</v>
      </c>
      <c r="E347">
        <v>1</v>
      </c>
      <c r="F347">
        <v>1</v>
      </c>
      <c r="G347">
        <v>1</v>
      </c>
      <c r="H347">
        <v>2</v>
      </c>
      <c r="I347" t="s">
        <v>1211</v>
      </c>
      <c r="J347" t="s">
        <v>1212</v>
      </c>
      <c r="K347" t="s">
        <v>1213</v>
      </c>
      <c r="L347">
        <v>1368</v>
      </c>
      <c r="N347">
        <v>1011</v>
      </c>
      <c r="O347" t="s">
        <v>1078</v>
      </c>
      <c r="P347" t="s">
        <v>1078</v>
      </c>
      <c r="Q347">
        <v>1</v>
      </c>
      <c r="W347">
        <v>0</v>
      </c>
      <c r="X347">
        <v>-1718674368</v>
      </c>
      <c r="Y347">
        <v>0.03</v>
      </c>
      <c r="AA347">
        <v>0</v>
      </c>
      <c r="AB347">
        <v>734.65</v>
      </c>
      <c r="AC347">
        <v>13.5</v>
      </c>
      <c r="AD347">
        <v>0</v>
      </c>
      <c r="AE347">
        <v>0</v>
      </c>
      <c r="AF347">
        <v>111.99</v>
      </c>
      <c r="AG347">
        <v>13.5</v>
      </c>
      <c r="AH347">
        <v>0</v>
      </c>
      <c r="AI347">
        <v>1</v>
      </c>
      <c r="AJ347">
        <v>6.56</v>
      </c>
      <c r="AK347">
        <v>1</v>
      </c>
      <c r="AL347">
        <v>1</v>
      </c>
      <c r="AN347">
        <v>0</v>
      </c>
      <c r="AO347">
        <v>1</v>
      </c>
      <c r="AP347">
        <v>1</v>
      </c>
      <c r="AQ347">
        <v>0</v>
      </c>
      <c r="AR347">
        <v>0</v>
      </c>
      <c r="AS347" t="s">
        <v>6</v>
      </c>
      <c r="AT347">
        <v>0.1</v>
      </c>
      <c r="AU347" t="s">
        <v>590</v>
      </c>
      <c r="AV347">
        <v>0</v>
      </c>
      <c r="AW347">
        <v>2</v>
      </c>
      <c r="AX347">
        <v>16750849</v>
      </c>
      <c r="AY347">
        <v>1</v>
      </c>
      <c r="AZ347">
        <v>0</v>
      </c>
      <c r="BA347">
        <v>329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0</v>
      </c>
      <c r="CX347">
        <f>Y347*Source!I257</f>
        <v>0.18</v>
      </c>
      <c r="CY347">
        <f>AB347</f>
        <v>734.65</v>
      </c>
      <c r="CZ347">
        <f>AF347</f>
        <v>111.99</v>
      </c>
      <c r="DA347">
        <f>AJ347</f>
        <v>6.56</v>
      </c>
      <c r="DB347">
        <f>ROUND((ROUND(AT347*CZ347,2)*0.3),2)</f>
        <v>3.36</v>
      </c>
      <c r="DC347">
        <f>ROUND((ROUND(AT347*AG347,2)*0.3),2)</f>
        <v>0.41</v>
      </c>
    </row>
    <row r="348" spans="1:107" x14ac:dyDescent="0.2">
      <c r="A348">
        <f>ROW(Source!A257)</f>
        <v>257</v>
      </c>
      <c r="B348">
        <v>16748969</v>
      </c>
      <c r="C348">
        <v>16750838</v>
      </c>
      <c r="D348">
        <v>15249073</v>
      </c>
      <c r="E348">
        <v>1</v>
      </c>
      <c r="F348">
        <v>1</v>
      </c>
      <c r="G348">
        <v>1</v>
      </c>
      <c r="H348">
        <v>2</v>
      </c>
      <c r="I348" t="s">
        <v>1097</v>
      </c>
      <c r="J348" t="s">
        <v>1098</v>
      </c>
      <c r="K348" t="s">
        <v>1099</v>
      </c>
      <c r="L348">
        <v>1368</v>
      </c>
      <c r="N348">
        <v>1011</v>
      </c>
      <c r="O348" t="s">
        <v>1078</v>
      </c>
      <c r="P348" t="s">
        <v>1078</v>
      </c>
      <c r="Q348">
        <v>1</v>
      </c>
      <c r="W348">
        <v>0</v>
      </c>
      <c r="X348">
        <v>1372534845</v>
      </c>
      <c r="Y348">
        <v>0.03</v>
      </c>
      <c r="AA348">
        <v>0</v>
      </c>
      <c r="AB348">
        <v>431.06</v>
      </c>
      <c r="AC348">
        <v>11.6</v>
      </c>
      <c r="AD348">
        <v>0</v>
      </c>
      <c r="AE348">
        <v>0</v>
      </c>
      <c r="AF348">
        <v>65.709999999999994</v>
      </c>
      <c r="AG348">
        <v>11.6</v>
      </c>
      <c r="AH348">
        <v>0</v>
      </c>
      <c r="AI348">
        <v>1</v>
      </c>
      <c r="AJ348">
        <v>6.56</v>
      </c>
      <c r="AK348">
        <v>1</v>
      </c>
      <c r="AL348">
        <v>1</v>
      </c>
      <c r="AN348">
        <v>0</v>
      </c>
      <c r="AO348">
        <v>1</v>
      </c>
      <c r="AP348">
        <v>1</v>
      </c>
      <c r="AQ348">
        <v>0</v>
      </c>
      <c r="AR348">
        <v>0</v>
      </c>
      <c r="AS348" t="s">
        <v>6</v>
      </c>
      <c r="AT348">
        <v>0.1</v>
      </c>
      <c r="AU348" t="s">
        <v>590</v>
      </c>
      <c r="AV348">
        <v>0</v>
      </c>
      <c r="AW348">
        <v>2</v>
      </c>
      <c r="AX348">
        <v>16750850</v>
      </c>
      <c r="AY348">
        <v>1</v>
      </c>
      <c r="AZ348">
        <v>0</v>
      </c>
      <c r="BA348">
        <v>330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0</v>
      </c>
      <c r="CX348">
        <f>Y348*Source!I257</f>
        <v>0.18</v>
      </c>
      <c r="CY348">
        <f>AB348</f>
        <v>431.06</v>
      </c>
      <c r="CZ348">
        <f>AF348</f>
        <v>65.709999999999994</v>
      </c>
      <c r="DA348">
        <f>AJ348</f>
        <v>6.56</v>
      </c>
      <c r="DB348">
        <f>ROUND((ROUND(AT348*CZ348,2)*0.3),2)</f>
        <v>1.97</v>
      </c>
      <c r="DC348">
        <f>ROUND((ROUND(AT348*AG348,2)*0.3),2)</f>
        <v>0.35</v>
      </c>
    </row>
    <row r="349" spans="1:107" x14ac:dyDescent="0.2">
      <c r="A349">
        <f>ROW(Source!A257)</f>
        <v>257</v>
      </c>
      <c r="B349">
        <v>16748969</v>
      </c>
      <c r="C349">
        <v>16750838</v>
      </c>
      <c r="D349">
        <v>15167588</v>
      </c>
      <c r="E349">
        <v>1</v>
      </c>
      <c r="F349">
        <v>1</v>
      </c>
      <c r="G349">
        <v>1</v>
      </c>
      <c r="H349">
        <v>3</v>
      </c>
      <c r="I349" t="s">
        <v>1388</v>
      </c>
      <c r="J349" t="s">
        <v>1389</v>
      </c>
      <c r="K349" t="s">
        <v>1390</v>
      </c>
      <c r="L349">
        <v>1346</v>
      </c>
      <c r="N349">
        <v>1009</v>
      </c>
      <c r="O349" t="s">
        <v>323</v>
      </c>
      <c r="P349" t="s">
        <v>323</v>
      </c>
      <c r="Q349">
        <v>1</v>
      </c>
      <c r="W349">
        <v>0</v>
      </c>
      <c r="X349">
        <v>-1088866022</v>
      </c>
      <c r="Y349">
        <v>0</v>
      </c>
      <c r="AA349">
        <v>199.42</v>
      </c>
      <c r="AB349">
        <v>0</v>
      </c>
      <c r="AC349">
        <v>0</v>
      </c>
      <c r="AD349">
        <v>0</v>
      </c>
      <c r="AE349">
        <v>30.4</v>
      </c>
      <c r="AF349">
        <v>0</v>
      </c>
      <c r="AG349">
        <v>0</v>
      </c>
      <c r="AH349">
        <v>0</v>
      </c>
      <c r="AI349">
        <v>6.56</v>
      </c>
      <c r="AJ349">
        <v>1</v>
      </c>
      <c r="AK349">
        <v>1</v>
      </c>
      <c r="AL349">
        <v>1</v>
      </c>
      <c r="AN349">
        <v>0</v>
      </c>
      <c r="AO349">
        <v>1</v>
      </c>
      <c r="AP349">
        <v>1</v>
      </c>
      <c r="AQ349">
        <v>0</v>
      </c>
      <c r="AR349">
        <v>0</v>
      </c>
      <c r="AS349" t="s">
        <v>6</v>
      </c>
      <c r="AT349">
        <v>0.01</v>
      </c>
      <c r="AU349" t="s">
        <v>92</v>
      </c>
      <c r="AV349">
        <v>0</v>
      </c>
      <c r="AW349">
        <v>2</v>
      </c>
      <c r="AX349">
        <v>16750851</v>
      </c>
      <c r="AY349">
        <v>1</v>
      </c>
      <c r="AZ349">
        <v>0</v>
      </c>
      <c r="BA349">
        <v>331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0</v>
      </c>
      <c r="CX349">
        <f>Y349*Source!I257</f>
        <v>0</v>
      </c>
      <c r="CY349">
        <f>AA349</f>
        <v>199.42</v>
      </c>
      <c r="CZ349">
        <f>AE349</f>
        <v>30.4</v>
      </c>
      <c r="DA349">
        <f>AI349</f>
        <v>6.56</v>
      </c>
      <c r="DB349">
        <f>ROUND((ROUND(AT349*CZ349,2)*0),2)</f>
        <v>0</v>
      </c>
      <c r="DC349">
        <f>ROUND((ROUND(AT349*AG349,2)*0),2)</f>
        <v>0</v>
      </c>
    </row>
    <row r="350" spans="1:107" x14ac:dyDescent="0.2">
      <c r="A350">
        <f>ROW(Source!A257)</f>
        <v>257</v>
      </c>
      <c r="B350">
        <v>16748969</v>
      </c>
      <c r="C350">
        <v>16750838</v>
      </c>
      <c r="D350">
        <v>15169942</v>
      </c>
      <c r="E350">
        <v>1</v>
      </c>
      <c r="F350">
        <v>1</v>
      </c>
      <c r="G350">
        <v>1</v>
      </c>
      <c r="H350">
        <v>3</v>
      </c>
      <c r="I350" t="s">
        <v>1391</v>
      </c>
      <c r="J350" t="s">
        <v>1392</v>
      </c>
      <c r="K350" t="s">
        <v>1291</v>
      </c>
      <c r="L350">
        <v>1346</v>
      </c>
      <c r="N350">
        <v>1009</v>
      </c>
      <c r="O350" t="s">
        <v>323</v>
      </c>
      <c r="P350" t="s">
        <v>323</v>
      </c>
      <c r="Q350">
        <v>1</v>
      </c>
      <c r="W350">
        <v>0</v>
      </c>
      <c r="X350">
        <v>103900845</v>
      </c>
      <c r="Y350">
        <v>0</v>
      </c>
      <c r="AA350">
        <v>59.3</v>
      </c>
      <c r="AB350">
        <v>0</v>
      </c>
      <c r="AC350">
        <v>0</v>
      </c>
      <c r="AD350">
        <v>0</v>
      </c>
      <c r="AE350">
        <v>9.0399999999999991</v>
      </c>
      <c r="AF350">
        <v>0</v>
      </c>
      <c r="AG350">
        <v>0</v>
      </c>
      <c r="AH350">
        <v>0</v>
      </c>
      <c r="AI350">
        <v>6.56</v>
      </c>
      <c r="AJ350">
        <v>1</v>
      </c>
      <c r="AK350">
        <v>1</v>
      </c>
      <c r="AL350">
        <v>1</v>
      </c>
      <c r="AN350">
        <v>0</v>
      </c>
      <c r="AO350">
        <v>1</v>
      </c>
      <c r="AP350">
        <v>1</v>
      </c>
      <c r="AQ350">
        <v>0</v>
      </c>
      <c r="AR350">
        <v>0</v>
      </c>
      <c r="AS350" t="s">
        <v>6</v>
      </c>
      <c r="AT350">
        <v>0.3</v>
      </c>
      <c r="AU350" t="s">
        <v>92</v>
      </c>
      <c r="AV350">
        <v>0</v>
      </c>
      <c r="AW350">
        <v>2</v>
      </c>
      <c r="AX350">
        <v>16750852</v>
      </c>
      <c r="AY350">
        <v>1</v>
      </c>
      <c r="AZ350">
        <v>0</v>
      </c>
      <c r="BA350">
        <v>332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0</v>
      </c>
      <c r="CX350">
        <f>Y350*Source!I257</f>
        <v>0</v>
      </c>
      <c r="CY350">
        <f>AA350</f>
        <v>59.3</v>
      </c>
      <c r="CZ350">
        <f>AE350</f>
        <v>9.0399999999999991</v>
      </c>
      <c r="DA350">
        <f>AI350</f>
        <v>6.56</v>
      </c>
      <c r="DB350">
        <f>ROUND((ROUND(AT350*CZ350,2)*0),2)</f>
        <v>0</v>
      </c>
      <c r="DC350">
        <f>ROUND((ROUND(AT350*AG350,2)*0),2)</f>
        <v>0</v>
      </c>
    </row>
    <row r="351" spans="1:107" x14ac:dyDescent="0.2">
      <c r="A351">
        <f>ROW(Source!A257)</f>
        <v>257</v>
      </c>
      <c r="B351">
        <v>16748969</v>
      </c>
      <c r="C351">
        <v>16750838</v>
      </c>
      <c r="D351">
        <v>15191488</v>
      </c>
      <c r="E351">
        <v>1</v>
      </c>
      <c r="F351">
        <v>1</v>
      </c>
      <c r="G351">
        <v>1</v>
      </c>
      <c r="H351">
        <v>3</v>
      </c>
      <c r="I351" t="s">
        <v>1393</v>
      </c>
      <c r="J351" t="s">
        <v>1394</v>
      </c>
      <c r="K351" t="s">
        <v>1395</v>
      </c>
      <c r="L351">
        <v>1348</v>
      </c>
      <c r="N351">
        <v>1009</v>
      </c>
      <c r="O351" t="s">
        <v>71</v>
      </c>
      <c r="P351" t="s">
        <v>71</v>
      </c>
      <c r="Q351">
        <v>1000</v>
      </c>
      <c r="W351">
        <v>0</v>
      </c>
      <c r="X351">
        <v>-1598896989</v>
      </c>
      <c r="Y351">
        <v>0</v>
      </c>
      <c r="AA351">
        <v>32800</v>
      </c>
      <c r="AB351">
        <v>0</v>
      </c>
      <c r="AC351">
        <v>0</v>
      </c>
      <c r="AD351">
        <v>0</v>
      </c>
      <c r="AE351">
        <v>5000</v>
      </c>
      <c r="AF351">
        <v>0</v>
      </c>
      <c r="AG351">
        <v>0</v>
      </c>
      <c r="AH351">
        <v>0</v>
      </c>
      <c r="AI351">
        <v>6.56</v>
      </c>
      <c r="AJ351">
        <v>1</v>
      </c>
      <c r="AK351">
        <v>1</v>
      </c>
      <c r="AL351">
        <v>1</v>
      </c>
      <c r="AN351">
        <v>0</v>
      </c>
      <c r="AO351">
        <v>1</v>
      </c>
      <c r="AP351">
        <v>1</v>
      </c>
      <c r="AQ351">
        <v>0</v>
      </c>
      <c r="AR351">
        <v>0</v>
      </c>
      <c r="AS351" t="s">
        <v>6</v>
      </c>
      <c r="AT351">
        <v>5.9999999999999995E-4</v>
      </c>
      <c r="AU351" t="s">
        <v>92</v>
      </c>
      <c r="AV351">
        <v>0</v>
      </c>
      <c r="AW351">
        <v>2</v>
      </c>
      <c r="AX351">
        <v>16750853</v>
      </c>
      <c r="AY351">
        <v>1</v>
      </c>
      <c r="AZ351">
        <v>0</v>
      </c>
      <c r="BA351">
        <v>333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0</v>
      </c>
      <c r="BW351">
        <v>0</v>
      </c>
      <c r="CX351">
        <f>Y351*Source!I257</f>
        <v>0</v>
      </c>
      <c r="CY351">
        <f>AA351</f>
        <v>32800</v>
      </c>
      <c r="CZ351">
        <f>AE351</f>
        <v>5000</v>
      </c>
      <c r="DA351">
        <f>AI351</f>
        <v>6.56</v>
      </c>
      <c r="DB351">
        <f>ROUND((ROUND(AT351*CZ351,2)*0),2)</f>
        <v>0</v>
      </c>
      <c r="DC351">
        <f>ROUND((ROUND(AT351*AG351,2)*0),2)</f>
        <v>0</v>
      </c>
    </row>
    <row r="352" spans="1:107" x14ac:dyDescent="0.2">
      <c r="A352">
        <f>ROW(Source!A257)</f>
        <v>257</v>
      </c>
      <c r="B352">
        <v>16748969</v>
      </c>
      <c r="C352">
        <v>16750838</v>
      </c>
      <c r="D352">
        <v>15164559</v>
      </c>
      <c r="E352">
        <v>17</v>
      </c>
      <c r="F352">
        <v>1</v>
      </c>
      <c r="G352">
        <v>1</v>
      </c>
      <c r="H352">
        <v>3</v>
      </c>
      <c r="I352" t="s">
        <v>1383</v>
      </c>
      <c r="J352" t="s">
        <v>6</v>
      </c>
      <c r="K352" t="s">
        <v>1384</v>
      </c>
      <c r="L352">
        <v>1374</v>
      </c>
      <c r="N352">
        <v>1013</v>
      </c>
      <c r="O352" t="s">
        <v>1385</v>
      </c>
      <c r="P352" t="s">
        <v>1385</v>
      </c>
      <c r="Q352">
        <v>1</v>
      </c>
      <c r="W352">
        <v>0</v>
      </c>
      <c r="X352">
        <v>-1731369543</v>
      </c>
      <c r="Y352">
        <v>0</v>
      </c>
      <c r="AA352">
        <v>1</v>
      </c>
      <c r="AB352">
        <v>0</v>
      </c>
      <c r="AC352">
        <v>0</v>
      </c>
      <c r="AD352">
        <v>0</v>
      </c>
      <c r="AE352">
        <v>1</v>
      </c>
      <c r="AF352">
        <v>0</v>
      </c>
      <c r="AG352">
        <v>0</v>
      </c>
      <c r="AH352">
        <v>0</v>
      </c>
      <c r="AI352">
        <v>1</v>
      </c>
      <c r="AJ352">
        <v>1</v>
      </c>
      <c r="AK352">
        <v>1</v>
      </c>
      <c r="AL352">
        <v>1</v>
      </c>
      <c r="AN352">
        <v>0</v>
      </c>
      <c r="AO352">
        <v>1</v>
      </c>
      <c r="AP352">
        <v>1</v>
      </c>
      <c r="AQ352">
        <v>0</v>
      </c>
      <c r="AR352">
        <v>0</v>
      </c>
      <c r="AS352" t="s">
        <v>6</v>
      </c>
      <c r="AT352">
        <v>0.19</v>
      </c>
      <c r="AU352" t="s">
        <v>92</v>
      </c>
      <c r="AV352">
        <v>0</v>
      </c>
      <c r="AW352">
        <v>2</v>
      </c>
      <c r="AX352">
        <v>16750854</v>
      </c>
      <c r="AY352">
        <v>1</v>
      </c>
      <c r="AZ352">
        <v>0</v>
      </c>
      <c r="BA352">
        <v>334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0</v>
      </c>
      <c r="CX352">
        <f>Y352*Source!I257</f>
        <v>0</v>
      </c>
      <c r="CY352">
        <f>AA352</f>
        <v>1</v>
      </c>
      <c r="CZ352">
        <f>AE352</f>
        <v>1</v>
      </c>
      <c r="DA352">
        <f>AI352</f>
        <v>1</v>
      </c>
      <c r="DB352">
        <f>ROUND((ROUND(AT352*CZ352,2)*0),2)</f>
        <v>0</v>
      </c>
      <c r="DC352">
        <f>ROUND((ROUND(AT352*AG352,2)*0),2)</f>
        <v>0</v>
      </c>
    </row>
    <row r="353" spans="1:107" x14ac:dyDescent="0.2">
      <c r="A353">
        <f>ROW(Source!A292)</f>
        <v>292</v>
      </c>
      <c r="B353">
        <v>16748969</v>
      </c>
      <c r="C353">
        <v>16750855</v>
      </c>
      <c r="D353">
        <v>15446300</v>
      </c>
      <c r="E353">
        <v>1</v>
      </c>
      <c r="F353">
        <v>1</v>
      </c>
      <c r="G353">
        <v>1</v>
      </c>
      <c r="H353">
        <v>1</v>
      </c>
      <c r="I353" t="s">
        <v>1095</v>
      </c>
      <c r="J353" t="s">
        <v>6</v>
      </c>
      <c r="K353" t="s">
        <v>1096</v>
      </c>
      <c r="L353">
        <v>1191</v>
      </c>
      <c r="N353">
        <v>1013</v>
      </c>
      <c r="O353" t="s">
        <v>1072</v>
      </c>
      <c r="P353" t="s">
        <v>1072</v>
      </c>
      <c r="Q353">
        <v>1</v>
      </c>
      <c r="W353">
        <v>0</v>
      </c>
      <c r="X353">
        <v>912892513</v>
      </c>
      <c r="Y353">
        <v>94.4</v>
      </c>
      <c r="AA353">
        <v>0</v>
      </c>
      <c r="AB353">
        <v>0</v>
      </c>
      <c r="AC353">
        <v>0</v>
      </c>
      <c r="AD353">
        <v>65.08</v>
      </c>
      <c r="AE353">
        <v>0</v>
      </c>
      <c r="AF353">
        <v>0</v>
      </c>
      <c r="AG353">
        <v>0</v>
      </c>
      <c r="AH353">
        <v>9.92</v>
      </c>
      <c r="AI353">
        <v>1</v>
      </c>
      <c r="AJ353">
        <v>1</v>
      </c>
      <c r="AK353">
        <v>1</v>
      </c>
      <c r="AL353">
        <v>6.56</v>
      </c>
      <c r="AN353">
        <v>0</v>
      </c>
      <c r="AO353">
        <v>1</v>
      </c>
      <c r="AP353">
        <v>0</v>
      </c>
      <c r="AQ353">
        <v>0</v>
      </c>
      <c r="AR353">
        <v>0</v>
      </c>
      <c r="AS353" t="s">
        <v>6</v>
      </c>
      <c r="AT353">
        <v>94.4</v>
      </c>
      <c r="AU353" t="s">
        <v>6</v>
      </c>
      <c r="AV353">
        <v>1</v>
      </c>
      <c r="AW353">
        <v>2</v>
      </c>
      <c r="AX353">
        <v>16750863</v>
      </c>
      <c r="AY353">
        <v>1</v>
      </c>
      <c r="AZ353">
        <v>0</v>
      </c>
      <c r="BA353">
        <v>335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0</v>
      </c>
      <c r="CX353">
        <f>Y353*Source!I292</f>
        <v>40.591999999999999</v>
      </c>
      <c r="CY353">
        <f>AD353</f>
        <v>65.08</v>
      </c>
      <c r="CZ353">
        <f>AH353</f>
        <v>9.92</v>
      </c>
      <c r="DA353">
        <f>AL353</f>
        <v>6.56</v>
      </c>
      <c r="DB353">
        <f t="shared" ref="DB353:DB416" si="54">ROUND(ROUND(AT353*CZ353,2),2)</f>
        <v>936.45</v>
      </c>
      <c r="DC353">
        <f t="shared" ref="DC353:DC416" si="55">ROUND(ROUND(AT353*AG353,2),2)</f>
        <v>0</v>
      </c>
    </row>
    <row r="354" spans="1:107" x14ac:dyDescent="0.2">
      <c r="A354">
        <f>ROW(Source!A292)</f>
        <v>292</v>
      </c>
      <c r="B354">
        <v>16748969</v>
      </c>
      <c r="C354">
        <v>16750855</v>
      </c>
      <c r="D354">
        <v>15430395</v>
      </c>
      <c r="E354">
        <v>1</v>
      </c>
      <c r="F354">
        <v>1</v>
      </c>
      <c r="G354">
        <v>1</v>
      </c>
      <c r="H354">
        <v>1</v>
      </c>
      <c r="I354" t="s">
        <v>1073</v>
      </c>
      <c r="J354" t="s">
        <v>6</v>
      </c>
      <c r="K354" t="s">
        <v>1074</v>
      </c>
      <c r="L354">
        <v>1191</v>
      </c>
      <c r="N354">
        <v>1013</v>
      </c>
      <c r="O354" t="s">
        <v>1072</v>
      </c>
      <c r="P354" t="s">
        <v>1072</v>
      </c>
      <c r="Q354">
        <v>1</v>
      </c>
      <c r="W354">
        <v>0</v>
      </c>
      <c r="X354">
        <v>-1417349443</v>
      </c>
      <c r="Y354">
        <v>0.4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0</v>
      </c>
      <c r="AG354">
        <v>0</v>
      </c>
      <c r="AH354">
        <v>0</v>
      </c>
      <c r="AI354">
        <v>1</v>
      </c>
      <c r="AJ354">
        <v>1</v>
      </c>
      <c r="AK354">
        <v>6.56</v>
      </c>
      <c r="AL354">
        <v>1</v>
      </c>
      <c r="AN354">
        <v>0</v>
      </c>
      <c r="AO354">
        <v>1</v>
      </c>
      <c r="AP354">
        <v>0</v>
      </c>
      <c r="AQ354">
        <v>0</v>
      </c>
      <c r="AR354">
        <v>0</v>
      </c>
      <c r="AS354" t="s">
        <v>6</v>
      </c>
      <c r="AT354">
        <v>0.4</v>
      </c>
      <c r="AU354" t="s">
        <v>6</v>
      </c>
      <c r="AV354">
        <v>2</v>
      </c>
      <c r="AW354">
        <v>2</v>
      </c>
      <c r="AX354">
        <v>16750864</v>
      </c>
      <c r="AY354">
        <v>1</v>
      </c>
      <c r="AZ354">
        <v>0</v>
      </c>
      <c r="BA354">
        <v>336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0</v>
      </c>
      <c r="BW354">
        <v>0</v>
      </c>
      <c r="CX354">
        <f>Y354*Source!I292</f>
        <v>0.17200000000000001</v>
      </c>
      <c r="CY354">
        <f>AD354</f>
        <v>0</v>
      </c>
      <c r="CZ354">
        <f>AH354</f>
        <v>0</v>
      </c>
      <c r="DA354">
        <f>AL354</f>
        <v>1</v>
      </c>
      <c r="DB354">
        <f t="shared" si="54"/>
        <v>0</v>
      </c>
      <c r="DC354">
        <f t="shared" si="55"/>
        <v>0</v>
      </c>
    </row>
    <row r="355" spans="1:107" x14ac:dyDescent="0.2">
      <c r="A355">
        <f>ROW(Source!A292)</f>
        <v>292</v>
      </c>
      <c r="B355">
        <v>16748969</v>
      </c>
      <c r="C355">
        <v>16750855</v>
      </c>
      <c r="D355">
        <v>15247680</v>
      </c>
      <c r="E355">
        <v>1</v>
      </c>
      <c r="F355">
        <v>1</v>
      </c>
      <c r="G355">
        <v>1</v>
      </c>
      <c r="H355">
        <v>2</v>
      </c>
      <c r="I355" t="s">
        <v>1211</v>
      </c>
      <c r="J355" t="s">
        <v>1212</v>
      </c>
      <c r="K355" t="s">
        <v>1213</v>
      </c>
      <c r="L355">
        <v>1368</v>
      </c>
      <c r="N355">
        <v>1011</v>
      </c>
      <c r="O355" t="s">
        <v>1078</v>
      </c>
      <c r="P355" t="s">
        <v>1078</v>
      </c>
      <c r="Q355">
        <v>1</v>
      </c>
      <c r="W355">
        <v>0</v>
      </c>
      <c r="X355">
        <v>-1718674368</v>
      </c>
      <c r="Y355">
        <v>0.2</v>
      </c>
      <c r="AA355">
        <v>0</v>
      </c>
      <c r="AB355">
        <v>734.65</v>
      </c>
      <c r="AC355">
        <v>13.5</v>
      </c>
      <c r="AD355">
        <v>0</v>
      </c>
      <c r="AE355">
        <v>0</v>
      </c>
      <c r="AF355">
        <v>111.99</v>
      </c>
      <c r="AG355">
        <v>13.5</v>
      </c>
      <c r="AH355">
        <v>0</v>
      </c>
      <c r="AI355">
        <v>1</v>
      </c>
      <c r="AJ355">
        <v>6.56</v>
      </c>
      <c r="AK355">
        <v>1</v>
      </c>
      <c r="AL355">
        <v>1</v>
      </c>
      <c r="AN355">
        <v>0</v>
      </c>
      <c r="AO355">
        <v>1</v>
      </c>
      <c r="AP355">
        <v>0</v>
      </c>
      <c r="AQ355">
        <v>0</v>
      </c>
      <c r="AR355">
        <v>0</v>
      </c>
      <c r="AS355" t="s">
        <v>6</v>
      </c>
      <c r="AT355">
        <v>0.2</v>
      </c>
      <c r="AU355" t="s">
        <v>6</v>
      </c>
      <c r="AV355">
        <v>0</v>
      </c>
      <c r="AW355">
        <v>2</v>
      </c>
      <c r="AX355">
        <v>16750865</v>
      </c>
      <c r="AY355">
        <v>1</v>
      </c>
      <c r="AZ355">
        <v>0</v>
      </c>
      <c r="BA355">
        <v>337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CX355">
        <f>Y355*Source!I292</f>
        <v>8.6000000000000007E-2</v>
      </c>
      <c r="CY355">
        <f>AB355</f>
        <v>734.65</v>
      </c>
      <c r="CZ355">
        <f>AF355</f>
        <v>111.99</v>
      </c>
      <c r="DA355">
        <f>AJ355</f>
        <v>6.56</v>
      </c>
      <c r="DB355">
        <f t="shared" si="54"/>
        <v>22.4</v>
      </c>
      <c r="DC355">
        <f t="shared" si="55"/>
        <v>2.7</v>
      </c>
    </row>
    <row r="356" spans="1:107" x14ac:dyDescent="0.2">
      <c r="A356">
        <f>ROW(Source!A292)</f>
        <v>292</v>
      </c>
      <c r="B356">
        <v>16748969</v>
      </c>
      <c r="C356">
        <v>16750855</v>
      </c>
      <c r="D356">
        <v>15249073</v>
      </c>
      <c r="E356">
        <v>1</v>
      </c>
      <c r="F356">
        <v>1</v>
      </c>
      <c r="G356">
        <v>1</v>
      </c>
      <c r="H356">
        <v>2</v>
      </c>
      <c r="I356" t="s">
        <v>1097</v>
      </c>
      <c r="J356" t="s">
        <v>1098</v>
      </c>
      <c r="K356" t="s">
        <v>1099</v>
      </c>
      <c r="L356">
        <v>1368</v>
      </c>
      <c r="N356">
        <v>1011</v>
      </c>
      <c r="O356" t="s">
        <v>1078</v>
      </c>
      <c r="P356" t="s">
        <v>1078</v>
      </c>
      <c r="Q356">
        <v>1</v>
      </c>
      <c r="W356">
        <v>0</v>
      </c>
      <c r="X356">
        <v>1372534845</v>
      </c>
      <c r="Y356">
        <v>0.2</v>
      </c>
      <c r="AA356">
        <v>0</v>
      </c>
      <c r="AB356">
        <v>431.06</v>
      </c>
      <c r="AC356">
        <v>11.6</v>
      </c>
      <c r="AD356">
        <v>0</v>
      </c>
      <c r="AE356">
        <v>0</v>
      </c>
      <c r="AF356">
        <v>65.709999999999994</v>
      </c>
      <c r="AG356">
        <v>11.6</v>
      </c>
      <c r="AH356">
        <v>0</v>
      </c>
      <c r="AI356">
        <v>1</v>
      </c>
      <c r="AJ356">
        <v>6.56</v>
      </c>
      <c r="AK356">
        <v>1</v>
      </c>
      <c r="AL356">
        <v>1</v>
      </c>
      <c r="AN356">
        <v>0</v>
      </c>
      <c r="AO356">
        <v>1</v>
      </c>
      <c r="AP356">
        <v>0</v>
      </c>
      <c r="AQ356">
        <v>0</v>
      </c>
      <c r="AR356">
        <v>0</v>
      </c>
      <c r="AS356" t="s">
        <v>6</v>
      </c>
      <c r="AT356">
        <v>0.2</v>
      </c>
      <c r="AU356" t="s">
        <v>6</v>
      </c>
      <c r="AV356">
        <v>0</v>
      </c>
      <c r="AW356">
        <v>2</v>
      </c>
      <c r="AX356">
        <v>16750866</v>
      </c>
      <c r="AY356">
        <v>1</v>
      </c>
      <c r="AZ356">
        <v>0</v>
      </c>
      <c r="BA356">
        <v>338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CX356">
        <f>Y356*Source!I292</f>
        <v>8.6000000000000007E-2</v>
      </c>
      <c r="CY356">
        <f>AB356</f>
        <v>431.06</v>
      </c>
      <c r="CZ356">
        <f>AF356</f>
        <v>65.709999999999994</v>
      </c>
      <c r="DA356">
        <f>AJ356</f>
        <v>6.56</v>
      </c>
      <c r="DB356">
        <f t="shared" si="54"/>
        <v>13.14</v>
      </c>
      <c r="DC356">
        <f t="shared" si="55"/>
        <v>2.3199999999999998</v>
      </c>
    </row>
    <row r="357" spans="1:107" x14ac:dyDescent="0.2">
      <c r="A357">
        <f>ROW(Source!A292)</f>
        <v>292</v>
      </c>
      <c r="B357">
        <v>16748969</v>
      </c>
      <c r="C357">
        <v>16750855</v>
      </c>
      <c r="D357">
        <v>15219877</v>
      </c>
      <c r="E357">
        <v>1</v>
      </c>
      <c r="F357">
        <v>1</v>
      </c>
      <c r="G357">
        <v>1</v>
      </c>
      <c r="H357">
        <v>3</v>
      </c>
      <c r="I357" t="s">
        <v>605</v>
      </c>
      <c r="J357" t="s">
        <v>607</v>
      </c>
      <c r="K357" t="s">
        <v>606</v>
      </c>
      <c r="L357">
        <v>1354</v>
      </c>
      <c r="N357">
        <v>1010</v>
      </c>
      <c r="O357" t="s">
        <v>53</v>
      </c>
      <c r="P357" t="s">
        <v>53</v>
      </c>
      <c r="Q357">
        <v>1</v>
      </c>
      <c r="W357">
        <v>0</v>
      </c>
      <c r="X357">
        <v>-287472163</v>
      </c>
      <c r="Y357">
        <v>100</v>
      </c>
      <c r="AA357">
        <v>2232.83</v>
      </c>
      <c r="AB357">
        <v>0</v>
      </c>
      <c r="AC357">
        <v>0</v>
      </c>
      <c r="AD357">
        <v>0</v>
      </c>
      <c r="AE357">
        <v>340.37</v>
      </c>
      <c r="AF357">
        <v>0</v>
      </c>
      <c r="AG357">
        <v>0</v>
      </c>
      <c r="AH357">
        <v>0</v>
      </c>
      <c r="AI357">
        <v>6.56</v>
      </c>
      <c r="AJ357">
        <v>1</v>
      </c>
      <c r="AK357">
        <v>1</v>
      </c>
      <c r="AL357">
        <v>1</v>
      </c>
      <c r="AN357">
        <v>0</v>
      </c>
      <c r="AO357">
        <v>0</v>
      </c>
      <c r="AP357">
        <v>0</v>
      </c>
      <c r="AQ357">
        <v>0</v>
      </c>
      <c r="AR357">
        <v>0</v>
      </c>
      <c r="AS357" t="s">
        <v>6</v>
      </c>
      <c r="AT357">
        <v>100</v>
      </c>
      <c r="AU357" t="s">
        <v>6</v>
      </c>
      <c r="AV357">
        <v>0</v>
      </c>
      <c r="AW357">
        <v>1</v>
      </c>
      <c r="AX357">
        <v>-1</v>
      </c>
      <c r="AY357">
        <v>0</v>
      </c>
      <c r="AZ357">
        <v>0</v>
      </c>
      <c r="BA357" t="s">
        <v>6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0</v>
      </c>
      <c r="BW357">
        <v>0</v>
      </c>
      <c r="CX357">
        <f>Y357*Source!I292</f>
        <v>43</v>
      </c>
      <c r="CY357">
        <f>AA357</f>
        <v>2232.83</v>
      </c>
      <c r="CZ357">
        <f>AE357</f>
        <v>340.37</v>
      </c>
      <c r="DA357">
        <f>AI357</f>
        <v>6.56</v>
      </c>
      <c r="DB357">
        <f t="shared" si="54"/>
        <v>34037</v>
      </c>
      <c r="DC357">
        <f t="shared" si="55"/>
        <v>0</v>
      </c>
    </row>
    <row r="358" spans="1:107" x14ac:dyDescent="0.2">
      <c r="A358">
        <f>ROW(Source!A292)</f>
        <v>292</v>
      </c>
      <c r="B358">
        <v>16748969</v>
      </c>
      <c r="C358">
        <v>16750855</v>
      </c>
      <c r="D358">
        <v>15221296</v>
      </c>
      <c r="E358">
        <v>1</v>
      </c>
      <c r="F358">
        <v>1</v>
      </c>
      <c r="G358">
        <v>1</v>
      </c>
      <c r="H358">
        <v>3</v>
      </c>
      <c r="I358" t="s">
        <v>1396</v>
      </c>
      <c r="J358" t="s">
        <v>1397</v>
      </c>
      <c r="K358" t="s">
        <v>1398</v>
      </c>
      <c r="L358">
        <v>1355</v>
      </c>
      <c r="N358">
        <v>1010</v>
      </c>
      <c r="O358" t="s">
        <v>724</v>
      </c>
      <c r="P358" t="s">
        <v>724</v>
      </c>
      <c r="Q358">
        <v>100</v>
      </c>
      <c r="W358">
        <v>0</v>
      </c>
      <c r="X358">
        <v>783817326</v>
      </c>
      <c r="Y358">
        <v>1.02</v>
      </c>
      <c r="AA358">
        <v>656</v>
      </c>
      <c r="AB358">
        <v>0</v>
      </c>
      <c r="AC358">
        <v>0</v>
      </c>
      <c r="AD358">
        <v>0</v>
      </c>
      <c r="AE358">
        <v>100</v>
      </c>
      <c r="AF358">
        <v>0</v>
      </c>
      <c r="AG358">
        <v>0</v>
      </c>
      <c r="AH358">
        <v>0</v>
      </c>
      <c r="AI358">
        <v>6.56</v>
      </c>
      <c r="AJ358">
        <v>1</v>
      </c>
      <c r="AK358">
        <v>1</v>
      </c>
      <c r="AL358">
        <v>1</v>
      </c>
      <c r="AN358">
        <v>0</v>
      </c>
      <c r="AO358">
        <v>1</v>
      </c>
      <c r="AP358">
        <v>0</v>
      </c>
      <c r="AQ358">
        <v>0</v>
      </c>
      <c r="AR358">
        <v>0</v>
      </c>
      <c r="AS358" t="s">
        <v>6</v>
      </c>
      <c r="AT358">
        <v>1.02</v>
      </c>
      <c r="AU358" t="s">
        <v>6</v>
      </c>
      <c r="AV358">
        <v>0</v>
      </c>
      <c r="AW358">
        <v>2</v>
      </c>
      <c r="AX358">
        <v>16750867</v>
      </c>
      <c r="AY358">
        <v>1</v>
      </c>
      <c r="AZ358">
        <v>0</v>
      </c>
      <c r="BA358">
        <v>339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  <c r="CX358">
        <f>Y358*Source!I292</f>
        <v>0.43859999999999999</v>
      </c>
      <c r="CY358">
        <f>AA358</f>
        <v>656</v>
      </c>
      <c r="CZ358">
        <f>AE358</f>
        <v>100</v>
      </c>
      <c r="DA358">
        <f>AI358</f>
        <v>6.56</v>
      </c>
      <c r="DB358">
        <f t="shared" si="54"/>
        <v>102</v>
      </c>
      <c r="DC358">
        <f t="shared" si="55"/>
        <v>0</v>
      </c>
    </row>
    <row r="359" spans="1:107" x14ac:dyDescent="0.2">
      <c r="A359">
        <f>ROW(Source!A292)</f>
        <v>292</v>
      </c>
      <c r="B359">
        <v>16748969</v>
      </c>
      <c r="C359">
        <v>16750855</v>
      </c>
      <c r="D359">
        <v>15164559</v>
      </c>
      <c r="E359">
        <v>17</v>
      </c>
      <c r="F359">
        <v>1</v>
      </c>
      <c r="G359">
        <v>1</v>
      </c>
      <c r="H359">
        <v>3</v>
      </c>
      <c r="I359" t="s">
        <v>1383</v>
      </c>
      <c r="J359" t="s">
        <v>6</v>
      </c>
      <c r="K359" t="s">
        <v>1384</v>
      </c>
      <c r="L359">
        <v>1374</v>
      </c>
      <c r="N359">
        <v>1013</v>
      </c>
      <c r="O359" t="s">
        <v>1385</v>
      </c>
      <c r="P359" t="s">
        <v>1385</v>
      </c>
      <c r="Q359">
        <v>1</v>
      </c>
      <c r="W359">
        <v>0</v>
      </c>
      <c r="X359">
        <v>-1731369543</v>
      </c>
      <c r="Y359">
        <v>18.73</v>
      </c>
      <c r="AA359">
        <v>1</v>
      </c>
      <c r="AB359">
        <v>0</v>
      </c>
      <c r="AC359">
        <v>0</v>
      </c>
      <c r="AD359">
        <v>0</v>
      </c>
      <c r="AE359">
        <v>1</v>
      </c>
      <c r="AF359">
        <v>0</v>
      </c>
      <c r="AG359">
        <v>0</v>
      </c>
      <c r="AH359">
        <v>0</v>
      </c>
      <c r="AI359">
        <v>1</v>
      </c>
      <c r="AJ359">
        <v>1</v>
      </c>
      <c r="AK359">
        <v>1</v>
      </c>
      <c r="AL359">
        <v>1</v>
      </c>
      <c r="AN359">
        <v>0</v>
      </c>
      <c r="AO359">
        <v>1</v>
      </c>
      <c r="AP359">
        <v>0</v>
      </c>
      <c r="AQ359">
        <v>0</v>
      </c>
      <c r="AR359">
        <v>0</v>
      </c>
      <c r="AS359" t="s">
        <v>6</v>
      </c>
      <c r="AT359">
        <v>18.73</v>
      </c>
      <c r="AU359" t="s">
        <v>6</v>
      </c>
      <c r="AV359">
        <v>0</v>
      </c>
      <c r="AW359">
        <v>2</v>
      </c>
      <c r="AX359">
        <v>16750868</v>
      </c>
      <c r="AY359">
        <v>1</v>
      </c>
      <c r="AZ359">
        <v>0</v>
      </c>
      <c r="BA359">
        <v>340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0</v>
      </c>
      <c r="CX359">
        <f>Y359*Source!I292</f>
        <v>8.0539000000000005</v>
      </c>
      <c r="CY359">
        <f>AA359</f>
        <v>1</v>
      </c>
      <c r="CZ359">
        <f>AE359</f>
        <v>1</v>
      </c>
      <c r="DA359">
        <f>AI359</f>
        <v>1</v>
      </c>
      <c r="DB359">
        <f t="shared" si="54"/>
        <v>18.73</v>
      </c>
      <c r="DC359">
        <f t="shared" si="55"/>
        <v>0</v>
      </c>
    </row>
    <row r="360" spans="1:107" x14ac:dyDescent="0.2">
      <c r="A360">
        <f>ROW(Source!A294)</f>
        <v>294</v>
      </c>
      <c r="B360">
        <v>16748969</v>
      </c>
      <c r="C360">
        <v>16750870</v>
      </c>
      <c r="D360">
        <v>15446300</v>
      </c>
      <c r="E360">
        <v>1</v>
      </c>
      <c r="F360">
        <v>1</v>
      </c>
      <c r="G360">
        <v>1</v>
      </c>
      <c r="H360">
        <v>1</v>
      </c>
      <c r="I360" t="s">
        <v>1095</v>
      </c>
      <c r="J360" t="s">
        <v>6</v>
      </c>
      <c r="K360" t="s">
        <v>1096</v>
      </c>
      <c r="L360">
        <v>1191</v>
      </c>
      <c r="N360">
        <v>1013</v>
      </c>
      <c r="O360" t="s">
        <v>1072</v>
      </c>
      <c r="P360" t="s">
        <v>1072</v>
      </c>
      <c r="Q360">
        <v>1</v>
      </c>
      <c r="W360">
        <v>0</v>
      </c>
      <c r="X360">
        <v>912892513</v>
      </c>
      <c r="Y360">
        <v>35.130000000000003</v>
      </c>
      <c r="AA360">
        <v>0</v>
      </c>
      <c r="AB360">
        <v>0</v>
      </c>
      <c r="AC360">
        <v>0</v>
      </c>
      <c r="AD360">
        <v>65.08</v>
      </c>
      <c r="AE360">
        <v>0</v>
      </c>
      <c r="AF360">
        <v>0</v>
      </c>
      <c r="AG360">
        <v>0</v>
      </c>
      <c r="AH360">
        <v>9.92</v>
      </c>
      <c r="AI360">
        <v>1</v>
      </c>
      <c r="AJ360">
        <v>1</v>
      </c>
      <c r="AK360">
        <v>1</v>
      </c>
      <c r="AL360">
        <v>6.56</v>
      </c>
      <c r="AN360">
        <v>0</v>
      </c>
      <c r="AO360">
        <v>1</v>
      </c>
      <c r="AP360">
        <v>0</v>
      </c>
      <c r="AQ360">
        <v>0</v>
      </c>
      <c r="AR360">
        <v>0</v>
      </c>
      <c r="AS360" t="s">
        <v>6</v>
      </c>
      <c r="AT360">
        <v>35.130000000000003</v>
      </c>
      <c r="AU360" t="s">
        <v>6</v>
      </c>
      <c r="AV360">
        <v>1</v>
      </c>
      <c r="AW360">
        <v>2</v>
      </c>
      <c r="AX360">
        <v>16750880</v>
      </c>
      <c r="AY360">
        <v>1</v>
      </c>
      <c r="AZ360">
        <v>0</v>
      </c>
      <c r="BA360">
        <v>341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  <c r="BS360">
        <v>0</v>
      </c>
      <c r="BT360">
        <v>0</v>
      </c>
      <c r="BU360">
        <v>0</v>
      </c>
      <c r="BV360">
        <v>0</v>
      </c>
      <c r="BW360">
        <v>0</v>
      </c>
      <c r="CX360">
        <f>Y360*Source!I294</f>
        <v>0.70260000000000011</v>
      </c>
      <c r="CY360">
        <f>AD360</f>
        <v>65.08</v>
      </c>
      <c r="CZ360">
        <f>AH360</f>
        <v>9.92</v>
      </c>
      <c r="DA360">
        <f>AL360</f>
        <v>6.56</v>
      </c>
      <c r="DB360">
        <f t="shared" si="54"/>
        <v>348.49</v>
      </c>
      <c r="DC360">
        <f t="shared" si="55"/>
        <v>0</v>
      </c>
    </row>
    <row r="361" spans="1:107" x14ac:dyDescent="0.2">
      <c r="A361">
        <f>ROW(Source!A294)</f>
        <v>294</v>
      </c>
      <c r="B361">
        <v>16748969</v>
      </c>
      <c r="C361">
        <v>16750870</v>
      </c>
      <c r="D361">
        <v>15430395</v>
      </c>
      <c r="E361">
        <v>1</v>
      </c>
      <c r="F361">
        <v>1</v>
      </c>
      <c r="G361">
        <v>1</v>
      </c>
      <c r="H361">
        <v>1</v>
      </c>
      <c r="I361" t="s">
        <v>1073</v>
      </c>
      <c r="J361" t="s">
        <v>6</v>
      </c>
      <c r="K361" t="s">
        <v>1074</v>
      </c>
      <c r="L361">
        <v>1191</v>
      </c>
      <c r="N361">
        <v>1013</v>
      </c>
      <c r="O361" t="s">
        <v>1072</v>
      </c>
      <c r="P361" t="s">
        <v>1072</v>
      </c>
      <c r="Q361">
        <v>1</v>
      </c>
      <c r="W361">
        <v>0</v>
      </c>
      <c r="X361">
        <v>-1417349443</v>
      </c>
      <c r="Y361">
        <v>0.05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0</v>
      </c>
      <c r="AG361">
        <v>0</v>
      </c>
      <c r="AH361">
        <v>0</v>
      </c>
      <c r="AI361">
        <v>1</v>
      </c>
      <c r="AJ361">
        <v>1</v>
      </c>
      <c r="AK361">
        <v>6.56</v>
      </c>
      <c r="AL361">
        <v>1</v>
      </c>
      <c r="AN361">
        <v>0</v>
      </c>
      <c r="AO361">
        <v>1</v>
      </c>
      <c r="AP361">
        <v>0</v>
      </c>
      <c r="AQ361">
        <v>0</v>
      </c>
      <c r="AR361">
        <v>0</v>
      </c>
      <c r="AS361" t="s">
        <v>6</v>
      </c>
      <c r="AT361">
        <v>0.05</v>
      </c>
      <c r="AU361" t="s">
        <v>6</v>
      </c>
      <c r="AV361">
        <v>2</v>
      </c>
      <c r="AW361">
        <v>2</v>
      </c>
      <c r="AX361">
        <v>16750881</v>
      </c>
      <c r="AY361">
        <v>1</v>
      </c>
      <c r="AZ361">
        <v>0</v>
      </c>
      <c r="BA361">
        <v>342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0</v>
      </c>
      <c r="CX361">
        <f>Y361*Source!I294</f>
        <v>1E-3</v>
      </c>
      <c r="CY361">
        <f>AD361</f>
        <v>0</v>
      </c>
      <c r="CZ361">
        <f>AH361</f>
        <v>0</v>
      </c>
      <c r="DA361">
        <f>AL361</f>
        <v>1</v>
      </c>
      <c r="DB361">
        <f t="shared" si="54"/>
        <v>0</v>
      </c>
      <c r="DC361">
        <f t="shared" si="55"/>
        <v>0</v>
      </c>
    </row>
    <row r="362" spans="1:107" x14ac:dyDescent="0.2">
      <c r="A362">
        <f>ROW(Source!A294)</f>
        <v>294</v>
      </c>
      <c r="B362">
        <v>16748969</v>
      </c>
      <c r="C362">
        <v>16750870</v>
      </c>
      <c r="D362">
        <v>15247680</v>
      </c>
      <c r="E362">
        <v>1</v>
      </c>
      <c r="F362">
        <v>1</v>
      </c>
      <c r="G362">
        <v>1</v>
      </c>
      <c r="H362">
        <v>2</v>
      </c>
      <c r="I362" t="s">
        <v>1211</v>
      </c>
      <c r="J362" t="s">
        <v>1212</v>
      </c>
      <c r="K362" t="s">
        <v>1213</v>
      </c>
      <c r="L362">
        <v>1368</v>
      </c>
      <c r="N362">
        <v>1011</v>
      </c>
      <c r="O362" t="s">
        <v>1078</v>
      </c>
      <c r="P362" t="s">
        <v>1078</v>
      </c>
      <c r="Q362">
        <v>1</v>
      </c>
      <c r="W362">
        <v>0</v>
      </c>
      <c r="X362">
        <v>-1718674368</v>
      </c>
      <c r="Y362">
        <v>0.03</v>
      </c>
      <c r="AA362">
        <v>0</v>
      </c>
      <c r="AB362">
        <v>734.65</v>
      </c>
      <c r="AC362">
        <v>13.5</v>
      </c>
      <c r="AD362">
        <v>0</v>
      </c>
      <c r="AE362">
        <v>0</v>
      </c>
      <c r="AF362">
        <v>111.99</v>
      </c>
      <c r="AG362">
        <v>13.5</v>
      </c>
      <c r="AH362">
        <v>0</v>
      </c>
      <c r="AI362">
        <v>1</v>
      </c>
      <c r="AJ362">
        <v>6.56</v>
      </c>
      <c r="AK362">
        <v>1</v>
      </c>
      <c r="AL362">
        <v>1</v>
      </c>
      <c r="AN362">
        <v>0</v>
      </c>
      <c r="AO362">
        <v>1</v>
      </c>
      <c r="AP362">
        <v>0</v>
      </c>
      <c r="AQ362">
        <v>0</v>
      </c>
      <c r="AR362">
        <v>0</v>
      </c>
      <c r="AS362" t="s">
        <v>6</v>
      </c>
      <c r="AT362">
        <v>0.03</v>
      </c>
      <c r="AU362" t="s">
        <v>6</v>
      </c>
      <c r="AV362">
        <v>0</v>
      </c>
      <c r="AW362">
        <v>2</v>
      </c>
      <c r="AX362">
        <v>16750882</v>
      </c>
      <c r="AY362">
        <v>1</v>
      </c>
      <c r="AZ362">
        <v>0</v>
      </c>
      <c r="BA362">
        <v>343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0</v>
      </c>
      <c r="CX362">
        <f>Y362*Source!I294</f>
        <v>5.9999999999999995E-4</v>
      </c>
      <c r="CY362">
        <f>AB362</f>
        <v>734.65</v>
      </c>
      <c r="CZ362">
        <f>AF362</f>
        <v>111.99</v>
      </c>
      <c r="DA362">
        <f>AJ362</f>
        <v>6.56</v>
      </c>
      <c r="DB362">
        <f t="shared" si="54"/>
        <v>3.36</v>
      </c>
      <c r="DC362">
        <f t="shared" si="55"/>
        <v>0.41</v>
      </c>
    </row>
    <row r="363" spans="1:107" x14ac:dyDescent="0.2">
      <c r="A363">
        <f>ROW(Source!A294)</f>
        <v>294</v>
      </c>
      <c r="B363">
        <v>16748969</v>
      </c>
      <c r="C363">
        <v>16750870</v>
      </c>
      <c r="D363">
        <v>15249073</v>
      </c>
      <c r="E363">
        <v>1</v>
      </c>
      <c r="F363">
        <v>1</v>
      </c>
      <c r="G363">
        <v>1</v>
      </c>
      <c r="H363">
        <v>2</v>
      </c>
      <c r="I363" t="s">
        <v>1097</v>
      </c>
      <c r="J363" t="s">
        <v>1098</v>
      </c>
      <c r="K363" t="s">
        <v>1099</v>
      </c>
      <c r="L363">
        <v>1368</v>
      </c>
      <c r="N363">
        <v>1011</v>
      </c>
      <c r="O363" t="s">
        <v>1078</v>
      </c>
      <c r="P363" t="s">
        <v>1078</v>
      </c>
      <c r="Q363">
        <v>1</v>
      </c>
      <c r="W363">
        <v>0</v>
      </c>
      <c r="X363">
        <v>1372534845</v>
      </c>
      <c r="Y363">
        <v>0.02</v>
      </c>
      <c r="AA363">
        <v>0</v>
      </c>
      <c r="AB363">
        <v>431.06</v>
      </c>
      <c r="AC363">
        <v>11.6</v>
      </c>
      <c r="AD363">
        <v>0</v>
      </c>
      <c r="AE363">
        <v>0</v>
      </c>
      <c r="AF363">
        <v>65.709999999999994</v>
      </c>
      <c r="AG363">
        <v>11.6</v>
      </c>
      <c r="AH363">
        <v>0</v>
      </c>
      <c r="AI363">
        <v>1</v>
      </c>
      <c r="AJ363">
        <v>6.56</v>
      </c>
      <c r="AK363">
        <v>1</v>
      </c>
      <c r="AL363">
        <v>1</v>
      </c>
      <c r="AN363">
        <v>0</v>
      </c>
      <c r="AO363">
        <v>1</v>
      </c>
      <c r="AP363">
        <v>0</v>
      </c>
      <c r="AQ363">
        <v>0</v>
      </c>
      <c r="AR363">
        <v>0</v>
      </c>
      <c r="AS363" t="s">
        <v>6</v>
      </c>
      <c r="AT363">
        <v>0.02</v>
      </c>
      <c r="AU363" t="s">
        <v>6</v>
      </c>
      <c r="AV363">
        <v>0</v>
      </c>
      <c r="AW363">
        <v>2</v>
      </c>
      <c r="AX363">
        <v>16750883</v>
      </c>
      <c r="AY363">
        <v>1</v>
      </c>
      <c r="AZ363">
        <v>0</v>
      </c>
      <c r="BA363">
        <v>344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  <c r="CX363">
        <f>Y363*Source!I294</f>
        <v>4.0000000000000002E-4</v>
      </c>
      <c r="CY363">
        <f>AB363</f>
        <v>431.06</v>
      </c>
      <c r="CZ363">
        <f>AF363</f>
        <v>65.709999999999994</v>
      </c>
      <c r="DA363">
        <f>AJ363</f>
        <v>6.56</v>
      </c>
      <c r="DB363">
        <f t="shared" si="54"/>
        <v>1.31</v>
      </c>
      <c r="DC363">
        <f t="shared" si="55"/>
        <v>0.23</v>
      </c>
    </row>
    <row r="364" spans="1:107" x14ac:dyDescent="0.2">
      <c r="A364">
        <f>ROW(Source!A294)</f>
        <v>294</v>
      </c>
      <c r="B364">
        <v>16748969</v>
      </c>
      <c r="C364">
        <v>16750870</v>
      </c>
      <c r="D364">
        <v>15170074</v>
      </c>
      <c r="E364">
        <v>1</v>
      </c>
      <c r="F364">
        <v>1</v>
      </c>
      <c r="G364">
        <v>1</v>
      </c>
      <c r="H364">
        <v>3</v>
      </c>
      <c r="I364" t="s">
        <v>1399</v>
      </c>
      <c r="J364" t="s">
        <v>1400</v>
      </c>
      <c r="K364" t="s">
        <v>1401</v>
      </c>
      <c r="L364">
        <v>1355</v>
      </c>
      <c r="N364">
        <v>1010</v>
      </c>
      <c r="O364" t="s">
        <v>724</v>
      </c>
      <c r="P364" t="s">
        <v>724</v>
      </c>
      <c r="Q364">
        <v>100</v>
      </c>
      <c r="W364">
        <v>0</v>
      </c>
      <c r="X364">
        <v>1794244060</v>
      </c>
      <c r="Y364">
        <v>1.02</v>
      </c>
      <c r="AA364">
        <v>564.16</v>
      </c>
      <c r="AB364">
        <v>0</v>
      </c>
      <c r="AC364">
        <v>0</v>
      </c>
      <c r="AD364">
        <v>0</v>
      </c>
      <c r="AE364">
        <v>86</v>
      </c>
      <c r="AF364">
        <v>0</v>
      </c>
      <c r="AG364">
        <v>0</v>
      </c>
      <c r="AH364">
        <v>0</v>
      </c>
      <c r="AI364">
        <v>6.56</v>
      </c>
      <c r="AJ364">
        <v>1</v>
      </c>
      <c r="AK364">
        <v>1</v>
      </c>
      <c r="AL364">
        <v>1</v>
      </c>
      <c r="AN364">
        <v>0</v>
      </c>
      <c r="AO364">
        <v>1</v>
      </c>
      <c r="AP364">
        <v>0</v>
      </c>
      <c r="AQ364">
        <v>0</v>
      </c>
      <c r="AR364">
        <v>0</v>
      </c>
      <c r="AS364" t="s">
        <v>6</v>
      </c>
      <c r="AT364">
        <v>1.02</v>
      </c>
      <c r="AU364" t="s">
        <v>6</v>
      </c>
      <c r="AV364">
        <v>0</v>
      </c>
      <c r="AW364">
        <v>2</v>
      </c>
      <c r="AX364">
        <v>16750884</v>
      </c>
      <c r="AY364">
        <v>1</v>
      </c>
      <c r="AZ364">
        <v>0</v>
      </c>
      <c r="BA364">
        <v>345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0</v>
      </c>
      <c r="BW364">
        <v>0</v>
      </c>
      <c r="CX364">
        <f>Y364*Source!I294</f>
        <v>2.0400000000000001E-2</v>
      </c>
      <c r="CY364">
        <f>AA364</f>
        <v>564.16</v>
      </c>
      <c r="CZ364">
        <f>AE364</f>
        <v>86</v>
      </c>
      <c r="DA364">
        <f>AI364</f>
        <v>6.56</v>
      </c>
      <c r="DB364">
        <f t="shared" si="54"/>
        <v>87.72</v>
      </c>
      <c r="DC364">
        <f t="shared" si="55"/>
        <v>0</v>
      </c>
    </row>
    <row r="365" spans="1:107" x14ac:dyDescent="0.2">
      <c r="A365">
        <f>ROW(Source!A294)</f>
        <v>294</v>
      </c>
      <c r="B365">
        <v>16748969</v>
      </c>
      <c r="C365">
        <v>16750870</v>
      </c>
      <c r="D365">
        <v>15170434</v>
      </c>
      <c r="E365">
        <v>1</v>
      </c>
      <c r="F365">
        <v>1</v>
      </c>
      <c r="G365">
        <v>1</v>
      </c>
      <c r="H365">
        <v>3</v>
      </c>
      <c r="I365" t="s">
        <v>1402</v>
      </c>
      <c r="J365" t="s">
        <v>1403</v>
      </c>
      <c r="K365" t="s">
        <v>1404</v>
      </c>
      <c r="L365">
        <v>1348</v>
      </c>
      <c r="N365">
        <v>1009</v>
      </c>
      <c r="O365" t="s">
        <v>71</v>
      </c>
      <c r="P365" t="s">
        <v>71</v>
      </c>
      <c r="Q365">
        <v>1000</v>
      </c>
      <c r="W365">
        <v>0</v>
      </c>
      <c r="X365">
        <v>797358079</v>
      </c>
      <c r="Y365">
        <v>1.6000000000000001E-4</v>
      </c>
      <c r="AA365">
        <v>195488</v>
      </c>
      <c r="AB365">
        <v>0</v>
      </c>
      <c r="AC365">
        <v>0</v>
      </c>
      <c r="AD365">
        <v>0</v>
      </c>
      <c r="AE365">
        <v>29800</v>
      </c>
      <c r="AF365">
        <v>0</v>
      </c>
      <c r="AG365">
        <v>0</v>
      </c>
      <c r="AH365">
        <v>0</v>
      </c>
      <c r="AI365">
        <v>6.56</v>
      </c>
      <c r="AJ365">
        <v>1</v>
      </c>
      <c r="AK365">
        <v>1</v>
      </c>
      <c r="AL365">
        <v>1</v>
      </c>
      <c r="AN365">
        <v>0</v>
      </c>
      <c r="AO365">
        <v>1</v>
      </c>
      <c r="AP365">
        <v>0</v>
      </c>
      <c r="AQ365">
        <v>0</v>
      </c>
      <c r="AR365">
        <v>0</v>
      </c>
      <c r="AS365" t="s">
        <v>6</v>
      </c>
      <c r="AT365">
        <v>1.6000000000000001E-4</v>
      </c>
      <c r="AU365" t="s">
        <v>6</v>
      </c>
      <c r="AV365">
        <v>0</v>
      </c>
      <c r="AW365">
        <v>2</v>
      </c>
      <c r="AX365">
        <v>16750885</v>
      </c>
      <c r="AY365">
        <v>1</v>
      </c>
      <c r="AZ365">
        <v>0</v>
      </c>
      <c r="BA365">
        <v>346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  <c r="CX365">
        <f>Y365*Source!I294</f>
        <v>3.2000000000000003E-6</v>
      </c>
      <c r="CY365">
        <f>AA365</f>
        <v>195488</v>
      </c>
      <c r="CZ365">
        <f>AE365</f>
        <v>29800</v>
      </c>
      <c r="DA365">
        <f>AI365</f>
        <v>6.56</v>
      </c>
      <c r="DB365">
        <f t="shared" si="54"/>
        <v>4.7699999999999996</v>
      </c>
      <c r="DC365">
        <f t="shared" si="55"/>
        <v>0</v>
      </c>
    </row>
    <row r="366" spans="1:107" x14ac:dyDescent="0.2">
      <c r="A366">
        <f>ROW(Source!A294)</f>
        <v>294</v>
      </c>
      <c r="B366">
        <v>16748969</v>
      </c>
      <c r="C366">
        <v>16750870</v>
      </c>
      <c r="D366">
        <v>15170438</v>
      </c>
      <c r="E366">
        <v>1</v>
      </c>
      <c r="F366">
        <v>1</v>
      </c>
      <c r="G366">
        <v>1</v>
      </c>
      <c r="H366">
        <v>3</v>
      </c>
      <c r="I366" t="s">
        <v>1380</v>
      </c>
      <c r="J366" t="s">
        <v>1381</v>
      </c>
      <c r="K366" t="s">
        <v>1382</v>
      </c>
      <c r="L366">
        <v>1348</v>
      </c>
      <c r="N366">
        <v>1009</v>
      </c>
      <c r="O366" t="s">
        <v>71</v>
      </c>
      <c r="P366" t="s">
        <v>71</v>
      </c>
      <c r="Q366">
        <v>1000</v>
      </c>
      <c r="W366">
        <v>0</v>
      </c>
      <c r="X366">
        <v>-1755229539</v>
      </c>
      <c r="Y366">
        <v>2.9999999999999997E-4</v>
      </c>
      <c r="AA366">
        <v>81540.800000000003</v>
      </c>
      <c r="AB366">
        <v>0</v>
      </c>
      <c r="AC366">
        <v>0</v>
      </c>
      <c r="AD366">
        <v>0</v>
      </c>
      <c r="AE366">
        <v>12430</v>
      </c>
      <c r="AF366">
        <v>0</v>
      </c>
      <c r="AG366">
        <v>0</v>
      </c>
      <c r="AH366">
        <v>0</v>
      </c>
      <c r="AI366">
        <v>6.56</v>
      </c>
      <c r="AJ366">
        <v>1</v>
      </c>
      <c r="AK366">
        <v>1</v>
      </c>
      <c r="AL366">
        <v>1</v>
      </c>
      <c r="AN366">
        <v>0</v>
      </c>
      <c r="AO366">
        <v>1</v>
      </c>
      <c r="AP366">
        <v>0</v>
      </c>
      <c r="AQ366">
        <v>0</v>
      </c>
      <c r="AR366">
        <v>0</v>
      </c>
      <c r="AS366" t="s">
        <v>6</v>
      </c>
      <c r="AT366">
        <v>2.9999999999999997E-4</v>
      </c>
      <c r="AU366" t="s">
        <v>6</v>
      </c>
      <c r="AV366">
        <v>0</v>
      </c>
      <c r="AW366">
        <v>2</v>
      </c>
      <c r="AX366">
        <v>16750886</v>
      </c>
      <c r="AY366">
        <v>1</v>
      </c>
      <c r="AZ366">
        <v>0</v>
      </c>
      <c r="BA366">
        <v>347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0</v>
      </c>
      <c r="BW366">
        <v>0</v>
      </c>
      <c r="CX366">
        <f>Y366*Source!I294</f>
        <v>5.9999999999999993E-6</v>
      </c>
      <c r="CY366">
        <f>AA366</f>
        <v>81540.800000000003</v>
      </c>
      <c r="CZ366">
        <f>AE366</f>
        <v>12430</v>
      </c>
      <c r="DA366">
        <f>AI366</f>
        <v>6.56</v>
      </c>
      <c r="DB366">
        <f t="shared" si="54"/>
        <v>3.73</v>
      </c>
      <c r="DC366">
        <f t="shared" si="55"/>
        <v>0</v>
      </c>
    </row>
    <row r="367" spans="1:107" x14ac:dyDescent="0.2">
      <c r="A367">
        <f>ROW(Source!A294)</f>
        <v>294</v>
      </c>
      <c r="B367">
        <v>16748969</v>
      </c>
      <c r="C367">
        <v>16750870</v>
      </c>
      <c r="D367">
        <v>15220565</v>
      </c>
      <c r="E367">
        <v>1</v>
      </c>
      <c r="F367">
        <v>1</v>
      </c>
      <c r="G367">
        <v>1</v>
      </c>
      <c r="H367">
        <v>3</v>
      </c>
      <c r="I367" t="s">
        <v>613</v>
      </c>
      <c r="J367" t="s">
        <v>616</v>
      </c>
      <c r="K367" t="s">
        <v>614</v>
      </c>
      <c r="L367">
        <v>1358</v>
      </c>
      <c r="N367">
        <v>1010</v>
      </c>
      <c r="O367" t="s">
        <v>615</v>
      </c>
      <c r="P367" t="s">
        <v>615</v>
      </c>
      <c r="Q367">
        <v>10</v>
      </c>
      <c r="W367">
        <v>0</v>
      </c>
      <c r="X367">
        <v>668519206</v>
      </c>
      <c r="Y367">
        <v>10</v>
      </c>
      <c r="AA367">
        <v>477.57</v>
      </c>
      <c r="AB367">
        <v>0</v>
      </c>
      <c r="AC367">
        <v>0</v>
      </c>
      <c r="AD367">
        <v>0</v>
      </c>
      <c r="AE367">
        <v>72.8</v>
      </c>
      <c r="AF367">
        <v>0</v>
      </c>
      <c r="AG367">
        <v>0</v>
      </c>
      <c r="AH367">
        <v>0</v>
      </c>
      <c r="AI367">
        <v>6.56</v>
      </c>
      <c r="AJ367">
        <v>1</v>
      </c>
      <c r="AK367">
        <v>1</v>
      </c>
      <c r="AL367">
        <v>1</v>
      </c>
      <c r="AN367">
        <v>0</v>
      </c>
      <c r="AO367">
        <v>0</v>
      </c>
      <c r="AP367">
        <v>0</v>
      </c>
      <c r="AQ367">
        <v>0</v>
      </c>
      <c r="AR367">
        <v>0</v>
      </c>
      <c r="AS367" t="s">
        <v>6</v>
      </c>
      <c r="AT367">
        <v>10</v>
      </c>
      <c r="AU367" t="s">
        <v>6</v>
      </c>
      <c r="AV367">
        <v>0</v>
      </c>
      <c r="AW367">
        <v>1</v>
      </c>
      <c r="AX367">
        <v>-1</v>
      </c>
      <c r="AY367">
        <v>0</v>
      </c>
      <c r="AZ367">
        <v>0</v>
      </c>
      <c r="BA367" t="s">
        <v>6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0</v>
      </c>
      <c r="CX367">
        <f>Y367*Source!I294</f>
        <v>0.2</v>
      </c>
      <c r="CY367">
        <f>AA367</f>
        <v>477.57</v>
      </c>
      <c r="CZ367">
        <f>AE367</f>
        <v>72.8</v>
      </c>
      <c r="DA367">
        <f>AI367</f>
        <v>6.56</v>
      </c>
      <c r="DB367">
        <f t="shared" si="54"/>
        <v>728</v>
      </c>
      <c r="DC367">
        <f t="shared" si="55"/>
        <v>0</v>
      </c>
    </row>
    <row r="368" spans="1:107" x14ac:dyDescent="0.2">
      <c r="A368">
        <f>ROW(Source!A294)</f>
        <v>294</v>
      </c>
      <c r="B368">
        <v>16748969</v>
      </c>
      <c r="C368">
        <v>16750870</v>
      </c>
      <c r="D368">
        <v>15164559</v>
      </c>
      <c r="E368">
        <v>17</v>
      </c>
      <c r="F368">
        <v>1</v>
      </c>
      <c r="G368">
        <v>1</v>
      </c>
      <c r="H368">
        <v>3</v>
      </c>
      <c r="I368" t="s">
        <v>1383</v>
      </c>
      <c r="J368" t="s">
        <v>6</v>
      </c>
      <c r="K368" t="s">
        <v>1384</v>
      </c>
      <c r="L368">
        <v>1374</v>
      </c>
      <c r="N368">
        <v>1013</v>
      </c>
      <c r="O368" t="s">
        <v>1385</v>
      </c>
      <c r="P368" t="s">
        <v>1385</v>
      </c>
      <c r="Q368">
        <v>1</v>
      </c>
      <c r="W368">
        <v>0</v>
      </c>
      <c r="X368">
        <v>-1731369543</v>
      </c>
      <c r="Y368">
        <v>6.97</v>
      </c>
      <c r="AA368">
        <v>1</v>
      </c>
      <c r="AB368">
        <v>0</v>
      </c>
      <c r="AC368">
        <v>0</v>
      </c>
      <c r="AD368">
        <v>0</v>
      </c>
      <c r="AE368">
        <v>1</v>
      </c>
      <c r="AF368">
        <v>0</v>
      </c>
      <c r="AG368">
        <v>0</v>
      </c>
      <c r="AH368">
        <v>0</v>
      </c>
      <c r="AI368">
        <v>1</v>
      </c>
      <c r="AJ368">
        <v>1</v>
      </c>
      <c r="AK368">
        <v>1</v>
      </c>
      <c r="AL368">
        <v>1</v>
      </c>
      <c r="AN368">
        <v>0</v>
      </c>
      <c r="AO368">
        <v>1</v>
      </c>
      <c r="AP368">
        <v>0</v>
      </c>
      <c r="AQ368">
        <v>0</v>
      </c>
      <c r="AR368">
        <v>0</v>
      </c>
      <c r="AS368" t="s">
        <v>6</v>
      </c>
      <c r="AT368">
        <v>6.97</v>
      </c>
      <c r="AU368" t="s">
        <v>6</v>
      </c>
      <c r="AV368">
        <v>0</v>
      </c>
      <c r="AW368">
        <v>2</v>
      </c>
      <c r="AX368">
        <v>16750887</v>
      </c>
      <c r="AY368">
        <v>1</v>
      </c>
      <c r="AZ368">
        <v>0</v>
      </c>
      <c r="BA368">
        <v>348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0</v>
      </c>
      <c r="CX368">
        <f>Y368*Source!I294</f>
        <v>0.1394</v>
      </c>
      <c r="CY368">
        <f>AA368</f>
        <v>1</v>
      </c>
      <c r="CZ368">
        <f>AE368</f>
        <v>1</v>
      </c>
      <c r="DA368">
        <f>AI368</f>
        <v>1</v>
      </c>
      <c r="DB368">
        <f t="shared" si="54"/>
        <v>6.97</v>
      </c>
      <c r="DC368">
        <f t="shared" si="55"/>
        <v>0</v>
      </c>
    </row>
    <row r="369" spans="1:107" x14ac:dyDescent="0.2">
      <c r="A369">
        <f>ROW(Source!A296)</f>
        <v>296</v>
      </c>
      <c r="B369">
        <v>16748969</v>
      </c>
      <c r="C369">
        <v>16750889</v>
      </c>
      <c r="D369">
        <v>15446300</v>
      </c>
      <c r="E369">
        <v>1</v>
      </c>
      <c r="F369">
        <v>1</v>
      </c>
      <c r="G369">
        <v>1</v>
      </c>
      <c r="H369">
        <v>1</v>
      </c>
      <c r="I369" t="s">
        <v>1095</v>
      </c>
      <c r="J369" t="s">
        <v>6</v>
      </c>
      <c r="K369" t="s">
        <v>1096</v>
      </c>
      <c r="L369">
        <v>1191</v>
      </c>
      <c r="N369">
        <v>1013</v>
      </c>
      <c r="O369" t="s">
        <v>1072</v>
      </c>
      <c r="P369" t="s">
        <v>1072</v>
      </c>
      <c r="Q369">
        <v>1</v>
      </c>
      <c r="W369">
        <v>0</v>
      </c>
      <c r="X369">
        <v>912892513</v>
      </c>
      <c r="Y369">
        <v>31.6</v>
      </c>
      <c r="AA369">
        <v>0</v>
      </c>
      <c r="AB369">
        <v>0</v>
      </c>
      <c r="AC369">
        <v>0</v>
      </c>
      <c r="AD369">
        <v>65.08</v>
      </c>
      <c r="AE369">
        <v>0</v>
      </c>
      <c r="AF369">
        <v>0</v>
      </c>
      <c r="AG369">
        <v>0</v>
      </c>
      <c r="AH369">
        <v>9.92</v>
      </c>
      <c r="AI369">
        <v>1</v>
      </c>
      <c r="AJ369">
        <v>1</v>
      </c>
      <c r="AK369">
        <v>1</v>
      </c>
      <c r="AL369">
        <v>6.56</v>
      </c>
      <c r="AN369">
        <v>0</v>
      </c>
      <c r="AO369">
        <v>1</v>
      </c>
      <c r="AP369">
        <v>0</v>
      </c>
      <c r="AQ369">
        <v>0</v>
      </c>
      <c r="AR369">
        <v>0</v>
      </c>
      <c r="AS369" t="s">
        <v>6</v>
      </c>
      <c r="AT369">
        <v>31.6</v>
      </c>
      <c r="AU369" t="s">
        <v>6</v>
      </c>
      <c r="AV369">
        <v>1</v>
      </c>
      <c r="AW369">
        <v>2</v>
      </c>
      <c r="AX369">
        <v>16750900</v>
      </c>
      <c r="AY369">
        <v>1</v>
      </c>
      <c r="AZ369">
        <v>0</v>
      </c>
      <c r="BA369">
        <v>349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CX369">
        <f>Y369*Source!I296</f>
        <v>1.58</v>
      </c>
      <c r="CY369">
        <f>AD369</f>
        <v>65.08</v>
      </c>
      <c r="CZ369">
        <f>AH369</f>
        <v>9.92</v>
      </c>
      <c r="DA369">
        <f>AL369</f>
        <v>6.56</v>
      </c>
      <c r="DB369">
        <f t="shared" si="54"/>
        <v>313.47000000000003</v>
      </c>
      <c r="DC369">
        <f t="shared" si="55"/>
        <v>0</v>
      </c>
    </row>
    <row r="370" spans="1:107" x14ac:dyDescent="0.2">
      <c r="A370">
        <f>ROW(Source!A296)</f>
        <v>296</v>
      </c>
      <c r="B370">
        <v>16748969</v>
      </c>
      <c r="C370">
        <v>16750889</v>
      </c>
      <c r="D370">
        <v>15430395</v>
      </c>
      <c r="E370">
        <v>1</v>
      </c>
      <c r="F370">
        <v>1</v>
      </c>
      <c r="G370">
        <v>1</v>
      </c>
      <c r="H370">
        <v>1</v>
      </c>
      <c r="I370" t="s">
        <v>1073</v>
      </c>
      <c r="J370" t="s">
        <v>6</v>
      </c>
      <c r="K370" t="s">
        <v>1074</v>
      </c>
      <c r="L370">
        <v>1191</v>
      </c>
      <c r="N370">
        <v>1013</v>
      </c>
      <c r="O370" t="s">
        <v>1072</v>
      </c>
      <c r="P370" t="s">
        <v>1072</v>
      </c>
      <c r="Q370">
        <v>1</v>
      </c>
      <c r="W370">
        <v>0</v>
      </c>
      <c r="X370">
        <v>-1417349443</v>
      </c>
      <c r="Y370">
        <v>0.05</v>
      </c>
      <c r="AA370">
        <v>0</v>
      </c>
      <c r="AB370">
        <v>0</v>
      </c>
      <c r="AC370">
        <v>0</v>
      </c>
      <c r="AD370">
        <v>0</v>
      </c>
      <c r="AE370">
        <v>0</v>
      </c>
      <c r="AF370">
        <v>0</v>
      </c>
      <c r="AG370">
        <v>0</v>
      </c>
      <c r="AH370">
        <v>0</v>
      </c>
      <c r="AI370">
        <v>1</v>
      </c>
      <c r="AJ370">
        <v>1</v>
      </c>
      <c r="AK370">
        <v>6.56</v>
      </c>
      <c r="AL370">
        <v>1</v>
      </c>
      <c r="AN370">
        <v>0</v>
      </c>
      <c r="AO370">
        <v>1</v>
      </c>
      <c r="AP370">
        <v>0</v>
      </c>
      <c r="AQ370">
        <v>0</v>
      </c>
      <c r="AR370">
        <v>0</v>
      </c>
      <c r="AS370" t="s">
        <v>6</v>
      </c>
      <c r="AT370">
        <v>0.05</v>
      </c>
      <c r="AU370" t="s">
        <v>6</v>
      </c>
      <c r="AV370">
        <v>2</v>
      </c>
      <c r="AW370">
        <v>2</v>
      </c>
      <c r="AX370">
        <v>16750901</v>
      </c>
      <c r="AY370">
        <v>1</v>
      </c>
      <c r="AZ370">
        <v>0</v>
      </c>
      <c r="BA370">
        <v>350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0</v>
      </c>
      <c r="CX370">
        <f>Y370*Source!I296</f>
        <v>2.5000000000000005E-3</v>
      </c>
      <c r="CY370">
        <f>AD370</f>
        <v>0</v>
      </c>
      <c r="CZ370">
        <f>AH370</f>
        <v>0</v>
      </c>
      <c r="DA370">
        <f>AL370</f>
        <v>1</v>
      </c>
      <c r="DB370">
        <f t="shared" si="54"/>
        <v>0</v>
      </c>
      <c r="DC370">
        <f t="shared" si="55"/>
        <v>0</v>
      </c>
    </row>
    <row r="371" spans="1:107" x14ac:dyDescent="0.2">
      <c r="A371">
        <f>ROW(Source!A296)</f>
        <v>296</v>
      </c>
      <c r="B371">
        <v>16748969</v>
      </c>
      <c r="C371">
        <v>16750889</v>
      </c>
      <c r="D371">
        <v>15247680</v>
      </c>
      <c r="E371">
        <v>1</v>
      </c>
      <c r="F371">
        <v>1</v>
      </c>
      <c r="G371">
        <v>1</v>
      </c>
      <c r="H371">
        <v>2</v>
      </c>
      <c r="I371" t="s">
        <v>1211</v>
      </c>
      <c r="J371" t="s">
        <v>1212</v>
      </c>
      <c r="K371" t="s">
        <v>1213</v>
      </c>
      <c r="L371">
        <v>1368</v>
      </c>
      <c r="N371">
        <v>1011</v>
      </c>
      <c r="O371" t="s">
        <v>1078</v>
      </c>
      <c r="P371" t="s">
        <v>1078</v>
      </c>
      <c r="Q371">
        <v>1</v>
      </c>
      <c r="W371">
        <v>0</v>
      </c>
      <c r="X371">
        <v>-1718674368</v>
      </c>
      <c r="Y371">
        <v>0.03</v>
      </c>
      <c r="AA371">
        <v>0</v>
      </c>
      <c r="AB371">
        <v>734.65</v>
      </c>
      <c r="AC371">
        <v>13.5</v>
      </c>
      <c r="AD371">
        <v>0</v>
      </c>
      <c r="AE371">
        <v>0</v>
      </c>
      <c r="AF371">
        <v>111.99</v>
      </c>
      <c r="AG371">
        <v>13.5</v>
      </c>
      <c r="AH371">
        <v>0</v>
      </c>
      <c r="AI371">
        <v>1</v>
      </c>
      <c r="AJ371">
        <v>6.56</v>
      </c>
      <c r="AK371">
        <v>1</v>
      </c>
      <c r="AL371">
        <v>1</v>
      </c>
      <c r="AN371">
        <v>0</v>
      </c>
      <c r="AO371">
        <v>1</v>
      </c>
      <c r="AP371">
        <v>0</v>
      </c>
      <c r="AQ371">
        <v>0</v>
      </c>
      <c r="AR371">
        <v>0</v>
      </c>
      <c r="AS371" t="s">
        <v>6</v>
      </c>
      <c r="AT371">
        <v>0.03</v>
      </c>
      <c r="AU371" t="s">
        <v>6</v>
      </c>
      <c r="AV371">
        <v>0</v>
      </c>
      <c r="AW371">
        <v>2</v>
      </c>
      <c r="AX371">
        <v>16750902</v>
      </c>
      <c r="AY371">
        <v>1</v>
      </c>
      <c r="AZ371">
        <v>0</v>
      </c>
      <c r="BA371">
        <v>351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0</v>
      </c>
      <c r="CX371">
        <f>Y371*Source!I296</f>
        <v>1.5E-3</v>
      </c>
      <c r="CY371">
        <f>AB371</f>
        <v>734.65</v>
      </c>
      <c r="CZ371">
        <f>AF371</f>
        <v>111.99</v>
      </c>
      <c r="DA371">
        <f>AJ371</f>
        <v>6.56</v>
      </c>
      <c r="DB371">
        <f t="shared" si="54"/>
        <v>3.36</v>
      </c>
      <c r="DC371">
        <f t="shared" si="55"/>
        <v>0.41</v>
      </c>
    </row>
    <row r="372" spans="1:107" x14ac:dyDescent="0.2">
      <c r="A372">
        <f>ROW(Source!A296)</f>
        <v>296</v>
      </c>
      <c r="B372">
        <v>16748969</v>
      </c>
      <c r="C372">
        <v>16750889</v>
      </c>
      <c r="D372">
        <v>15249073</v>
      </c>
      <c r="E372">
        <v>1</v>
      </c>
      <c r="F372">
        <v>1</v>
      </c>
      <c r="G372">
        <v>1</v>
      </c>
      <c r="H372">
        <v>2</v>
      </c>
      <c r="I372" t="s">
        <v>1097</v>
      </c>
      <c r="J372" t="s">
        <v>1098</v>
      </c>
      <c r="K372" t="s">
        <v>1099</v>
      </c>
      <c r="L372">
        <v>1368</v>
      </c>
      <c r="N372">
        <v>1011</v>
      </c>
      <c r="O372" t="s">
        <v>1078</v>
      </c>
      <c r="P372" t="s">
        <v>1078</v>
      </c>
      <c r="Q372">
        <v>1</v>
      </c>
      <c r="W372">
        <v>0</v>
      </c>
      <c r="X372">
        <v>1372534845</v>
      </c>
      <c r="Y372">
        <v>0.02</v>
      </c>
      <c r="AA372">
        <v>0</v>
      </c>
      <c r="AB372">
        <v>431.06</v>
      </c>
      <c r="AC372">
        <v>11.6</v>
      </c>
      <c r="AD372">
        <v>0</v>
      </c>
      <c r="AE372">
        <v>0</v>
      </c>
      <c r="AF372">
        <v>65.709999999999994</v>
      </c>
      <c r="AG372">
        <v>11.6</v>
      </c>
      <c r="AH372">
        <v>0</v>
      </c>
      <c r="AI372">
        <v>1</v>
      </c>
      <c r="AJ372">
        <v>6.56</v>
      </c>
      <c r="AK372">
        <v>1</v>
      </c>
      <c r="AL372">
        <v>1</v>
      </c>
      <c r="AN372">
        <v>0</v>
      </c>
      <c r="AO372">
        <v>1</v>
      </c>
      <c r="AP372">
        <v>0</v>
      </c>
      <c r="AQ372">
        <v>0</v>
      </c>
      <c r="AR372">
        <v>0</v>
      </c>
      <c r="AS372" t="s">
        <v>6</v>
      </c>
      <c r="AT372">
        <v>0.02</v>
      </c>
      <c r="AU372" t="s">
        <v>6</v>
      </c>
      <c r="AV372">
        <v>0</v>
      </c>
      <c r="AW372">
        <v>2</v>
      </c>
      <c r="AX372">
        <v>16750903</v>
      </c>
      <c r="AY372">
        <v>1</v>
      </c>
      <c r="AZ372">
        <v>0</v>
      </c>
      <c r="BA372">
        <v>352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0</v>
      </c>
      <c r="BW372">
        <v>0</v>
      </c>
      <c r="CX372">
        <f>Y372*Source!I296</f>
        <v>1E-3</v>
      </c>
      <c r="CY372">
        <f>AB372</f>
        <v>431.06</v>
      </c>
      <c r="CZ372">
        <f>AF372</f>
        <v>65.709999999999994</v>
      </c>
      <c r="DA372">
        <f>AJ372</f>
        <v>6.56</v>
      </c>
      <c r="DB372">
        <f t="shared" si="54"/>
        <v>1.31</v>
      </c>
      <c r="DC372">
        <f t="shared" si="55"/>
        <v>0.23</v>
      </c>
    </row>
    <row r="373" spans="1:107" x14ac:dyDescent="0.2">
      <c r="A373">
        <f>ROW(Source!A296)</f>
        <v>296</v>
      </c>
      <c r="B373">
        <v>16748969</v>
      </c>
      <c r="C373">
        <v>16750889</v>
      </c>
      <c r="D373">
        <v>15167588</v>
      </c>
      <c r="E373">
        <v>1</v>
      </c>
      <c r="F373">
        <v>1</v>
      </c>
      <c r="G373">
        <v>1</v>
      </c>
      <c r="H373">
        <v>3</v>
      </c>
      <c r="I373" t="s">
        <v>1388</v>
      </c>
      <c r="J373" t="s">
        <v>1389</v>
      </c>
      <c r="K373" t="s">
        <v>1390</v>
      </c>
      <c r="L373">
        <v>1346</v>
      </c>
      <c r="N373">
        <v>1009</v>
      </c>
      <c r="O373" t="s">
        <v>323</v>
      </c>
      <c r="P373" t="s">
        <v>323</v>
      </c>
      <c r="Q373">
        <v>1</v>
      </c>
      <c r="W373">
        <v>0</v>
      </c>
      <c r="X373">
        <v>-1088866022</v>
      </c>
      <c r="Y373">
        <v>0.11</v>
      </c>
      <c r="AA373">
        <v>199.42</v>
      </c>
      <c r="AB373">
        <v>0</v>
      </c>
      <c r="AC373">
        <v>0</v>
      </c>
      <c r="AD373">
        <v>0</v>
      </c>
      <c r="AE373">
        <v>30.4</v>
      </c>
      <c r="AF373">
        <v>0</v>
      </c>
      <c r="AG373">
        <v>0</v>
      </c>
      <c r="AH373">
        <v>0</v>
      </c>
      <c r="AI373">
        <v>6.56</v>
      </c>
      <c r="AJ373">
        <v>1</v>
      </c>
      <c r="AK373">
        <v>1</v>
      </c>
      <c r="AL373">
        <v>1</v>
      </c>
      <c r="AN373">
        <v>0</v>
      </c>
      <c r="AO373">
        <v>1</v>
      </c>
      <c r="AP373">
        <v>0</v>
      </c>
      <c r="AQ373">
        <v>0</v>
      </c>
      <c r="AR373">
        <v>0</v>
      </c>
      <c r="AS373" t="s">
        <v>6</v>
      </c>
      <c r="AT373">
        <v>0.11</v>
      </c>
      <c r="AU373" t="s">
        <v>6</v>
      </c>
      <c r="AV373">
        <v>0</v>
      </c>
      <c r="AW373">
        <v>2</v>
      </c>
      <c r="AX373">
        <v>16750904</v>
      </c>
      <c r="AY373">
        <v>1</v>
      </c>
      <c r="AZ373">
        <v>0</v>
      </c>
      <c r="BA373">
        <v>353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0</v>
      </c>
      <c r="CX373">
        <f>Y373*Source!I296</f>
        <v>5.5000000000000005E-3</v>
      </c>
      <c r="CY373">
        <f t="shared" ref="CY373:CY378" si="56">AA373</f>
        <v>199.42</v>
      </c>
      <c r="CZ373">
        <f t="shared" ref="CZ373:CZ378" si="57">AE373</f>
        <v>30.4</v>
      </c>
      <c r="DA373">
        <f t="shared" ref="DA373:DA378" si="58">AI373</f>
        <v>6.56</v>
      </c>
      <c r="DB373">
        <f t="shared" si="54"/>
        <v>3.34</v>
      </c>
      <c r="DC373">
        <f t="shared" si="55"/>
        <v>0</v>
      </c>
    </row>
    <row r="374" spans="1:107" x14ac:dyDescent="0.2">
      <c r="A374">
        <f>ROW(Source!A296)</f>
        <v>296</v>
      </c>
      <c r="B374">
        <v>16748969</v>
      </c>
      <c r="C374">
        <v>16750889</v>
      </c>
      <c r="D374">
        <v>15170074</v>
      </c>
      <c r="E374">
        <v>1</v>
      </c>
      <c r="F374">
        <v>1</v>
      </c>
      <c r="G374">
        <v>1</v>
      </c>
      <c r="H374">
        <v>3</v>
      </c>
      <c r="I374" t="s">
        <v>1399</v>
      </c>
      <c r="J374" t="s">
        <v>1400</v>
      </c>
      <c r="K374" t="s">
        <v>1401</v>
      </c>
      <c r="L374">
        <v>1355</v>
      </c>
      <c r="N374">
        <v>1010</v>
      </c>
      <c r="O374" t="s">
        <v>724</v>
      </c>
      <c r="P374" t="s">
        <v>724</v>
      </c>
      <c r="Q374">
        <v>100</v>
      </c>
      <c r="W374">
        <v>0</v>
      </c>
      <c r="X374">
        <v>1794244060</v>
      </c>
      <c r="Y374">
        <v>1.02</v>
      </c>
      <c r="AA374">
        <v>564.16</v>
      </c>
      <c r="AB374">
        <v>0</v>
      </c>
      <c r="AC374">
        <v>0</v>
      </c>
      <c r="AD374">
        <v>0</v>
      </c>
      <c r="AE374">
        <v>86</v>
      </c>
      <c r="AF374">
        <v>0</v>
      </c>
      <c r="AG374">
        <v>0</v>
      </c>
      <c r="AH374">
        <v>0</v>
      </c>
      <c r="AI374">
        <v>6.56</v>
      </c>
      <c r="AJ374">
        <v>1</v>
      </c>
      <c r="AK374">
        <v>1</v>
      </c>
      <c r="AL374">
        <v>1</v>
      </c>
      <c r="AN374">
        <v>0</v>
      </c>
      <c r="AO374">
        <v>1</v>
      </c>
      <c r="AP374">
        <v>0</v>
      </c>
      <c r="AQ374">
        <v>0</v>
      </c>
      <c r="AR374">
        <v>0</v>
      </c>
      <c r="AS374" t="s">
        <v>6</v>
      </c>
      <c r="AT374">
        <v>1.02</v>
      </c>
      <c r="AU374" t="s">
        <v>6</v>
      </c>
      <c r="AV374">
        <v>0</v>
      </c>
      <c r="AW374">
        <v>2</v>
      </c>
      <c r="AX374">
        <v>16750905</v>
      </c>
      <c r="AY374">
        <v>1</v>
      </c>
      <c r="AZ374">
        <v>0</v>
      </c>
      <c r="BA374">
        <v>354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0</v>
      </c>
      <c r="BW374">
        <v>0</v>
      </c>
      <c r="CX374">
        <f>Y374*Source!I296</f>
        <v>5.1000000000000004E-2</v>
      </c>
      <c r="CY374">
        <f t="shared" si="56"/>
        <v>564.16</v>
      </c>
      <c r="CZ374">
        <f t="shared" si="57"/>
        <v>86</v>
      </c>
      <c r="DA374">
        <f t="shared" si="58"/>
        <v>6.56</v>
      </c>
      <c r="DB374">
        <f t="shared" si="54"/>
        <v>87.72</v>
      </c>
      <c r="DC374">
        <f t="shared" si="55"/>
        <v>0</v>
      </c>
    </row>
    <row r="375" spans="1:107" x14ac:dyDescent="0.2">
      <c r="A375">
        <f>ROW(Source!A296)</f>
        <v>296</v>
      </c>
      <c r="B375">
        <v>16748969</v>
      </c>
      <c r="C375">
        <v>16750889</v>
      </c>
      <c r="D375">
        <v>15170434</v>
      </c>
      <c r="E375">
        <v>1</v>
      </c>
      <c r="F375">
        <v>1</v>
      </c>
      <c r="G375">
        <v>1</v>
      </c>
      <c r="H375">
        <v>3</v>
      </c>
      <c r="I375" t="s">
        <v>1402</v>
      </c>
      <c r="J375" t="s">
        <v>1403</v>
      </c>
      <c r="K375" t="s">
        <v>1404</v>
      </c>
      <c r="L375">
        <v>1348</v>
      </c>
      <c r="N375">
        <v>1009</v>
      </c>
      <c r="O375" t="s">
        <v>71</v>
      </c>
      <c r="P375" t="s">
        <v>71</v>
      </c>
      <c r="Q375">
        <v>1000</v>
      </c>
      <c r="W375">
        <v>0</v>
      </c>
      <c r="X375">
        <v>797358079</v>
      </c>
      <c r="Y375">
        <v>1.6000000000000001E-4</v>
      </c>
      <c r="AA375">
        <v>195488</v>
      </c>
      <c r="AB375">
        <v>0</v>
      </c>
      <c r="AC375">
        <v>0</v>
      </c>
      <c r="AD375">
        <v>0</v>
      </c>
      <c r="AE375">
        <v>29800</v>
      </c>
      <c r="AF375">
        <v>0</v>
      </c>
      <c r="AG375">
        <v>0</v>
      </c>
      <c r="AH375">
        <v>0</v>
      </c>
      <c r="AI375">
        <v>6.56</v>
      </c>
      <c r="AJ375">
        <v>1</v>
      </c>
      <c r="AK375">
        <v>1</v>
      </c>
      <c r="AL375">
        <v>1</v>
      </c>
      <c r="AN375">
        <v>0</v>
      </c>
      <c r="AO375">
        <v>1</v>
      </c>
      <c r="AP375">
        <v>0</v>
      </c>
      <c r="AQ375">
        <v>0</v>
      </c>
      <c r="AR375">
        <v>0</v>
      </c>
      <c r="AS375" t="s">
        <v>6</v>
      </c>
      <c r="AT375">
        <v>1.6000000000000001E-4</v>
      </c>
      <c r="AU375" t="s">
        <v>6</v>
      </c>
      <c r="AV375">
        <v>0</v>
      </c>
      <c r="AW375">
        <v>2</v>
      </c>
      <c r="AX375">
        <v>16750906</v>
      </c>
      <c r="AY375">
        <v>1</v>
      </c>
      <c r="AZ375">
        <v>0</v>
      </c>
      <c r="BA375">
        <v>355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0</v>
      </c>
      <c r="CX375">
        <f>Y375*Source!I296</f>
        <v>8.0000000000000013E-6</v>
      </c>
      <c r="CY375">
        <f t="shared" si="56"/>
        <v>195488</v>
      </c>
      <c r="CZ375">
        <f t="shared" si="57"/>
        <v>29800</v>
      </c>
      <c r="DA375">
        <f t="shared" si="58"/>
        <v>6.56</v>
      </c>
      <c r="DB375">
        <f t="shared" si="54"/>
        <v>4.7699999999999996</v>
      </c>
      <c r="DC375">
        <f t="shared" si="55"/>
        <v>0</v>
      </c>
    </row>
    <row r="376" spans="1:107" x14ac:dyDescent="0.2">
      <c r="A376">
        <f>ROW(Source!A296)</f>
        <v>296</v>
      </c>
      <c r="B376">
        <v>16748969</v>
      </c>
      <c r="C376">
        <v>16750889</v>
      </c>
      <c r="D376">
        <v>15170438</v>
      </c>
      <c r="E376">
        <v>1</v>
      </c>
      <c r="F376">
        <v>1</v>
      </c>
      <c r="G376">
        <v>1</v>
      </c>
      <c r="H376">
        <v>3</v>
      </c>
      <c r="I376" t="s">
        <v>1380</v>
      </c>
      <c r="J376" t="s">
        <v>1381</v>
      </c>
      <c r="K376" t="s">
        <v>1382</v>
      </c>
      <c r="L376">
        <v>1348</v>
      </c>
      <c r="N376">
        <v>1009</v>
      </c>
      <c r="O376" t="s">
        <v>71</v>
      </c>
      <c r="P376" t="s">
        <v>71</v>
      </c>
      <c r="Q376">
        <v>1000</v>
      </c>
      <c r="W376">
        <v>0</v>
      </c>
      <c r="X376">
        <v>-1755229539</v>
      </c>
      <c r="Y376">
        <v>2.9999999999999997E-4</v>
      </c>
      <c r="AA376">
        <v>81540.800000000003</v>
      </c>
      <c r="AB376">
        <v>0</v>
      </c>
      <c r="AC376">
        <v>0</v>
      </c>
      <c r="AD376">
        <v>0</v>
      </c>
      <c r="AE376">
        <v>12430</v>
      </c>
      <c r="AF376">
        <v>0</v>
      </c>
      <c r="AG376">
        <v>0</v>
      </c>
      <c r="AH376">
        <v>0</v>
      </c>
      <c r="AI376">
        <v>6.56</v>
      </c>
      <c r="AJ376">
        <v>1</v>
      </c>
      <c r="AK376">
        <v>1</v>
      </c>
      <c r="AL376">
        <v>1</v>
      </c>
      <c r="AN376">
        <v>0</v>
      </c>
      <c r="AO376">
        <v>1</v>
      </c>
      <c r="AP376">
        <v>0</v>
      </c>
      <c r="AQ376">
        <v>0</v>
      </c>
      <c r="AR376">
        <v>0</v>
      </c>
      <c r="AS376" t="s">
        <v>6</v>
      </c>
      <c r="AT376">
        <v>2.9999999999999997E-4</v>
      </c>
      <c r="AU376" t="s">
        <v>6</v>
      </c>
      <c r="AV376">
        <v>0</v>
      </c>
      <c r="AW376">
        <v>2</v>
      </c>
      <c r="AX376">
        <v>16750907</v>
      </c>
      <c r="AY376">
        <v>1</v>
      </c>
      <c r="AZ376">
        <v>0</v>
      </c>
      <c r="BA376">
        <v>356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0</v>
      </c>
      <c r="BW376">
        <v>0</v>
      </c>
      <c r="CX376">
        <f>Y376*Source!I296</f>
        <v>1.4999999999999999E-5</v>
      </c>
      <c r="CY376">
        <f t="shared" si="56"/>
        <v>81540.800000000003</v>
      </c>
      <c r="CZ376">
        <f t="shared" si="57"/>
        <v>12430</v>
      </c>
      <c r="DA376">
        <f t="shared" si="58"/>
        <v>6.56</v>
      </c>
      <c r="DB376">
        <f t="shared" si="54"/>
        <v>3.73</v>
      </c>
      <c r="DC376">
        <f t="shared" si="55"/>
        <v>0</v>
      </c>
    </row>
    <row r="377" spans="1:107" x14ac:dyDescent="0.2">
      <c r="A377">
        <f>ROW(Source!A296)</f>
        <v>296</v>
      </c>
      <c r="B377">
        <v>16748969</v>
      </c>
      <c r="C377">
        <v>16750889</v>
      </c>
      <c r="D377">
        <v>15220581</v>
      </c>
      <c r="E377">
        <v>1</v>
      </c>
      <c r="F377">
        <v>1</v>
      </c>
      <c r="G377">
        <v>1</v>
      </c>
      <c r="H377">
        <v>3</v>
      </c>
      <c r="I377" t="s">
        <v>622</v>
      </c>
      <c r="J377" t="s">
        <v>624</v>
      </c>
      <c r="K377" t="s">
        <v>623</v>
      </c>
      <c r="L377">
        <v>1358</v>
      </c>
      <c r="N377">
        <v>1010</v>
      </c>
      <c r="O377" t="s">
        <v>615</v>
      </c>
      <c r="P377" t="s">
        <v>615</v>
      </c>
      <c r="Q377">
        <v>10</v>
      </c>
      <c r="W377">
        <v>0</v>
      </c>
      <c r="X377">
        <v>-168123214</v>
      </c>
      <c r="Y377">
        <v>10</v>
      </c>
      <c r="AA377">
        <v>422.46</v>
      </c>
      <c r="AB377">
        <v>0</v>
      </c>
      <c r="AC377">
        <v>0</v>
      </c>
      <c r="AD377">
        <v>0</v>
      </c>
      <c r="AE377">
        <v>64.400000000000006</v>
      </c>
      <c r="AF377">
        <v>0</v>
      </c>
      <c r="AG377">
        <v>0</v>
      </c>
      <c r="AH377">
        <v>0</v>
      </c>
      <c r="AI377">
        <v>6.56</v>
      </c>
      <c r="AJ377">
        <v>1</v>
      </c>
      <c r="AK377">
        <v>1</v>
      </c>
      <c r="AL377">
        <v>1</v>
      </c>
      <c r="AN377">
        <v>0</v>
      </c>
      <c r="AO377">
        <v>0</v>
      </c>
      <c r="AP377">
        <v>0</v>
      </c>
      <c r="AQ377">
        <v>0</v>
      </c>
      <c r="AR377">
        <v>0</v>
      </c>
      <c r="AS377" t="s">
        <v>6</v>
      </c>
      <c r="AT377">
        <v>10</v>
      </c>
      <c r="AU377" t="s">
        <v>6</v>
      </c>
      <c r="AV377">
        <v>0</v>
      </c>
      <c r="AW377">
        <v>1</v>
      </c>
      <c r="AX377">
        <v>-1</v>
      </c>
      <c r="AY377">
        <v>0</v>
      </c>
      <c r="AZ377">
        <v>0</v>
      </c>
      <c r="BA377" t="s">
        <v>6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0</v>
      </c>
      <c r="BW377">
        <v>0</v>
      </c>
      <c r="CX377">
        <f>Y377*Source!I296</f>
        <v>0.5</v>
      </c>
      <c r="CY377">
        <f t="shared" si="56"/>
        <v>422.46</v>
      </c>
      <c r="CZ377">
        <f t="shared" si="57"/>
        <v>64.400000000000006</v>
      </c>
      <c r="DA377">
        <f t="shared" si="58"/>
        <v>6.56</v>
      </c>
      <c r="DB377">
        <f t="shared" si="54"/>
        <v>644</v>
      </c>
      <c r="DC377">
        <f t="shared" si="55"/>
        <v>0</v>
      </c>
    </row>
    <row r="378" spans="1:107" x14ac:dyDescent="0.2">
      <c r="A378">
        <f>ROW(Source!A296)</f>
        <v>296</v>
      </c>
      <c r="B378">
        <v>16748969</v>
      </c>
      <c r="C378">
        <v>16750889</v>
      </c>
      <c r="D378">
        <v>15164559</v>
      </c>
      <c r="E378">
        <v>17</v>
      </c>
      <c r="F378">
        <v>1</v>
      </c>
      <c r="G378">
        <v>1</v>
      </c>
      <c r="H378">
        <v>3</v>
      </c>
      <c r="I378" t="s">
        <v>1383</v>
      </c>
      <c r="J378" t="s">
        <v>6</v>
      </c>
      <c r="K378" t="s">
        <v>1384</v>
      </c>
      <c r="L378">
        <v>1374</v>
      </c>
      <c r="N378">
        <v>1013</v>
      </c>
      <c r="O378" t="s">
        <v>1385</v>
      </c>
      <c r="P378" t="s">
        <v>1385</v>
      </c>
      <c r="Q378">
        <v>1</v>
      </c>
      <c r="W378">
        <v>0</v>
      </c>
      <c r="X378">
        <v>-1731369543</v>
      </c>
      <c r="Y378">
        <v>6.27</v>
      </c>
      <c r="AA378">
        <v>1</v>
      </c>
      <c r="AB378">
        <v>0</v>
      </c>
      <c r="AC378">
        <v>0</v>
      </c>
      <c r="AD378">
        <v>0</v>
      </c>
      <c r="AE378">
        <v>1</v>
      </c>
      <c r="AF378">
        <v>0</v>
      </c>
      <c r="AG378">
        <v>0</v>
      </c>
      <c r="AH378">
        <v>0</v>
      </c>
      <c r="AI378">
        <v>1</v>
      </c>
      <c r="AJ378">
        <v>1</v>
      </c>
      <c r="AK378">
        <v>1</v>
      </c>
      <c r="AL378">
        <v>1</v>
      </c>
      <c r="AN378">
        <v>0</v>
      </c>
      <c r="AO378">
        <v>1</v>
      </c>
      <c r="AP378">
        <v>0</v>
      </c>
      <c r="AQ378">
        <v>0</v>
      </c>
      <c r="AR378">
        <v>0</v>
      </c>
      <c r="AS378" t="s">
        <v>6</v>
      </c>
      <c r="AT378">
        <v>6.27</v>
      </c>
      <c r="AU378" t="s">
        <v>6</v>
      </c>
      <c r="AV378">
        <v>0</v>
      </c>
      <c r="AW378">
        <v>2</v>
      </c>
      <c r="AX378">
        <v>16750908</v>
      </c>
      <c r="AY378">
        <v>1</v>
      </c>
      <c r="AZ378">
        <v>0</v>
      </c>
      <c r="BA378">
        <v>357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0</v>
      </c>
      <c r="BU378">
        <v>0</v>
      </c>
      <c r="BV378">
        <v>0</v>
      </c>
      <c r="BW378">
        <v>0</v>
      </c>
      <c r="CX378">
        <f>Y378*Source!I296</f>
        <v>0.3135</v>
      </c>
      <c r="CY378">
        <f t="shared" si="56"/>
        <v>1</v>
      </c>
      <c r="CZ378">
        <f t="shared" si="57"/>
        <v>1</v>
      </c>
      <c r="DA378">
        <f t="shared" si="58"/>
        <v>1</v>
      </c>
      <c r="DB378">
        <f t="shared" si="54"/>
        <v>6.27</v>
      </c>
      <c r="DC378">
        <f t="shared" si="55"/>
        <v>0</v>
      </c>
    </row>
    <row r="379" spans="1:107" x14ac:dyDescent="0.2">
      <c r="A379">
        <f>ROW(Source!A298)</f>
        <v>298</v>
      </c>
      <c r="B379">
        <v>16748969</v>
      </c>
      <c r="C379">
        <v>16750910</v>
      </c>
      <c r="D379">
        <v>15438286</v>
      </c>
      <c r="E379">
        <v>1</v>
      </c>
      <c r="F379">
        <v>1</v>
      </c>
      <c r="G379">
        <v>1</v>
      </c>
      <c r="H379">
        <v>1</v>
      </c>
      <c r="I379" t="s">
        <v>1177</v>
      </c>
      <c r="J379" t="s">
        <v>6</v>
      </c>
      <c r="K379" t="s">
        <v>1178</v>
      </c>
      <c r="L379">
        <v>1191</v>
      </c>
      <c r="N379">
        <v>1013</v>
      </c>
      <c r="O379" t="s">
        <v>1072</v>
      </c>
      <c r="P379" t="s">
        <v>1072</v>
      </c>
      <c r="Q379">
        <v>1</v>
      </c>
      <c r="W379">
        <v>0</v>
      </c>
      <c r="X379">
        <v>-1027537862</v>
      </c>
      <c r="Y379">
        <v>15.2</v>
      </c>
      <c r="AA379">
        <v>0</v>
      </c>
      <c r="AB379">
        <v>0</v>
      </c>
      <c r="AC379">
        <v>0</v>
      </c>
      <c r="AD379">
        <v>60.22</v>
      </c>
      <c r="AE379">
        <v>0</v>
      </c>
      <c r="AF379">
        <v>0</v>
      </c>
      <c r="AG379">
        <v>0</v>
      </c>
      <c r="AH379">
        <v>9.18</v>
      </c>
      <c r="AI379">
        <v>1</v>
      </c>
      <c r="AJ379">
        <v>1</v>
      </c>
      <c r="AK379">
        <v>1</v>
      </c>
      <c r="AL379">
        <v>6.56</v>
      </c>
      <c r="AN379">
        <v>0</v>
      </c>
      <c r="AO379">
        <v>1</v>
      </c>
      <c r="AP379">
        <v>0</v>
      </c>
      <c r="AQ379">
        <v>0</v>
      </c>
      <c r="AR379">
        <v>0</v>
      </c>
      <c r="AS379" t="s">
        <v>6</v>
      </c>
      <c r="AT379">
        <v>15.2</v>
      </c>
      <c r="AU379" t="s">
        <v>6</v>
      </c>
      <c r="AV379">
        <v>1</v>
      </c>
      <c r="AW379">
        <v>2</v>
      </c>
      <c r="AX379">
        <v>16750915</v>
      </c>
      <c r="AY379">
        <v>1</v>
      </c>
      <c r="AZ379">
        <v>0</v>
      </c>
      <c r="BA379">
        <v>358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0</v>
      </c>
      <c r="CX379">
        <f>Y379*Source!I298</f>
        <v>14.895999999999999</v>
      </c>
      <c r="CY379">
        <f>AD379</f>
        <v>60.22</v>
      </c>
      <c r="CZ379">
        <f>AH379</f>
        <v>9.18</v>
      </c>
      <c r="DA379">
        <f>AL379</f>
        <v>6.56</v>
      </c>
      <c r="DB379">
        <f t="shared" si="54"/>
        <v>139.54</v>
      </c>
      <c r="DC379">
        <f t="shared" si="55"/>
        <v>0</v>
      </c>
    </row>
    <row r="380" spans="1:107" x14ac:dyDescent="0.2">
      <c r="A380">
        <f>ROW(Source!A298)</f>
        <v>298</v>
      </c>
      <c r="B380">
        <v>16748969</v>
      </c>
      <c r="C380">
        <v>16750910</v>
      </c>
      <c r="D380">
        <v>15170155</v>
      </c>
      <c r="E380">
        <v>1</v>
      </c>
      <c r="F380">
        <v>1</v>
      </c>
      <c r="G380">
        <v>1</v>
      </c>
      <c r="H380">
        <v>3</v>
      </c>
      <c r="I380" t="s">
        <v>1405</v>
      </c>
      <c r="J380" t="s">
        <v>1406</v>
      </c>
      <c r="K380" t="s">
        <v>1407</v>
      </c>
      <c r="L380">
        <v>1355</v>
      </c>
      <c r="N380">
        <v>1010</v>
      </c>
      <c r="O380" t="s">
        <v>724</v>
      </c>
      <c r="P380" t="s">
        <v>724</v>
      </c>
      <c r="Q380">
        <v>100</v>
      </c>
      <c r="W380">
        <v>0</v>
      </c>
      <c r="X380">
        <v>1135215184</v>
      </c>
      <c r="Y380">
        <v>1.75</v>
      </c>
      <c r="AA380">
        <v>52.48</v>
      </c>
      <c r="AB380">
        <v>0</v>
      </c>
      <c r="AC380">
        <v>0</v>
      </c>
      <c r="AD380">
        <v>0</v>
      </c>
      <c r="AE380">
        <v>8</v>
      </c>
      <c r="AF380">
        <v>0</v>
      </c>
      <c r="AG380">
        <v>0</v>
      </c>
      <c r="AH380">
        <v>0</v>
      </c>
      <c r="AI380">
        <v>6.56</v>
      </c>
      <c r="AJ380">
        <v>1</v>
      </c>
      <c r="AK380">
        <v>1</v>
      </c>
      <c r="AL380">
        <v>1</v>
      </c>
      <c r="AN380">
        <v>0</v>
      </c>
      <c r="AO380">
        <v>1</v>
      </c>
      <c r="AP380">
        <v>0</v>
      </c>
      <c r="AQ380">
        <v>0</v>
      </c>
      <c r="AR380">
        <v>0</v>
      </c>
      <c r="AS380" t="s">
        <v>6</v>
      </c>
      <c r="AT380">
        <v>1.75</v>
      </c>
      <c r="AU380" t="s">
        <v>6</v>
      </c>
      <c r="AV380">
        <v>0</v>
      </c>
      <c r="AW380">
        <v>2</v>
      </c>
      <c r="AX380">
        <v>16750916</v>
      </c>
      <c r="AY380">
        <v>1</v>
      </c>
      <c r="AZ380">
        <v>0</v>
      </c>
      <c r="BA380">
        <v>359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0</v>
      </c>
      <c r="BW380">
        <v>0</v>
      </c>
      <c r="CX380">
        <f>Y380*Source!I298</f>
        <v>1.7149999999999999</v>
      </c>
      <c r="CY380">
        <f>AA380</f>
        <v>52.48</v>
      </c>
      <c r="CZ380">
        <f>AE380</f>
        <v>8</v>
      </c>
      <c r="DA380">
        <f>AI380</f>
        <v>6.56</v>
      </c>
      <c r="DB380">
        <f t="shared" si="54"/>
        <v>14</v>
      </c>
      <c r="DC380">
        <f t="shared" si="55"/>
        <v>0</v>
      </c>
    </row>
    <row r="381" spans="1:107" x14ac:dyDescent="0.2">
      <c r="A381">
        <f>ROW(Source!A298)</f>
        <v>298</v>
      </c>
      <c r="B381">
        <v>16748969</v>
      </c>
      <c r="C381">
        <v>16750910</v>
      </c>
      <c r="D381">
        <v>15233333</v>
      </c>
      <c r="E381">
        <v>1</v>
      </c>
      <c r="F381">
        <v>1</v>
      </c>
      <c r="G381">
        <v>1</v>
      </c>
      <c r="H381">
        <v>3</v>
      </c>
      <c r="I381" t="s">
        <v>630</v>
      </c>
      <c r="J381" t="s">
        <v>633</v>
      </c>
      <c r="K381" t="s">
        <v>631</v>
      </c>
      <c r="L381">
        <v>1302</v>
      </c>
      <c r="N381">
        <v>1003</v>
      </c>
      <c r="O381" t="s">
        <v>632</v>
      </c>
      <c r="P381" t="s">
        <v>632</v>
      </c>
      <c r="Q381">
        <v>10</v>
      </c>
      <c r="W381">
        <v>0</v>
      </c>
      <c r="X381">
        <v>-819900352</v>
      </c>
      <c r="Y381">
        <v>10</v>
      </c>
      <c r="AA381">
        <v>105.68</v>
      </c>
      <c r="AB381">
        <v>0</v>
      </c>
      <c r="AC381">
        <v>0</v>
      </c>
      <c r="AD381">
        <v>0</v>
      </c>
      <c r="AE381">
        <v>16.11</v>
      </c>
      <c r="AF381">
        <v>0</v>
      </c>
      <c r="AG381">
        <v>0</v>
      </c>
      <c r="AH381">
        <v>0</v>
      </c>
      <c r="AI381">
        <v>6.56</v>
      </c>
      <c r="AJ381">
        <v>1</v>
      </c>
      <c r="AK381">
        <v>1</v>
      </c>
      <c r="AL381">
        <v>1</v>
      </c>
      <c r="AN381">
        <v>0</v>
      </c>
      <c r="AO381">
        <v>0</v>
      </c>
      <c r="AP381">
        <v>0</v>
      </c>
      <c r="AQ381">
        <v>0</v>
      </c>
      <c r="AR381">
        <v>0</v>
      </c>
      <c r="AS381" t="s">
        <v>6</v>
      </c>
      <c r="AT381">
        <v>10</v>
      </c>
      <c r="AU381" t="s">
        <v>6</v>
      </c>
      <c r="AV381">
        <v>0</v>
      </c>
      <c r="AW381">
        <v>1</v>
      </c>
      <c r="AX381">
        <v>-1</v>
      </c>
      <c r="AY381">
        <v>0</v>
      </c>
      <c r="AZ381">
        <v>0</v>
      </c>
      <c r="BA381" t="s">
        <v>6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0</v>
      </c>
      <c r="BW381">
        <v>0</v>
      </c>
      <c r="CX381">
        <f>Y381*Source!I298</f>
        <v>9.8000000000000007</v>
      </c>
      <c r="CY381">
        <f>AA381</f>
        <v>105.68</v>
      </c>
      <c r="CZ381">
        <f>AE381</f>
        <v>16.11</v>
      </c>
      <c r="DA381">
        <f>AI381</f>
        <v>6.56</v>
      </c>
      <c r="DB381">
        <f t="shared" si="54"/>
        <v>161.1</v>
      </c>
      <c r="DC381">
        <f t="shared" si="55"/>
        <v>0</v>
      </c>
    </row>
    <row r="382" spans="1:107" x14ac:dyDescent="0.2">
      <c r="A382">
        <f>ROW(Source!A298)</f>
        <v>298</v>
      </c>
      <c r="B382">
        <v>16748969</v>
      </c>
      <c r="C382">
        <v>16750910</v>
      </c>
      <c r="D382">
        <v>15164559</v>
      </c>
      <c r="E382">
        <v>17</v>
      </c>
      <c r="F382">
        <v>1</v>
      </c>
      <c r="G382">
        <v>1</v>
      </c>
      <c r="H382">
        <v>3</v>
      </c>
      <c r="I382" t="s">
        <v>1383</v>
      </c>
      <c r="J382" t="s">
        <v>6</v>
      </c>
      <c r="K382" t="s">
        <v>1384</v>
      </c>
      <c r="L382">
        <v>1374</v>
      </c>
      <c r="N382">
        <v>1013</v>
      </c>
      <c r="O382" t="s">
        <v>1385</v>
      </c>
      <c r="P382" t="s">
        <v>1385</v>
      </c>
      <c r="Q382">
        <v>1</v>
      </c>
      <c r="W382">
        <v>0</v>
      </c>
      <c r="X382">
        <v>-1731369543</v>
      </c>
      <c r="Y382">
        <v>2.79</v>
      </c>
      <c r="AA382">
        <v>1</v>
      </c>
      <c r="AB382">
        <v>0</v>
      </c>
      <c r="AC382">
        <v>0</v>
      </c>
      <c r="AD382">
        <v>0</v>
      </c>
      <c r="AE382">
        <v>1</v>
      </c>
      <c r="AF382">
        <v>0</v>
      </c>
      <c r="AG382">
        <v>0</v>
      </c>
      <c r="AH382">
        <v>0</v>
      </c>
      <c r="AI382">
        <v>1</v>
      </c>
      <c r="AJ382">
        <v>1</v>
      </c>
      <c r="AK382">
        <v>1</v>
      </c>
      <c r="AL382">
        <v>1</v>
      </c>
      <c r="AN382">
        <v>0</v>
      </c>
      <c r="AO382">
        <v>1</v>
      </c>
      <c r="AP382">
        <v>0</v>
      </c>
      <c r="AQ382">
        <v>0</v>
      </c>
      <c r="AR382">
        <v>0</v>
      </c>
      <c r="AS382" t="s">
        <v>6</v>
      </c>
      <c r="AT382">
        <v>2.79</v>
      </c>
      <c r="AU382" t="s">
        <v>6</v>
      </c>
      <c r="AV382">
        <v>0</v>
      </c>
      <c r="AW382">
        <v>2</v>
      </c>
      <c r="AX382">
        <v>16750917</v>
      </c>
      <c r="AY382">
        <v>1</v>
      </c>
      <c r="AZ382">
        <v>0</v>
      </c>
      <c r="BA382">
        <v>360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0</v>
      </c>
      <c r="BR382">
        <v>0</v>
      </c>
      <c r="BS382">
        <v>0</v>
      </c>
      <c r="BT382">
        <v>0</v>
      </c>
      <c r="BU382">
        <v>0</v>
      </c>
      <c r="BV382">
        <v>0</v>
      </c>
      <c r="BW382">
        <v>0</v>
      </c>
      <c r="CX382">
        <f>Y382*Source!I298</f>
        <v>2.7342</v>
      </c>
      <c r="CY382">
        <f>AA382</f>
        <v>1</v>
      </c>
      <c r="CZ382">
        <f>AE382</f>
        <v>1</v>
      </c>
      <c r="DA382">
        <f>AI382</f>
        <v>1</v>
      </c>
      <c r="DB382">
        <f t="shared" si="54"/>
        <v>2.79</v>
      </c>
      <c r="DC382">
        <f t="shared" si="55"/>
        <v>0</v>
      </c>
    </row>
    <row r="383" spans="1:107" x14ac:dyDescent="0.2">
      <c r="A383">
        <f>ROW(Source!A300)</f>
        <v>300</v>
      </c>
      <c r="B383">
        <v>16748969</v>
      </c>
      <c r="C383">
        <v>16750919</v>
      </c>
      <c r="D383">
        <v>15430397</v>
      </c>
      <c r="E383">
        <v>1</v>
      </c>
      <c r="F383">
        <v>1</v>
      </c>
      <c r="G383">
        <v>1</v>
      </c>
      <c r="H383">
        <v>1</v>
      </c>
      <c r="I383" t="s">
        <v>1234</v>
      </c>
      <c r="J383" t="s">
        <v>6</v>
      </c>
      <c r="K383" t="s">
        <v>1235</v>
      </c>
      <c r="L383">
        <v>1191</v>
      </c>
      <c r="N383">
        <v>1013</v>
      </c>
      <c r="O383" t="s">
        <v>1072</v>
      </c>
      <c r="P383" t="s">
        <v>1072</v>
      </c>
      <c r="Q383">
        <v>1</v>
      </c>
      <c r="W383">
        <v>0</v>
      </c>
      <c r="X383">
        <v>-1081351934</v>
      </c>
      <c r="Y383">
        <v>5.39</v>
      </c>
      <c r="AA383">
        <v>0</v>
      </c>
      <c r="AB383">
        <v>0</v>
      </c>
      <c r="AC383">
        <v>0</v>
      </c>
      <c r="AD383">
        <v>61.66</v>
      </c>
      <c r="AE383">
        <v>0</v>
      </c>
      <c r="AF383">
        <v>0</v>
      </c>
      <c r="AG383">
        <v>0</v>
      </c>
      <c r="AH383">
        <v>9.4</v>
      </c>
      <c r="AI383">
        <v>1</v>
      </c>
      <c r="AJ383">
        <v>1</v>
      </c>
      <c r="AK383">
        <v>1</v>
      </c>
      <c r="AL383">
        <v>6.56</v>
      </c>
      <c r="AN383">
        <v>0</v>
      </c>
      <c r="AO383">
        <v>1</v>
      </c>
      <c r="AP383">
        <v>0</v>
      </c>
      <c r="AQ383">
        <v>0</v>
      </c>
      <c r="AR383">
        <v>0</v>
      </c>
      <c r="AS383" t="s">
        <v>6</v>
      </c>
      <c r="AT383">
        <v>5.39</v>
      </c>
      <c r="AU383" t="s">
        <v>6</v>
      </c>
      <c r="AV383">
        <v>1</v>
      </c>
      <c r="AW383">
        <v>2</v>
      </c>
      <c r="AX383">
        <v>16750931</v>
      </c>
      <c r="AY383">
        <v>1</v>
      </c>
      <c r="AZ383">
        <v>0</v>
      </c>
      <c r="BA383">
        <v>361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0</v>
      </c>
      <c r="BV383">
        <v>0</v>
      </c>
      <c r="BW383">
        <v>0</v>
      </c>
      <c r="CX383">
        <f>Y383*Source!I300</f>
        <v>11.049499999999998</v>
      </c>
      <c r="CY383">
        <f>AD383</f>
        <v>61.66</v>
      </c>
      <c r="CZ383">
        <f>AH383</f>
        <v>9.4</v>
      </c>
      <c r="DA383">
        <f>AL383</f>
        <v>6.56</v>
      </c>
      <c r="DB383">
        <f t="shared" si="54"/>
        <v>50.67</v>
      </c>
      <c r="DC383">
        <f t="shared" si="55"/>
        <v>0</v>
      </c>
    </row>
    <row r="384" spans="1:107" x14ac:dyDescent="0.2">
      <c r="A384">
        <f>ROW(Source!A300)</f>
        <v>300</v>
      </c>
      <c r="B384">
        <v>16748969</v>
      </c>
      <c r="C384">
        <v>16750919</v>
      </c>
      <c r="D384">
        <v>15430395</v>
      </c>
      <c r="E384">
        <v>1</v>
      </c>
      <c r="F384">
        <v>1</v>
      </c>
      <c r="G384">
        <v>1</v>
      </c>
      <c r="H384">
        <v>1</v>
      </c>
      <c r="I384" t="s">
        <v>1073</v>
      </c>
      <c r="J384" t="s">
        <v>6</v>
      </c>
      <c r="K384" t="s">
        <v>1074</v>
      </c>
      <c r="L384">
        <v>1191</v>
      </c>
      <c r="N384">
        <v>1013</v>
      </c>
      <c r="O384" t="s">
        <v>1072</v>
      </c>
      <c r="P384" t="s">
        <v>1072</v>
      </c>
      <c r="Q384">
        <v>1</v>
      </c>
      <c r="W384">
        <v>0</v>
      </c>
      <c r="X384">
        <v>-1417349443</v>
      </c>
      <c r="Y384">
        <v>0.04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0</v>
      </c>
      <c r="AG384">
        <v>0</v>
      </c>
      <c r="AH384">
        <v>0</v>
      </c>
      <c r="AI384">
        <v>1</v>
      </c>
      <c r="AJ384">
        <v>1</v>
      </c>
      <c r="AK384">
        <v>6.56</v>
      </c>
      <c r="AL384">
        <v>1</v>
      </c>
      <c r="AN384">
        <v>0</v>
      </c>
      <c r="AO384">
        <v>1</v>
      </c>
      <c r="AP384">
        <v>0</v>
      </c>
      <c r="AQ384">
        <v>0</v>
      </c>
      <c r="AR384">
        <v>0</v>
      </c>
      <c r="AS384" t="s">
        <v>6</v>
      </c>
      <c r="AT384">
        <v>0.04</v>
      </c>
      <c r="AU384" t="s">
        <v>6</v>
      </c>
      <c r="AV384">
        <v>2</v>
      </c>
      <c r="AW384">
        <v>2</v>
      </c>
      <c r="AX384">
        <v>16750932</v>
      </c>
      <c r="AY384">
        <v>1</v>
      </c>
      <c r="AZ384">
        <v>0</v>
      </c>
      <c r="BA384">
        <v>362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0</v>
      </c>
      <c r="BR384">
        <v>0</v>
      </c>
      <c r="BS384">
        <v>0</v>
      </c>
      <c r="BT384">
        <v>0</v>
      </c>
      <c r="BU384">
        <v>0</v>
      </c>
      <c r="BV384">
        <v>0</v>
      </c>
      <c r="BW384">
        <v>0</v>
      </c>
      <c r="CX384">
        <f>Y384*Source!I300</f>
        <v>8.199999999999999E-2</v>
      </c>
      <c r="CY384">
        <f>AD384</f>
        <v>0</v>
      </c>
      <c r="CZ384">
        <f>AH384</f>
        <v>0</v>
      </c>
      <c r="DA384">
        <f>AL384</f>
        <v>1</v>
      </c>
      <c r="DB384">
        <f t="shared" si="54"/>
        <v>0</v>
      </c>
      <c r="DC384">
        <f t="shared" si="55"/>
        <v>0</v>
      </c>
    </row>
    <row r="385" spans="1:107" x14ac:dyDescent="0.2">
      <c r="A385">
        <f>ROW(Source!A300)</f>
        <v>300</v>
      </c>
      <c r="B385">
        <v>16748969</v>
      </c>
      <c r="C385">
        <v>16750919</v>
      </c>
      <c r="D385">
        <v>15247680</v>
      </c>
      <c r="E385">
        <v>1</v>
      </c>
      <c r="F385">
        <v>1</v>
      </c>
      <c r="G385">
        <v>1</v>
      </c>
      <c r="H385">
        <v>2</v>
      </c>
      <c r="I385" t="s">
        <v>1211</v>
      </c>
      <c r="J385" t="s">
        <v>1212</v>
      </c>
      <c r="K385" t="s">
        <v>1213</v>
      </c>
      <c r="L385">
        <v>1368</v>
      </c>
      <c r="N385">
        <v>1011</v>
      </c>
      <c r="O385" t="s">
        <v>1078</v>
      </c>
      <c r="P385" t="s">
        <v>1078</v>
      </c>
      <c r="Q385">
        <v>1</v>
      </c>
      <c r="W385">
        <v>0</v>
      </c>
      <c r="X385">
        <v>-1718674368</v>
      </c>
      <c r="Y385">
        <v>0.02</v>
      </c>
      <c r="AA385">
        <v>0</v>
      </c>
      <c r="AB385">
        <v>734.65</v>
      </c>
      <c r="AC385">
        <v>13.5</v>
      </c>
      <c r="AD385">
        <v>0</v>
      </c>
      <c r="AE385">
        <v>0</v>
      </c>
      <c r="AF385">
        <v>111.99</v>
      </c>
      <c r="AG385">
        <v>13.5</v>
      </c>
      <c r="AH385">
        <v>0</v>
      </c>
      <c r="AI385">
        <v>1</v>
      </c>
      <c r="AJ385">
        <v>6.56</v>
      </c>
      <c r="AK385">
        <v>1</v>
      </c>
      <c r="AL385">
        <v>1</v>
      </c>
      <c r="AN385">
        <v>0</v>
      </c>
      <c r="AO385">
        <v>1</v>
      </c>
      <c r="AP385">
        <v>0</v>
      </c>
      <c r="AQ385">
        <v>0</v>
      </c>
      <c r="AR385">
        <v>0</v>
      </c>
      <c r="AS385" t="s">
        <v>6</v>
      </c>
      <c r="AT385">
        <v>0.02</v>
      </c>
      <c r="AU385" t="s">
        <v>6</v>
      </c>
      <c r="AV385">
        <v>0</v>
      </c>
      <c r="AW385">
        <v>2</v>
      </c>
      <c r="AX385">
        <v>16750933</v>
      </c>
      <c r="AY385">
        <v>1</v>
      </c>
      <c r="AZ385">
        <v>0</v>
      </c>
      <c r="BA385">
        <v>363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0</v>
      </c>
      <c r="BR385">
        <v>0</v>
      </c>
      <c r="BS385">
        <v>0</v>
      </c>
      <c r="BT385">
        <v>0</v>
      </c>
      <c r="BU385">
        <v>0</v>
      </c>
      <c r="BV385">
        <v>0</v>
      </c>
      <c r="BW385">
        <v>0</v>
      </c>
      <c r="CX385">
        <f>Y385*Source!I300</f>
        <v>4.0999999999999995E-2</v>
      </c>
      <c r="CY385">
        <f>AB385</f>
        <v>734.65</v>
      </c>
      <c r="CZ385">
        <f>AF385</f>
        <v>111.99</v>
      </c>
      <c r="DA385">
        <f>AJ385</f>
        <v>6.56</v>
      </c>
      <c r="DB385">
        <f t="shared" si="54"/>
        <v>2.2400000000000002</v>
      </c>
      <c r="DC385">
        <f t="shared" si="55"/>
        <v>0.27</v>
      </c>
    </row>
    <row r="386" spans="1:107" x14ac:dyDescent="0.2">
      <c r="A386">
        <f>ROW(Source!A300)</f>
        <v>300</v>
      </c>
      <c r="B386">
        <v>16748969</v>
      </c>
      <c r="C386">
        <v>16750919</v>
      </c>
      <c r="D386">
        <v>15249073</v>
      </c>
      <c r="E386">
        <v>1</v>
      </c>
      <c r="F386">
        <v>1</v>
      </c>
      <c r="G386">
        <v>1</v>
      </c>
      <c r="H386">
        <v>2</v>
      </c>
      <c r="I386" t="s">
        <v>1097</v>
      </c>
      <c r="J386" t="s">
        <v>1098</v>
      </c>
      <c r="K386" t="s">
        <v>1099</v>
      </c>
      <c r="L386">
        <v>1368</v>
      </c>
      <c r="N386">
        <v>1011</v>
      </c>
      <c r="O386" t="s">
        <v>1078</v>
      </c>
      <c r="P386" t="s">
        <v>1078</v>
      </c>
      <c r="Q386">
        <v>1</v>
      </c>
      <c r="W386">
        <v>0</v>
      </c>
      <c r="X386">
        <v>1372534845</v>
      </c>
      <c r="Y386">
        <v>0.02</v>
      </c>
      <c r="AA386">
        <v>0</v>
      </c>
      <c r="AB386">
        <v>431.06</v>
      </c>
      <c r="AC386">
        <v>11.6</v>
      </c>
      <c r="AD386">
        <v>0</v>
      </c>
      <c r="AE386">
        <v>0</v>
      </c>
      <c r="AF386">
        <v>65.709999999999994</v>
      </c>
      <c r="AG386">
        <v>11.6</v>
      </c>
      <c r="AH386">
        <v>0</v>
      </c>
      <c r="AI386">
        <v>1</v>
      </c>
      <c r="AJ386">
        <v>6.56</v>
      </c>
      <c r="AK386">
        <v>1</v>
      </c>
      <c r="AL386">
        <v>1</v>
      </c>
      <c r="AN386">
        <v>0</v>
      </c>
      <c r="AO386">
        <v>1</v>
      </c>
      <c r="AP386">
        <v>0</v>
      </c>
      <c r="AQ386">
        <v>0</v>
      </c>
      <c r="AR386">
        <v>0</v>
      </c>
      <c r="AS386" t="s">
        <v>6</v>
      </c>
      <c r="AT386">
        <v>0.02</v>
      </c>
      <c r="AU386" t="s">
        <v>6</v>
      </c>
      <c r="AV386">
        <v>0</v>
      </c>
      <c r="AW386">
        <v>2</v>
      </c>
      <c r="AX386">
        <v>16750934</v>
      </c>
      <c r="AY386">
        <v>1</v>
      </c>
      <c r="AZ386">
        <v>0</v>
      </c>
      <c r="BA386">
        <v>364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  <c r="BR386">
        <v>0</v>
      </c>
      <c r="BS386">
        <v>0</v>
      </c>
      <c r="BT386">
        <v>0</v>
      </c>
      <c r="BU386">
        <v>0</v>
      </c>
      <c r="BV386">
        <v>0</v>
      </c>
      <c r="BW386">
        <v>0</v>
      </c>
      <c r="CX386">
        <f>Y386*Source!I300</f>
        <v>4.0999999999999995E-2</v>
      </c>
      <c r="CY386">
        <f>AB386</f>
        <v>431.06</v>
      </c>
      <c r="CZ386">
        <f>AF386</f>
        <v>65.709999999999994</v>
      </c>
      <c r="DA386">
        <f>AJ386</f>
        <v>6.56</v>
      </c>
      <c r="DB386">
        <f t="shared" si="54"/>
        <v>1.31</v>
      </c>
      <c r="DC386">
        <f t="shared" si="55"/>
        <v>0.23</v>
      </c>
    </row>
    <row r="387" spans="1:107" x14ac:dyDescent="0.2">
      <c r="A387">
        <f>ROW(Source!A300)</f>
        <v>300</v>
      </c>
      <c r="B387">
        <v>16748969</v>
      </c>
      <c r="C387">
        <v>16750919</v>
      </c>
      <c r="D387">
        <v>15167588</v>
      </c>
      <c r="E387">
        <v>1</v>
      </c>
      <c r="F387">
        <v>1</v>
      </c>
      <c r="G387">
        <v>1</v>
      </c>
      <c r="H387">
        <v>3</v>
      </c>
      <c r="I387" t="s">
        <v>1388</v>
      </c>
      <c r="J387" t="s">
        <v>1389</v>
      </c>
      <c r="K387" t="s">
        <v>1390</v>
      </c>
      <c r="L387">
        <v>1346</v>
      </c>
      <c r="N387">
        <v>1009</v>
      </c>
      <c r="O387" t="s">
        <v>323</v>
      </c>
      <c r="P387" t="s">
        <v>323</v>
      </c>
      <c r="Q387">
        <v>1</v>
      </c>
      <c r="W387">
        <v>0</v>
      </c>
      <c r="X387">
        <v>-1088866022</v>
      </c>
      <c r="Y387">
        <v>0.16</v>
      </c>
      <c r="AA387">
        <v>199.42</v>
      </c>
      <c r="AB387">
        <v>0</v>
      </c>
      <c r="AC387">
        <v>0</v>
      </c>
      <c r="AD387">
        <v>0</v>
      </c>
      <c r="AE387">
        <v>30.4</v>
      </c>
      <c r="AF387">
        <v>0</v>
      </c>
      <c r="AG387">
        <v>0</v>
      </c>
      <c r="AH387">
        <v>0</v>
      </c>
      <c r="AI387">
        <v>6.56</v>
      </c>
      <c r="AJ387">
        <v>1</v>
      </c>
      <c r="AK387">
        <v>1</v>
      </c>
      <c r="AL387">
        <v>1</v>
      </c>
      <c r="AN387">
        <v>0</v>
      </c>
      <c r="AO387">
        <v>1</v>
      </c>
      <c r="AP387">
        <v>0</v>
      </c>
      <c r="AQ387">
        <v>0</v>
      </c>
      <c r="AR387">
        <v>0</v>
      </c>
      <c r="AS387" t="s">
        <v>6</v>
      </c>
      <c r="AT387">
        <v>0.16</v>
      </c>
      <c r="AU387" t="s">
        <v>6</v>
      </c>
      <c r="AV387">
        <v>0</v>
      </c>
      <c r="AW387">
        <v>2</v>
      </c>
      <c r="AX387">
        <v>16750935</v>
      </c>
      <c r="AY387">
        <v>1</v>
      </c>
      <c r="AZ387">
        <v>0</v>
      </c>
      <c r="BA387">
        <v>365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0</v>
      </c>
      <c r="BW387">
        <v>0</v>
      </c>
      <c r="CX387">
        <f>Y387*Source!I300</f>
        <v>0.32799999999999996</v>
      </c>
      <c r="CY387">
        <f t="shared" ref="CY387:CY393" si="59">AA387</f>
        <v>199.42</v>
      </c>
      <c r="CZ387">
        <f t="shared" ref="CZ387:CZ393" si="60">AE387</f>
        <v>30.4</v>
      </c>
      <c r="DA387">
        <f t="shared" ref="DA387:DA393" si="61">AI387</f>
        <v>6.56</v>
      </c>
      <c r="DB387">
        <f t="shared" si="54"/>
        <v>4.8600000000000003</v>
      </c>
      <c r="DC387">
        <f t="shared" si="55"/>
        <v>0</v>
      </c>
    </row>
    <row r="388" spans="1:107" x14ac:dyDescent="0.2">
      <c r="A388">
        <f>ROW(Source!A300)</f>
        <v>300</v>
      </c>
      <c r="B388">
        <v>16748969</v>
      </c>
      <c r="C388">
        <v>16750919</v>
      </c>
      <c r="D388">
        <v>15167867</v>
      </c>
      <c r="E388">
        <v>1</v>
      </c>
      <c r="F388">
        <v>1</v>
      </c>
      <c r="G388">
        <v>1</v>
      </c>
      <c r="H388">
        <v>3</v>
      </c>
      <c r="I388" t="s">
        <v>1408</v>
      </c>
      <c r="J388" t="s">
        <v>1409</v>
      </c>
      <c r="K388" t="s">
        <v>1410</v>
      </c>
      <c r="L388">
        <v>1348</v>
      </c>
      <c r="N388">
        <v>1009</v>
      </c>
      <c r="O388" t="s">
        <v>71</v>
      </c>
      <c r="P388" t="s">
        <v>71</v>
      </c>
      <c r="Q388">
        <v>1000</v>
      </c>
      <c r="W388">
        <v>0</v>
      </c>
      <c r="X388">
        <v>1012095217</v>
      </c>
      <c r="Y388">
        <v>5.9999999999999995E-4</v>
      </c>
      <c r="AA388">
        <v>11939.2</v>
      </c>
      <c r="AB388">
        <v>0</v>
      </c>
      <c r="AC388">
        <v>0</v>
      </c>
      <c r="AD388">
        <v>0</v>
      </c>
      <c r="AE388">
        <v>1820</v>
      </c>
      <c r="AF388">
        <v>0</v>
      </c>
      <c r="AG388">
        <v>0</v>
      </c>
      <c r="AH388">
        <v>0</v>
      </c>
      <c r="AI388">
        <v>6.56</v>
      </c>
      <c r="AJ388">
        <v>1</v>
      </c>
      <c r="AK388">
        <v>1</v>
      </c>
      <c r="AL388">
        <v>1</v>
      </c>
      <c r="AN388">
        <v>0</v>
      </c>
      <c r="AO388">
        <v>1</v>
      </c>
      <c r="AP388">
        <v>0</v>
      </c>
      <c r="AQ388">
        <v>0</v>
      </c>
      <c r="AR388">
        <v>0</v>
      </c>
      <c r="AS388" t="s">
        <v>6</v>
      </c>
      <c r="AT388">
        <v>5.9999999999999995E-4</v>
      </c>
      <c r="AU388" t="s">
        <v>6</v>
      </c>
      <c r="AV388">
        <v>0</v>
      </c>
      <c r="AW388">
        <v>2</v>
      </c>
      <c r="AX388">
        <v>16750936</v>
      </c>
      <c r="AY388">
        <v>1</v>
      </c>
      <c r="AZ388">
        <v>0</v>
      </c>
      <c r="BA388">
        <v>366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0</v>
      </c>
      <c r="BW388">
        <v>0</v>
      </c>
      <c r="CX388">
        <f>Y388*Source!I300</f>
        <v>1.2299999999999998E-3</v>
      </c>
      <c r="CY388">
        <f t="shared" si="59"/>
        <v>11939.2</v>
      </c>
      <c r="CZ388">
        <f t="shared" si="60"/>
        <v>1820</v>
      </c>
      <c r="DA388">
        <f t="shared" si="61"/>
        <v>6.56</v>
      </c>
      <c r="DB388">
        <f t="shared" si="54"/>
        <v>1.0900000000000001</v>
      </c>
      <c r="DC388">
        <f t="shared" si="55"/>
        <v>0</v>
      </c>
    </row>
    <row r="389" spans="1:107" x14ac:dyDescent="0.2">
      <c r="A389">
        <f>ROW(Source!A300)</f>
        <v>300</v>
      </c>
      <c r="B389">
        <v>16748969</v>
      </c>
      <c r="C389">
        <v>16750919</v>
      </c>
      <c r="D389">
        <v>15203834</v>
      </c>
      <c r="E389">
        <v>1</v>
      </c>
      <c r="F389">
        <v>1</v>
      </c>
      <c r="G389">
        <v>1</v>
      </c>
      <c r="H389">
        <v>3</v>
      </c>
      <c r="I389" t="s">
        <v>1411</v>
      </c>
      <c r="J389" t="s">
        <v>1412</v>
      </c>
      <c r="K389" t="s">
        <v>374</v>
      </c>
      <c r="L389">
        <v>1346</v>
      </c>
      <c r="N389">
        <v>1009</v>
      </c>
      <c r="O389" t="s">
        <v>323</v>
      </c>
      <c r="P389" t="s">
        <v>323</v>
      </c>
      <c r="Q389">
        <v>1</v>
      </c>
      <c r="W389">
        <v>0</v>
      </c>
      <c r="X389">
        <v>210558753</v>
      </c>
      <c r="Y389">
        <v>0.02</v>
      </c>
      <c r="AA389">
        <v>187.62</v>
      </c>
      <c r="AB389">
        <v>0</v>
      </c>
      <c r="AC389">
        <v>0</v>
      </c>
      <c r="AD389">
        <v>0</v>
      </c>
      <c r="AE389">
        <v>28.6</v>
      </c>
      <c r="AF389">
        <v>0</v>
      </c>
      <c r="AG389">
        <v>0</v>
      </c>
      <c r="AH389">
        <v>0</v>
      </c>
      <c r="AI389">
        <v>6.56</v>
      </c>
      <c r="AJ389">
        <v>1</v>
      </c>
      <c r="AK389">
        <v>1</v>
      </c>
      <c r="AL389">
        <v>1</v>
      </c>
      <c r="AN389">
        <v>0</v>
      </c>
      <c r="AO389">
        <v>1</v>
      </c>
      <c r="AP389">
        <v>0</v>
      </c>
      <c r="AQ389">
        <v>0</v>
      </c>
      <c r="AR389">
        <v>0</v>
      </c>
      <c r="AS389" t="s">
        <v>6</v>
      </c>
      <c r="AT389">
        <v>0.02</v>
      </c>
      <c r="AU389" t="s">
        <v>6</v>
      </c>
      <c r="AV389">
        <v>0</v>
      </c>
      <c r="AW389">
        <v>2</v>
      </c>
      <c r="AX389">
        <v>16750937</v>
      </c>
      <c r="AY389">
        <v>1</v>
      </c>
      <c r="AZ389">
        <v>0</v>
      </c>
      <c r="BA389">
        <v>367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  <c r="BR389">
        <v>0</v>
      </c>
      <c r="BS389">
        <v>0</v>
      </c>
      <c r="BT389">
        <v>0</v>
      </c>
      <c r="BU389">
        <v>0</v>
      </c>
      <c r="BV389">
        <v>0</v>
      </c>
      <c r="BW389">
        <v>0</v>
      </c>
      <c r="CX389">
        <f>Y389*Source!I300</f>
        <v>4.0999999999999995E-2</v>
      </c>
      <c r="CY389">
        <f t="shared" si="59"/>
        <v>187.62</v>
      </c>
      <c r="CZ389">
        <f t="shared" si="60"/>
        <v>28.6</v>
      </c>
      <c r="DA389">
        <f t="shared" si="61"/>
        <v>6.56</v>
      </c>
      <c r="DB389">
        <f t="shared" si="54"/>
        <v>0.56999999999999995</v>
      </c>
      <c r="DC389">
        <f t="shared" si="55"/>
        <v>0</v>
      </c>
    </row>
    <row r="390" spans="1:107" x14ac:dyDescent="0.2">
      <c r="A390">
        <f>ROW(Source!A300)</f>
        <v>300</v>
      </c>
      <c r="B390">
        <v>16748969</v>
      </c>
      <c r="C390">
        <v>16750919</v>
      </c>
      <c r="D390">
        <v>15217527</v>
      </c>
      <c r="E390">
        <v>1</v>
      </c>
      <c r="F390">
        <v>1</v>
      </c>
      <c r="G390">
        <v>1</v>
      </c>
      <c r="H390">
        <v>3</v>
      </c>
      <c r="I390" t="s">
        <v>1413</v>
      </c>
      <c r="J390" t="s">
        <v>1414</v>
      </c>
      <c r="K390" t="s">
        <v>1415</v>
      </c>
      <c r="L390">
        <v>1355</v>
      </c>
      <c r="N390">
        <v>1010</v>
      </c>
      <c r="O390" t="s">
        <v>724</v>
      </c>
      <c r="P390" t="s">
        <v>724</v>
      </c>
      <c r="Q390">
        <v>100</v>
      </c>
      <c r="W390">
        <v>0</v>
      </c>
      <c r="X390">
        <v>-423136440</v>
      </c>
      <c r="Y390">
        <v>0.05</v>
      </c>
      <c r="AA390">
        <v>721.6</v>
      </c>
      <c r="AB390">
        <v>0</v>
      </c>
      <c r="AC390">
        <v>0</v>
      </c>
      <c r="AD390">
        <v>0</v>
      </c>
      <c r="AE390">
        <v>110</v>
      </c>
      <c r="AF390">
        <v>0</v>
      </c>
      <c r="AG390">
        <v>0</v>
      </c>
      <c r="AH390">
        <v>0</v>
      </c>
      <c r="AI390">
        <v>6.56</v>
      </c>
      <c r="AJ390">
        <v>1</v>
      </c>
      <c r="AK390">
        <v>1</v>
      </c>
      <c r="AL390">
        <v>1</v>
      </c>
      <c r="AN390">
        <v>0</v>
      </c>
      <c r="AO390">
        <v>1</v>
      </c>
      <c r="AP390">
        <v>0</v>
      </c>
      <c r="AQ390">
        <v>0</v>
      </c>
      <c r="AR390">
        <v>0</v>
      </c>
      <c r="AS390" t="s">
        <v>6</v>
      </c>
      <c r="AT390">
        <v>0.05</v>
      </c>
      <c r="AU390" t="s">
        <v>6</v>
      </c>
      <c r="AV390">
        <v>0</v>
      </c>
      <c r="AW390">
        <v>2</v>
      </c>
      <c r="AX390">
        <v>16750938</v>
      </c>
      <c r="AY390">
        <v>1</v>
      </c>
      <c r="AZ390">
        <v>0</v>
      </c>
      <c r="BA390">
        <v>368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0</v>
      </c>
      <c r="BW390">
        <v>0</v>
      </c>
      <c r="CX390">
        <f>Y390*Source!I300</f>
        <v>0.10249999999999999</v>
      </c>
      <c r="CY390">
        <f t="shared" si="59"/>
        <v>721.6</v>
      </c>
      <c r="CZ390">
        <f t="shared" si="60"/>
        <v>110</v>
      </c>
      <c r="DA390">
        <f t="shared" si="61"/>
        <v>6.56</v>
      </c>
      <c r="DB390">
        <f t="shared" si="54"/>
        <v>5.5</v>
      </c>
      <c r="DC390">
        <f t="shared" si="55"/>
        <v>0</v>
      </c>
    </row>
    <row r="391" spans="1:107" x14ac:dyDescent="0.2">
      <c r="A391">
        <f>ROW(Source!A300)</f>
        <v>300</v>
      </c>
      <c r="B391">
        <v>16748969</v>
      </c>
      <c r="C391">
        <v>16750919</v>
      </c>
      <c r="D391">
        <v>15217578</v>
      </c>
      <c r="E391">
        <v>1</v>
      </c>
      <c r="F391">
        <v>1</v>
      </c>
      <c r="G391">
        <v>1</v>
      </c>
      <c r="H391">
        <v>3</v>
      </c>
      <c r="I391" t="s">
        <v>1416</v>
      </c>
      <c r="J391" t="s">
        <v>1417</v>
      </c>
      <c r="K391" t="s">
        <v>1418</v>
      </c>
      <c r="L391">
        <v>1356</v>
      </c>
      <c r="N391">
        <v>1010</v>
      </c>
      <c r="O391" t="s">
        <v>288</v>
      </c>
      <c r="P391" t="s">
        <v>288</v>
      </c>
      <c r="Q391">
        <v>1000</v>
      </c>
      <c r="W391">
        <v>0</v>
      </c>
      <c r="X391">
        <v>537827188</v>
      </c>
      <c r="Y391">
        <v>1.2200000000000001E-2</v>
      </c>
      <c r="AA391">
        <v>780.64</v>
      </c>
      <c r="AB391">
        <v>0</v>
      </c>
      <c r="AC391">
        <v>0</v>
      </c>
      <c r="AD391">
        <v>0</v>
      </c>
      <c r="AE391">
        <v>119</v>
      </c>
      <c r="AF391">
        <v>0</v>
      </c>
      <c r="AG391">
        <v>0</v>
      </c>
      <c r="AH391">
        <v>0</v>
      </c>
      <c r="AI391">
        <v>6.56</v>
      </c>
      <c r="AJ391">
        <v>1</v>
      </c>
      <c r="AK391">
        <v>1</v>
      </c>
      <c r="AL391">
        <v>1</v>
      </c>
      <c r="AN391">
        <v>0</v>
      </c>
      <c r="AO391">
        <v>1</v>
      </c>
      <c r="AP391">
        <v>0</v>
      </c>
      <c r="AQ391">
        <v>0</v>
      </c>
      <c r="AR391">
        <v>0</v>
      </c>
      <c r="AS391" t="s">
        <v>6</v>
      </c>
      <c r="AT391">
        <v>1.2200000000000001E-2</v>
      </c>
      <c r="AU391" t="s">
        <v>6</v>
      </c>
      <c r="AV391">
        <v>0</v>
      </c>
      <c r="AW391">
        <v>2</v>
      </c>
      <c r="AX391">
        <v>16750939</v>
      </c>
      <c r="AY391">
        <v>1</v>
      </c>
      <c r="AZ391">
        <v>0</v>
      </c>
      <c r="BA391">
        <v>369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  <c r="BR391">
        <v>0</v>
      </c>
      <c r="BS391">
        <v>0</v>
      </c>
      <c r="BT391">
        <v>0</v>
      </c>
      <c r="BU391">
        <v>0</v>
      </c>
      <c r="BV391">
        <v>0</v>
      </c>
      <c r="BW391">
        <v>0</v>
      </c>
      <c r="CX391">
        <f>Y391*Source!I300</f>
        <v>2.5010000000000001E-2</v>
      </c>
      <c r="CY391">
        <f t="shared" si="59"/>
        <v>780.64</v>
      </c>
      <c r="CZ391">
        <f t="shared" si="60"/>
        <v>119</v>
      </c>
      <c r="DA391">
        <f t="shared" si="61"/>
        <v>6.56</v>
      </c>
      <c r="DB391">
        <f t="shared" si="54"/>
        <v>1.45</v>
      </c>
      <c r="DC391">
        <f t="shared" si="55"/>
        <v>0</v>
      </c>
    </row>
    <row r="392" spans="1:107" x14ac:dyDescent="0.2">
      <c r="A392">
        <f>ROW(Source!A300)</f>
        <v>300</v>
      </c>
      <c r="B392">
        <v>16748969</v>
      </c>
      <c r="C392">
        <v>16750919</v>
      </c>
      <c r="D392">
        <v>15223429</v>
      </c>
      <c r="E392">
        <v>1</v>
      </c>
      <c r="F392">
        <v>1</v>
      </c>
      <c r="G392">
        <v>1</v>
      </c>
      <c r="H392">
        <v>3</v>
      </c>
      <c r="I392" t="s">
        <v>639</v>
      </c>
      <c r="J392" t="s">
        <v>642</v>
      </c>
      <c r="K392" t="s">
        <v>640</v>
      </c>
      <c r="L392">
        <v>1477</v>
      </c>
      <c r="N392">
        <v>1013</v>
      </c>
      <c r="O392" t="s">
        <v>641</v>
      </c>
      <c r="P392" t="s">
        <v>643</v>
      </c>
      <c r="Q392">
        <v>1</v>
      </c>
      <c r="W392">
        <v>0</v>
      </c>
      <c r="X392">
        <v>-798446083</v>
      </c>
      <c r="Y392">
        <v>0.1</v>
      </c>
      <c r="AA392">
        <v>71903.31</v>
      </c>
      <c r="AB392">
        <v>0</v>
      </c>
      <c r="AC392">
        <v>0</v>
      </c>
      <c r="AD392">
        <v>0</v>
      </c>
      <c r="AE392">
        <v>10960.87</v>
      </c>
      <c r="AF392">
        <v>0</v>
      </c>
      <c r="AG392">
        <v>0</v>
      </c>
      <c r="AH392">
        <v>0</v>
      </c>
      <c r="AI392">
        <v>6.56</v>
      </c>
      <c r="AJ392">
        <v>1</v>
      </c>
      <c r="AK392">
        <v>1</v>
      </c>
      <c r="AL392">
        <v>1</v>
      </c>
      <c r="AN392">
        <v>0</v>
      </c>
      <c r="AO392">
        <v>0</v>
      </c>
      <c r="AP392">
        <v>0</v>
      </c>
      <c r="AQ392">
        <v>0</v>
      </c>
      <c r="AR392">
        <v>0</v>
      </c>
      <c r="AS392" t="s">
        <v>6</v>
      </c>
      <c r="AT392">
        <v>0.1</v>
      </c>
      <c r="AU392" t="s">
        <v>6</v>
      </c>
      <c r="AV392">
        <v>0</v>
      </c>
      <c r="AW392">
        <v>1</v>
      </c>
      <c r="AX392">
        <v>-1</v>
      </c>
      <c r="AY392">
        <v>0</v>
      </c>
      <c r="AZ392">
        <v>0</v>
      </c>
      <c r="BA392" t="s">
        <v>6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0</v>
      </c>
      <c r="CX392">
        <f>Y392*Source!I300</f>
        <v>0.20499999999999999</v>
      </c>
      <c r="CY392">
        <f t="shared" si="59"/>
        <v>71903.31</v>
      </c>
      <c r="CZ392">
        <f t="shared" si="60"/>
        <v>10960.87</v>
      </c>
      <c r="DA392">
        <f t="shared" si="61"/>
        <v>6.56</v>
      </c>
      <c r="DB392">
        <f t="shared" si="54"/>
        <v>1096.0899999999999</v>
      </c>
      <c r="DC392">
        <f t="shared" si="55"/>
        <v>0</v>
      </c>
    </row>
    <row r="393" spans="1:107" x14ac:dyDescent="0.2">
      <c r="A393">
        <f>ROW(Source!A300)</f>
        <v>300</v>
      </c>
      <c r="B393">
        <v>16748969</v>
      </c>
      <c r="C393">
        <v>16750919</v>
      </c>
      <c r="D393">
        <v>15164559</v>
      </c>
      <c r="E393">
        <v>17</v>
      </c>
      <c r="F393">
        <v>1</v>
      </c>
      <c r="G393">
        <v>1</v>
      </c>
      <c r="H393">
        <v>3</v>
      </c>
      <c r="I393" t="s">
        <v>1383</v>
      </c>
      <c r="J393" t="s">
        <v>6</v>
      </c>
      <c r="K393" t="s">
        <v>1384</v>
      </c>
      <c r="L393">
        <v>1374</v>
      </c>
      <c r="N393">
        <v>1013</v>
      </c>
      <c r="O393" t="s">
        <v>1385</v>
      </c>
      <c r="P393" t="s">
        <v>1385</v>
      </c>
      <c r="Q393">
        <v>1</v>
      </c>
      <c r="W393">
        <v>0</v>
      </c>
      <c r="X393">
        <v>-1731369543</v>
      </c>
      <c r="Y393">
        <v>1.01</v>
      </c>
      <c r="AA393">
        <v>1</v>
      </c>
      <c r="AB393">
        <v>0</v>
      </c>
      <c r="AC393">
        <v>0</v>
      </c>
      <c r="AD393">
        <v>0</v>
      </c>
      <c r="AE393">
        <v>1</v>
      </c>
      <c r="AF393">
        <v>0</v>
      </c>
      <c r="AG393">
        <v>0</v>
      </c>
      <c r="AH393">
        <v>0</v>
      </c>
      <c r="AI393">
        <v>1</v>
      </c>
      <c r="AJ393">
        <v>1</v>
      </c>
      <c r="AK393">
        <v>1</v>
      </c>
      <c r="AL393">
        <v>1</v>
      </c>
      <c r="AN393">
        <v>0</v>
      </c>
      <c r="AO393">
        <v>1</v>
      </c>
      <c r="AP393">
        <v>0</v>
      </c>
      <c r="AQ393">
        <v>0</v>
      </c>
      <c r="AR393">
        <v>0</v>
      </c>
      <c r="AS393" t="s">
        <v>6</v>
      </c>
      <c r="AT393">
        <v>1.01</v>
      </c>
      <c r="AU393" t="s">
        <v>6</v>
      </c>
      <c r="AV393">
        <v>0</v>
      </c>
      <c r="AW393">
        <v>2</v>
      </c>
      <c r="AX393">
        <v>16750940</v>
      </c>
      <c r="AY393">
        <v>1</v>
      </c>
      <c r="AZ393">
        <v>0</v>
      </c>
      <c r="BA393">
        <v>370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0</v>
      </c>
      <c r="BU393">
        <v>0</v>
      </c>
      <c r="BV393">
        <v>0</v>
      </c>
      <c r="BW393">
        <v>0</v>
      </c>
      <c r="CX393">
        <f>Y393*Source!I300</f>
        <v>2.0705</v>
      </c>
      <c r="CY393">
        <f t="shared" si="59"/>
        <v>1</v>
      </c>
      <c r="CZ393">
        <f t="shared" si="60"/>
        <v>1</v>
      </c>
      <c r="DA393">
        <f t="shared" si="61"/>
        <v>1</v>
      </c>
      <c r="DB393">
        <f t="shared" si="54"/>
        <v>1.01</v>
      </c>
      <c r="DC393">
        <f t="shared" si="55"/>
        <v>0</v>
      </c>
    </row>
    <row r="394" spans="1:107" x14ac:dyDescent="0.2">
      <c r="A394">
        <f>ROW(Source!A302)</f>
        <v>302</v>
      </c>
      <c r="B394">
        <v>16748969</v>
      </c>
      <c r="C394">
        <v>16750976</v>
      </c>
      <c r="D394">
        <v>15447742</v>
      </c>
      <c r="E394">
        <v>1</v>
      </c>
      <c r="F394">
        <v>1</v>
      </c>
      <c r="G394">
        <v>1</v>
      </c>
      <c r="H394">
        <v>1</v>
      </c>
      <c r="I394" t="s">
        <v>1348</v>
      </c>
      <c r="J394" t="s">
        <v>6</v>
      </c>
      <c r="K394" t="s">
        <v>1349</v>
      </c>
      <c r="L394">
        <v>1191</v>
      </c>
      <c r="N394">
        <v>1013</v>
      </c>
      <c r="O394" t="s">
        <v>1072</v>
      </c>
      <c r="P394" t="s">
        <v>1072</v>
      </c>
      <c r="Q394">
        <v>1</v>
      </c>
      <c r="W394">
        <v>0</v>
      </c>
      <c r="X394">
        <v>-2143564933</v>
      </c>
      <c r="Y394">
        <v>0.5</v>
      </c>
      <c r="AA394">
        <v>0</v>
      </c>
      <c r="AB394">
        <v>0</v>
      </c>
      <c r="AC394">
        <v>0</v>
      </c>
      <c r="AD394">
        <v>64.03</v>
      </c>
      <c r="AE394">
        <v>0</v>
      </c>
      <c r="AF394">
        <v>0</v>
      </c>
      <c r="AG394">
        <v>0</v>
      </c>
      <c r="AH394">
        <v>9.76</v>
      </c>
      <c r="AI394">
        <v>1</v>
      </c>
      <c r="AJ394">
        <v>1</v>
      </c>
      <c r="AK394">
        <v>1</v>
      </c>
      <c r="AL394">
        <v>6.56</v>
      </c>
      <c r="AN394">
        <v>0</v>
      </c>
      <c r="AO394">
        <v>1</v>
      </c>
      <c r="AP394">
        <v>0</v>
      </c>
      <c r="AQ394">
        <v>0</v>
      </c>
      <c r="AR394">
        <v>0</v>
      </c>
      <c r="AS394" t="s">
        <v>6</v>
      </c>
      <c r="AT394">
        <v>0.5</v>
      </c>
      <c r="AU394" t="s">
        <v>6</v>
      </c>
      <c r="AV394">
        <v>1</v>
      </c>
      <c r="AW394">
        <v>2</v>
      </c>
      <c r="AX394">
        <v>16750983</v>
      </c>
      <c r="AY394">
        <v>1</v>
      </c>
      <c r="AZ394">
        <v>0</v>
      </c>
      <c r="BA394">
        <v>371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0</v>
      </c>
      <c r="CX394">
        <f>Y394*Source!I302</f>
        <v>25.5</v>
      </c>
      <c r="CY394">
        <f>AD394</f>
        <v>64.03</v>
      </c>
      <c r="CZ394">
        <f>AH394</f>
        <v>9.76</v>
      </c>
      <c r="DA394">
        <f>AL394</f>
        <v>6.56</v>
      </c>
      <c r="DB394">
        <f t="shared" si="54"/>
        <v>4.88</v>
      </c>
      <c r="DC394">
        <f t="shared" si="55"/>
        <v>0</v>
      </c>
    </row>
    <row r="395" spans="1:107" x14ac:dyDescent="0.2">
      <c r="A395">
        <f>ROW(Source!A302)</f>
        <v>302</v>
      </c>
      <c r="B395">
        <v>16748969</v>
      </c>
      <c r="C395">
        <v>16750976</v>
      </c>
      <c r="D395">
        <v>15170438</v>
      </c>
      <c r="E395">
        <v>1</v>
      </c>
      <c r="F395">
        <v>1</v>
      </c>
      <c r="G395">
        <v>1</v>
      </c>
      <c r="H395">
        <v>3</v>
      </c>
      <c r="I395" t="s">
        <v>1380</v>
      </c>
      <c r="J395" t="s">
        <v>1381</v>
      </c>
      <c r="K395" t="s">
        <v>1382</v>
      </c>
      <c r="L395">
        <v>1348</v>
      </c>
      <c r="N395">
        <v>1009</v>
      </c>
      <c r="O395" t="s">
        <v>71</v>
      </c>
      <c r="P395" t="s">
        <v>71</v>
      </c>
      <c r="Q395">
        <v>1000</v>
      </c>
      <c r="W395">
        <v>0</v>
      </c>
      <c r="X395">
        <v>-1755229539</v>
      </c>
      <c r="Y395">
        <v>1.0000000000000001E-5</v>
      </c>
      <c r="AA395">
        <v>81540.800000000003</v>
      </c>
      <c r="AB395">
        <v>0</v>
      </c>
      <c r="AC395">
        <v>0</v>
      </c>
      <c r="AD395">
        <v>0</v>
      </c>
      <c r="AE395">
        <v>12430</v>
      </c>
      <c r="AF395">
        <v>0</v>
      </c>
      <c r="AG395">
        <v>0</v>
      </c>
      <c r="AH395">
        <v>0</v>
      </c>
      <c r="AI395">
        <v>6.56</v>
      </c>
      <c r="AJ395">
        <v>1</v>
      </c>
      <c r="AK395">
        <v>1</v>
      </c>
      <c r="AL395">
        <v>1</v>
      </c>
      <c r="AN395">
        <v>0</v>
      </c>
      <c r="AO395">
        <v>1</v>
      </c>
      <c r="AP395">
        <v>0</v>
      </c>
      <c r="AQ395">
        <v>0</v>
      </c>
      <c r="AR395">
        <v>0</v>
      </c>
      <c r="AS395" t="s">
        <v>6</v>
      </c>
      <c r="AT395">
        <v>1.0000000000000001E-5</v>
      </c>
      <c r="AU395" t="s">
        <v>6</v>
      </c>
      <c r="AV395">
        <v>0</v>
      </c>
      <c r="AW395">
        <v>2</v>
      </c>
      <c r="AX395">
        <v>16750984</v>
      </c>
      <c r="AY395">
        <v>1</v>
      </c>
      <c r="AZ395">
        <v>0</v>
      </c>
      <c r="BA395">
        <v>372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0</v>
      </c>
      <c r="BW395">
        <v>0</v>
      </c>
      <c r="CX395">
        <f>Y395*Source!I302</f>
        <v>5.1000000000000004E-4</v>
      </c>
      <c r="CY395">
        <f>AA395</f>
        <v>81540.800000000003</v>
      </c>
      <c r="CZ395">
        <f>AE395</f>
        <v>12430</v>
      </c>
      <c r="DA395">
        <f>AI395</f>
        <v>6.56</v>
      </c>
      <c r="DB395">
        <f t="shared" si="54"/>
        <v>0.12</v>
      </c>
      <c r="DC395">
        <f t="shared" si="55"/>
        <v>0</v>
      </c>
    </row>
    <row r="396" spans="1:107" x14ac:dyDescent="0.2">
      <c r="A396">
        <f>ROW(Source!A302)</f>
        <v>302</v>
      </c>
      <c r="B396">
        <v>16748969</v>
      </c>
      <c r="C396">
        <v>16750976</v>
      </c>
      <c r="D396">
        <v>15171982</v>
      </c>
      <c r="E396">
        <v>1</v>
      </c>
      <c r="F396">
        <v>1</v>
      </c>
      <c r="G396">
        <v>1</v>
      </c>
      <c r="H396">
        <v>3</v>
      </c>
      <c r="I396" t="s">
        <v>1082</v>
      </c>
      <c r="J396" t="s">
        <v>1083</v>
      </c>
      <c r="K396" t="s">
        <v>1084</v>
      </c>
      <c r="L396">
        <v>1348</v>
      </c>
      <c r="N396">
        <v>1009</v>
      </c>
      <c r="O396" t="s">
        <v>71</v>
      </c>
      <c r="P396" t="s">
        <v>71</v>
      </c>
      <c r="Q396">
        <v>1000</v>
      </c>
      <c r="W396">
        <v>0</v>
      </c>
      <c r="X396">
        <v>-1421715385</v>
      </c>
      <c r="Y396">
        <v>5.0000000000000002E-5</v>
      </c>
      <c r="AA396">
        <v>4788.67</v>
      </c>
      <c r="AB396">
        <v>0</v>
      </c>
      <c r="AC396">
        <v>0</v>
      </c>
      <c r="AD396">
        <v>0</v>
      </c>
      <c r="AE396">
        <v>729.98</v>
      </c>
      <c r="AF396">
        <v>0</v>
      </c>
      <c r="AG396">
        <v>0</v>
      </c>
      <c r="AH396">
        <v>0</v>
      </c>
      <c r="AI396">
        <v>6.56</v>
      </c>
      <c r="AJ396">
        <v>1</v>
      </c>
      <c r="AK396">
        <v>1</v>
      </c>
      <c r="AL396">
        <v>1</v>
      </c>
      <c r="AN396">
        <v>0</v>
      </c>
      <c r="AO396">
        <v>1</v>
      </c>
      <c r="AP396">
        <v>0</v>
      </c>
      <c r="AQ396">
        <v>0</v>
      </c>
      <c r="AR396">
        <v>0</v>
      </c>
      <c r="AS396" t="s">
        <v>6</v>
      </c>
      <c r="AT396">
        <v>5.0000000000000002E-5</v>
      </c>
      <c r="AU396" t="s">
        <v>6</v>
      </c>
      <c r="AV396">
        <v>0</v>
      </c>
      <c r="AW396">
        <v>2</v>
      </c>
      <c r="AX396">
        <v>16750985</v>
      </c>
      <c r="AY396">
        <v>1</v>
      </c>
      <c r="AZ396">
        <v>0</v>
      </c>
      <c r="BA396">
        <v>373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0</v>
      </c>
      <c r="BW396">
        <v>0</v>
      </c>
      <c r="CX396">
        <f>Y396*Source!I302</f>
        <v>2.5500000000000002E-3</v>
      </c>
      <c r="CY396">
        <f>AA396</f>
        <v>4788.67</v>
      </c>
      <c r="CZ396">
        <f>AE396</f>
        <v>729.98</v>
      </c>
      <c r="DA396">
        <f>AI396</f>
        <v>6.56</v>
      </c>
      <c r="DB396">
        <f t="shared" si="54"/>
        <v>0.04</v>
      </c>
      <c r="DC396">
        <f t="shared" si="55"/>
        <v>0</v>
      </c>
    </row>
    <row r="397" spans="1:107" x14ac:dyDescent="0.2">
      <c r="A397">
        <f>ROW(Source!A302)</f>
        <v>302</v>
      </c>
      <c r="B397">
        <v>16748969</v>
      </c>
      <c r="C397">
        <v>16750976</v>
      </c>
      <c r="D397">
        <v>15191144</v>
      </c>
      <c r="E397">
        <v>1</v>
      </c>
      <c r="F397">
        <v>1</v>
      </c>
      <c r="G397">
        <v>1</v>
      </c>
      <c r="H397">
        <v>3</v>
      </c>
      <c r="I397" t="s">
        <v>1419</v>
      </c>
      <c r="J397" t="s">
        <v>1420</v>
      </c>
      <c r="K397" t="s">
        <v>1421</v>
      </c>
      <c r="L397">
        <v>1348</v>
      </c>
      <c r="N397">
        <v>1009</v>
      </c>
      <c r="O397" t="s">
        <v>71</v>
      </c>
      <c r="P397" t="s">
        <v>71</v>
      </c>
      <c r="Q397">
        <v>1000</v>
      </c>
      <c r="W397">
        <v>0</v>
      </c>
      <c r="X397">
        <v>-1328921133</v>
      </c>
      <c r="Y397">
        <v>1.0000000000000001E-5</v>
      </c>
      <c r="AA397">
        <v>96366.399999999994</v>
      </c>
      <c r="AB397">
        <v>0</v>
      </c>
      <c r="AC397">
        <v>0</v>
      </c>
      <c r="AD397">
        <v>0</v>
      </c>
      <c r="AE397">
        <v>14690</v>
      </c>
      <c r="AF397">
        <v>0</v>
      </c>
      <c r="AG397">
        <v>0</v>
      </c>
      <c r="AH397">
        <v>0</v>
      </c>
      <c r="AI397">
        <v>6.56</v>
      </c>
      <c r="AJ397">
        <v>1</v>
      </c>
      <c r="AK397">
        <v>1</v>
      </c>
      <c r="AL397">
        <v>1</v>
      </c>
      <c r="AN397">
        <v>0</v>
      </c>
      <c r="AO397">
        <v>1</v>
      </c>
      <c r="AP397">
        <v>0</v>
      </c>
      <c r="AQ397">
        <v>0</v>
      </c>
      <c r="AR397">
        <v>0</v>
      </c>
      <c r="AS397" t="s">
        <v>6</v>
      </c>
      <c r="AT397">
        <v>1.0000000000000001E-5</v>
      </c>
      <c r="AU397" t="s">
        <v>6</v>
      </c>
      <c r="AV397">
        <v>0</v>
      </c>
      <c r="AW397">
        <v>2</v>
      </c>
      <c r="AX397">
        <v>16750986</v>
      </c>
      <c r="AY397">
        <v>1</v>
      </c>
      <c r="AZ397">
        <v>0</v>
      </c>
      <c r="BA397">
        <v>374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0</v>
      </c>
      <c r="CX397">
        <f>Y397*Source!I302</f>
        <v>5.1000000000000004E-4</v>
      </c>
      <c r="CY397">
        <f>AA397</f>
        <v>96366.399999999994</v>
      </c>
      <c r="CZ397">
        <f>AE397</f>
        <v>14690</v>
      </c>
      <c r="DA397">
        <f>AI397</f>
        <v>6.56</v>
      </c>
      <c r="DB397">
        <f t="shared" si="54"/>
        <v>0.15</v>
      </c>
      <c r="DC397">
        <f t="shared" si="55"/>
        <v>0</v>
      </c>
    </row>
    <row r="398" spans="1:107" x14ac:dyDescent="0.2">
      <c r="A398">
        <f>ROW(Source!A302)</f>
        <v>302</v>
      </c>
      <c r="B398">
        <v>16748969</v>
      </c>
      <c r="C398">
        <v>16750976</v>
      </c>
      <c r="D398">
        <v>15221015</v>
      </c>
      <c r="E398">
        <v>1</v>
      </c>
      <c r="F398">
        <v>1</v>
      </c>
      <c r="G398">
        <v>1</v>
      </c>
      <c r="H398">
        <v>3</v>
      </c>
      <c r="I398" t="s">
        <v>651</v>
      </c>
      <c r="J398" t="s">
        <v>653</v>
      </c>
      <c r="K398" t="s">
        <v>652</v>
      </c>
      <c r="L398">
        <v>1354</v>
      </c>
      <c r="N398">
        <v>1010</v>
      </c>
      <c r="O398" t="s">
        <v>53</v>
      </c>
      <c r="P398" t="s">
        <v>53</v>
      </c>
      <c r="Q398">
        <v>1</v>
      </c>
      <c r="W398">
        <v>0</v>
      </c>
      <c r="X398">
        <v>-1197549434</v>
      </c>
      <c r="Y398">
        <v>1</v>
      </c>
      <c r="AA398">
        <v>56.55</v>
      </c>
      <c r="AB398">
        <v>0</v>
      </c>
      <c r="AC398">
        <v>0</v>
      </c>
      <c r="AD398">
        <v>0</v>
      </c>
      <c r="AE398">
        <v>8.6199999999999992</v>
      </c>
      <c r="AF398">
        <v>0</v>
      </c>
      <c r="AG398">
        <v>0</v>
      </c>
      <c r="AH398">
        <v>0</v>
      </c>
      <c r="AI398">
        <v>6.56</v>
      </c>
      <c r="AJ398">
        <v>1</v>
      </c>
      <c r="AK398">
        <v>1</v>
      </c>
      <c r="AL398">
        <v>1</v>
      </c>
      <c r="AN398">
        <v>0</v>
      </c>
      <c r="AO398">
        <v>0</v>
      </c>
      <c r="AP398">
        <v>0</v>
      </c>
      <c r="AQ398">
        <v>0</v>
      </c>
      <c r="AR398">
        <v>0</v>
      </c>
      <c r="AS398" t="s">
        <v>6</v>
      </c>
      <c r="AT398">
        <v>1</v>
      </c>
      <c r="AU398" t="s">
        <v>6</v>
      </c>
      <c r="AV398">
        <v>0</v>
      </c>
      <c r="AW398">
        <v>1</v>
      </c>
      <c r="AX398">
        <v>-1</v>
      </c>
      <c r="AY398">
        <v>0</v>
      </c>
      <c r="AZ398">
        <v>0</v>
      </c>
      <c r="BA398" t="s">
        <v>6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  <c r="CX398">
        <f>Y398*Source!I302</f>
        <v>51</v>
      </c>
      <c r="CY398">
        <f>AA398</f>
        <v>56.55</v>
      </c>
      <c r="CZ398">
        <f>AE398</f>
        <v>8.6199999999999992</v>
      </c>
      <c r="DA398">
        <f>AI398</f>
        <v>6.56</v>
      </c>
      <c r="DB398">
        <f t="shared" si="54"/>
        <v>8.6199999999999992</v>
      </c>
      <c r="DC398">
        <f t="shared" si="55"/>
        <v>0</v>
      </c>
    </row>
    <row r="399" spans="1:107" x14ac:dyDescent="0.2">
      <c r="A399">
        <f>ROW(Source!A302)</f>
        <v>302</v>
      </c>
      <c r="B399">
        <v>16748969</v>
      </c>
      <c r="C399">
        <v>16750976</v>
      </c>
      <c r="D399">
        <v>15164559</v>
      </c>
      <c r="E399">
        <v>17</v>
      </c>
      <c r="F399">
        <v>1</v>
      </c>
      <c r="G399">
        <v>1</v>
      </c>
      <c r="H399">
        <v>3</v>
      </c>
      <c r="I399" t="s">
        <v>1383</v>
      </c>
      <c r="J399" t="s">
        <v>6</v>
      </c>
      <c r="K399" t="s">
        <v>1384</v>
      </c>
      <c r="L399">
        <v>1374</v>
      </c>
      <c r="N399">
        <v>1013</v>
      </c>
      <c r="O399" t="s">
        <v>1385</v>
      </c>
      <c r="P399" t="s">
        <v>1385</v>
      </c>
      <c r="Q399">
        <v>1</v>
      </c>
      <c r="W399">
        <v>0</v>
      </c>
      <c r="X399">
        <v>-1731369543</v>
      </c>
      <c r="Y399">
        <v>0.1</v>
      </c>
      <c r="AA399">
        <v>1</v>
      </c>
      <c r="AB399">
        <v>0</v>
      </c>
      <c r="AC399">
        <v>0</v>
      </c>
      <c r="AD399">
        <v>0</v>
      </c>
      <c r="AE399">
        <v>1</v>
      </c>
      <c r="AF399">
        <v>0</v>
      </c>
      <c r="AG399">
        <v>0</v>
      </c>
      <c r="AH399">
        <v>0</v>
      </c>
      <c r="AI399">
        <v>1</v>
      </c>
      <c r="AJ399">
        <v>1</v>
      </c>
      <c r="AK399">
        <v>1</v>
      </c>
      <c r="AL399">
        <v>1</v>
      </c>
      <c r="AN399">
        <v>0</v>
      </c>
      <c r="AO399">
        <v>1</v>
      </c>
      <c r="AP399">
        <v>0</v>
      </c>
      <c r="AQ399">
        <v>0</v>
      </c>
      <c r="AR399">
        <v>0</v>
      </c>
      <c r="AS399" t="s">
        <v>6</v>
      </c>
      <c r="AT399">
        <v>0.1</v>
      </c>
      <c r="AU399" t="s">
        <v>6</v>
      </c>
      <c r="AV399">
        <v>0</v>
      </c>
      <c r="AW399">
        <v>2</v>
      </c>
      <c r="AX399">
        <v>16750987</v>
      </c>
      <c r="AY399">
        <v>1</v>
      </c>
      <c r="AZ399">
        <v>0</v>
      </c>
      <c r="BA399">
        <v>375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CX399">
        <f>Y399*Source!I302</f>
        <v>5.1000000000000005</v>
      </c>
      <c r="CY399">
        <f>AA399</f>
        <v>1</v>
      </c>
      <c r="CZ399">
        <f>AE399</f>
        <v>1</v>
      </c>
      <c r="DA399">
        <f>AI399</f>
        <v>1</v>
      </c>
      <c r="DB399">
        <f t="shared" si="54"/>
        <v>0.1</v>
      </c>
      <c r="DC399">
        <f t="shared" si="55"/>
        <v>0</v>
      </c>
    </row>
    <row r="400" spans="1:107" x14ac:dyDescent="0.2">
      <c r="A400">
        <f>ROW(Source!A304)</f>
        <v>304</v>
      </c>
      <c r="B400">
        <v>16748969</v>
      </c>
      <c r="C400">
        <v>16750989</v>
      </c>
      <c r="D400">
        <v>15430767</v>
      </c>
      <c r="E400">
        <v>1</v>
      </c>
      <c r="F400">
        <v>1</v>
      </c>
      <c r="G400">
        <v>1</v>
      </c>
      <c r="H400">
        <v>1</v>
      </c>
      <c r="I400" t="s">
        <v>1070</v>
      </c>
      <c r="J400" t="s">
        <v>6</v>
      </c>
      <c r="K400" t="s">
        <v>1071</v>
      </c>
      <c r="L400">
        <v>1191</v>
      </c>
      <c r="N400">
        <v>1013</v>
      </c>
      <c r="O400" t="s">
        <v>1072</v>
      </c>
      <c r="P400" t="s">
        <v>1072</v>
      </c>
      <c r="Q400">
        <v>1</v>
      </c>
      <c r="W400">
        <v>0</v>
      </c>
      <c r="X400">
        <v>-400197608</v>
      </c>
      <c r="Y400">
        <v>5.49</v>
      </c>
      <c r="AA400">
        <v>0</v>
      </c>
      <c r="AB400">
        <v>0</v>
      </c>
      <c r="AC400">
        <v>0</v>
      </c>
      <c r="AD400">
        <v>55.96</v>
      </c>
      <c r="AE400">
        <v>0</v>
      </c>
      <c r="AF400">
        <v>0</v>
      </c>
      <c r="AG400">
        <v>0</v>
      </c>
      <c r="AH400">
        <v>8.5299999999999994</v>
      </c>
      <c r="AI400">
        <v>1</v>
      </c>
      <c r="AJ400">
        <v>1</v>
      </c>
      <c r="AK400">
        <v>1</v>
      </c>
      <c r="AL400">
        <v>6.56</v>
      </c>
      <c r="AN400">
        <v>0</v>
      </c>
      <c r="AO400">
        <v>1</v>
      </c>
      <c r="AP400">
        <v>0</v>
      </c>
      <c r="AQ400">
        <v>0</v>
      </c>
      <c r="AR400">
        <v>0</v>
      </c>
      <c r="AS400" t="s">
        <v>6</v>
      </c>
      <c r="AT400">
        <v>5.49</v>
      </c>
      <c r="AU400" t="s">
        <v>6</v>
      </c>
      <c r="AV400">
        <v>1</v>
      </c>
      <c r="AW400">
        <v>2</v>
      </c>
      <c r="AX400">
        <v>16750991</v>
      </c>
      <c r="AY400">
        <v>1</v>
      </c>
      <c r="AZ400">
        <v>0</v>
      </c>
      <c r="BA400">
        <v>376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0</v>
      </c>
      <c r="BW400">
        <v>0</v>
      </c>
      <c r="CX400">
        <f>Y400*Source!I304</f>
        <v>0.60389999999999999</v>
      </c>
      <c r="CY400">
        <f>AD400</f>
        <v>55.96</v>
      </c>
      <c r="CZ400">
        <f>AH400</f>
        <v>8.5299999999999994</v>
      </c>
      <c r="DA400">
        <f>AL400</f>
        <v>6.56</v>
      </c>
      <c r="DB400">
        <f t="shared" si="54"/>
        <v>46.83</v>
      </c>
      <c r="DC400">
        <f t="shared" si="55"/>
        <v>0</v>
      </c>
    </row>
    <row r="401" spans="1:107" x14ac:dyDescent="0.2">
      <c r="A401">
        <f>ROW(Source!A305)</f>
        <v>305</v>
      </c>
      <c r="B401">
        <v>16748969</v>
      </c>
      <c r="C401">
        <v>16750993</v>
      </c>
      <c r="D401">
        <v>15430397</v>
      </c>
      <c r="E401">
        <v>1</v>
      </c>
      <c r="F401">
        <v>1</v>
      </c>
      <c r="G401">
        <v>1</v>
      </c>
      <c r="H401">
        <v>1</v>
      </c>
      <c r="I401" t="s">
        <v>1234</v>
      </c>
      <c r="J401" t="s">
        <v>6</v>
      </c>
      <c r="K401" t="s">
        <v>1235</v>
      </c>
      <c r="L401">
        <v>1191</v>
      </c>
      <c r="N401">
        <v>1013</v>
      </c>
      <c r="O401" t="s">
        <v>1072</v>
      </c>
      <c r="P401" t="s">
        <v>1072</v>
      </c>
      <c r="Q401">
        <v>1</v>
      </c>
      <c r="W401">
        <v>0</v>
      </c>
      <c r="X401">
        <v>-1081351934</v>
      </c>
      <c r="Y401">
        <v>15.28</v>
      </c>
      <c r="AA401">
        <v>0</v>
      </c>
      <c r="AB401">
        <v>0</v>
      </c>
      <c r="AC401">
        <v>0</v>
      </c>
      <c r="AD401">
        <v>61.66</v>
      </c>
      <c r="AE401">
        <v>0</v>
      </c>
      <c r="AF401">
        <v>0</v>
      </c>
      <c r="AG401">
        <v>0</v>
      </c>
      <c r="AH401">
        <v>9.4</v>
      </c>
      <c r="AI401">
        <v>1</v>
      </c>
      <c r="AJ401">
        <v>1</v>
      </c>
      <c r="AK401">
        <v>1</v>
      </c>
      <c r="AL401">
        <v>6.56</v>
      </c>
      <c r="AN401">
        <v>0</v>
      </c>
      <c r="AO401">
        <v>1</v>
      </c>
      <c r="AP401">
        <v>0</v>
      </c>
      <c r="AQ401">
        <v>0</v>
      </c>
      <c r="AR401">
        <v>0</v>
      </c>
      <c r="AS401" t="s">
        <v>6</v>
      </c>
      <c r="AT401">
        <v>15.28</v>
      </c>
      <c r="AU401" t="s">
        <v>6</v>
      </c>
      <c r="AV401">
        <v>1</v>
      </c>
      <c r="AW401">
        <v>2</v>
      </c>
      <c r="AX401">
        <v>16751005</v>
      </c>
      <c r="AY401">
        <v>1</v>
      </c>
      <c r="AZ401">
        <v>0</v>
      </c>
      <c r="BA401">
        <v>378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  <c r="BP401">
        <v>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0</v>
      </c>
      <c r="BW401">
        <v>0</v>
      </c>
      <c r="CX401">
        <f>Y401*Source!I305</f>
        <v>1.00848</v>
      </c>
      <c r="CY401">
        <f>AD401</f>
        <v>61.66</v>
      </c>
      <c r="CZ401">
        <f>AH401</f>
        <v>9.4</v>
      </c>
      <c r="DA401">
        <f>AL401</f>
        <v>6.56</v>
      </c>
      <c r="DB401">
        <f t="shared" si="54"/>
        <v>143.63</v>
      </c>
      <c r="DC401">
        <f t="shared" si="55"/>
        <v>0</v>
      </c>
    </row>
    <row r="402" spans="1:107" x14ac:dyDescent="0.2">
      <c r="A402">
        <f>ROW(Source!A305)</f>
        <v>305</v>
      </c>
      <c r="B402">
        <v>16748969</v>
      </c>
      <c r="C402">
        <v>16750993</v>
      </c>
      <c r="D402">
        <v>15430395</v>
      </c>
      <c r="E402">
        <v>1</v>
      </c>
      <c r="F402">
        <v>1</v>
      </c>
      <c r="G402">
        <v>1</v>
      </c>
      <c r="H402">
        <v>1</v>
      </c>
      <c r="I402" t="s">
        <v>1073</v>
      </c>
      <c r="J402" t="s">
        <v>6</v>
      </c>
      <c r="K402" t="s">
        <v>1074</v>
      </c>
      <c r="L402">
        <v>1191</v>
      </c>
      <c r="N402">
        <v>1013</v>
      </c>
      <c r="O402" t="s">
        <v>1072</v>
      </c>
      <c r="P402" t="s">
        <v>1072</v>
      </c>
      <c r="Q402">
        <v>1</v>
      </c>
      <c r="W402">
        <v>0</v>
      </c>
      <c r="X402">
        <v>-1417349443</v>
      </c>
      <c r="Y402">
        <v>0.22</v>
      </c>
      <c r="AA402">
        <v>0</v>
      </c>
      <c r="AB402">
        <v>0</v>
      </c>
      <c r="AC402">
        <v>0</v>
      </c>
      <c r="AD402">
        <v>0</v>
      </c>
      <c r="AE402">
        <v>0</v>
      </c>
      <c r="AF402">
        <v>0</v>
      </c>
      <c r="AG402">
        <v>0</v>
      </c>
      <c r="AH402">
        <v>0</v>
      </c>
      <c r="AI402">
        <v>1</v>
      </c>
      <c r="AJ402">
        <v>1</v>
      </c>
      <c r="AK402">
        <v>6.56</v>
      </c>
      <c r="AL402">
        <v>1</v>
      </c>
      <c r="AN402">
        <v>0</v>
      </c>
      <c r="AO402">
        <v>1</v>
      </c>
      <c r="AP402">
        <v>0</v>
      </c>
      <c r="AQ402">
        <v>0</v>
      </c>
      <c r="AR402">
        <v>0</v>
      </c>
      <c r="AS402" t="s">
        <v>6</v>
      </c>
      <c r="AT402">
        <v>0.22</v>
      </c>
      <c r="AU402" t="s">
        <v>6</v>
      </c>
      <c r="AV402">
        <v>2</v>
      </c>
      <c r="AW402">
        <v>2</v>
      </c>
      <c r="AX402">
        <v>16751006</v>
      </c>
      <c r="AY402">
        <v>1</v>
      </c>
      <c r="AZ402">
        <v>0</v>
      </c>
      <c r="BA402">
        <v>379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0</v>
      </c>
      <c r="CX402">
        <f>Y402*Source!I305</f>
        <v>1.452E-2</v>
      </c>
      <c r="CY402">
        <f>AD402</f>
        <v>0</v>
      </c>
      <c r="CZ402">
        <f>AH402</f>
        <v>0</v>
      </c>
      <c r="DA402">
        <f>AL402</f>
        <v>1</v>
      </c>
      <c r="DB402">
        <f t="shared" si="54"/>
        <v>0</v>
      </c>
      <c r="DC402">
        <f t="shared" si="55"/>
        <v>0</v>
      </c>
    </row>
    <row r="403" spans="1:107" x14ac:dyDescent="0.2">
      <c r="A403">
        <f>ROW(Source!A305)</f>
        <v>305</v>
      </c>
      <c r="B403">
        <v>16748969</v>
      </c>
      <c r="C403">
        <v>16750993</v>
      </c>
      <c r="D403">
        <v>15247680</v>
      </c>
      <c r="E403">
        <v>1</v>
      </c>
      <c r="F403">
        <v>1</v>
      </c>
      <c r="G403">
        <v>1</v>
      </c>
      <c r="H403">
        <v>2</v>
      </c>
      <c r="I403" t="s">
        <v>1211</v>
      </c>
      <c r="J403" t="s">
        <v>1212</v>
      </c>
      <c r="K403" t="s">
        <v>1213</v>
      </c>
      <c r="L403">
        <v>1368</v>
      </c>
      <c r="N403">
        <v>1011</v>
      </c>
      <c r="O403" t="s">
        <v>1078</v>
      </c>
      <c r="P403" t="s">
        <v>1078</v>
      </c>
      <c r="Q403">
        <v>1</v>
      </c>
      <c r="W403">
        <v>0</v>
      </c>
      <c r="X403">
        <v>-1718674368</v>
      </c>
      <c r="Y403">
        <v>0.11</v>
      </c>
      <c r="AA403">
        <v>0</v>
      </c>
      <c r="AB403">
        <v>734.65</v>
      </c>
      <c r="AC403">
        <v>13.5</v>
      </c>
      <c r="AD403">
        <v>0</v>
      </c>
      <c r="AE403">
        <v>0</v>
      </c>
      <c r="AF403">
        <v>111.99</v>
      </c>
      <c r="AG403">
        <v>13.5</v>
      </c>
      <c r="AH403">
        <v>0</v>
      </c>
      <c r="AI403">
        <v>1</v>
      </c>
      <c r="AJ403">
        <v>6.56</v>
      </c>
      <c r="AK403">
        <v>1</v>
      </c>
      <c r="AL403">
        <v>1</v>
      </c>
      <c r="AN403">
        <v>0</v>
      </c>
      <c r="AO403">
        <v>1</v>
      </c>
      <c r="AP403">
        <v>0</v>
      </c>
      <c r="AQ403">
        <v>0</v>
      </c>
      <c r="AR403">
        <v>0</v>
      </c>
      <c r="AS403" t="s">
        <v>6</v>
      </c>
      <c r="AT403">
        <v>0.11</v>
      </c>
      <c r="AU403" t="s">
        <v>6</v>
      </c>
      <c r="AV403">
        <v>0</v>
      </c>
      <c r="AW403">
        <v>2</v>
      </c>
      <c r="AX403">
        <v>16751007</v>
      </c>
      <c r="AY403">
        <v>1</v>
      </c>
      <c r="AZ403">
        <v>0</v>
      </c>
      <c r="BA403">
        <v>380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0</v>
      </c>
      <c r="CX403">
        <f>Y403*Source!I305</f>
        <v>7.26E-3</v>
      </c>
      <c r="CY403">
        <f>AB403</f>
        <v>734.65</v>
      </c>
      <c r="CZ403">
        <f>AF403</f>
        <v>111.99</v>
      </c>
      <c r="DA403">
        <f>AJ403</f>
        <v>6.56</v>
      </c>
      <c r="DB403">
        <f t="shared" si="54"/>
        <v>12.32</v>
      </c>
      <c r="DC403">
        <f t="shared" si="55"/>
        <v>1.49</v>
      </c>
    </row>
    <row r="404" spans="1:107" x14ac:dyDescent="0.2">
      <c r="A404">
        <f>ROW(Source!A305)</f>
        <v>305</v>
      </c>
      <c r="B404">
        <v>16748969</v>
      </c>
      <c r="C404">
        <v>16750993</v>
      </c>
      <c r="D404">
        <v>15249073</v>
      </c>
      <c r="E404">
        <v>1</v>
      </c>
      <c r="F404">
        <v>1</v>
      </c>
      <c r="G404">
        <v>1</v>
      </c>
      <c r="H404">
        <v>2</v>
      </c>
      <c r="I404" t="s">
        <v>1097</v>
      </c>
      <c r="J404" t="s">
        <v>1098</v>
      </c>
      <c r="K404" t="s">
        <v>1099</v>
      </c>
      <c r="L404">
        <v>1368</v>
      </c>
      <c r="N404">
        <v>1011</v>
      </c>
      <c r="O404" t="s">
        <v>1078</v>
      </c>
      <c r="P404" t="s">
        <v>1078</v>
      </c>
      <c r="Q404">
        <v>1</v>
      </c>
      <c r="W404">
        <v>0</v>
      </c>
      <c r="X404">
        <v>1372534845</v>
      </c>
      <c r="Y404">
        <v>0.11</v>
      </c>
      <c r="AA404">
        <v>0</v>
      </c>
      <c r="AB404">
        <v>431.06</v>
      </c>
      <c r="AC404">
        <v>11.6</v>
      </c>
      <c r="AD404">
        <v>0</v>
      </c>
      <c r="AE404">
        <v>0</v>
      </c>
      <c r="AF404">
        <v>65.709999999999994</v>
      </c>
      <c r="AG404">
        <v>11.6</v>
      </c>
      <c r="AH404">
        <v>0</v>
      </c>
      <c r="AI404">
        <v>1</v>
      </c>
      <c r="AJ404">
        <v>6.56</v>
      </c>
      <c r="AK404">
        <v>1</v>
      </c>
      <c r="AL404">
        <v>1</v>
      </c>
      <c r="AN404">
        <v>0</v>
      </c>
      <c r="AO404">
        <v>1</v>
      </c>
      <c r="AP404">
        <v>0</v>
      </c>
      <c r="AQ404">
        <v>0</v>
      </c>
      <c r="AR404">
        <v>0</v>
      </c>
      <c r="AS404" t="s">
        <v>6</v>
      </c>
      <c r="AT404">
        <v>0.11</v>
      </c>
      <c r="AU404" t="s">
        <v>6</v>
      </c>
      <c r="AV404">
        <v>0</v>
      </c>
      <c r="AW404">
        <v>2</v>
      </c>
      <c r="AX404">
        <v>16751008</v>
      </c>
      <c r="AY404">
        <v>1</v>
      </c>
      <c r="AZ404">
        <v>0</v>
      </c>
      <c r="BA404">
        <v>381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CX404">
        <f>Y404*Source!I305</f>
        <v>7.26E-3</v>
      </c>
      <c r="CY404">
        <f>AB404</f>
        <v>431.06</v>
      </c>
      <c r="CZ404">
        <f>AF404</f>
        <v>65.709999999999994</v>
      </c>
      <c r="DA404">
        <f>AJ404</f>
        <v>6.56</v>
      </c>
      <c r="DB404">
        <f t="shared" si="54"/>
        <v>7.23</v>
      </c>
      <c r="DC404">
        <f t="shared" si="55"/>
        <v>1.28</v>
      </c>
    </row>
    <row r="405" spans="1:107" x14ac:dyDescent="0.2">
      <c r="A405">
        <f>ROW(Source!A305)</f>
        <v>305</v>
      </c>
      <c r="B405">
        <v>16748969</v>
      </c>
      <c r="C405">
        <v>16750993</v>
      </c>
      <c r="D405">
        <v>15172838</v>
      </c>
      <c r="E405">
        <v>1</v>
      </c>
      <c r="F405">
        <v>1</v>
      </c>
      <c r="G405">
        <v>1</v>
      </c>
      <c r="H405">
        <v>3</v>
      </c>
      <c r="I405" t="s">
        <v>1422</v>
      </c>
      <c r="J405" t="s">
        <v>1423</v>
      </c>
      <c r="K405" t="s">
        <v>1424</v>
      </c>
      <c r="L405">
        <v>1339</v>
      </c>
      <c r="N405">
        <v>1007</v>
      </c>
      <c r="O405" t="s">
        <v>283</v>
      </c>
      <c r="P405" t="s">
        <v>283</v>
      </c>
      <c r="Q405">
        <v>1</v>
      </c>
      <c r="W405">
        <v>0</v>
      </c>
      <c r="X405">
        <v>536744769</v>
      </c>
      <c r="Y405">
        <v>2.1000000000000001E-2</v>
      </c>
      <c r="AA405">
        <v>3936</v>
      </c>
      <c r="AB405">
        <v>0</v>
      </c>
      <c r="AC405">
        <v>0</v>
      </c>
      <c r="AD405">
        <v>0</v>
      </c>
      <c r="AE405">
        <v>600</v>
      </c>
      <c r="AF405">
        <v>0</v>
      </c>
      <c r="AG405">
        <v>0</v>
      </c>
      <c r="AH405">
        <v>0</v>
      </c>
      <c r="AI405">
        <v>6.56</v>
      </c>
      <c r="AJ405">
        <v>1</v>
      </c>
      <c r="AK405">
        <v>1</v>
      </c>
      <c r="AL405">
        <v>1</v>
      </c>
      <c r="AN405">
        <v>0</v>
      </c>
      <c r="AO405">
        <v>1</v>
      </c>
      <c r="AP405">
        <v>0</v>
      </c>
      <c r="AQ405">
        <v>0</v>
      </c>
      <c r="AR405">
        <v>0</v>
      </c>
      <c r="AS405" t="s">
        <v>6</v>
      </c>
      <c r="AT405">
        <v>2.1000000000000001E-2</v>
      </c>
      <c r="AU405" t="s">
        <v>6</v>
      </c>
      <c r="AV405">
        <v>0</v>
      </c>
      <c r="AW405">
        <v>2</v>
      </c>
      <c r="AX405">
        <v>16751009</v>
      </c>
      <c r="AY405">
        <v>1</v>
      </c>
      <c r="AZ405">
        <v>0</v>
      </c>
      <c r="BA405">
        <v>382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0</v>
      </c>
      <c r="BS405">
        <v>0</v>
      </c>
      <c r="BT405">
        <v>0</v>
      </c>
      <c r="BU405">
        <v>0</v>
      </c>
      <c r="BV405">
        <v>0</v>
      </c>
      <c r="BW405">
        <v>0</v>
      </c>
      <c r="CX405">
        <f>Y405*Source!I305</f>
        <v>1.3860000000000001E-3</v>
      </c>
      <c r="CY405">
        <f t="shared" ref="CY405:CY411" si="62">AA405</f>
        <v>3936</v>
      </c>
      <c r="CZ405">
        <f t="shared" ref="CZ405:CZ411" si="63">AE405</f>
        <v>600</v>
      </c>
      <c r="DA405">
        <f t="shared" ref="DA405:DA411" si="64">AI405</f>
        <v>6.56</v>
      </c>
      <c r="DB405">
        <f t="shared" si="54"/>
        <v>12.6</v>
      </c>
      <c r="DC405">
        <f t="shared" si="55"/>
        <v>0</v>
      </c>
    </row>
    <row r="406" spans="1:107" x14ac:dyDescent="0.2">
      <c r="A406">
        <f>ROW(Source!A305)</f>
        <v>305</v>
      </c>
      <c r="B406">
        <v>16748969</v>
      </c>
      <c r="C406">
        <v>16750993</v>
      </c>
      <c r="D406">
        <v>15202442</v>
      </c>
      <c r="E406">
        <v>1</v>
      </c>
      <c r="F406">
        <v>1</v>
      </c>
      <c r="G406">
        <v>1</v>
      </c>
      <c r="H406">
        <v>3</v>
      </c>
      <c r="I406" t="s">
        <v>1425</v>
      </c>
      <c r="J406" t="s">
        <v>1426</v>
      </c>
      <c r="K406" t="s">
        <v>1427</v>
      </c>
      <c r="L406">
        <v>1346</v>
      </c>
      <c r="N406">
        <v>1009</v>
      </c>
      <c r="O406" t="s">
        <v>323</v>
      </c>
      <c r="P406" t="s">
        <v>323</v>
      </c>
      <c r="Q406">
        <v>1</v>
      </c>
      <c r="W406">
        <v>0</v>
      </c>
      <c r="X406">
        <v>505519491</v>
      </c>
      <c r="Y406">
        <v>0.4</v>
      </c>
      <c r="AA406">
        <v>169.25</v>
      </c>
      <c r="AB406">
        <v>0</v>
      </c>
      <c r="AC406">
        <v>0</v>
      </c>
      <c r="AD406">
        <v>0</v>
      </c>
      <c r="AE406">
        <v>25.8</v>
      </c>
      <c r="AF406">
        <v>0</v>
      </c>
      <c r="AG406">
        <v>0</v>
      </c>
      <c r="AH406">
        <v>0</v>
      </c>
      <c r="AI406">
        <v>6.56</v>
      </c>
      <c r="AJ406">
        <v>1</v>
      </c>
      <c r="AK406">
        <v>1</v>
      </c>
      <c r="AL406">
        <v>1</v>
      </c>
      <c r="AN406">
        <v>0</v>
      </c>
      <c r="AO406">
        <v>1</v>
      </c>
      <c r="AP406">
        <v>0</v>
      </c>
      <c r="AQ406">
        <v>0</v>
      </c>
      <c r="AR406">
        <v>0</v>
      </c>
      <c r="AS406" t="s">
        <v>6</v>
      </c>
      <c r="AT406">
        <v>0.4</v>
      </c>
      <c r="AU406" t="s">
        <v>6</v>
      </c>
      <c r="AV406">
        <v>0</v>
      </c>
      <c r="AW406">
        <v>2</v>
      </c>
      <c r="AX406">
        <v>16751010</v>
      </c>
      <c r="AY406">
        <v>1</v>
      </c>
      <c r="AZ406">
        <v>0</v>
      </c>
      <c r="BA406">
        <v>383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0</v>
      </c>
      <c r="BW406">
        <v>0</v>
      </c>
      <c r="CX406">
        <f>Y406*Source!I305</f>
        <v>2.6400000000000003E-2</v>
      </c>
      <c r="CY406">
        <f t="shared" si="62"/>
        <v>169.25</v>
      </c>
      <c r="CZ406">
        <f t="shared" si="63"/>
        <v>25.8</v>
      </c>
      <c r="DA406">
        <f t="shared" si="64"/>
        <v>6.56</v>
      </c>
      <c r="DB406">
        <f t="shared" si="54"/>
        <v>10.32</v>
      </c>
      <c r="DC406">
        <f t="shared" si="55"/>
        <v>0</v>
      </c>
    </row>
    <row r="407" spans="1:107" x14ac:dyDescent="0.2">
      <c r="A407">
        <f>ROW(Source!A305)</f>
        <v>305</v>
      </c>
      <c r="B407">
        <v>16748969</v>
      </c>
      <c r="C407">
        <v>16750993</v>
      </c>
      <c r="D407">
        <v>15217585</v>
      </c>
      <c r="E407">
        <v>1</v>
      </c>
      <c r="F407">
        <v>1</v>
      </c>
      <c r="G407">
        <v>1</v>
      </c>
      <c r="H407">
        <v>3</v>
      </c>
      <c r="I407" t="s">
        <v>1428</v>
      </c>
      <c r="J407" t="s">
        <v>1429</v>
      </c>
      <c r="K407" t="s">
        <v>1430</v>
      </c>
      <c r="L407">
        <v>1356</v>
      </c>
      <c r="N407">
        <v>1010</v>
      </c>
      <c r="O407" t="s">
        <v>288</v>
      </c>
      <c r="P407" t="s">
        <v>288</v>
      </c>
      <c r="Q407">
        <v>1000</v>
      </c>
      <c r="W407">
        <v>0</v>
      </c>
      <c r="X407">
        <v>40709342</v>
      </c>
      <c r="Y407">
        <v>3.2000000000000001E-2</v>
      </c>
      <c r="AA407">
        <v>1771.2</v>
      </c>
      <c r="AB407">
        <v>0</v>
      </c>
      <c r="AC407">
        <v>0</v>
      </c>
      <c r="AD407">
        <v>0</v>
      </c>
      <c r="AE407">
        <v>270</v>
      </c>
      <c r="AF407">
        <v>0</v>
      </c>
      <c r="AG407">
        <v>0</v>
      </c>
      <c r="AH407">
        <v>0</v>
      </c>
      <c r="AI407">
        <v>6.56</v>
      </c>
      <c r="AJ407">
        <v>1</v>
      </c>
      <c r="AK407">
        <v>1</v>
      </c>
      <c r="AL407">
        <v>1</v>
      </c>
      <c r="AN407">
        <v>0</v>
      </c>
      <c r="AO407">
        <v>1</v>
      </c>
      <c r="AP407">
        <v>0</v>
      </c>
      <c r="AQ407">
        <v>0</v>
      </c>
      <c r="AR407">
        <v>0</v>
      </c>
      <c r="AS407" t="s">
        <v>6</v>
      </c>
      <c r="AT407">
        <v>3.2000000000000001E-2</v>
      </c>
      <c r="AU407" t="s">
        <v>6</v>
      </c>
      <c r="AV407">
        <v>0</v>
      </c>
      <c r="AW407">
        <v>2</v>
      </c>
      <c r="AX407">
        <v>16751011</v>
      </c>
      <c r="AY407">
        <v>1</v>
      </c>
      <c r="AZ407">
        <v>0</v>
      </c>
      <c r="BA407">
        <v>384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0</v>
      </c>
      <c r="BS407">
        <v>0</v>
      </c>
      <c r="BT407">
        <v>0</v>
      </c>
      <c r="BU407">
        <v>0</v>
      </c>
      <c r="BV407">
        <v>0</v>
      </c>
      <c r="BW407">
        <v>0</v>
      </c>
      <c r="CX407">
        <f>Y407*Source!I305</f>
        <v>2.1120000000000002E-3</v>
      </c>
      <c r="CY407">
        <f t="shared" si="62"/>
        <v>1771.2</v>
      </c>
      <c r="CZ407">
        <f t="shared" si="63"/>
        <v>270</v>
      </c>
      <c r="DA407">
        <f t="shared" si="64"/>
        <v>6.56</v>
      </c>
      <c r="DB407">
        <f t="shared" si="54"/>
        <v>8.64</v>
      </c>
      <c r="DC407">
        <f t="shared" si="55"/>
        <v>0</v>
      </c>
    </row>
    <row r="408" spans="1:107" x14ac:dyDescent="0.2">
      <c r="A408">
        <f>ROW(Source!A305)</f>
        <v>305</v>
      </c>
      <c r="B408">
        <v>16748969</v>
      </c>
      <c r="C408">
        <v>16750993</v>
      </c>
      <c r="D408">
        <v>15217593</v>
      </c>
      <c r="E408">
        <v>1</v>
      </c>
      <c r="F408">
        <v>1</v>
      </c>
      <c r="G408">
        <v>1</v>
      </c>
      <c r="H408">
        <v>3</v>
      </c>
      <c r="I408" t="s">
        <v>1431</v>
      </c>
      <c r="J408" t="s">
        <v>1432</v>
      </c>
      <c r="K408" t="s">
        <v>1433</v>
      </c>
      <c r="L408">
        <v>1358</v>
      </c>
      <c r="N408">
        <v>1010</v>
      </c>
      <c r="O408" t="s">
        <v>615</v>
      </c>
      <c r="P408" t="s">
        <v>615</v>
      </c>
      <c r="Q408">
        <v>10</v>
      </c>
      <c r="W408">
        <v>0</v>
      </c>
      <c r="X408">
        <v>-1110089157</v>
      </c>
      <c r="Y408">
        <v>1</v>
      </c>
      <c r="AA408">
        <v>130.54</v>
      </c>
      <c r="AB408">
        <v>0</v>
      </c>
      <c r="AC408">
        <v>0</v>
      </c>
      <c r="AD408">
        <v>0</v>
      </c>
      <c r="AE408">
        <v>19.899999999999999</v>
      </c>
      <c r="AF408">
        <v>0</v>
      </c>
      <c r="AG408">
        <v>0</v>
      </c>
      <c r="AH408">
        <v>0</v>
      </c>
      <c r="AI408">
        <v>6.56</v>
      </c>
      <c r="AJ408">
        <v>1</v>
      </c>
      <c r="AK408">
        <v>1</v>
      </c>
      <c r="AL408">
        <v>1</v>
      </c>
      <c r="AN408">
        <v>0</v>
      </c>
      <c r="AO408">
        <v>1</v>
      </c>
      <c r="AP408">
        <v>0</v>
      </c>
      <c r="AQ408">
        <v>0</v>
      </c>
      <c r="AR408">
        <v>0</v>
      </c>
      <c r="AS408" t="s">
        <v>6</v>
      </c>
      <c r="AT408">
        <v>1</v>
      </c>
      <c r="AU408" t="s">
        <v>6</v>
      </c>
      <c r="AV408">
        <v>0</v>
      </c>
      <c r="AW408">
        <v>2</v>
      </c>
      <c r="AX408">
        <v>16751012</v>
      </c>
      <c r="AY408">
        <v>1</v>
      </c>
      <c r="AZ408">
        <v>0</v>
      </c>
      <c r="BA408">
        <v>385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CX408">
        <f>Y408*Source!I305</f>
        <v>6.6000000000000003E-2</v>
      </c>
      <c r="CY408">
        <f t="shared" si="62"/>
        <v>130.54</v>
      </c>
      <c r="CZ408">
        <f t="shared" si="63"/>
        <v>19.899999999999999</v>
      </c>
      <c r="DA408">
        <f t="shared" si="64"/>
        <v>6.56</v>
      </c>
      <c r="DB408">
        <f t="shared" si="54"/>
        <v>19.899999999999999</v>
      </c>
      <c r="DC408">
        <f t="shared" si="55"/>
        <v>0</v>
      </c>
    </row>
    <row r="409" spans="1:107" x14ac:dyDescent="0.2">
      <c r="A409">
        <f>ROW(Source!A305)</f>
        <v>305</v>
      </c>
      <c r="B409">
        <v>16748969</v>
      </c>
      <c r="C409">
        <v>16750993</v>
      </c>
      <c r="D409">
        <v>15218939</v>
      </c>
      <c r="E409">
        <v>1</v>
      </c>
      <c r="F409">
        <v>1</v>
      </c>
      <c r="G409">
        <v>1</v>
      </c>
      <c r="H409">
        <v>3</v>
      </c>
      <c r="I409" t="s">
        <v>1434</v>
      </c>
      <c r="J409" t="s">
        <v>1435</v>
      </c>
      <c r="K409" t="s">
        <v>1436</v>
      </c>
      <c r="L409">
        <v>1354</v>
      </c>
      <c r="N409">
        <v>1010</v>
      </c>
      <c r="O409" t="s">
        <v>53</v>
      </c>
      <c r="P409" t="s">
        <v>53</v>
      </c>
      <c r="Q409">
        <v>1</v>
      </c>
      <c r="W409">
        <v>0</v>
      </c>
      <c r="X409">
        <v>-1308137011</v>
      </c>
      <c r="Y409">
        <v>0.5</v>
      </c>
      <c r="AA409">
        <v>438.34</v>
      </c>
      <c r="AB409">
        <v>0</v>
      </c>
      <c r="AC409">
        <v>0</v>
      </c>
      <c r="AD409">
        <v>0</v>
      </c>
      <c r="AE409">
        <v>66.819999999999993</v>
      </c>
      <c r="AF409">
        <v>0</v>
      </c>
      <c r="AG409">
        <v>0</v>
      </c>
      <c r="AH409">
        <v>0</v>
      </c>
      <c r="AI409">
        <v>6.56</v>
      </c>
      <c r="AJ409">
        <v>1</v>
      </c>
      <c r="AK409">
        <v>1</v>
      </c>
      <c r="AL409">
        <v>1</v>
      </c>
      <c r="AN409">
        <v>0</v>
      </c>
      <c r="AO409">
        <v>1</v>
      </c>
      <c r="AP409">
        <v>0</v>
      </c>
      <c r="AQ409">
        <v>0</v>
      </c>
      <c r="AR409">
        <v>0</v>
      </c>
      <c r="AS409" t="s">
        <v>6</v>
      </c>
      <c r="AT409">
        <v>0.5</v>
      </c>
      <c r="AU409" t="s">
        <v>6</v>
      </c>
      <c r="AV409">
        <v>0</v>
      </c>
      <c r="AW409">
        <v>2</v>
      </c>
      <c r="AX409">
        <v>16751013</v>
      </c>
      <c r="AY409">
        <v>1</v>
      </c>
      <c r="AZ409">
        <v>0</v>
      </c>
      <c r="BA409">
        <v>386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0</v>
      </c>
      <c r="CX409">
        <f>Y409*Source!I305</f>
        <v>3.3000000000000002E-2</v>
      </c>
      <c r="CY409">
        <f t="shared" si="62"/>
        <v>438.34</v>
      </c>
      <c r="CZ409">
        <f t="shared" si="63"/>
        <v>66.819999999999993</v>
      </c>
      <c r="DA409">
        <f t="shared" si="64"/>
        <v>6.56</v>
      </c>
      <c r="DB409">
        <f t="shared" si="54"/>
        <v>33.409999999999997</v>
      </c>
      <c r="DC409">
        <f t="shared" si="55"/>
        <v>0</v>
      </c>
    </row>
    <row r="410" spans="1:107" x14ac:dyDescent="0.2">
      <c r="A410">
        <f>ROW(Source!A305)</f>
        <v>305</v>
      </c>
      <c r="B410">
        <v>16748969</v>
      </c>
      <c r="C410">
        <v>16750993</v>
      </c>
      <c r="D410">
        <v>15233361</v>
      </c>
      <c r="E410">
        <v>1</v>
      </c>
      <c r="F410">
        <v>1</v>
      </c>
      <c r="G410">
        <v>1</v>
      </c>
      <c r="H410">
        <v>3</v>
      </c>
      <c r="I410" t="s">
        <v>663</v>
      </c>
      <c r="J410" t="s">
        <v>665</v>
      </c>
      <c r="K410" t="s">
        <v>664</v>
      </c>
      <c r="L410">
        <v>1302</v>
      </c>
      <c r="N410">
        <v>1003</v>
      </c>
      <c r="O410" t="s">
        <v>632</v>
      </c>
      <c r="P410" t="s">
        <v>632</v>
      </c>
      <c r="Q410">
        <v>10</v>
      </c>
      <c r="W410">
        <v>0</v>
      </c>
      <c r="X410">
        <v>1974421767</v>
      </c>
      <c r="Y410">
        <v>10</v>
      </c>
      <c r="AA410">
        <v>521.32000000000005</v>
      </c>
      <c r="AB410">
        <v>0</v>
      </c>
      <c r="AC410">
        <v>0</v>
      </c>
      <c r="AD410">
        <v>0</v>
      </c>
      <c r="AE410">
        <v>79.47</v>
      </c>
      <c r="AF410">
        <v>0</v>
      </c>
      <c r="AG410">
        <v>0</v>
      </c>
      <c r="AH410">
        <v>0</v>
      </c>
      <c r="AI410">
        <v>6.56</v>
      </c>
      <c r="AJ410">
        <v>1</v>
      </c>
      <c r="AK410">
        <v>1</v>
      </c>
      <c r="AL410">
        <v>1</v>
      </c>
      <c r="AN410">
        <v>0</v>
      </c>
      <c r="AO410">
        <v>0</v>
      </c>
      <c r="AP410">
        <v>0</v>
      </c>
      <c r="AQ410">
        <v>0</v>
      </c>
      <c r="AR410">
        <v>0</v>
      </c>
      <c r="AS410" t="s">
        <v>6</v>
      </c>
      <c r="AT410">
        <v>10</v>
      </c>
      <c r="AU410" t="s">
        <v>6</v>
      </c>
      <c r="AV410">
        <v>0</v>
      </c>
      <c r="AW410">
        <v>1</v>
      </c>
      <c r="AX410">
        <v>-1</v>
      </c>
      <c r="AY410">
        <v>0</v>
      </c>
      <c r="AZ410">
        <v>0</v>
      </c>
      <c r="BA410" t="s">
        <v>6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0</v>
      </c>
      <c r="BW410">
        <v>0</v>
      </c>
      <c r="CX410">
        <f>Y410*Source!I305</f>
        <v>0.66</v>
      </c>
      <c r="CY410">
        <f t="shared" si="62"/>
        <v>521.32000000000005</v>
      </c>
      <c r="CZ410">
        <f t="shared" si="63"/>
        <v>79.47</v>
      </c>
      <c r="DA410">
        <f t="shared" si="64"/>
        <v>6.56</v>
      </c>
      <c r="DB410">
        <f t="shared" si="54"/>
        <v>794.7</v>
      </c>
      <c r="DC410">
        <f t="shared" si="55"/>
        <v>0</v>
      </c>
    </row>
    <row r="411" spans="1:107" x14ac:dyDescent="0.2">
      <c r="A411">
        <f>ROW(Source!A305)</f>
        <v>305</v>
      </c>
      <c r="B411">
        <v>16748969</v>
      </c>
      <c r="C411">
        <v>16750993</v>
      </c>
      <c r="D411">
        <v>15164559</v>
      </c>
      <c r="E411">
        <v>17</v>
      </c>
      <c r="F411">
        <v>1</v>
      </c>
      <c r="G411">
        <v>1</v>
      </c>
      <c r="H411">
        <v>3</v>
      </c>
      <c r="I411" t="s">
        <v>1383</v>
      </c>
      <c r="J411" t="s">
        <v>6</v>
      </c>
      <c r="K411" t="s">
        <v>1384</v>
      </c>
      <c r="L411">
        <v>1374</v>
      </c>
      <c r="N411">
        <v>1013</v>
      </c>
      <c r="O411" t="s">
        <v>1385</v>
      </c>
      <c r="P411" t="s">
        <v>1385</v>
      </c>
      <c r="Q411">
        <v>1</v>
      </c>
      <c r="W411">
        <v>0</v>
      </c>
      <c r="X411">
        <v>-1731369543</v>
      </c>
      <c r="Y411">
        <v>2.87</v>
      </c>
      <c r="AA411">
        <v>1</v>
      </c>
      <c r="AB411">
        <v>0</v>
      </c>
      <c r="AC411">
        <v>0</v>
      </c>
      <c r="AD411">
        <v>0</v>
      </c>
      <c r="AE411">
        <v>1</v>
      </c>
      <c r="AF411">
        <v>0</v>
      </c>
      <c r="AG411">
        <v>0</v>
      </c>
      <c r="AH411">
        <v>0</v>
      </c>
      <c r="AI411">
        <v>1</v>
      </c>
      <c r="AJ411">
        <v>1</v>
      </c>
      <c r="AK411">
        <v>1</v>
      </c>
      <c r="AL411">
        <v>1</v>
      </c>
      <c r="AN411">
        <v>0</v>
      </c>
      <c r="AO411">
        <v>1</v>
      </c>
      <c r="AP411">
        <v>0</v>
      </c>
      <c r="AQ411">
        <v>0</v>
      </c>
      <c r="AR411">
        <v>0</v>
      </c>
      <c r="AS411" t="s">
        <v>6</v>
      </c>
      <c r="AT411">
        <v>2.87</v>
      </c>
      <c r="AU411" t="s">
        <v>6</v>
      </c>
      <c r="AV411">
        <v>0</v>
      </c>
      <c r="AW411">
        <v>2</v>
      </c>
      <c r="AX411">
        <v>16751014</v>
      </c>
      <c r="AY411">
        <v>1</v>
      </c>
      <c r="AZ411">
        <v>0</v>
      </c>
      <c r="BA411">
        <v>387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0</v>
      </c>
      <c r="BS411">
        <v>0</v>
      </c>
      <c r="BT411">
        <v>0</v>
      </c>
      <c r="BU411">
        <v>0</v>
      </c>
      <c r="BV411">
        <v>0</v>
      </c>
      <c r="BW411">
        <v>0</v>
      </c>
      <c r="CX411">
        <f>Y411*Source!I305</f>
        <v>0.18942000000000001</v>
      </c>
      <c r="CY411">
        <f t="shared" si="62"/>
        <v>1</v>
      </c>
      <c r="CZ411">
        <f t="shared" si="63"/>
        <v>1</v>
      </c>
      <c r="DA411">
        <f t="shared" si="64"/>
        <v>1</v>
      </c>
      <c r="DB411">
        <f t="shared" si="54"/>
        <v>2.87</v>
      </c>
      <c r="DC411">
        <f t="shared" si="55"/>
        <v>0</v>
      </c>
    </row>
    <row r="412" spans="1:107" x14ac:dyDescent="0.2">
      <c r="A412">
        <f>ROW(Source!A307)</f>
        <v>307</v>
      </c>
      <c r="B412">
        <v>16748969</v>
      </c>
      <c r="C412">
        <v>16751016</v>
      </c>
      <c r="D412">
        <v>15442878</v>
      </c>
      <c r="E412">
        <v>1</v>
      </c>
      <c r="F412">
        <v>1</v>
      </c>
      <c r="G412">
        <v>1</v>
      </c>
      <c r="H412">
        <v>1</v>
      </c>
      <c r="I412" t="s">
        <v>1386</v>
      </c>
      <c r="J412" t="s">
        <v>6</v>
      </c>
      <c r="K412" t="s">
        <v>1387</v>
      </c>
      <c r="L412">
        <v>1191</v>
      </c>
      <c r="N412">
        <v>1013</v>
      </c>
      <c r="O412" t="s">
        <v>1072</v>
      </c>
      <c r="P412" t="s">
        <v>1072</v>
      </c>
      <c r="Q412">
        <v>1</v>
      </c>
      <c r="W412">
        <v>0</v>
      </c>
      <c r="X412">
        <v>-362667798</v>
      </c>
      <c r="Y412">
        <v>0.9</v>
      </c>
      <c r="AA412">
        <v>0</v>
      </c>
      <c r="AB412">
        <v>0</v>
      </c>
      <c r="AC412">
        <v>0</v>
      </c>
      <c r="AD412">
        <v>68.88</v>
      </c>
      <c r="AE412">
        <v>0</v>
      </c>
      <c r="AF412">
        <v>0</v>
      </c>
      <c r="AG412">
        <v>0</v>
      </c>
      <c r="AH412">
        <v>10.5</v>
      </c>
      <c r="AI412">
        <v>1</v>
      </c>
      <c r="AJ412">
        <v>1</v>
      </c>
      <c r="AK412">
        <v>1</v>
      </c>
      <c r="AL412">
        <v>6.56</v>
      </c>
      <c r="AN412">
        <v>0</v>
      </c>
      <c r="AO412">
        <v>1</v>
      </c>
      <c r="AP412">
        <v>0</v>
      </c>
      <c r="AQ412">
        <v>0</v>
      </c>
      <c r="AR412">
        <v>0</v>
      </c>
      <c r="AS412" t="s">
        <v>6</v>
      </c>
      <c r="AT412">
        <v>0.9</v>
      </c>
      <c r="AU412" t="s">
        <v>6</v>
      </c>
      <c r="AV412">
        <v>1</v>
      </c>
      <c r="AW412">
        <v>2</v>
      </c>
      <c r="AX412">
        <v>16751026</v>
      </c>
      <c r="AY412">
        <v>1</v>
      </c>
      <c r="AZ412">
        <v>0</v>
      </c>
      <c r="BA412">
        <v>388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0</v>
      </c>
      <c r="BR412">
        <v>0</v>
      </c>
      <c r="BS412">
        <v>0</v>
      </c>
      <c r="BT412">
        <v>0</v>
      </c>
      <c r="BU412">
        <v>0</v>
      </c>
      <c r="BV412">
        <v>0</v>
      </c>
      <c r="BW412">
        <v>0</v>
      </c>
      <c r="CX412">
        <f>Y412*Source!I307</f>
        <v>0.9</v>
      </c>
      <c r="CY412">
        <f>AD412</f>
        <v>68.88</v>
      </c>
      <c r="CZ412">
        <f>AH412</f>
        <v>10.5</v>
      </c>
      <c r="DA412">
        <f>AL412</f>
        <v>6.56</v>
      </c>
      <c r="DB412">
        <f t="shared" si="54"/>
        <v>9.4499999999999993</v>
      </c>
      <c r="DC412">
        <f t="shared" si="55"/>
        <v>0</v>
      </c>
    </row>
    <row r="413" spans="1:107" x14ac:dyDescent="0.2">
      <c r="A413">
        <f>ROW(Source!A307)</f>
        <v>307</v>
      </c>
      <c r="B413">
        <v>16748969</v>
      </c>
      <c r="C413">
        <v>16751016</v>
      </c>
      <c r="D413">
        <v>15430395</v>
      </c>
      <c r="E413">
        <v>1</v>
      </c>
      <c r="F413">
        <v>1</v>
      </c>
      <c r="G413">
        <v>1</v>
      </c>
      <c r="H413">
        <v>1</v>
      </c>
      <c r="I413" t="s">
        <v>1073</v>
      </c>
      <c r="J413" t="s">
        <v>6</v>
      </c>
      <c r="K413" t="s">
        <v>1074</v>
      </c>
      <c r="L413">
        <v>1191</v>
      </c>
      <c r="N413">
        <v>1013</v>
      </c>
      <c r="O413" t="s">
        <v>1072</v>
      </c>
      <c r="P413" t="s">
        <v>1072</v>
      </c>
      <c r="Q413">
        <v>1</v>
      </c>
      <c r="W413">
        <v>0</v>
      </c>
      <c r="X413">
        <v>-1417349443</v>
      </c>
      <c r="Y413">
        <v>0.2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0</v>
      </c>
      <c r="AG413">
        <v>0</v>
      </c>
      <c r="AH413">
        <v>0</v>
      </c>
      <c r="AI413">
        <v>1</v>
      </c>
      <c r="AJ413">
        <v>1</v>
      </c>
      <c r="AK413">
        <v>6.56</v>
      </c>
      <c r="AL413">
        <v>1</v>
      </c>
      <c r="AN413">
        <v>0</v>
      </c>
      <c r="AO413">
        <v>1</v>
      </c>
      <c r="AP413">
        <v>0</v>
      </c>
      <c r="AQ413">
        <v>0</v>
      </c>
      <c r="AR413">
        <v>0</v>
      </c>
      <c r="AS413" t="s">
        <v>6</v>
      </c>
      <c r="AT413">
        <v>0.2</v>
      </c>
      <c r="AU413" t="s">
        <v>6</v>
      </c>
      <c r="AV413">
        <v>2</v>
      </c>
      <c r="AW413">
        <v>2</v>
      </c>
      <c r="AX413">
        <v>16751027</v>
      </c>
      <c r="AY413">
        <v>1</v>
      </c>
      <c r="AZ413">
        <v>0</v>
      </c>
      <c r="BA413">
        <v>389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0</v>
      </c>
      <c r="BW413">
        <v>0</v>
      </c>
      <c r="CX413">
        <f>Y413*Source!I307</f>
        <v>0.2</v>
      </c>
      <c r="CY413">
        <f>AD413</f>
        <v>0</v>
      </c>
      <c r="CZ413">
        <f>AH413</f>
        <v>0</v>
      </c>
      <c r="DA413">
        <f>AL413</f>
        <v>1</v>
      </c>
      <c r="DB413">
        <f t="shared" si="54"/>
        <v>0</v>
      </c>
      <c r="DC413">
        <f t="shared" si="55"/>
        <v>0</v>
      </c>
    </row>
    <row r="414" spans="1:107" x14ac:dyDescent="0.2">
      <c r="A414">
        <f>ROW(Source!A307)</f>
        <v>307</v>
      </c>
      <c r="B414">
        <v>16748969</v>
      </c>
      <c r="C414">
        <v>16751016</v>
      </c>
      <c r="D414">
        <v>15247680</v>
      </c>
      <c r="E414">
        <v>1</v>
      </c>
      <c r="F414">
        <v>1</v>
      </c>
      <c r="G414">
        <v>1</v>
      </c>
      <c r="H414">
        <v>2</v>
      </c>
      <c r="I414" t="s">
        <v>1211</v>
      </c>
      <c r="J414" t="s">
        <v>1212</v>
      </c>
      <c r="K414" t="s">
        <v>1213</v>
      </c>
      <c r="L414">
        <v>1368</v>
      </c>
      <c r="N414">
        <v>1011</v>
      </c>
      <c r="O414" t="s">
        <v>1078</v>
      </c>
      <c r="P414" t="s">
        <v>1078</v>
      </c>
      <c r="Q414">
        <v>1</v>
      </c>
      <c r="W414">
        <v>0</v>
      </c>
      <c r="X414">
        <v>-1718674368</v>
      </c>
      <c r="Y414">
        <v>0.1</v>
      </c>
      <c r="AA414">
        <v>0</v>
      </c>
      <c r="AB414">
        <v>734.65</v>
      </c>
      <c r="AC414">
        <v>13.5</v>
      </c>
      <c r="AD414">
        <v>0</v>
      </c>
      <c r="AE414">
        <v>0</v>
      </c>
      <c r="AF414">
        <v>111.99</v>
      </c>
      <c r="AG414">
        <v>13.5</v>
      </c>
      <c r="AH414">
        <v>0</v>
      </c>
      <c r="AI414">
        <v>1</v>
      </c>
      <c r="AJ414">
        <v>6.56</v>
      </c>
      <c r="AK414">
        <v>1</v>
      </c>
      <c r="AL414">
        <v>1</v>
      </c>
      <c r="AN414">
        <v>0</v>
      </c>
      <c r="AO414">
        <v>1</v>
      </c>
      <c r="AP414">
        <v>0</v>
      </c>
      <c r="AQ414">
        <v>0</v>
      </c>
      <c r="AR414">
        <v>0</v>
      </c>
      <c r="AS414" t="s">
        <v>6</v>
      </c>
      <c r="AT414">
        <v>0.1</v>
      </c>
      <c r="AU414" t="s">
        <v>6</v>
      </c>
      <c r="AV414">
        <v>0</v>
      </c>
      <c r="AW414">
        <v>2</v>
      </c>
      <c r="AX414">
        <v>16751028</v>
      </c>
      <c r="AY414">
        <v>1</v>
      </c>
      <c r="AZ414">
        <v>0</v>
      </c>
      <c r="BA414">
        <v>390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  <c r="BR414">
        <v>0</v>
      </c>
      <c r="BS414">
        <v>0</v>
      </c>
      <c r="BT414">
        <v>0</v>
      </c>
      <c r="BU414">
        <v>0</v>
      </c>
      <c r="BV414">
        <v>0</v>
      </c>
      <c r="BW414">
        <v>0</v>
      </c>
      <c r="CX414">
        <f>Y414*Source!I307</f>
        <v>0.1</v>
      </c>
      <c r="CY414">
        <f>AB414</f>
        <v>734.65</v>
      </c>
      <c r="CZ414">
        <f>AF414</f>
        <v>111.99</v>
      </c>
      <c r="DA414">
        <f>AJ414</f>
        <v>6.56</v>
      </c>
      <c r="DB414">
        <f t="shared" si="54"/>
        <v>11.2</v>
      </c>
      <c r="DC414">
        <f t="shared" si="55"/>
        <v>1.35</v>
      </c>
    </row>
    <row r="415" spans="1:107" x14ac:dyDescent="0.2">
      <c r="A415">
        <f>ROW(Source!A307)</f>
        <v>307</v>
      </c>
      <c r="B415">
        <v>16748969</v>
      </c>
      <c r="C415">
        <v>16751016</v>
      </c>
      <c r="D415">
        <v>15249073</v>
      </c>
      <c r="E415">
        <v>1</v>
      </c>
      <c r="F415">
        <v>1</v>
      </c>
      <c r="G415">
        <v>1</v>
      </c>
      <c r="H415">
        <v>2</v>
      </c>
      <c r="I415" t="s">
        <v>1097</v>
      </c>
      <c r="J415" t="s">
        <v>1098</v>
      </c>
      <c r="K415" t="s">
        <v>1099</v>
      </c>
      <c r="L415">
        <v>1368</v>
      </c>
      <c r="N415">
        <v>1011</v>
      </c>
      <c r="O415" t="s">
        <v>1078</v>
      </c>
      <c r="P415" t="s">
        <v>1078</v>
      </c>
      <c r="Q415">
        <v>1</v>
      </c>
      <c r="W415">
        <v>0</v>
      </c>
      <c r="X415">
        <v>1372534845</v>
      </c>
      <c r="Y415">
        <v>0.1</v>
      </c>
      <c r="AA415">
        <v>0</v>
      </c>
      <c r="AB415">
        <v>431.06</v>
      </c>
      <c r="AC415">
        <v>11.6</v>
      </c>
      <c r="AD415">
        <v>0</v>
      </c>
      <c r="AE415">
        <v>0</v>
      </c>
      <c r="AF415">
        <v>65.709999999999994</v>
      </c>
      <c r="AG415">
        <v>11.6</v>
      </c>
      <c r="AH415">
        <v>0</v>
      </c>
      <c r="AI415">
        <v>1</v>
      </c>
      <c r="AJ415">
        <v>6.56</v>
      </c>
      <c r="AK415">
        <v>1</v>
      </c>
      <c r="AL415">
        <v>1</v>
      </c>
      <c r="AN415">
        <v>0</v>
      </c>
      <c r="AO415">
        <v>1</v>
      </c>
      <c r="AP415">
        <v>0</v>
      </c>
      <c r="AQ415">
        <v>0</v>
      </c>
      <c r="AR415">
        <v>0</v>
      </c>
      <c r="AS415" t="s">
        <v>6</v>
      </c>
      <c r="AT415">
        <v>0.1</v>
      </c>
      <c r="AU415" t="s">
        <v>6</v>
      </c>
      <c r="AV415">
        <v>0</v>
      </c>
      <c r="AW415">
        <v>2</v>
      </c>
      <c r="AX415">
        <v>16751029</v>
      </c>
      <c r="AY415">
        <v>1</v>
      </c>
      <c r="AZ415">
        <v>0</v>
      </c>
      <c r="BA415">
        <v>391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  <c r="BR415">
        <v>0</v>
      </c>
      <c r="BS415">
        <v>0</v>
      </c>
      <c r="BT415">
        <v>0</v>
      </c>
      <c r="BU415">
        <v>0</v>
      </c>
      <c r="BV415">
        <v>0</v>
      </c>
      <c r="BW415">
        <v>0</v>
      </c>
      <c r="CX415">
        <f>Y415*Source!I307</f>
        <v>0.1</v>
      </c>
      <c r="CY415">
        <f>AB415</f>
        <v>431.06</v>
      </c>
      <c r="CZ415">
        <f>AF415</f>
        <v>65.709999999999994</v>
      </c>
      <c r="DA415">
        <f>AJ415</f>
        <v>6.56</v>
      </c>
      <c r="DB415">
        <f t="shared" si="54"/>
        <v>6.57</v>
      </c>
      <c r="DC415">
        <f t="shared" si="55"/>
        <v>1.1599999999999999</v>
      </c>
    </row>
    <row r="416" spans="1:107" x14ac:dyDescent="0.2">
      <c r="A416">
        <f>ROW(Source!A307)</f>
        <v>307</v>
      </c>
      <c r="B416">
        <v>16748969</v>
      </c>
      <c r="C416">
        <v>16751016</v>
      </c>
      <c r="D416">
        <v>15167588</v>
      </c>
      <c r="E416">
        <v>1</v>
      </c>
      <c r="F416">
        <v>1</v>
      </c>
      <c r="G416">
        <v>1</v>
      </c>
      <c r="H416">
        <v>3</v>
      </c>
      <c r="I416" t="s">
        <v>1388</v>
      </c>
      <c r="J416" t="s">
        <v>1389</v>
      </c>
      <c r="K416" t="s">
        <v>1390</v>
      </c>
      <c r="L416">
        <v>1346</v>
      </c>
      <c r="N416">
        <v>1009</v>
      </c>
      <c r="O416" t="s">
        <v>323</v>
      </c>
      <c r="P416" t="s">
        <v>323</v>
      </c>
      <c r="Q416">
        <v>1</v>
      </c>
      <c r="W416">
        <v>0</v>
      </c>
      <c r="X416">
        <v>-1088866022</v>
      </c>
      <c r="Y416">
        <v>0.01</v>
      </c>
      <c r="AA416">
        <v>199.42</v>
      </c>
      <c r="AB416">
        <v>0</v>
      </c>
      <c r="AC416">
        <v>0</v>
      </c>
      <c r="AD416">
        <v>0</v>
      </c>
      <c r="AE416">
        <v>30.4</v>
      </c>
      <c r="AF416">
        <v>0</v>
      </c>
      <c r="AG416">
        <v>0</v>
      </c>
      <c r="AH416">
        <v>0</v>
      </c>
      <c r="AI416">
        <v>6.56</v>
      </c>
      <c r="AJ416">
        <v>1</v>
      </c>
      <c r="AK416">
        <v>1</v>
      </c>
      <c r="AL416">
        <v>1</v>
      </c>
      <c r="AN416">
        <v>0</v>
      </c>
      <c r="AO416">
        <v>1</v>
      </c>
      <c r="AP416">
        <v>0</v>
      </c>
      <c r="AQ416">
        <v>0</v>
      </c>
      <c r="AR416">
        <v>0</v>
      </c>
      <c r="AS416" t="s">
        <v>6</v>
      </c>
      <c r="AT416">
        <v>0.01</v>
      </c>
      <c r="AU416" t="s">
        <v>6</v>
      </c>
      <c r="AV416">
        <v>0</v>
      </c>
      <c r="AW416">
        <v>2</v>
      </c>
      <c r="AX416">
        <v>16751030</v>
      </c>
      <c r="AY416">
        <v>1</v>
      </c>
      <c r="AZ416">
        <v>0</v>
      </c>
      <c r="BA416">
        <v>392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  <c r="BR416">
        <v>0</v>
      </c>
      <c r="BS416">
        <v>0</v>
      </c>
      <c r="BT416">
        <v>0</v>
      </c>
      <c r="BU416">
        <v>0</v>
      </c>
      <c r="BV416">
        <v>0</v>
      </c>
      <c r="BW416">
        <v>0</v>
      </c>
      <c r="CX416">
        <f>Y416*Source!I307</f>
        <v>0.01</v>
      </c>
      <c r="CY416">
        <f>AA416</f>
        <v>199.42</v>
      </c>
      <c r="CZ416">
        <f>AE416</f>
        <v>30.4</v>
      </c>
      <c r="DA416">
        <f>AI416</f>
        <v>6.56</v>
      </c>
      <c r="DB416">
        <f t="shared" si="54"/>
        <v>0.3</v>
      </c>
      <c r="DC416">
        <f t="shared" si="55"/>
        <v>0</v>
      </c>
    </row>
    <row r="417" spans="1:107" x14ac:dyDescent="0.2">
      <c r="A417">
        <f>ROW(Source!A307)</f>
        <v>307</v>
      </c>
      <c r="B417">
        <v>16748969</v>
      </c>
      <c r="C417">
        <v>16751016</v>
      </c>
      <c r="D417">
        <v>15169942</v>
      </c>
      <c r="E417">
        <v>1</v>
      </c>
      <c r="F417">
        <v>1</v>
      </c>
      <c r="G417">
        <v>1</v>
      </c>
      <c r="H417">
        <v>3</v>
      </c>
      <c r="I417" t="s">
        <v>1391</v>
      </c>
      <c r="J417" t="s">
        <v>1392</v>
      </c>
      <c r="K417" t="s">
        <v>1291</v>
      </c>
      <c r="L417">
        <v>1346</v>
      </c>
      <c r="N417">
        <v>1009</v>
      </c>
      <c r="O417" t="s">
        <v>323</v>
      </c>
      <c r="P417" t="s">
        <v>323</v>
      </c>
      <c r="Q417">
        <v>1</v>
      </c>
      <c r="W417">
        <v>0</v>
      </c>
      <c r="X417">
        <v>103900845</v>
      </c>
      <c r="Y417">
        <v>0.3</v>
      </c>
      <c r="AA417">
        <v>59.3</v>
      </c>
      <c r="AB417">
        <v>0</v>
      </c>
      <c r="AC417">
        <v>0</v>
      </c>
      <c r="AD417">
        <v>0</v>
      </c>
      <c r="AE417">
        <v>9.0399999999999991</v>
      </c>
      <c r="AF417">
        <v>0</v>
      </c>
      <c r="AG417">
        <v>0</v>
      </c>
      <c r="AH417">
        <v>0</v>
      </c>
      <c r="AI417">
        <v>6.56</v>
      </c>
      <c r="AJ417">
        <v>1</v>
      </c>
      <c r="AK417">
        <v>1</v>
      </c>
      <c r="AL417">
        <v>1</v>
      </c>
      <c r="AN417">
        <v>0</v>
      </c>
      <c r="AO417">
        <v>1</v>
      </c>
      <c r="AP417">
        <v>0</v>
      </c>
      <c r="AQ417">
        <v>0</v>
      </c>
      <c r="AR417">
        <v>0</v>
      </c>
      <c r="AS417" t="s">
        <v>6</v>
      </c>
      <c r="AT417">
        <v>0.3</v>
      </c>
      <c r="AU417" t="s">
        <v>6</v>
      </c>
      <c r="AV417">
        <v>0</v>
      </c>
      <c r="AW417">
        <v>2</v>
      </c>
      <c r="AX417">
        <v>16751031</v>
      </c>
      <c r="AY417">
        <v>1</v>
      </c>
      <c r="AZ417">
        <v>0</v>
      </c>
      <c r="BA417">
        <v>393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  <c r="BP417">
        <v>0</v>
      </c>
      <c r="BQ417">
        <v>0</v>
      </c>
      <c r="BR417">
        <v>0</v>
      </c>
      <c r="BS417">
        <v>0</v>
      </c>
      <c r="BT417">
        <v>0</v>
      </c>
      <c r="BU417">
        <v>0</v>
      </c>
      <c r="BV417">
        <v>0</v>
      </c>
      <c r="BW417">
        <v>0</v>
      </c>
      <c r="CX417">
        <f>Y417*Source!I307</f>
        <v>0.3</v>
      </c>
      <c r="CY417">
        <f>AA417</f>
        <v>59.3</v>
      </c>
      <c r="CZ417">
        <f>AE417</f>
        <v>9.0399999999999991</v>
      </c>
      <c r="DA417">
        <f>AI417</f>
        <v>6.56</v>
      </c>
      <c r="DB417">
        <f t="shared" ref="DB417:DB480" si="65">ROUND(ROUND(AT417*CZ417,2),2)</f>
        <v>2.71</v>
      </c>
      <c r="DC417">
        <f t="shared" ref="DC417:DC480" si="66">ROUND(ROUND(AT417*AG417,2),2)</f>
        <v>0</v>
      </c>
    </row>
    <row r="418" spans="1:107" x14ac:dyDescent="0.2">
      <c r="A418">
        <f>ROW(Source!A307)</f>
        <v>307</v>
      </c>
      <c r="B418">
        <v>16748969</v>
      </c>
      <c r="C418">
        <v>16751016</v>
      </c>
      <c r="D418">
        <v>15191488</v>
      </c>
      <c r="E418">
        <v>1</v>
      </c>
      <c r="F418">
        <v>1</v>
      </c>
      <c r="G418">
        <v>1</v>
      </c>
      <c r="H418">
        <v>3</v>
      </c>
      <c r="I418" t="s">
        <v>1393</v>
      </c>
      <c r="J418" t="s">
        <v>1394</v>
      </c>
      <c r="K418" t="s">
        <v>1395</v>
      </c>
      <c r="L418">
        <v>1348</v>
      </c>
      <c r="N418">
        <v>1009</v>
      </c>
      <c r="O418" t="s">
        <v>71</v>
      </c>
      <c r="P418" t="s">
        <v>71</v>
      </c>
      <c r="Q418">
        <v>1000</v>
      </c>
      <c r="W418">
        <v>0</v>
      </c>
      <c r="X418">
        <v>-1598896989</v>
      </c>
      <c r="Y418">
        <v>5.9999999999999995E-4</v>
      </c>
      <c r="AA418">
        <v>32800</v>
      </c>
      <c r="AB418">
        <v>0</v>
      </c>
      <c r="AC418">
        <v>0</v>
      </c>
      <c r="AD418">
        <v>0</v>
      </c>
      <c r="AE418">
        <v>5000</v>
      </c>
      <c r="AF418">
        <v>0</v>
      </c>
      <c r="AG418">
        <v>0</v>
      </c>
      <c r="AH418">
        <v>0</v>
      </c>
      <c r="AI418">
        <v>6.56</v>
      </c>
      <c r="AJ418">
        <v>1</v>
      </c>
      <c r="AK418">
        <v>1</v>
      </c>
      <c r="AL418">
        <v>1</v>
      </c>
      <c r="AN418">
        <v>0</v>
      </c>
      <c r="AO418">
        <v>1</v>
      </c>
      <c r="AP418">
        <v>0</v>
      </c>
      <c r="AQ418">
        <v>0</v>
      </c>
      <c r="AR418">
        <v>0</v>
      </c>
      <c r="AS418" t="s">
        <v>6</v>
      </c>
      <c r="AT418">
        <v>5.9999999999999995E-4</v>
      </c>
      <c r="AU418" t="s">
        <v>6</v>
      </c>
      <c r="AV418">
        <v>0</v>
      </c>
      <c r="AW418">
        <v>2</v>
      </c>
      <c r="AX418">
        <v>16751032</v>
      </c>
      <c r="AY418">
        <v>1</v>
      </c>
      <c r="AZ418">
        <v>0</v>
      </c>
      <c r="BA418">
        <v>394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0</v>
      </c>
      <c r="BR418">
        <v>0</v>
      </c>
      <c r="BS418">
        <v>0</v>
      </c>
      <c r="BT418">
        <v>0</v>
      </c>
      <c r="BU418">
        <v>0</v>
      </c>
      <c r="BV418">
        <v>0</v>
      </c>
      <c r="BW418">
        <v>0</v>
      </c>
      <c r="CX418">
        <f>Y418*Source!I307</f>
        <v>5.9999999999999995E-4</v>
      </c>
      <c r="CY418">
        <f>AA418</f>
        <v>32800</v>
      </c>
      <c r="CZ418">
        <f>AE418</f>
        <v>5000</v>
      </c>
      <c r="DA418">
        <f>AI418</f>
        <v>6.56</v>
      </c>
      <c r="DB418">
        <f t="shared" si="65"/>
        <v>3</v>
      </c>
      <c r="DC418">
        <f t="shared" si="66"/>
        <v>0</v>
      </c>
    </row>
    <row r="419" spans="1:107" x14ac:dyDescent="0.2">
      <c r="A419">
        <f>ROW(Source!A307)</f>
        <v>307</v>
      </c>
      <c r="B419">
        <v>16748969</v>
      </c>
      <c r="C419">
        <v>16751016</v>
      </c>
      <c r="D419">
        <v>15240001</v>
      </c>
      <c r="E419">
        <v>1</v>
      </c>
      <c r="F419">
        <v>1</v>
      </c>
      <c r="G419">
        <v>1</v>
      </c>
      <c r="H419">
        <v>3</v>
      </c>
      <c r="I419" t="s">
        <v>669</v>
      </c>
      <c r="J419" t="s">
        <v>671</v>
      </c>
      <c r="K419" t="s">
        <v>670</v>
      </c>
      <c r="L419">
        <v>1354</v>
      </c>
      <c r="N419">
        <v>1010</v>
      </c>
      <c r="O419" t="s">
        <v>53</v>
      </c>
      <c r="P419" t="s">
        <v>53</v>
      </c>
      <c r="Q419">
        <v>1</v>
      </c>
      <c r="W419">
        <v>0</v>
      </c>
      <c r="X419">
        <v>487973268</v>
      </c>
      <c r="Y419">
        <v>1</v>
      </c>
      <c r="AA419">
        <v>9805.69</v>
      </c>
      <c r="AB419">
        <v>0</v>
      </c>
      <c r="AC419">
        <v>0</v>
      </c>
      <c r="AD419">
        <v>0</v>
      </c>
      <c r="AE419">
        <v>1494.77</v>
      </c>
      <c r="AF419">
        <v>0</v>
      </c>
      <c r="AG419">
        <v>0</v>
      </c>
      <c r="AH419">
        <v>0</v>
      </c>
      <c r="AI419">
        <v>6.56</v>
      </c>
      <c r="AJ419">
        <v>1</v>
      </c>
      <c r="AK419">
        <v>1</v>
      </c>
      <c r="AL419">
        <v>1</v>
      </c>
      <c r="AN419">
        <v>0</v>
      </c>
      <c r="AO419">
        <v>0</v>
      </c>
      <c r="AP419">
        <v>0</v>
      </c>
      <c r="AQ419">
        <v>0</v>
      </c>
      <c r="AR419">
        <v>0</v>
      </c>
      <c r="AS419" t="s">
        <v>6</v>
      </c>
      <c r="AT419">
        <v>1</v>
      </c>
      <c r="AU419" t="s">
        <v>6</v>
      </c>
      <c r="AV419">
        <v>0</v>
      </c>
      <c r="AW419">
        <v>1</v>
      </c>
      <c r="AX419">
        <v>-1</v>
      </c>
      <c r="AY419">
        <v>0</v>
      </c>
      <c r="AZ419">
        <v>0</v>
      </c>
      <c r="BA419" t="s">
        <v>6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0</v>
      </c>
      <c r="BR419">
        <v>0</v>
      </c>
      <c r="BS419">
        <v>0</v>
      </c>
      <c r="BT419">
        <v>0</v>
      </c>
      <c r="BU419">
        <v>0</v>
      </c>
      <c r="BV419">
        <v>0</v>
      </c>
      <c r="BW419">
        <v>0</v>
      </c>
      <c r="CX419">
        <f>Y419*Source!I307</f>
        <v>1</v>
      </c>
      <c r="CY419">
        <f>AA419</f>
        <v>9805.69</v>
      </c>
      <c r="CZ419">
        <f>AE419</f>
        <v>1494.77</v>
      </c>
      <c r="DA419">
        <f>AI419</f>
        <v>6.56</v>
      </c>
      <c r="DB419">
        <f t="shared" si="65"/>
        <v>1494.77</v>
      </c>
      <c r="DC419">
        <f t="shared" si="66"/>
        <v>0</v>
      </c>
    </row>
    <row r="420" spans="1:107" x14ac:dyDescent="0.2">
      <c r="A420">
        <f>ROW(Source!A307)</f>
        <v>307</v>
      </c>
      <c r="B420">
        <v>16748969</v>
      </c>
      <c r="C420">
        <v>16751016</v>
      </c>
      <c r="D420">
        <v>15164559</v>
      </c>
      <c r="E420">
        <v>17</v>
      </c>
      <c r="F420">
        <v>1</v>
      </c>
      <c r="G420">
        <v>1</v>
      </c>
      <c r="H420">
        <v>3</v>
      </c>
      <c r="I420" t="s">
        <v>1383</v>
      </c>
      <c r="J420" t="s">
        <v>6</v>
      </c>
      <c r="K420" t="s">
        <v>1384</v>
      </c>
      <c r="L420">
        <v>1374</v>
      </c>
      <c r="N420">
        <v>1013</v>
      </c>
      <c r="O420" t="s">
        <v>1385</v>
      </c>
      <c r="P420" t="s">
        <v>1385</v>
      </c>
      <c r="Q420">
        <v>1</v>
      </c>
      <c r="W420">
        <v>0</v>
      </c>
      <c r="X420">
        <v>-1731369543</v>
      </c>
      <c r="Y420">
        <v>0.19</v>
      </c>
      <c r="AA420">
        <v>1</v>
      </c>
      <c r="AB420">
        <v>0</v>
      </c>
      <c r="AC420">
        <v>0</v>
      </c>
      <c r="AD420">
        <v>0</v>
      </c>
      <c r="AE420">
        <v>1</v>
      </c>
      <c r="AF420">
        <v>0</v>
      </c>
      <c r="AG420">
        <v>0</v>
      </c>
      <c r="AH420">
        <v>0</v>
      </c>
      <c r="AI420">
        <v>1</v>
      </c>
      <c r="AJ420">
        <v>1</v>
      </c>
      <c r="AK420">
        <v>1</v>
      </c>
      <c r="AL420">
        <v>1</v>
      </c>
      <c r="AN420">
        <v>0</v>
      </c>
      <c r="AO420">
        <v>1</v>
      </c>
      <c r="AP420">
        <v>0</v>
      </c>
      <c r="AQ420">
        <v>0</v>
      </c>
      <c r="AR420">
        <v>0</v>
      </c>
      <c r="AS420" t="s">
        <v>6</v>
      </c>
      <c r="AT420">
        <v>0.19</v>
      </c>
      <c r="AU420" t="s">
        <v>6</v>
      </c>
      <c r="AV420">
        <v>0</v>
      </c>
      <c r="AW420">
        <v>2</v>
      </c>
      <c r="AX420">
        <v>16751033</v>
      </c>
      <c r="AY420">
        <v>1</v>
      </c>
      <c r="AZ420">
        <v>0</v>
      </c>
      <c r="BA420">
        <v>395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  <c r="BP420">
        <v>0</v>
      </c>
      <c r="BQ420">
        <v>0</v>
      </c>
      <c r="BR420">
        <v>0</v>
      </c>
      <c r="BS420">
        <v>0</v>
      </c>
      <c r="BT420">
        <v>0</v>
      </c>
      <c r="BU420">
        <v>0</v>
      </c>
      <c r="BV420">
        <v>0</v>
      </c>
      <c r="BW420">
        <v>0</v>
      </c>
      <c r="CX420">
        <f>Y420*Source!I307</f>
        <v>0.19</v>
      </c>
      <c r="CY420">
        <f>AA420</f>
        <v>1</v>
      </c>
      <c r="CZ420">
        <f>AE420</f>
        <v>1</v>
      </c>
      <c r="DA420">
        <f>AI420</f>
        <v>1</v>
      </c>
      <c r="DB420">
        <f t="shared" si="65"/>
        <v>0.19</v>
      </c>
      <c r="DC420">
        <f t="shared" si="66"/>
        <v>0</v>
      </c>
    </row>
    <row r="421" spans="1:107" x14ac:dyDescent="0.2">
      <c r="A421">
        <f>ROW(Source!A309)</f>
        <v>309</v>
      </c>
      <c r="B421">
        <v>16748969</v>
      </c>
      <c r="C421">
        <v>16751035</v>
      </c>
      <c r="D421">
        <v>15435721</v>
      </c>
      <c r="E421">
        <v>1</v>
      </c>
      <c r="F421">
        <v>1</v>
      </c>
      <c r="G421">
        <v>1</v>
      </c>
      <c r="H421">
        <v>1</v>
      </c>
      <c r="I421" t="s">
        <v>1353</v>
      </c>
      <c r="J421" t="s">
        <v>6</v>
      </c>
      <c r="K421" t="s">
        <v>1354</v>
      </c>
      <c r="L421">
        <v>1191</v>
      </c>
      <c r="N421">
        <v>1013</v>
      </c>
      <c r="O421" t="s">
        <v>1072</v>
      </c>
      <c r="P421" t="s">
        <v>1072</v>
      </c>
      <c r="Q421">
        <v>1</v>
      </c>
      <c r="W421">
        <v>0</v>
      </c>
      <c r="X421">
        <v>1983201532</v>
      </c>
      <c r="Y421">
        <v>1.62</v>
      </c>
      <c r="AA421">
        <v>0</v>
      </c>
      <c r="AB421">
        <v>0</v>
      </c>
      <c r="AC421">
        <v>0</v>
      </c>
      <c r="AD421">
        <v>62.39</v>
      </c>
      <c r="AE421">
        <v>0</v>
      </c>
      <c r="AF421">
        <v>0</v>
      </c>
      <c r="AG421">
        <v>0</v>
      </c>
      <c r="AH421">
        <v>9.51</v>
      </c>
      <c r="AI421">
        <v>1</v>
      </c>
      <c r="AJ421">
        <v>1</v>
      </c>
      <c r="AK421">
        <v>1</v>
      </c>
      <c r="AL421">
        <v>6.56</v>
      </c>
      <c r="AN421">
        <v>0</v>
      </c>
      <c r="AO421">
        <v>1</v>
      </c>
      <c r="AP421">
        <v>0</v>
      </c>
      <c r="AQ421">
        <v>0</v>
      </c>
      <c r="AR421">
        <v>0</v>
      </c>
      <c r="AS421" t="s">
        <v>6</v>
      </c>
      <c r="AT421">
        <v>1.62</v>
      </c>
      <c r="AU421" t="s">
        <v>6</v>
      </c>
      <c r="AV421">
        <v>1</v>
      </c>
      <c r="AW421">
        <v>2</v>
      </c>
      <c r="AX421">
        <v>16751051</v>
      </c>
      <c r="AY421">
        <v>1</v>
      </c>
      <c r="AZ421">
        <v>0</v>
      </c>
      <c r="BA421">
        <v>396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  <c r="BP421">
        <v>0</v>
      </c>
      <c r="BQ421">
        <v>0</v>
      </c>
      <c r="BR421">
        <v>0</v>
      </c>
      <c r="BS421">
        <v>0</v>
      </c>
      <c r="BT421">
        <v>0</v>
      </c>
      <c r="BU421">
        <v>0</v>
      </c>
      <c r="BV421">
        <v>0</v>
      </c>
      <c r="BW421">
        <v>0</v>
      </c>
      <c r="CX421">
        <f>Y421*Source!I309</f>
        <v>11.34</v>
      </c>
      <c r="CY421">
        <f>AD421</f>
        <v>62.39</v>
      </c>
      <c r="CZ421">
        <f>AH421</f>
        <v>9.51</v>
      </c>
      <c r="DA421">
        <f>AL421</f>
        <v>6.56</v>
      </c>
      <c r="DB421">
        <f t="shared" si="65"/>
        <v>15.41</v>
      </c>
      <c r="DC421">
        <f t="shared" si="66"/>
        <v>0</v>
      </c>
    </row>
    <row r="422" spans="1:107" x14ac:dyDescent="0.2">
      <c r="A422">
        <f>ROW(Source!A309)</f>
        <v>309</v>
      </c>
      <c r="B422">
        <v>16748969</v>
      </c>
      <c r="C422">
        <v>16751035</v>
      </c>
      <c r="D422">
        <v>15249377</v>
      </c>
      <c r="E422">
        <v>1</v>
      </c>
      <c r="F422">
        <v>1</v>
      </c>
      <c r="G422">
        <v>1</v>
      </c>
      <c r="H422">
        <v>2</v>
      </c>
      <c r="I422" t="s">
        <v>1100</v>
      </c>
      <c r="J422" t="s">
        <v>1101</v>
      </c>
      <c r="K422" t="s">
        <v>1102</v>
      </c>
      <c r="L422">
        <v>1368</v>
      </c>
      <c r="N422">
        <v>1011</v>
      </c>
      <c r="O422" t="s">
        <v>1078</v>
      </c>
      <c r="P422" t="s">
        <v>1078</v>
      </c>
      <c r="Q422">
        <v>1</v>
      </c>
      <c r="W422">
        <v>0</v>
      </c>
      <c r="X422">
        <v>-353815937</v>
      </c>
      <c r="Y422">
        <v>0.14000000000000001</v>
      </c>
      <c r="AA422">
        <v>0</v>
      </c>
      <c r="AB422">
        <v>53.14</v>
      </c>
      <c r="AC422">
        <v>0</v>
      </c>
      <c r="AD422">
        <v>0</v>
      </c>
      <c r="AE422">
        <v>0</v>
      </c>
      <c r="AF422">
        <v>8.1</v>
      </c>
      <c r="AG422">
        <v>0</v>
      </c>
      <c r="AH422">
        <v>0</v>
      </c>
      <c r="AI422">
        <v>1</v>
      </c>
      <c r="AJ422">
        <v>6.56</v>
      </c>
      <c r="AK422">
        <v>1</v>
      </c>
      <c r="AL422">
        <v>1</v>
      </c>
      <c r="AN422">
        <v>0</v>
      </c>
      <c r="AO422">
        <v>1</v>
      </c>
      <c r="AP422">
        <v>0</v>
      </c>
      <c r="AQ422">
        <v>0</v>
      </c>
      <c r="AR422">
        <v>0</v>
      </c>
      <c r="AS422" t="s">
        <v>6</v>
      </c>
      <c r="AT422">
        <v>0.14000000000000001</v>
      </c>
      <c r="AU422" t="s">
        <v>6</v>
      </c>
      <c r="AV422">
        <v>0</v>
      </c>
      <c r="AW422">
        <v>2</v>
      </c>
      <c r="AX422">
        <v>16751052</v>
      </c>
      <c r="AY422">
        <v>1</v>
      </c>
      <c r="AZ422">
        <v>0</v>
      </c>
      <c r="BA422">
        <v>397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0</v>
      </c>
      <c r="BW422">
        <v>0</v>
      </c>
      <c r="CX422">
        <f>Y422*Source!I309</f>
        <v>0.98000000000000009</v>
      </c>
      <c r="CY422">
        <f>AB422</f>
        <v>53.14</v>
      </c>
      <c r="CZ422">
        <f>AF422</f>
        <v>8.1</v>
      </c>
      <c r="DA422">
        <f>AJ422</f>
        <v>6.56</v>
      </c>
      <c r="DB422">
        <f t="shared" si="65"/>
        <v>1.1299999999999999</v>
      </c>
      <c r="DC422">
        <f t="shared" si="66"/>
        <v>0</v>
      </c>
    </row>
    <row r="423" spans="1:107" x14ac:dyDescent="0.2">
      <c r="A423">
        <f>ROW(Source!A309)</f>
        <v>309</v>
      </c>
      <c r="B423">
        <v>16748969</v>
      </c>
      <c r="C423">
        <v>16751035</v>
      </c>
      <c r="D423">
        <v>15165537</v>
      </c>
      <c r="E423">
        <v>1</v>
      </c>
      <c r="F423">
        <v>1</v>
      </c>
      <c r="G423">
        <v>1</v>
      </c>
      <c r="H423">
        <v>3</v>
      </c>
      <c r="I423" t="s">
        <v>1437</v>
      </c>
      <c r="J423" t="s">
        <v>1438</v>
      </c>
      <c r="K423" t="s">
        <v>1439</v>
      </c>
      <c r="L423">
        <v>1346</v>
      </c>
      <c r="N423">
        <v>1009</v>
      </c>
      <c r="O423" t="s">
        <v>323</v>
      </c>
      <c r="P423" t="s">
        <v>323</v>
      </c>
      <c r="Q423">
        <v>1</v>
      </c>
      <c r="W423">
        <v>0</v>
      </c>
      <c r="X423">
        <v>618806536</v>
      </c>
      <c r="Y423">
        <v>6.0000000000000001E-3</v>
      </c>
      <c r="AA423">
        <v>295</v>
      </c>
      <c r="AB423">
        <v>0</v>
      </c>
      <c r="AC423">
        <v>0</v>
      </c>
      <c r="AD423">
        <v>0</v>
      </c>
      <c r="AE423">
        <v>44.97</v>
      </c>
      <c r="AF423">
        <v>0</v>
      </c>
      <c r="AG423">
        <v>0</v>
      </c>
      <c r="AH423">
        <v>0</v>
      </c>
      <c r="AI423">
        <v>6.56</v>
      </c>
      <c r="AJ423">
        <v>1</v>
      </c>
      <c r="AK423">
        <v>1</v>
      </c>
      <c r="AL423">
        <v>1</v>
      </c>
      <c r="AN423">
        <v>0</v>
      </c>
      <c r="AO423">
        <v>1</v>
      </c>
      <c r="AP423">
        <v>0</v>
      </c>
      <c r="AQ423">
        <v>0</v>
      </c>
      <c r="AR423">
        <v>0</v>
      </c>
      <c r="AS423" t="s">
        <v>6</v>
      </c>
      <c r="AT423">
        <v>6.0000000000000001E-3</v>
      </c>
      <c r="AU423" t="s">
        <v>6</v>
      </c>
      <c r="AV423">
        <v>0</v>
      </c>
      <c r="AW423">
        <v>2</v>
      </c>
      <c r="AX423">
        <v>16751053</v>
      </c>
      <c r="AY423">
        <v>1</v>
      </c>
      <c r="AZ423">
        <v>0</v>
      </c>
      <c r="BA423">
        <v>398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0</v>
      </c>
      <c r="BS423">
        <v>0</v>
      </c>
      <c r="BT423">
        <v>0</v>
      </c>
      <c r="BU423">
        <v>0</v>
      </c>
      <c r="BV423">
        <v>0</v>
      </c>
      <c r="BW423">
        <v>0</v>
      </c>
      <c r="CX423">
        <f>Y423*Source!I309</f>
        <v>4.2000000000000003E-2</v>
      </c>
      <c r="CY423">
        <f t="shared" ref="CY423:CY435" si="67">AA423</f>
        <v>295</v>
      </c>
      <c r="CZ423">
        <f t="shared" ref="CZ423:CZ435" si="68">AE423</f>
        <v>44.97</v>
      </c>
      <c r="DA423">
        <f t="shared" ref="DA423:DA435" si="69">AI423</f>
        <v>6.56</v>
      </c>
      <c r="DB423">
        <f t="shared" si="65"/>
        <v>0.27</v>
      </c>
      <c r="DC423">
        <f t="shared" si="66"/>
        <v>0</v>
      </c>
    </row>
    <row r="424" spans="1:107" x14ac:dyDescent="0.2">
      <c r="A424">
        <f>ROW(Source!A309)</f>
        <v>309</v>
      </c>
      <c r="B424">
        <v>16748969</v>
      </c>
      <c r="C424">
        <v>16751035</v>
      </c>
      <c r="D424">
        <v>15167269</v>
      </c>
      <c r="E424">
        <v>1</v>
      </c>
      <c r="F424">
        <v>1</v>
      </c>
      <c r="G424">
        <v>1</v>
      </c>
      <c r="H424">
        <v>3</v>
      </c>
      <c r="I424" t="s">
        <v>1440</v>
      </c>
      <c r="J424" t="s">
        <v>1441</v>
      </c>
      <c r="K424" t="s">
        <v>1442</v>
      </c>
      <c r="L424">
        <v>1346</v>
      </c>
      <c r="N424">
        <v>1009</v>
      </c>
      <c r="O424" t="s">
        <v>323</v>
      </c>
      <c r="P424" t="s">
        <v>323</v>
      </c>
      <c r="Q424">
        <v>1</v>
      </c>
      <c r="W424">
        <v>0</v>
      </c>
      <c r="X424">
        <v>56922527</v>
      </c>
      <c r="Y424">
        <v>1E-3</v>
      </c>
      <c r="AA424">
        <v>75.44</v>
      </c>
      <c r="AB424">
        <v>0</v>
      </c>
      <c r="AC424">
        <v>0</v>
      </c>
      <c r="AD424">
        <v>0</v>
      </c>
      <c r="AE424">
        <v>11.5</v>
      </c>
      <c r="AF424">
        <v>0</v>
      </c>
      <c r="AG424">
        <v>0</v>
      </c>
      <c r="AH424">
        <v>0</v>
      </c>
      <c r="AI424">
        <v>6.56</v>
      </c>
      <c r="AJ424">
        <v>1</v>
      </c>
      <c r="AK424">
        <v>1</v>
      </c>
      <c r="AL424">
        <v>1</v>
      </c>
      <c r="AN424">
        <v>0</v>
      </c>
      <c r="AO424">
        <v>1</v>
      </c>
      <c r="AP424">
        <v>0</v>
      </c>
      <c r="AQ424">
        <v>0</v>
      </c>
      <c r="AR424">
        <v>0</v>
      </c>
      <c r="AS424" t="s">
        <v>6</v>
      </c>
      <c r="AT424">
        <v>1E-3</v>
      </c>
      <c r="AU424" t="s">
        <v>6</v>
      </c>
      <c r="AV424">
        <v>0</v>
      </c>
      <c r="AW424">
        <v>2</v>
      </c>
      <c r="AX424">
        <v>16751054</v>
      </c>
      <c r="AY424">
        <v>1</v>
      </c>
      <c r="AZ424">
        <v>0</v>
      </c>
      <c r="BA424">
        <v>399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0</v>
      </c>
      <c r="BS424">
        <v>0</v>
      </c>
      <c r="BT424">
        <v>0</v>
      </c>
      <c r="BU424">
        <v>0</v>
      </c>
      <c r="BV424">
        <v>0</v>
      </c>
      <c r="BW424">
        <v>0</v>
      </c>
      <c r="CX424">
        <f>Y424*Source!I309</f>
        <v>7.0000000000000001E-3</v>
      </c>
      <c r="CY424">
        <f t="shared" si="67"/>
        <v>75.44</v>
      </c>
      <c r="CZ424">
        <f t="shared" si="68"/>
        <v>11.5</v>
      </c>
      <c r="DA424">
        <f t="shared" si="69"/>
        <v>6.56</v>
      </c>
      <c r="DB424">
        <f t="shared" si="65"/>
        <v>0.01</v>
      </c>
      <c r="DC424">
        <f t="shared" si="66"/>
        <v>0</v>
      </c>
    </row>
    <row r="425" spans="1:107" x14ac:dyDescent="0.2">
      <c r="A425">
        <f>ROW(Source!A309)</f>
        <v>309</v>
      </c>
      <c r="B425">
        <v>16748969</v>
      </c>
      <c r="C425">
        <v>16751035</v>
      </c>
      <c r="D425">
        <v>15167588</v>
      </c>
      <c r="E425">
        <v>1</v>
      </c>
      <c r="F425">
        <v>1</v>
      </c>
      <c r="G425">
        <v>1</v>
      </c>
      <c r="H425">
        <v>3</v>
      </c>
      <c r="I425" t="s">
        <v>1388</v>
      </c>
      <c r="J425" t="s">
        <v>1389</v>
      </c>
      <c r="K425" t="s">
        <v>1390</v>
      </c>
      <c r="L425">
        <v>1346</v>
      </c>
      <c r="N425">
        <v>1009</v>
      </c>
      <c r="O425" t="s">
        <v>323</v>
      </c>
      <c r="P425" t="s">
        <v>323</v>
      </c>
      <c r="Q425">
        <v>1</v>
      </c>
      <c r="W425">
        <v>0</v>
      </c>
      <c r="X425">
        <v>-1088866022</v>
      </c>
      <c r="Y425">
        <v>1.2E-2</v>
      </c>
      <c r="AA425">
        <v>199.42</v>
      </c>
      <c r="AB425">
        <v>0</v>
      </c>
      <c r="AC425">
        <v>0</v>
      </c>
      <c r="AD425">
        <v>0</v>
      </c>
      <c r="AE425">
        <v>30.4</v>
      </c>
      <c r="AF425">
        <v>0</v>
      </c>
      <c r="AG425">
        <v>0</v>
      </c>
      <c r="AH425">
        <v>0</v>
      </c>
      <c r="AI425">
        <v>6.56</v>
      </c>
      <c r="AJ425">
        <v>1</v>
      </c>
      <c r="AK425">
        <v>1</v>
      </c>
      <c r="AL425">
        <v>1</v>
      </c>
      <c r="AN425">
        <v>0</v>
      </c>
      <c r="AO425">
        <v>1</v>
      </c>
      <c r="AP425">
        <v>0</v>
      </c>
      <c r="AQ425">
        <v>0</v>
      </c>
      <c r="AR425">
        <v>0</v>
      </c>
      <c r="AS425" t="s">
        <v>6</v>
      </c>
      <c r="AT425">
        <v>1.2E-2</v>
      </c>
      <c r="AU425" t="s">
        <v>6</v>
      </c>
      <c r="AV425">
        <v>0</v>
      </c>
      <c r="AW425">
        <v>2</v>
      </c>
      <c r="AX425">
        <v>16751055</v>
      </c>
      <c r="AY425">
        <v>1</v>
      </c>
      <c r="AZ425">
        <v>0</v>
      </c>
      <c r="BA425">
        <v>400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0</v>
      </c>
      <c r="BR425">
        <v>0</v>
      </c>
      <c r="BS425">
        <v>0</v>
      </c>
      <c r="BT425">
        <v>0</v>
      </c>
      <c r="BU425">
        <v>0</v>
      </c>
      <c r="BV425">
        <v>0</v>
      </c>
      <c r="BW425">
        <v>0</v>
      </c>
      <c r="CX425">
        <f>Y425*Source!I309</f>
        <v>8.4000000000000005E-2</v>
      </c>
      <c r="CY425">
        <f t="shared" si="67"/>
        <v>199.42</v>
      </c>
      <c r="CZ425">
        <f t="shared" si="68"/>
        <v>30.4</v>
      </c>
      <c r="DA425">
        <f t="shared" si="69"/>
        <v>6.56</v>
      </c>
      <c r="DB425">
        <f t="shared" si="65"/>
        <v>0.36</v>
      </c>
      <c r="DC425">
        <f t="shared" si="66"/>
        <v>0</v>
      </c>
    </row>
    <row r="426" spans="1:107" x14ac:dyDescent="0.2">
      <c r="A426">
        <f>ROW(Source!A309)</f>
        <v>309</v>
      </c>
      <c r="B426">
        <v>16748969</v>
      </c>
      <c r="C426">
        <v>16751035</v>
      </c>
      <c r="D426">
        <v>15168752</v>
      </c>
      <c r="E426">
        <v>1</v>
      </c>
      <c r="F426">
        <v>1</v>
      </c>
      <c r="G426">
        <v>1</v>
      </c>
      <c r="H426">
        <v>3</v>
      </c>
      <c r="I426" t="s">
        <v>1443</v>
      </c>
      <c r="J426" t="s">
        <v>1444</v>
      </c>
      <c r="K426" t="s">
        <v>1445</v>
      </c>
      <c r="L426">
        <v>1346</v>
      </c>
      <c r="N426">
        <v>1009</v>
      </c>
      <c r="O426" t="s">
        <v>323</v>
      </c>
      <c r="P426" t="s">
        <v>323</v>
      </c>
      <c r="Q426">
        <v>1</v>
      </c>
      <c r="W426">
        <v>0</v>
      </c>
      <c r="X426">
        <v>586013393</v>
      </c>
      <c r="Y426">
        <v>7.0000000000000007E-2</v>
      </c>
      <c r="AA426">
        <v>69.34</v>
      </c>
      <c r="AB426">
        <v>0</v>
      </c>
      <c r="AC426">
        <v>0</v>
      </c>
      <c r="AD426">
        <v>0</v>
      </c>
      <c r="AE426">
        <v>10.57</v>
      </c>
      <c r="AF426">
        <v>0</v>
      </c>
      <c r="AG426">
        <v>0</v>
      </c>
      <c r="AH426">
        <v>0</v>
      </c>
      <c r="AI426">
        <v>6.56</v>
      </c>
      <c r="AJ426">
        <v>1</v>
      </c>
      <c r="AK426">
        <v>1</v>
      </c>
      <c r="AL426">
        <v>1</v>
      </c>
      <c r="AN426">
        <v>0</v>
      </c>
      <c r="AO426">
        <v>1</v>
      </c>
      <c r="AP426">
        <v>0</v>
      </c>
      <c r="AQ426">
        <v>0</v>
      </c>
      <c r="AR426">
        <v>0</v>
      </c>
      <c r="AS426" t="s">
        <v>6</v>
      </c>
      <c r="AT426">
        <v>7.0000000000000007E-2</v>
      </c>
      <c r="AU426" t="s">
        <v>6</v>
      </c>
      <c r="AV426">
        <v>0</v>
      </c>
      <c r="AW426">
        <v>2</v>
      </c>
      <c r="AX426">
        <v>16751056</v>
      </c>
      <c r="AY426">
        <v>1</v>
      </c>
      <c r="AZ426">
        <v>0</v>
      </c>
      <c r="BA426">
        <v>401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  <c r="BS426">
        <v>0</v>
      </c>
      <c r="BT426">
        <v>0</v>
      </c>
      <c r="BU426">
        <v>0</v>
      </c>
      <c r="BV426">
        <v>0</v>
      </c>
      <c r="BW426">
        <v>0</v>
      </c>
      <c r="CX426">
        <f>Y426*Source!I309</f>
        <v>0.49000000000000005</v>
      </c>
      <c r="CY426">
        <f t="shared" si="67"/>
        <v>69.34</v>
      </c>
      <c r="CZ426">
        <f t="shared" si="68"/>
        <v>10.57</v>
      </c>
      <c r="DA426">
        <f t="shared" si="69"/>
        <v>6.56</v>
      </c>
      <c r="DB426">
        <f t="shared" si="65"/>
        <v>0.74</v>
      </c>
      <c r="DC426">
        <f t="shared" si="66"/>
        <v>0</v>
      </c>
    </row>
    <row r="427" spans="1:107" x14ac:dyDescent="0.2">
      <c r="A427">
        <f>ROW(Source!A309)</f>
        <v>309</v>
      </c>
      <c r="B427">
        <v>16748969</v>
      </c>
      <c r="C427">
        <v>16751035</v>
      </c>
      <c r="D427">
        <v>15169942</v>
      </c>
      <c r="E427">
        <v>1</v>
      </c>
      <c r="F427">
        <v>1</v>
      </c>
      <c r="G427">
        <v>1</v>
      </c>
      <c r="H427">
        <v>3</v>
      </c>
      <c r="I427" t="s">
        <v>1391</v>
      </c>
      <c r="J427" t="s">
        <v>1392</v>
      </c>
      <c r="K427" t="s">
        <v>1291</v>
      </c>
      <c r="L427">
        <v>1346</v>
      </c>
      <c r="N427">
        <v>1009</v>
      </c>
      <c r="O427" t="s">
        <v>323</v>
      </c>
      <c r="P427" t="s">
        <v>323</v>
      </c>
      <c r="Q427">
        <v>1</v>
      </c>
      <c r="W427">
        <v>0</v>
      </c>
      <c r="X427">
        <v>103900845</v>
      </c>
      <c r="Y427">
        <v>4.9000000000000002E-2</v>
      </c>
      <c r="AA427">
        <v>59.3</v>
      </c>
      <c r="AB427">
        <v>0</v>
      </c>
      <c r="AC427">
        <v>0</v>
      </c>
      <c r="AD427">
        <v>0</v>
      </c>
      <c r="AE427">
        <v>9.0399999999999991</v>
      </c>
      <c r="AF427">
        <v>0</v>
      </c>
      <c r="AG427">
        <v>0</v>
      </c>
      <c r="AH427">
        <v>0</v>
      </c>
      <c r="AI427">
        <v>6.56</v>
      </c>
      <c r="AJ427">
        <v>1</v>
      </c>
      <c r="AK427">
        <v>1</v>
      </c>
      <c r="AL427">
        <v>1</v>
      </c>
      <c r="AN427">
        <v>0</v>
      </c>
      <c r="AO427">
        <v>1</v>
      </c>
      <c r="AP427">
        <v>0</v>
      </c>
      <c r="AQ427">
        <v>0</v>
      </c>
      <c r="AR427">
        <v>0</v>
      </c>
      <c r="AS427" t="s">
        <v>6</v>
      </c>
      <c r="AT427">
        <v>4.9000000000000002E-2</v>
      </c>
      <c r="AU427" t="s">
        <v>6</v>
      </c>
      <c r="AV427">
        <v>0</v>
      </c>
      <c r="AW427">
        <v>2</v>
      </c>
      <c r="AX427">
        <v>16751057</v>
      </c>
      <c r="AY427">
        <v>1</v>
      </c>
      <c r="AZ427">
        <v>0</v>
      </c>
      <c r="BA427">
        <v>402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0</v>
      </c>
      <c r="BU427">
        <v>0</v>
      </c>
      <c r="BV427">
        <v>0</v>
      </c>
      <c r="BW427">
        <v>0</v>
      </c>
      <c r="CX427">
        <f>Y427*Source!I309</f>
        <v>0.34300000000000003</v>
      </c>
      <c r="CY427">
        <f t="shared" si="67"/>
        <v>59.3</v>
      </c>
      <c r="CZ427">
        <f t="shared" si="68"/>
        <v>9.0399999999999991</v>
      </c>
      <c r="DA427">
        <f t="shared" si="69"/>
        <v>6.56</v>
      </c>
      <c r="DB427">
        <f t="shared" si="65"/>
        <v>0.44</v>
      </c>
      <c r="DC427">
        <f t="shared" si="66"/>
        <v>0</v>
      </c>
    </row>
    <row r="428" spans="1:107" x14ac:dyDescent="0.2">
      <c r="A428">
        <f>ROW(Source!A309)</f>
        <v>309</v>
      </c>
      <c r="B428">
        <v>16748969</v>
      </c>
      <c r="C428">
        <v>16751035</v>
      </c>
      <c r="D428">
        <v>15170074</v>
      </c>
      <c r="E428">
        <v>1</v>
      </c>
      <c r="F428">
        <v>1</v>
      </c>
      <c r="G428">
        <v>1</v>
      </c>
      <c r="H428">
        <v>3</v>
      </c>
      <c r="I428" t="s">
        <v>1399</v>
      </c>
      <c r="J428" t="s">
        <v>1400</v>
      </c>
      <c r="K428" t="s">
        <v>1401</v>
      </c>
      <c r="L428">
        <v>1355</v>
      </c>
      <c r="N428">
        <v>1010</v>
      </c>
      <c r="O428" t="s">
        <v>724</v>
      </c>
      <c r="P428" t="s">
        <v>724</v>
      </c>
      <c r="Q428">
        <v>100</v>
      </c>
      <c r="W428">
        <v>0</v>
      </c>
      <c r="X428">
        <v>1794244060</v>
      </c>
      <c r="Y428">
        <v>0.02</v>
      </c>
      <c r="AA428">
        <v>564.16</v>
      </c>
      <c r="AB428">
        <v>0</v>
      </c>
      <c r="AC428">
        <v>0</v>
      </c>
      <c r="AD428">
        <v>0</v>
      </c>
      <c r="AE428">
        <v>86</v>
      </c>
      <c r="AF428">
        <v>0</v>
      </c>
      <c r="AG428">
        <v>0</v>
      </c>
      <c r="AH428">
        <v>0</v>
      </c>
      <c r="AI428">
        <v>6.56</v>
      </c>
      <c r="AJ428">
        <v>1</v>
      </c>
      <c r="AK428">
        <v>1</v>
      </c>
      <c r="AL428">
        <v>1</v>
      </c>
      <c r="AN428">
        <v>0</v>
      </c>
      <c r="AO428">
        <v>1</v>
      </c>
      <c r="AP428">
        <v>0</v>
      </c>
      <c r="AQ428">
        <v>0</v>
      </c>
      <c r="AR428">
        <v>0</v>
      </c>
      <c r="AS428" t="s">
        <v>6</v>
      </c>
      <c r="AT428">
        <v>0.02</v>
      </c>
      <c r="AU428" t="s">
        <v>6</v>
      </c>
      <c r="AV428">
        <v>0</v>
      </c>
      <c r="AW428">
        <v>2</v>
      </c>
      <c r="AX428">
        <v>16751058</v>
      </c>
      <c r="AY428">
        <v>1</v>
      </c>
      <c r="AZ428">
        <v>0</v>
      </c>
      <c r="BA428">
        <v>403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  <c r="BS428">
        <v>0</v>
      </c>
      <c r="BT428">
        <v>0</v>
      </c>
      <c r="BU428">
        <v>0</v>
      </c>
      <c r="BV428">
        <v>0</v>
      </c>
      <c r="BW428">
        <v>0</v>
      </c>
      <c r="CX428">
        <f>Y428*Source!I309</f>
        <v>0.14000000000000001</v>
      </c>
      <c r="CY428">
        <f t="shared" si="67"/>
        <v>564.16</v>
      </c>
      <c r="CZ428">
        <f t="shared" si="68"/>
        <v>86</v>
      </c>
      <c r="DA428">
        <f t="shared" si="69"/>
        <v>6.56</v>
      </c>
      <c r="DB428">
        <f t="shared" si="65"/>
        <v>1.72</v>
      </c>
      <c r="DC428">
        <f t="shared" si="66"/>
        <v>0</v>
      </c>
    </row>
    <row r="429" spans="1:107" x14ac:dyDescent="0.2">
      <c r="A429">
        <f>ROW(Source!A309)</f>
        <v>309</v>
      </c>
      <c r="B429">
        <v>16748969</v>
      </c>
      <c r="C429">
        <v>16751035</v>
      </c>
      <c r="D429">
        <v>15170994</v>
      </c>
      <c r="E429">
        <v>1</v>
      </c>
      <c r="F429">
        <v>1</v>
      </c>
      <c r="G429">
        <v>1</v>
      </c>
      <c r="H429">
        <v>3</v>
      </c>
      <c r="I429" t="s">
        <v>1446</v>
      </c>
      <c r="J429" t="s">
        <v>1447</v>
      </c>
      <c r="K429" t="s">
        <v>1448</v>
      </c>
      <c r="L429">
        <v>1346</v>
      </c>
      <c r="N429">
        <v>1009</v>
      </c>
      <c r="O429" t="s">
        <v>323</v>
      </c>
      <c r="P429" t="s">
        <v>323</v>
      </c>
      <c r="Q429">
        <v>1</v>
      </c>
      <c r="W429">
        <v>0</v>
      </c>
      <c r="X429">
        <v>-856710481</v>
      </c>
      <c r="Y429">
        <v>1E-3</v>
      </c>
      <c r="AA429">
        <v>872.81</v>
      </c>
      <c r="AB429">
        <v>0</v>
      </c>
      <c r="AC429">
        <v>0</v>
      </c>
      <c r="AD429">
        <v>0</v>
      </c>
      <c r="AE429">
        <v>133.05000000000001</v>
      </c>
      <c r="AF429">
        <v>0</v>
      </c>
      <c r="AG429">
        <v>0</v>
      </c>
      <c r="AH429">
        <v>0</v>
      </c>
      <c r="AI429">
        <v>6.56</v>
      </c>
      <c r="AJ429">
        <v>1</v>
      </c>
      <c r="AK429">
        <v>1</v>
      </c>
      <c r="AL429">
        <v>1</v>
      </c>
      <c r="AN429">
        <v>0</v>
      </c>
      <c r="AO429">
        <v>1</v>
      </c>
      <c r="AP429">
        <v>0</v>
      </c>
      <c r="AQ429">
        <v>0</v>
      </c>
      <c r="AR429">
        <v>0</v>
      </c>
      <c r="AS429" t="s">
        <v>6</v>
      </c>
      <c r="AT429">
        <v>1E-3</v>
      </c>
      <c r="AU429" t="s">
        <v>6</v>
      </c>
      <c r="AV429">
        <v>0</v>
      </c>
      <c r="AW429">
        <v>2</v>
      </c>
      <c r="AX429">
        <v>16751059</v>
      </c>
      <c r="AY429">
        <v>1</v>
      </c>
      <c r="AZ429">
        <v>0</v>
      </c>
      <c r="BA429">
        <v>404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0</v>
      </c>
      <c r="BW429">
        <v>0</v>
      </c>
      <c r="CX429">
        <f>Y429*Source!I309</f>
        <v>7.0000000000000001E-3</v>
      </c>
      <c r="CY429">
        <f t="shared" si="67"/>
        <v>872.81</v>
      </c>
      <c r="CZ429">
        <f t="shared" si="68"/>
        <v>133.05000000000001</v>
      </c>
      <c r="DA429">
        <f t="shared" si="69"/>
        <v>6.56</v>
      </c>
      <c r="DB429">
        <f t="shared" si="65"/>
        <v>0.13</v>
      </c>
      <c r="DC429">
        <f t="shared" si="66"/>
        <v>0</v>
      </c>
    </row>
    <row r="430" spans="1:107" x14ac:dyDescent="0.2">
      <c r="A430">
        <f>ROW(Source!A309)</f>
        <v>309</v>
      </c>
      <c r="B430">
        <v>16748969</v>
      </c>
      <c r="C430">
        <v>16751035</v>
      </c>
      <c r="D430">
        <v>15188647</v>
      </c>
      <c r="E430">
        <v>1</v>
      </c>
      <c r="F430">
        <v>1</v>
      </c>
      <c r="G430">
        <v>1</v>
      </c>
      <c r="H430">
        <v>3</v>
      </c>
      <c r="I430" t="s">
        <v>1449</v>
      </c>
      <c r="J430" t="s">
        <v>1450</v>
      </c>
      <c r="K430" t="s">
        <v>1451</v>
      </c>
      <c r="L430">
        <v>1348</v>
      </c>
      <c r="N430">
        <v>1009</v>
      </c>
      <c r="O430" t="s">
        <v>71</v>
      </c>
      <c r="P430" t="s">
        <v>71</v>
      </c>
      <c r="Q430">
        <v>1000</v>
      </c>
      <c r="W430">
        <v>0</v>
      </c>
      <c r="X430">
        <v>426000481</v>
      </c>
      <c r="Y430">
        <v>4.0000000000000001E-3</v>
      </c>
      <c r="AA430">
        <v>75440</v>
      </c>
      <c r="AB430">
        <v>0</v>
      </c>
      <c r="AC430">
        <v>0</v>
      </c>
      <c r="AD430">
        <v>0</v>
      </c>
      <c r="AE430">
        <v>11500</v>
      </c>
      <c r="AF430">
        <v>0</v>
      </c>
      <c r="AG430">
        <v>0</v>
      </c>
      <c r="AH430">
        <v>0</v>
      </c>
      <c r="AI430">
        <v>6.56</v>
      </c>
      <c r="AJ430">
        <v>1</v>
      </c>
      <c r="AK430">
        <v>1</v>
      </c>
      <c r="AL430">
        <v>1</v>
      </c>
      <c r="AN430">
        <v>0</v>
      </c>
      <c r="AO430">
        <v>1</v>
      </c>
      <c r="AP430">
        <v>0</v>
      </c>
      <c r="AQ430">
        <v>0</v>
      </c>
      <c r="AR430">
        <v>0</v>
      </c>
      <c r="AS430" t="s">
        <v>6</v>
      </c>
      <c r="AT430">
        <v>4.0000000000000001E-3</v>
      </c>
      <c r="AU430" t="s">
        <v>6</v>
      </c>
      <c r="AV430">
        <v>0</v>
      </c>
      <c r="AW430">
        <v>2</v>
      </c>
      <c r="AX430">
        <v>16751060</v>
      </c>
      <c r="AY430">
        <v>1</v>
      </c>
      <c r="AZ430">
        <v>0</v>
      </c>
      <c r="BA430">
        <v>405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0</v>
      </c>
      <c r="BP430">
        <v>0</v>
      </c>
      <c r="BQ430">
        <v>0</v>
      </c>
      <c r="BR430">
        <v>0</v>
      </c>
      <c r="BS430">
        <v>0</v>
      </c>
      <c r="BT430">
        <v>0</v>
      </c>
      <c r="BU430">
        <v>0</v>
      </c>
      <c r="BV430">
        <v>0</v>
      </c>
      <c r="BW430">
        <v>0</v>
      </c>
      <c r="CX430">
        <f>Y430*Source!I309</f>
        <v>2.8000000000000001E-2</v>
      </c>
      <c r="CY430">
        <f t="shared" si="67"/>
        <v>75440</v>
      </c>
      <c r="CZ430">
        <f t="shared" si="68"/>
        <v>11500</v>
      </c>
      <c r="DA430">
        <f t="shared" si="69"/>
        <v>6.56</v>
      </c>
      <c r="DB430">
        <f t="shared" si="65"/>
        <v>46</v>
      </c>
      <c r="DC430">
        <f t="shared" si="66"/>
        <v>0</v>
      </c>
    </row>
    <row r="431" spans="1:107" x14ac:dyDescent="0.2">
      <c r="A431">
        <f>ROW(Source!A309)</f>
        <v>309</v>
      </c>
      <c r="B431">
        <v>16748969</v>
      </c>
      <c r="C431">
        <v>16751035</v>
      </c>
      <c r="D431">
        <v>15203834</v>
      </c>
      <c r="E431">
        <v>1</v>
      </c>
      <c r="F431">
        <v>1</v>
      </c>
      <c r="G431">
        <v>1</v>
      </c>
      <c r="H431">
        <v>3</v>
      </c>
      <c r="I431" t="s">
        <v>1411</v>
      </c>
      <c r="J431" t="s">
        <v>1412</v>
      </c>
      <c r="K431" t="s">
        <v>374</v>
      </c>
      <c r="L431">
        <v>1346</v>
      </c>
      <c r="N431">
        <v>1009</v>
      </c>
      <c r="O431" t="s">
        <v>323</v>
      </c>
      <c r="P431" t="s">
        <v>323</v>
      </c>
      <c r="Q431">
        <v>1</v>
      </c>
      <c r="W431">
        <v>0</v>
      </c>
      <c r="X431">
        <v>210558753</v>
      </c>
      <c r="Y431">
        <v>4.7E-2</v>
      </c>
      <c r="AA431">
        <v>187.62</v>
      </c>
      <c r="AB431">
        <v>0</v>
      </c>
      <c r="AC431">
        <v>0</v>
      </c>
      <c r="AD431">
        <v>0</v>
      </c>
      <c r="AE431">
        <v>28.6</v>
      </c>
      <c r="AF431">
        <v>0</v>
      </c>
      <c r="AG431">
        <v>0</v>
      </c>
      <c r="AH431">
        <v>0</v>
      </c>
      <c r="AI431">
        <v>6.56</v>
      </c>
      <c r="AJ431">
        <v>1</v>
      </c>
      <c r="AK431">
        <v>1</v>
      </c>
      <c r="AL431">
        <v>1</v>
      </c>
      <c r="AN431">
        <v>0</v>
      </c>
      <c r="AO431">
        <v>1</v>
      </c>
      <c r="AP431">
        <v>0</v>
      </c>
      <c r="AQ431">
        <v>0</v>
      </c>
      <c r="AR431">
        <v>0</v>
      </c>
      <c r="AS431" t="s">
        <v>6</v>
      </c>
      <c r="AT431">
        <v>4.7E-2</v>
      </c>
      <c r="AU431" t="s">
        <v>6</v>
      </c>
      <c r="AV431">
        <v>0</v>
      </c>
      <c r="AW431">
        <v>2</v>
      </c>
      <c r="AX431">
        <v>16751061</v>
      </c>
      <c r="AY431">
        <v>1</v>
      </c>
      <c r="AZ431">
        <v>0</v>
      </c>
      <c r="BA431">
        <v>406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0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0</v>
      </c>
      <c r="BO431">
        <v>0</v>
      </c>
      <c r="BP431">
        <v>0</v>
      </c>
      <c r="BQ431">
        <v>0</v>
      </c>
      <c r="BR431">
        <v>0</v>
      </c>
      <c r="BS431">
        <v>0</v>
      </c>
      <c r="BT431">
        <v>0</v>
      </c>
      <c r="BU431">
        <v>0</v>
      </c>
      <c r="BV431">
        <v>0</v>
      </c>
      <c r="BW431">
        <v>0</v>
      </c>
      <c r="CX431">
        <f>Y431*Source!I309</f>
        <v>0.32900000000000001</v>
      </c>
      <c r="CY431">
        <f t="shared" si="67"/>
        <v>187.62</v>
      </c>
      <c r="CZ431">
        <f t="shared" si="68"/>
        <v>28.6</v>
      </c>
      <c r="DA431">
        <f t="shared" si="69"/>
        <v>6.56</v>
      </c>
      <c r="DB431">
        <f t="shared" si="65"/>
        <v>1.34</v>
      </c>
      <c r="DC431">
        <f t="shared" si="66"/>
        <v>0</v>
      </c>
    </row>
    <row r="432" spans="1:107" x14ac:dyDescent="0.2">
      <c r="A432">
        <f>ROW(Source!A309)</f>
        <v>309</v>
      </c>
      <c r="B432">
        <v>16748969</v>
      </c>
      <c r="C432">
        <v>16751035</v>
      </c>
      <c r="D432">
        <v>15203987</v>
      </c>
      <c r="E432">
        <v>1</v>
      </c>
      <c r="F432">
        <v>1</v>
      </c>
      <c r="G432">
        <v>1</v>
      </c>
      <c r="H432">
        <v>3</v>
      </c>
      <c r="I432" t="s">
        <v>1452</v>
      </c>
      <c r="J432" t="s">
        <v>1453</v>
      </c>
      <c r="K432" t="s">
        <v>1454</v>
      </c>
      <c r="L432">
        <v>1346</v>
      </c>
      <c r="N432">
        <v>1009</v>
      </c>
      <c r="O432" t="s">
        <v>323</v>
      </c>
      <c r="P432" t="s">
        <v>323</v>
      </c>
      <c r="Q432">
        <v>1</v>
      </c>
      <c r="W432">
        <v>0</v>
      </c>
      <c r="X432">
        <v>-1274984028</v>
      </c>
      <c r="Y432">
        <v>6.0000000000000001E-3</v>
      </c>
      <c r="AA432">
        <v>233.73</v>
      </c>
      <c r="AB432">
        <v>0</v>
      </c>
      <c r="AC432">
        <v>0</v>
      </c>
      <c r="AD432">
        <v>0</v>
      </c>
      <c r="AE432">
        <v>35.630000000000003</v>
      </c>
      <c r="AF432">
        <v>0</v>
      </c>
      <c r="AG432">
        <v>0</v>
      </c>
      <c r="AH432">
        <v>0</v>
      </c>
      <c r="AI432">
        <v>6.56</v>
      </c>
      <c r="AJ432">
        <v>1</v>
      </c>
      <c r="AK432">
        <v>1</v>
      </c>
      <c r="AL432">
        <v>1</v>
      </c>
      <c r="AN432">
        <v>0</v>
      </c>
      <c r="AO432">
        <v>1</v>
      </c>
      <c r="AP432">
        <v>0</v>
      </c>
      <c r="AQ432">
        <v>0</v>
      </c>
      <c r="AR432">
        <v>0</v>
      </c>
      <c r="AS432" t="s">
        <v>6</v>
      </c>
      <c r="AT432">
        <v>6.0000000000000001E-3</v>
      </c>
      <c r="AU432" t="s">
        <v>6</v>
      </c>
      <c r="AV432">
        <v>0</v>
      </c>
      <c r="AW432">
        <v>2</v>
      </c>
      <c r="AX432">
        <v>16751062</v>
      </c>
      <c r="AY432">
        <v>1</v>
      </c>
      <c r="AZ432">
        <v>0</v>
      </c>
      <c r="BA432">
        <v>407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0</v>
      </c>
      <c r="BP432">
        <v>0</v>
      </c>
      <c r="BQ432">
        <v>0</v>
      </c>
      <c r="BR432">
        <v>0</v>
      </c>
      <c r="BS432">
        <v>0</v>
      </c>
      <c r="BT432">
        <v>0</v>
      </c>
      <c r="BU432">
        <v>0</v>
      </c>
      <c r="BV432">
        <v>0</v>
      </c>
      <c r="BW432">
        <v>0</v>
      </c>
      <c r="CX432">
        <f>Y432*Source!I309</f>
        <v>4.2000000000000003E-2</v>
      </c>
      <c r="CY432">
        <f t="shared" si="67"/>
        <v>233.73</v>
      </c>
      <c r="CZ432">
        <f t="shared" si="68"/>
        <v>35.630000000000003</v>
      </c>
      <c r="DA432">
        <f t="shared" si="69"/>
        <v>6.56</v>
      </c>
      <c r="DB432">
        <f t="shared" si="65"/>
        <v>0.21</v>
      </c>
      <c r="DC432">
        <f t="shared" si="66"/>
        <v>0</v>
      </c>
    </row>
    <row r="433" spans="1:107" x14ac:dyDescent="0.2">
      <c r="A433">
        <f>ROW(Source!A309)</f>
        <v>309</v>
      </c>
      <c r="B433">
        <v>16748969</v>
      </c>
      <c r="C433">
        <v>16751035</v>
      </c>
      <c r="D433">
        <v>15217463</v>
      </c>
      <c r="E433">
        <v>1</v>
      </c>
      <c r="F433">
        <v>1</v>
      </c>
      <c r="G433">
        <v>1</v>
      </c>
      <c r="H433">
        <v>3</v>
      </c>
      <c r="I433" t="s">
        <v>1455</v>
      </c>
      <c r="J433" t="s">
        <v>1456</v>
      </c>
      <c r="K433" t="s">
        <v>1457</v>
      </c>
      <c r="L433">
        <v>1358</v>
      </c>
      <c r="N433">
        <v>1010</v>
      </c>
      <c r="O433" t="s">
        <v>615</v>
      </c>
      <c r="P433" t="s">
        <v>615</v>
      </c>
      <c r="Q433">
        <v>10</v>
      </c>
      <c r="W433">
        <v>0</v>
      </c>
      <c r="X433">
        <v>1386890308</v>
      </c>
      <c r="Y433">
        <v>0.1</v>
      </c>
      <c r="AA433">
        <v>255.84</v>
      </c>
      <c r="AB433">
        <v>0</v>
      </c>
      <c r="AC433">
        <v>0</v>
      </c>
      <c r="AD433">
        <v>0</v>
      </c>
      <c r="AE433">
        <v>39</v>
      </c>
      <c r="AF433">
        <v>0</v>
      </c>
      <c r="AG433">
        <v>0</v>
      </c>
      <c r="AH433">
        <v>0</v>
      </c>
      <c r="AI433">
        <v>6.56</v>
      </c>
      <c r="AJ433">
        <v>1</v>
      </c>
      <c r="AK433">
        <v>1</v>
      </c>
      <c r="AL433">
        <v>1</v>
      </c>
      <c r="AN433">
        <v>0</v>
      </c>
      <c r="AO433">
        <v>1</v>
      </c>
      <c r="AP433">
        <v>0</v>
      </c>
      <c r="AQ433">
        <v>0</v>
      </c>
      <c r="AR433">
        <v>0</v>
      </c>
      <c r="AS433" t="s">
        <v>6</v>
      </c>
      <c r="AT433">
        <v>0.1</v>
      </c>
      <c r="AU433" t="s">
        <v>6</v>
      </c>
      <c r="AV433">
        <v>0</v>
      </c>
      <c r="AW433">
        <v>2</v>
      </c>
      <c r="AX433">
        <v>16751063</v>
      </c>
      <c r="AY433">
        <v>1</v>
      </c>
      <c r="AZ433">
        <v>0</v>
      </c>
      <c r="BA433">
        <v>408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0</v>
      </c>
      <c r="BP433">
        <v>0</v>
      </c>
      <c r="BQ433">
        <v>0</v>
      </c>
      <c r="BR433">
        <v>0</v>
      </c>
      <c r="BS433">
        <v>0</v>
      </c>
      <c r="BT433">
        <v>0</v>
      </c>
      <c r="BU433">
        <v>0</v>
      </c>
      <c r="BV433">
        <v>0</v>
      </c>
      <c r="BW433">
        <v>0</v>
      </c>
      <c r="CX433">
        <f>Y433*Source!I309</f>
        <v>0.70000000000000007</v>
      </c>
      <c r="CY433">
        <f t="shared" si="67"/>
        <v>255.84</v>
      </c>
      <c r="CZ433">
        <f t="shared" si="68"/>
        <v>39</v>
      </c>
      <c r="DA433">
        <f t="shared" si="69"/>
        <v>6.56</v>
      </c>
      <c r="DB433">
        <f t="shared" si="65"/>
        <v>3.9</v>
      </c>
      <c r="DC433">
        <f t="shared" si="66"/>
        <v>0</v>
      </c>
    </row>
    <row r="434" spans="1:107" x14ac:dyDescent="0.2">
      <c r="A434">
        <f>ROW(Source!A309)</f>
        <v>309</v>
      </c>
      <c r="B434">
        <v>16748969</v>
      </c>
      <c r="C434">
        <v>16751035</v>
      </c>
      <c r="D434">
        <v>15238945</v>
      </c>
      <c r="E434">
        <v>1</v>
      </c>
      <c r="F434">
        <v>1</v>
      </c>
      <c r="G434">
        <v>1</v>
      </c>
      <c r="H434">
        <v>3</v>
      </c>
      <c r="I434" t="s">
        <v>677</v>
      </c>
      <c r="J434" t="s">
        <v>679</v>
      </c>
      <c r="K434" t="s">
        <v>678</v>
      </c>
      <c r="L434">
        <v>1354</v>
      </c>
      <c r="N434">
        <v>1010</v>
      </c>
      <c r="O434" t="s">
        <v>53</v>
      </c>
      <c r="P434" t="s">
        <v>53</v>
      </c>
      <c r="Q434">
        <v>1</v>
      </c>
      <c r="W434">
        <v>0</v>
      </c>
      <c r="X434">
        <v>-2112522711</v>
      </c>
      <c r="Y434">
        <v>1</v>
      </c>
      <c r="AA434">
        <v>535.36</v>
      </c>
      <c r="AB434">
        <v>0</v>
      </c>
      <c r="AC434">
        <v>0</v>
      </c>
      <c r="AD434">
        <v>0</v>
      </c>
      <c r="AE434">
        <v>81.61</v>
      </c>
      <c r="AF434">
        <v>0</v>
      </c>
      <c r="AG434">
        <v>0</v>
      </c>
      <c r="AH434">
        <v>0</v>
      </c>
      <c r="AI434">
        <v>6.56</v>
      </c>
      <c r="AJ434">
        <v>1</v>
      </c>
      <c r="AK434">
        <v>1</v>
      </c>
      <c r="AL434">
        <v>1</v>
      </c>
      <c r="AN434">
        <v>0</v>
      </c>
      <c r="AO434">
        <v>0</v>
      </c>
      <c r="AP434">
        <v>0</v>
      </c>
      <c r="AQ434">
        <v>0</v>
      </c>
      <c r="AR434">
        <v>0</v>
      </c>
      <c r="AS434" t="s">
        <v>6</v>
      </c>
      <c r="AT434">
        <v>1</v>
      </c>
      <c r="AU434" t="s">
        <v>6</v>
      </c>
      <c r="AV434">
        <v>0</v>
      </c>
      <c r="AW434">
        <v>1</v>
      </c>
      <c r="AX434">
        <v>-1</v>
      </c>
      <c r="AY434">
        <v>0</v>
      </c>
      <c r="AZ434">
        <v>0</v>
      </c>
      <c r="BA434" t="s">
        <v>6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0</v>
      </c>
      <c r="BS434">
        <v>0</v>
      </c>
      <c r="BT434">
        <v>0</v>
      </c>
      <c r="BU434">
        <v>0</v>
      </c>
      <c r="BV434">
        <v>0</v>
      </c>
      <c r="BW434">
        <v>0</v>
      </c>
      <c r="CX434">
        <f>Y434*Source!I309</f>
        <v>7</v>
      </c>
      <c r="CY434">
        <f t="shared" si="67"/>
        <v>535.36</v>
      </c>
      <c r="CZ434">
        <f t="shared" si="68"/>
        <v>81.61</v>
      </c>
      <c r="DA434">
        <f t="shared" si="69"/>
        <v>6.56</v>
      </c>
      <c r="DB434">
        <f t="shared" si="65"/>
        <v>81.61</v>
      </c>
      <c r="DC434">
        <f t="shared" si="66"/>
        <v>0</v>
      </c>
    </row>
    <row r="435" spans="1:107" x14ac:dyDescent="0.2">
      <c r="A435">
        <f>ROW(Source!A309)</f>
        <v>309</v>
      </c>
      <c r="B435">
        <v>16748969</v>
      </c>
      <c r="C435">
        <v>16751035</v>
      </c>
      <c r="D435">
        <v>15164559</v>
      </c>
      <c r="E435">
        <v>17</v>
      </c>
      <c r="F435">
        <v>1</v>
      </c>
      <c r="G435">
        <v>1</v>
      </c>
      <c r="H435">
        <v>3</v>
      </c>
      <c r="I435" t="s">
        <v>1383</v>
      </c>
      <c r="J435" t="s">
        <v>6</v>
      </c>
      <c r="K435" t="s">
        <v>1384</v>
      </c>
      <c r="L435">
        <v>1374</v>
      </c>
      <c r="N435">
        <v>1013</v>
      </c>
      <c r="O435" t="s">
        <v>1385</v>
      </c>
      <c r="P435" t="s">
        <v>1385</v>
      </c>
      <c r="Q435">
        <v>1</v>
      </c>
      <c r="W435">
        <v>0</v>
      </c>
      <c r="X435">
        <v>-1731369543</v>
      </c>
      <c r="Y435">
        <v>0.31</v>
      </c>
      <c r="AA435">
        <v>1</v>
      </c>
      <c r="AB435">
        <v>0</v>
      </c>
      <c r="AC435">
        <v>0</v>
      </c>
      <c r="AD435">
        <v>0</v>
      </c>
      <c r="AE435">
        <v>1</v>
      </c>
      <c r="AF435">
        <v>0</v>
      </c>
      <c r="AG435">
        <v>0</v>
      </c>
      <c r="AH435">
        <v>0</v>
      </c>
      <c r="AI435">
        <v>1</v>
      </c>
      <c r="AJ435">
        <v>1</v>
      </c>
      <c r="AK435">
        <v>1</v>
      </c>
      <c r="AL435">
        <v>1</v>
      </c>
      <c r="AN435">
        <v>0</v>
      </c>
      <c r="AO435">
        <v>1</v>
      </c>
      <c r="AP435">
        <v>0</v>
      </c>
      <c r="AQ435">
        <v>0</v>
      </c>
      <c r="AR435">
        <v>0</v>
      </c>
      <c r="AS435" t="s">
        <v>6</v>
      </c>
      <c r="AT435">
        <v>0.31</v>
      </c>
      <c r="AU435" t="s">
        <v>6</v>
      </c>
      <c r="AV435">
        <v>0</v>
      </c>
      <c r="AW435">
        <v>2</v>
      </c>
      <c r="AX435">
        <v>16751064</v>
      </c>
      <c r="AY435">
        <v>1</v>
      </c>
      <c r="AZ435">
        <v>0</v>
      </c>
      <c r="BA435">
        <v>409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0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0</v>
      </c>
      <c r="BP435">
        <v>0</v>
      </c>
      <c r="BQ435">
        <v>0</v>
      </c>
      <c r="BR435">
        <v>0</v>
      </c>
      <c r="BS435">
        <v>0</v>
      </c>
      <c r="BT435">
        <v>0</v>
      </c>
      <c r="BU435">
        <v>0</v>
      </c>
      <c r="BV435">
        <v>0</v>
      </c>
      <c r="BW435">
        <v>0</v>
      </c>
      <c r="CX435">
        <f>Y435*Source!I309</f>
        <v>2.17</v>
      </c>
      <c r="CY435">
        <f t="shared" si="67"/>
        <v>1</v>
      </c>
      <c r="CZ435">
        <f t="shared" si="68"/>
        <v>1</v>
      </c>
      <c r="DA435">
        <f t="shared" si="69"/>
        <v>1</v>
      </c>
      <c r="DB435">
        <f t="shared" si="65"/>
        <v>0.31</v>
      </c>
      <c r="DC435">
        <f t="shared" si="66"/>
        <v>0</v>
      </c>
    </row>
    <row r="436" spans="1:107" x14ac:dyDescent="0.2">
      <c r="A436">
        <f>ROW(Source!A311)</f>
        <v>311</v>
      </c>
      <c r="B436">
        <v>16748969</v>
      </c>
      <c r="C436">
        <v>16751066</v>
      </c>
      <c r="D436">
        <v>15446300</v>
      </c>
      <c r="E436">
        <v>1</v>
      </c>
      <c r="F436">
        <v>1</v>
      </c>
      <c r="G436">
        <v>1</v>
      </c>
      <c r="H436">
        <v>1</v>
      </c>
      <c r="I436" t="s">
        <v>1095</v>
      </c>
      <c r="J436" t="s">
        <v>6</v>
      </c>
      <c r="K436" t="s">
        <v>1096</v>
      </c>
      <c r="L436">
        <v>1191</v>
      </c>
      <c r="N436">
        <v>1013</v>
      </c>
      <c r="O436" t="s">
        <v>1072</v>
      </c>
      <c r="P436" t="s">
        <v>1072</v>
      </c>
      <c r="Q436">
        <v>1</v>
      </c>
      <c r="W436">
        <v>0</v>
      </c>
      <c r="X436">
        <v>912892513</v>
      </c>
      <c r="Y436">
        <v>1.1200000000000001</v>
      </c>
      <c r="AA436">
        <v>0</v>
      </c>
      <c r="AB436">
        <v>0</v>
      </c>
      <c r="AC436">
        <v>0</v>
      </c>
      <c r="AD436">
        <v>65.08</v>
      </c>
      <c r="AE436">
        <v>0</v>
      </c>
      <c r="AF436">
        <v>0</v>
      </c>
      <c r="AG436">
        <v>0</v>
      </c>
      <c r="AH436">
        <v>9.92</v>
      </c>
      <c r="AI436">
        <v>1</v>
      </c>
      <c r="AJ436">
        <v>1</v>
      </c>
      <c r="AK436">
        <v>1</v>
      </c>
      <c r="AL436">
        <v>6.56</v>
      </c>
      <c r="AN436">
        <v>0</v>
      </c>
      <c r="AO436">
        <v>1</v>
      </c>
      <c r="AP436">
        <v>0</v>
      </c>
      <c r="AQ436">
        <v>0</v>
      </c>
      <c r="AR436">
        <v>0</v>
      </c>
      <c r="AS436" t="s">
        <v>6</v>
      </c>
      <c r="AT436">
        <v>1.1200000000000001</v>
      </c>
      <c r="AU436" t="s">
        <v>6</v>
      </c>
      <c r="AV436">
        <v>1</v>
      </c>
      <c r="AW436">
        <v>2</v>
      </c>
      <c r="AX436">
        <v>16751072</v>
      </c>
      <c r="AY436">
        <v>1</v>
      </c>
      <c r="AZ436">
        <v>0</v>
      </c>
      <c r="BA436">
        <v>410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0</v>
      </c>
      <c r="BR436">
        <v>0</v>
      </c>
      <c r="BS436">
        <v>0</v>
      </c>
      <c r="BT436">
        <v>0</v>
      </c>
      <c r="BU436">
        <v>0</v>
      </c>
      <c r="BV436">
        <v>0</v>
      </c>
      <c r="BW436">
        <v>0</v>
      </c>
      <c r="CX436">
        <f>Y436*Source!I311</f>
        <v>2.2400000000000002</v>
      </c>
      <c r="CY436">
        <f>AD436</f>
        <v>65.08</v>
      </c>
      <c r="CZ436">
        <f>AH436</f>
        <v>9.92</v>
      </c>
      <c r="DA436">
        <f>AL436</f>
        <v>6.56</v>
      </c>
      <c r="DB436">
        <f t="shared" si="65"/>
        <v>11.11</v>
      </c>
      <c r="DC436">
        <f t="shared" si="66"/>
        <v>0</v>
      </c>
    </row>
    <row r="437" spans="1:107" x14ac:dyDescent="0.2">
      <c r="A437">
        <f>ROW(Source!A311)</f>
        <v>311</v>
      </c>
      <c r="B437">
        <v>16748969</v>
      </c>
      <c r="C437">
        <v>16751066</v>
      </c>
      <c r="D437">
        <v>15169942</v>
      </c>
      <c r="E437">
        <v>1</v>
      </c>
      <c r="F437">
        <v>1</v>
      </c>
      <c r="G437">
        <v>1</v>
      </c>
      <c r="H437">
        <v>3</v>
      </c>
      <c r="I437" t="s">
        <v>1391</v>
      </c>
      <c r="J437" t="s">
        <v>1392</v>
      </c>
      <c r="K437" t="s">
        <v>1291</v>
      </c>
      <c r="L437">
        <v>1346</v>
      </c>
      <c r="N437">
        <v>1009</v>
      </c>
      <c r="O437" t="s">
        <v>323</v>
      </c>
      <c r="P437" t="s">
        <v>323</v>
      </c>
      <c r="Q437">
        <v>1</v>
      </c>
      <c r="W437">
        <v>0</v>
      </c>
      <c r="X437">
        <v>103900845</v>
      </c>
      <c r="Y437">
        <v>0.02</v>
      </c>
      <c r="AA437">
        <v>59.3</v>
      </c>
      <c r="AB437">
        <v>0</v>
      </c>
      <c r="AC437">
        <v>0</v>
      </c>
      <c r="AD437">
        <v>0</v>
      </c>
      <c r="AE437">
        <v>9.0399999999999991</v>
      </c>
      <c r="AF437">
        <v>0</v>
      </c>
      <c r="AG437">
        <v>0</v>
      </c>
      <c r="AH437">
        <v>0</v>
      </c>
      <c r="AI437">
        <v>6.56</v>
      </c>
      <c r="AJ437">
        <v>1</v>
      </c>
      <c r="AK437">
        <v>1</v>
      </c>
      <c r="AL437">
        <v>1</v>
      </c>
      <c r="AN437">
        <v>0</v>
      </c>
      <c r="AO437">
        <v>1</v>
      </c>
      <c r="AP437">
        <v>0</v>
      </c>
      <c r="AQ437">
        <v>0</v>
      </c>
      <c r="AR437">
        <v>0</v>
      </c>
      <c r="AS437" t="s">
        <v>6</v>
      </c>
      <c r="AT437">
        <v>0.02</v>
      </c>
      <c r="AU437" t="s">
        <v>6</v>
      </c>
      <c r="AV437">
        <v>0</v>
      </c>
      <c r="AW437">
        <v>2</v>
      </c>
      <c r="AX437">
        <v>16751073</v>
      </c>
      <c r="AY437">
        <v>1</v>
      </c>
      <c r="AZ437">
        <v>0</v>
      </c>
      <c r="BA437">
        <v>411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0</v>
      </c>
      <c r="BP437">
        <v>0</v>
      </c>
      <c r="BQ437">
        <v>0</v>
      </c>
      <c r="BR437">
        <v>0</v>
      </c>
      <c r="BS437">
        <v>0</v>
      </c>
      <c r="BT437">
        <v>0</v>
      </c>
      <c r="BU437">
        <v>0</v>
      </c>
      <c r="BV437">
        <v>0</v>
      </c>
      <c r="BW437">
        <v>0</v>
      </c>
      <c r="CX437">
        <f>Y437*Source!I311</f>
        <v>0.04</v>
      </c>
      <c r="CY437">
        <f>AA437</f>
        <v>59.3</v>
      </c>
      <c r="CZ437">
        <f>AE437</f>
        <v>9.0399999999999991</v>
      </c>
      <c r="DA437">
        <f>AI437</f>
        <v>6.56</v>
      </c>
      <c r="DB437">
        <f t="shared" si="65"/>
        <v>0.18</v>
      </c>
      <c r="DC437">
        <f t="shared" si="66"/>
        <v>0</v>
      </c>
    </row>
    <row r="438" spans="1:107" x14ac:dyDescent="0.2">
      <c r="A438">
        <f>ROW(Source!A311)</f>
        <v>311</v>
      </c>
      <c r="B438">
        <v>16748969</v>
      </c>
      <c r="C438">
        <v>16751066</v>
      </c>
      <c r="D438">
        <v>15238967</v>
      </c>
      <c r="E438">
        <v>1</v>
      </c>
      <c r="F438">
        <v>1</v>
      </c>
      <c r="G438">
        <v>1</v>
      </c>
      <c r="H438">
        <v>3</v>
      </c>
      <c r="I438" t="s">
        <v>685</v>
      </c>
      <c r="J438" t="s">
        <v>687</v>
      </c>
      <c r="K438" t="s">
        <v>686</v>
      </c>
      <c r="L438">
        <v>1354</v>
      </c>
      <c r="N438">
        <v>1010</v>
      </c>
      <c r="O438" t="s">
        <v>53</v>
      </c>
      <c r="P438" t="s">
        <v>53</v>
      </c>
      <c r="Q438">
        <v>1</v>
      </c>
      <c r="W438">
        <v>0</v>
      </c>
      <c r="X438">
        <v>727481344</v>
      </c>
      <c r="Y438">
        <v>0.5</v>
      </c>
      <c r="AA438">
        <v>2810.3</v>
      </c>
      <c r="AB438">
        <v>0</v>
      </c>
      <c r="AC438">
        <v>0</v>
      </c>
      <c r="AD438">
        <v>0</v>
      </c>
      <c r="AE438">
        <v>428.4</v>
      </c>
      <c r="AF438">
        <v>0</v>
      </c>
      <c r="AG438">
        <v>0</v>
      </c>
      <c r="AH438">
        <v>0</v>
      </c>
      <c r="AI438">
        <v>6.56</v>
      </c>
      <c r="AJ438">
        <v>1</v>
      </c>
      <c r="AK438">
        <v>1</v>
      </c>
      <c r="AL438">
        <v>1</v>
      </c>
      <c r="AN438">
        <v>0</v>
      </c>
      <c r="AO438">
        <v>0</v>
      </c>
      <c r="AP438">
        <v>0</v>
      </c>
      <c r="AQ438">
        <v>0</v>
      </c>
      <c r="AR438">
        <v>0</v>
      </c>
      <c r="AS438" t="s">
        <v>6</v>
      </c>
      <c r="AT438">
        <v>0.5</v>
      </c>
      <c r="AU438" t="s">
        <v>6</v>
      </c>
      <c r="AV438">
        <v>0</v>
      </c>
      <c r="AW438">
        <v>1</v>
      </c>
      <c r="AX438">
        <v>-1</v>
      </c>
      <c r="AY438">
        <v>0</v>
      </c>
      <c r="AZ438">
        <v>0</v>
      </c>
      <c r="BA438" t="s">
        <v>6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0</v>
      </c>
      <c r="BR438">
        <v>0</v>
      </c>
      <c r="BS438">
        <v>0</v>
      </c>
      <c r="BT438">
        <v>0</v>
      </c>
      <c r="BU438">
        <v>0</v>
      </c>
      <c r="BV438">
        <v>0</v>
      </c>
      <c r="BW438">
        <v>0</v>
      </c>
      <c r="CX438">
        <f>Y438*Source!I311</f>
        <v>1</v>
      </c>
      <c r="CY438">
        <f>AA438</f>
        <v>2810.3</v>
      </c>
      <c r="CZ438">
        <f>AE438</f>
        <v>428.4</v>
      </c>
      <c r="DA438">
        <f>AI438</f>
        <v>6.56</v>
      </c>
      <c r="DB438">
        <f t="shared" si="65"/>
        <v>214.2</v>
      </c>
      <c r="DC438">
        <f t="shared" si="66"/>
        <v>0</v>
      </c>
    </row>
    <row r="439" spans="1:107" x14ac:dyDescent="0.2">
      <c r="A439">
        <f>ROW(Source!A311)</f>
        <v>311</v>
      </c>
      <c r="B439">
        <v>16748969</v>
      </c>
      <c r="C439">
        <v>16751066</v>
      </c>
      <c r="D439">
        <v>15238968</v>
      </c>
      <c r="E439">
        <v>1</v>
      </c>
      <c r="F439">
        <v>1</v>
      </c>
      <c r="G439">
        <v>1</v>
      </c>
      <c r="H439">
        <v>3</v>
      </c>
      <c r="I439" t="s">
        <v>689</v>
      </c>
      <c r="J439" t="s">
        <v>691</v>
      </c>
      <c r="K439" t="s">
        <v>690</v>
      </c>
      <c r="L439">
        <v>1354</v>
      </c>
      <c r="N439">
        <v>1010</v>
      </c>
      <c r="O439" t="s">
        <v>53</v>
      </c>
      <c r="P439" t="s">
        <v>53</v>
      </c>
      <c r="Q439">
        <v>1</v>
      </c>
      <c r="W439">
        <v>0</v>
      </c>
      <c r="X439">
        <v>-2075971747</v>
      </c>
      <c r="Y439">
        <v>0.5</v>
      </c>
      <c r="AA439">
        <v>2810.3</v>
      </c>
      <c r="AB439">
        <v>0</v>
      </c>
      <c r="AC439">
        <v>0</v>
      </c>
      <c r="AD439">
        <v>0</v>
      </c>
      <c r="AE439">
        <v>428.4</v>
      </c>
      <c r="AF439">
        <v>0</v>
      </c>
      <c r="AG439">
        <v>0</v>
      </c>
      <c r="AH439">
        <v>0</v>
      </c>
      <c r="AI439">
        <v>6.56</v>
      </c>
      <c r="AJ439">
        <v>1</v>
      </c>
      <c r="AK439">
        <v>1</v>
      </c>
      <c r="AL439">
        <v>1</v>
      </c>
      <c r="AN439">
        <v>0</v>
      </c>
      <c r="AO439">
        <v>0</v>
      </c>
      <c r="AP439">
        <v>0</v>
      </c>
      <c r="AQ439">
        <v>0</v>
      </c>
      <c r="AR439">
        <v>0</v>
      </c>
      <c r="AS439" t="s">
        <v>6</v>
      </c>
      <c r="AT439">
        <v>0.5</v>
      </c>
      <c r="AU439" t="s">
        <v>6</v>
      </c>
      <c r="AV439">
        <v>0</v>
      </c>
      <c r="AW439">
        <v>1</v>
      </c>
      <c r="AX439">
        <v>-1</v>
      </c>
      <c r="AY439">
        <v>0</v>
      </c>
      <c r="AZ439">
        <v>0</v>
      </c>
      <c r="BA439" t="s">
        <v>6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0</v>
      </c>
      <c r="BP439">
        <v>0</v>
      </c>
      <c r="BQ439">
        <v>0</v>
      </c>
      <c r="BR439">
        <v>0</v>
      </c>
      <c r="BS439">
        <v>0</v>
      </c>
      <c r="BT439">
        <v>0</v>
      </c>
      <c r="BU439">
        <v>0</v>
      </c>
      <c r="BV439">
        <v>0</v>
      </c>
      <c r="BW439">
        <v>0</v>
      </c>
      <c r="CX439">
        <f>Y439*Source!I311</f>
        <v>1</v>
      </c>
      <c r="CY439">
        <f>AA439</f>
        <v>2810.3</v>
      </c>
      <c r="CZ439">
        <f>AE439</f>
        <v>428.4</v>
      </c>
      <c r="DA439">
        <f>AI439</f>
        <v>6.56</v>
      </c>
      <c r="DB439">
        <f t="shared" si="65"/>
        <v>214.2</v>
      </c>
      <c r="DC439">
        <f t="shared" si="66"/>
        <v>0</v>
      </c>
    </row>
    <row r="440" spans="1:107" x14ac:dyDescent="0.2">
      <c r="A440">
        <f>ROW(Source!A311)</f>
        <v>311</v>
      </c>
      <c r="B440">
        <v>16748969</v>
      </c>
      <c r="C440">
        <v>16751066</v>
      </c>
      <c r="D440">
        <v>15164559</v>
      </c>
      <c r="E440">
        <v>17</v>
      </c>
      <c r="F440">
        <v>1</v>
      </c>
      <c r="G440">
        <v>1</v>
      </c>
      <c r="H440">
        <v>3</v>
      </c>
      <c r="I440" t="s">
        <v>1383</v>
      </c>
      <c r="J440" t="s">
        <v>6</v>
      </c>
      <c r="K440" t="s">
        <v>1384</v>
      </c>
      <c r="L440">
        <v>1374</v>
      </c>
      <c r="N440">
        <v>1013</v>
      </c>
      <c r="O440" t="s">
        <v>1385</v>
      </c>
      <c r="P440" t="s">
        <v>1385</v>
      </c>
      <c r="Q440">
        <v>1</v>
      </c>
      <c r="W440">
        <v>0</v>
      </c>
      <c r="X440">
        <v>-1731369543</v>
      </c>
      <c r="Y440">
        <v>0.22</v>
      </c>
      <c r="AA440">
        <v>1</v>
      </c>
      <c r="AB440">
        <v>0</v>
      </c>
      <c r="AC440">
        <v>0</v>
      </c>
      <c r="AD440">
        <v>0</v>
      </c>
      <c r="AE440">
        <v>1</v>
      </c>
      <c r="AF440">
        <v>0</v>
      </c>
      <c r="AG440">
        <v>0</v>
      </c>
      <c r="AH440">
        <v>0</v>
      </c>
      <c r="AI440">
        <v>1</v>
      </c>
      <c r="AJ440">
        <v>1</v>
      </c>
      <c r="AK440">
        <v>1</v>
      </c>
      <c r="AL440">
        <v>1</v>
      </c>
      <c r="AN440">
        <v>0</v>
      </c>
      <c r="AO440">
        <v>1</v>
      </c>
      <c r="AP440">
        <v>0</v>
      </c>
      <c r="AQ440">
        <v>0</v>
      </c>
      <c r="AR440">
        <v>0</v>
      </c>
      <c r="AS440" t="s">
        <v>6</v>
      </c>
      <c r="AT440">
        <v>0.22</v>
      </c>
      <c r="AU440" t="s">
        <v>6</v>
      </c>
      <c r="AV440">
        <v>0</v>
      </c>
      <c r="AW440">
        <v>2</v>
      </c>
      <c r="AX440">
        <v>16751074</v>
      </c>
      <c r="AY440">
        <v>1</v>
      </c>
      <c r="AZ440">
        <v>0</v>
      </c>
      <c r="BA440">
        <v>412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0</v>
      </c>
      <c r="BS440">
        <v>0</v>
      </c>
      <c r="BT440">
        <v>0</v>
      </c>
      <c r="BU440">
        <v>0</v>
      </c>
      <c r="BV440">
        <v>0</v>
      </c>
      <c r="BW440">
        <v>0</v>
      </c>
      <c r="CX440">
        <f>Y440*Source!I311</f>
        <v>0.44</v>
      </c>
      <c r="CY440">
        <f>AA440</f>
        <v>1</v>
      </c>
      <c r="CZ440">
        <f>AE440</f>
        <v>1</v>
      </c>
      <c r="DA440">
        <f>AI440</f>
        <v>1</v>
      </c>
      <c r="DB440">
        <f t="shared" si="65"/>
        <v>0.22</v>
      </c>
      <c r="DC440">
        <f t="shared" si="66"/>
        <v>0</v>
      </c>
    </row>
    <row r="441" spans="1:107" x14ac:dyDescent="0.2">
      <c r="A441">
        <f>ROW(Source!A314)</f>
        <v>314</v>
      </c>
      <c r="B441">
        <v>16748969</v>
      </c>
      <c r="C441">
        <v>16751077</v>
      </c>
      <c r="D441">
        <v>15430397</v>
      </c>
      <c r="E441">
        <v>1</v>
      </c>
      <c r="F441">
        <v>1</v>
      </c>
      <c r="G441">
        <v>1</v>
      </c>
      <c r="H441">
        <v>1</v>
      </c>
      <c r="I441" t="s">
        <v>1234</v>
      </c>
      <c r="J441" t="s">
        <v>6</v>
      </c>
      <c r="K441" t="s">
        <v>1235</v>
      </c>
      <c r="L441">
        <v>1191</v>
      </c>
      <c r="N441">
        <v>1013</v>
      </c>
      <c r="O441" t="s">
        <v>1072</v>
      </c>
      <c r="P441" t="s">
        <v>1072</v>
      </c>
      <c r="Q441">
        <v>1</v>
      </c>
      <c r="W441">
        <v>0</v>
      </c>
      <c r="X441">
        <v>-1081351934</v>
      </c>
      <c r="Y441">
        <v>8.56</v>
      </c>
      <c r="AA441">
        <v>0</v>
      </c>
      <c r="AB441">
        <v>0</v>
      </c>
      <c r="AC441">
        <v>0</v>
      </c>
      <c r="AD441">
        <v>61.66</v>
      </c>
      <c r="AE441">
        <v>0</v>
      </c>
      <c r="AF441">
        <v>0</v>
      </c>
      <c r="AG441">
        <v>0</v>
      </c>
      <c r="AH441">
        <v>9.4</v>
      </c>
      <c r="AI441">
        <v>1</v>
      </c>
      <c r="AJ441">
        <v>1</v>
      </c>
      <c r="AK441">
        <v>1</v>
      </c>
      <c r="AL441">
        <v>6.56</v>
      </c>
      <c r="AN441">
        <v>0</v>
      </c>
      <c r="AO441">
        <v>1</v>
      </c>
      <c r="AP441">
        <v>0</v>
      </c>
      <c r="AQ441">
        <v>0</v>
      </c>
      <c r="AR441">
        <v>0</v>
      </c>
      <c r="AS441" t="s">
        <v>6</v>
      </c>
      <c r="AT441">
        <v>8.56</v>
      </c>
      <c r="AU441" t="s">
        <v>6</v>
      </c>
      <c r="AV441">
        <v>1</v>
      </c>
      <c r="AW441">
        <v>2</v>
      </c>
      <c r="AX441">
        <v>16751091</v>
      </c>
      <c r="AY441">
        <v>1</v>
      </c>
      <c r="AZ441">
        <v>0</v>
      </c>
      <c r="BA441">
        <v>413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0</v>
      </c>
      <c r="BR441">
        <v>0</v>
      </c>
      <c r="BS441">
        <v>0</v>
      </c>
      <c r="BT441">
        <v>0</v>
      </c>
      <c r="BU441">
        <v>0</v>
      </c>
      <c r="BV441">
        <v>0</v>
      </c>
      <c r="BW441">
        <v>0</v>
      </c>
      <c r="CX441">
        <f>Y441*Source!I314</f>
        <v>0.47936000000000006</v>
      </c>
      <c r="CY441">
        <f>AD441</f>
        <v>61.66</v>
      </c>
      <c r="CZ441">
        <f>AH441</f>
        <v>9.4</v>
      </c>
      <c r="DA441">
        <f>AL441</f>
        <v>6.56</v>
      </c>
      <c r="DB441">
        <f t="shared" si="65"/>
        <v>80.459999999999994</v>
      </c>
      <c r="DC441">
        <f t="shared" si="66"/>
        <v>0</v>
      </c>
    </row>
    <row r="442" spans="1:107" x14ac:dyDescent="0.2">
      <c r="A442">
        <f>ROW(Source!A314)</f>
        <v>314</v>
      </c>
      <c r="B442">
        <v>16748969</v>
      </c>
      <c r="C442">
        <v>16751077</v>
      </c>
      <c r="D442">
        <v>15430395</v>
      </c>
      <c r="E442">
        <v>1</v>
      </c>
      <c r="F442">
        <v>1</v>
      </c>
      <c r="G442">
        <v>1</v>
      </c>
      <c r="H442">
        <v>1</v>
      </c>
      <c r="I442" t="s">
        <v>1073</v>
      </c>
      <c r="J442" t="s">
        <v>6</v>
      </c>
      <c r="K442" t="s">
        <v>1074</v>
      </c>
      <c r="L442">
        <v>1191</v>
      </c>
      <c r="N442">
        <v>1013</v>
      </c>
      <c r="O442" t="s">
        <v>1072</v>
      </c>
      <c r="P442" t="s">
        <v>1072</v>
      </c>
      <c r="Q442">
        <v>1</v>
      </c>
      <c r="W442">
        <v>0</v>
      </c>
      <c r="X442">
        <v>-1417349443</v>
      </c>
      <c r="Y442">
        <v>2.27</v>
      </c>
      <c r="AA442">
        <v>0</v>
      </c>
      <c r="AB442">
        <v>0</v>
      </c>
      <c r="AC442">
        <v>0</v>
      </c>
      <c r="AD442">
        <v>0</v>
      </c>
      <c r="AE442">
        <v>0</v>
      </c>
      <c r="AF442">
        <v>0</v>
      </c>
      <c r="AG442">
        <v>0</v>
      </c>
      <c r="AH442">
        <v>0</v>
      </c>
      <c r="AI442">
        <v>1</v>
      </c>
      <c r="AJ442">
        <v>1</v>
      </c>
      <c r="AK442">
        <v>6.56</v>
      </c>
      <c r="AL442">
        <v>1</v>
      </c>
      <c r="AN442">
        <v>0</v>
      </c>
      <c r="AO442">
        <v>1</v>
      </c>
      <c r="AP442">
        <v>0</v>
      </c>
      <c r="AQ442">
        <v>0</v>
      </c>
      <c r="AR442">
        <v>0</v>
      </c>
      <c r="AS442" t="s">
        <v>6</v>
      </c>
      <c r="AT442">
        <v>2.27</v>
      </c>
      <c r="AU442" t="s">
        <v>6</v>
      </c>
      <c r="AV442">
        <v>2</v>
      </c>
      <c r="AW442">
        <v>2</v>
      </c>
      <c r="AX442">
        <v>16751092</v>
      </c>
      <c r="AY442">
        <v>1</v>
      </c>
      <c r="AZ442">
        <v>0</v>
      </c>
      <c r="BA442">
        <v>414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0</v>
      </c>
      <c r="BR442">
        <v>0</v>
      </c>
      <c r="BS442">
        <v>0</v>
      </c>
      <c r="BT442">
        <v>0</v>
      </c>
      <c r="BU442">
        <v>0</v>
      </c>
      <c r="BV442">
        <v>0</v>
      </c>
      <c r="BW442">
        <v>0</v>
      </c>
      <c r="CX442">
        <f>Y442*Source!I314</f>
        <v>0.12712000000000001</v>
      </c>
      <c r="CY442">
        <f>AD442</f>
        <v>0</v>
      </c>
      <c r="CZ442">
        <f>AH442</f>
        <v>0</v>
      </c>
      <c r="DA442">
        <f>AL442</f>
        <v>1</v>
      </c>
      <c r="DB442">
        <f t="shared" si="65"/>
        <v>0</v>
      </c>
      <c r="DC442">
        <f t="shared" si="66"/>
        <v>0</v>
      </c>
    </row>
    <row r="443" spans="1:107" x14ac:dyDescent="0.2">
      <c r="A443">
        <f>ROW(Source!A314)</f>
        <v>314</v>
      </c>
      <c r="B443">
        <v>16748969</v>
      </c>
      <c r="C443">
        <v>16751077</v>
      </c>
      <c r="D443">
        <v>15247680</v>
      </c>
      <c r="E443">
        <v>1</v>
      </c>
      <c r="F443">
        <v>1</v>
      </c>
      <c r="G443">
        <v>1</v>
      </c>
      <c r="H443">
        <v>2</v>
      </c>
      <c r="I443" t="s">
        <v>1211</v>
      </c>
      <c r="J443" t="s">
        <v>1212</v>
      </c>
      <c r="K443" t="s">
        <v>1213</v>
      </c>
      <c r="L443">
        <v>1368</v>
      </c>
      <c r="N443">
        <v>1011</v>
      </c>
      <c r="O443" t="s">
        <v>1078</v>
      </c>
      <c r="P443" t="s">
        <v>1078</v>
      </c>
      <c r="Q443">
        <v>1</v>
      </c>
      <c r="W443">
        <v>0</v>
      </c>
      <c r="X443">
        <v>-1718674368</v>
      </c>
      <c r="Y443">
        <v>0.1</v>
      </c>
      <c r="AA443">
        <v>0</v>
      </c>
      <c r="AB443">
        <v>734.65</v>
      </c>
      <c r="AC443">
        <v>13.5</v>
      </c>
      <c r="AD443">
        <v>0</v>
      </c>
      <c r="AE443">
        <v>0</v>
      </c>
      <c r="AF443">
        <v>111.99</v>
      </c>
      <c r="AG443">
        <v>13.5</v>
      </c>
      <c r="AH443">
        <v>0</v>
      </c>
      <c r="AI443">
        <v>1</v>
      </c>
      <c r="AJ443">
        <v>6.56</v>
      </c>
      <c r="AK443">
        <v>1</v>
      </c>
      <c r="AL443">
        <v>1</v>
      </c>
      <c r="AN443">
        <v>0</v>
      </c>
      <c r="AO443">
        <v>1</v>
      </c>
      <c r="AP443">
        <v>0</v>
      </c>
      <c r="AQ443">
        <v>0</v>
      </c>
      <c r="AR443">
        <v>0</v>
      </c>
      <c r="AS443" t="s">
        <v>6</v>
      </c>
      <c r="AT443">
        <v>0.1</v>
      </c>
      <c r="AU443" t="s">
        <v>6</v>
      </c>
      <c r="AV443">
        <v>0</v>
      </c>
      <c r="AW443">
        <v>2</v>
      </c>
      <c r="AX443">
        <v>16751093</v>
      </c>
      <c r="AY443">
        <v>1</v>
      </c>
      <c r="AZ443">
        <v>0</v>
      </c>
      <c r="BA443">
        <v>415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0</v>
      </c>
      <c r="BW443">
        <v>0</v>
      </c>
      <c r="CX443">
        <f>Y443*Source!I314</f>
        <v>5.6000000000000008E-3</v>
      </c>
      <c r="CY443">
        <f>AB443</f>
        <v>734.65</v>
      </c>
      <c r="CZ443">
        <f>AF443</f>
        <v>111.99</v>
      </c>
      <c r="DA443">
        <f>AJ443</f>
        <v>6.56</v>
      </c>
      <c r="DB443">
        <f t="shared" si="65"/>
        <v>11.2</v>
      </c>
      <c r="DC443">
        <f t="shared" si="66"/>
        <v>1.35</v>
      </c>
    </row>
    <row r="444" spans="1:107" x14ac:dyDescent="0.2">
      <c r="A444">
        <f>ROW(Source!A314)</f>
        <v>314</v>
      </c>
      <c r="B444">
        <v>16748969</v>
      </c>
      <c r="C444">
        <v>16751077</v>
      </c>
      <c r="D444">
        <v>15247962</v>
      </c>
      <c r="E444">
        <v>1</v>
      </c>
      <c r="F444">
        <v>1</v>
      </c>
      <c r="G444">
        <v>1</v>
      </c>
      <c r="H444">
        <v>2</v>
      </c>
      <c r="I444" t="s">
        <v>1458</v>
      </c>
      <c r="J444" t="s">
        <v>1459</v>
      </c>
      <c r="K444" t="s">
        <v>1460</v>
      </c>
      <c r="L444">
        <v>1368</v>
      </c>
      <c r="N444">
        <v>1011</v>
      </c>
      <c r="O444" t="s">
        <v>1078</v>
      </c>
      <c r="P444" t="s">
        <v>1078</v>
      </c>
      <c r="Q444">
        <v>1</v>
      </c>
      <c r="W444">
        <v>0</v>
      </c>
      <c r="X444">
        <v>68519795</v>
      </c>
      <c r="Y444">
        <v>2.0699999999999998</v>
      </c>
      <c r="AA444">
        <v>0</v>
      </c>
      <c r="AB444">
        <v>194.18</v>
      </c>
      <c r="AC444">
        <v>10.06</v>
      </c>
      <c r="AD444">
        <v>0</v>
      </c>
      <c r="AE444">
        <v>0</v>
      </c>
      <c r="AF444">
        <v>29.6</v>
      </c>
      <c r="AG444">
        <v>10.06</v>
      </c>
      <c r="AH444">
        <v>0</v>
      </c>
      <c r="AI444">
        <v>1</v>
      </c>
      <c r="AJ444">
        <v>6.56</v>
      </c>
      <c r="AK444">
        <v>1</v>
      </c>
      <c r="AL444">
        <v>1</v>
      </c>
      <c r="AN444">
        <v>0</v>
      </c>
      <c r="AO444">
        <v>1</v>
      </c>
      <c r="AP444">
        <v>0</v>
      </c>
      <c r="AQ444">
        <v>0</v>
      </c>
      <c r="AR444">
        <v>0</v>
      </c>
      <c r="AS444" t="s">
        <v>6</v>
      </c>
      <c r="AT444">
        <v>2.0699999999999998</v>
      </c>
      <c r="AU444" t="s">
        <v>6</v>
      </c>
      <c r="AV444">
        <v>0</v>
      </c>
      <c r="AW444">
        <v>2</v>
      </c>
      <c r="AX444">
        <v>16751094</v>
      </c>
      <c r="AY444">
        <v>1</v>
      </c>
      <c r="AZ444">
        <v>0</v>
      </c>
      <c r="BA444">
        <v>416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0</v>
      </c>
      <c r="BQ444">
        <v>0</v>
      </c>
      <c r="BR444">
        <v>0</v>
      </c>
      <c r="BS444">
        <v>0</v>
      </c>
      <c r="BT444">
        <v>0</v>
      </c>
      <c r="BU444">
        <v>0</v>
      </c>
      <c r="BV444">
        <v>0</v>
      </c>
      <c r="BW444">
        <v>0</v>
      </c>
      <c r="CX444">
        <f>Y444*Source!I314</f>
        <v>0.11592</v>
      </c>
      <c r="CY444">
        <f>AB444</f>
        <v>194.18</v>
      </c>
      <c r="CZ444">
        <f>AF444</f>
        <v>29.6</v>
      </c>
      <c r="DA444">
        <f>AJ444</f>
        <v>6.56</v>
      </c>
      <c r="DB444">
        <f t="shared" si="65"/>
        <v>61.27</v>
      </c>
      <c r="DC444">
        <f t="shared" si="66"/>
        <v>20.82</v>
      </c>
    </row>
    <row r="445" spans="1:107" x14ac:dyDescent="0.2">
      <c r="A445">
        <f>ROW(Source!A314)</f>
        <v>314</v>
      </c>
      <c r="B445">
        <v>16748969</v>
      </c>
      <c r="C445">
        <v>16751077</v>
      </c>
      <c r="D445">
        <v>15249073</v>
      </c>
      <c r="E445">
        <v>1</v>
      </c>
      <c r="F445">
        <v>1</v>
      </c>
      <c r="G445">
        <v>1</v>
      </c>
      <c r="H445">
        <v>2</v>
      </c>
      <c r="I445" t="s">
        <v>1097</v>
      </c>
      <c r="J445" t="s">
        <v>1098</v>
      </c>
      <c r="K445" t="s">
        <v>1099</v>
      </c>
      <c r="L445">
        <v>1368</v>
      </c>
      <c r="N445">
        <v>1011</v>
      </c>
      <c r="O445" t="s">
        <v>1078</v>
      </c>
      <c r="P445" t="s">
        <v>1078</v>
      </c>
      <c r="Q445">
        <v>1</v>
      </c>
      <c r="W445">
        <v>0</v>
      </c>
      <c r="X445">
        <v>1372534845</v>
      </c>
      <c r="Y445">
        <v>0.1</v>
      </c>
      <c r="AA445">
        <v>0</v>
      </c>
      <c r="AB445">
        <v>431.06</v>
      </c>
      <c r="AC445">
        <v>11.6</v>
      </c>
      <c r="AD445">
        <v>0</v>
      </c>
      <c r="AE445">
        <v>0</v>
      </c>
      <c r="AF445">
        <v>65.709999999999994</v>
      </c>
      <c r="AG445">
        <v>11.6</v>
      </c>
      <c r="AH445">
        <v>0</v>
      </c>
      <c r="AI445">
        <v>1</v>
      </c>
      <c r="AJ445">
        <v>6.56</v>
      </c>
      <c r="AK445">
        <v>1</v>
      </c>
      <c r="AL445">
        <v>1</v>
      </c>
      <c r="AN445">
        <v>0</v>
      </c>
      <c r="AO445">
        <v>1</v>
      </c>
      <c r="AP445">
        <v>0</v>
      </c>
      <c r="AQ445">
        <v>0</v>
      </c>
      <c r="AR445">
        <v>0</v>
      </c>
      <c r="AS445" t="s">
        <v>6</v>
      </c>
      <c r="AT445">
        <v>0.1</v>
      </c>
      <c r="AU445" t="s">
        <v>6</v>
      </c>
      <c r="AV445">
        <v>0</v>
      </c>
      <c r="AW445">
        <v>2</v>
      </c>
      <c r="AX445">
        <v>16751095</v>
      </c>
      <c r="AY445">
        <v>1</v>
      </c>
      <c r="AZ445">
        <v>0</v>
      </c>
      <c r="BA445">
        <v>417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0</v>
      </c>
      <c r="BR445">
        <v>0</v>
      </c>
      <c r="BS445">
        <v>0</v>
      </c>
      <c r="BT445">
        <v>0</v>
      </c>
      <c r="BU445">
        <v>0</v>
      </c>
      <c r="BV445">
        <v>0</v>
      </c>
      <c r="BW445">
        <v>0</v>
      </c>
      <c r="CX445">
        <f>Y445*Source!I314</f>
        <v>5.6000000000000008E-3</v>
      </c>
      <c r="CY445">
        <f>AB445</f>
        <v>431.06</v>
      </c>
      <c r="CZ445">
        <f>AF445</f>
        <v>65.709999999999994</v>
      </c>
      <c r="DA445">
        <f>AJ445</f>
        <v>6.56</v>
      </c>
      <c r="DB445">
        <f t="shared" si="65"/>
        <v>6.57</v>
      </c>
      <c r="DC445">
        <f t="shared" si="66"/>
        <v>1.1599999999999999</v>
      </c>
    </row>
    <row r="446" spans="1:107" x14ac:dyDescent="0.2">
      <c r="A446">
        <f>ROW(Source!A314)</f>
        <v>314</v>
      </c>
      <c r="B446">
        <v>16748969</v>
      </c>
      <c r="C446">
        <v>16751077</v>
      </c>
      <c r="D446">
        <v>15249377</v>
      </c>
      <c r="E446">
        <v>1</v>
      </c>
      <c r="F446">
        <v>1</v>
      </c>
      <c r="G446">
        <v>1</v>
      </c>
      <c r="H446">
        <v>2</v>
      </c>
      <c r="I446" t="s">
        <v>1100</v>
      </c>
      <c r="J446" t="s">
        <v>1101</v>
      </c>
      <c r="K446" t="s">
        <v>1102</v>
      </c>
      <c r="L446">
        <v>1368</v>
      </c>
      <c r="N446">
        <v>1011</v>
      </c>
      <c r="O446" t="s">
        <v>1078</v>
      </c>
      <c r="P446" t="s">
        <v>1078</v>
      </c>
      <c r="Q446">
        <v>1</v>
      </c>
      <c r="W446">
        <v>0</v>
      </c>
      <c r="X446">
        <v>-353815937</v>
      </c>
      <c r="Y446">
        <v>1.93</v>
      </c>
      <c r="AA446">
        <v>0</v>
      </c>
      <c r="AB446">
        <v>53.14</v>
      </c>
      <c r="AC446">
        <v>0</v>
      </c>
      <c r="AD446">
        <v>0</v>
      </c>
      <c r="AE446">
        <v>0</v>
      </c>
      <c r="AF446">
        <v>8.1</v>
      </c>
      <c r="AG446">
        <v>0</v>
      </c>
      <c r="AH446">
        <v>0</v>
      </c>
      <c r="AI446">
        <v>1</v>
      </c>
      <c r="AJ446">
        <v>6.56</v>
      </c>
      <c r="AK446">
        <v>1</v>
      </c>
      <c r="AL446">
        <v>1</v>
      </c>
      <c r="AN446">
        <v>0</v>
      </c>
      <c r="AO446">
        <v>1</v>
      </c>
      <c r="AP446">
        <v>0</v>
      </c>
      <c r="AQ446">
        <v>0</v>
      </c>
      <c r="AR446">
        <v>0</v>
      </c>
      <c r="AS446" t="s">
        <v>6</v>
      </c>
      <c r="AT446">
        <v>1.93</v>
      </c>
      <c r="AU446" t="s">
        <v>6</v>
      </c>
      <c r="AV446">
        <v>0</v>
      </c>
      <c r="AW446">
        <v>2</v>
      </c>
      <c r="AX446">
        <v>16751096</v>
      </c>
      <c r="AY446">
        <v>1</v>
      </c>
      <c r="AZ446">
        <v>0</v>
      </c>
      <c r="BA446">
        <v>418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0</v>
      </c>
      <c r="BR446">
        <v>0</v>
      </c>
      <c r="BS446">
        <v>0</v>
      </c>
      <c r="BT446">
        <v>0</v>
      </c>
      <c r="BU446">
        <v>0</v>
      </c>
      <c r="BV446">
        <v>0</v>
      </c>
      <c r="BW446">
        <v>0</v>
      </c>
      <c r="CX446">
        <f>Y446*Source!I314</f>
        <v>0.10808</v>
      </c>
      <c r="CY446">
        <f>AB446</f>
        <v>53.14</v>
      </c>
      <c r="CZ446">
        <f>AF446</f>
        <v>8.1</v>
      </c>
      <c r="DA446">
        <f>AJ446</f>
        <v>6.56</v>
      </c>
      <c r="DB446">
        <f t="shared" si="65"/>
        <v>15.63</v>
      </c>
      <c r="DC446">
        <f t="shared" si="66"/>
        <v>0</v>
      </c>
    </row>
    <row r="447" spans="1:107" x14ac:dyDescent="0.2">
      <c r="A447">
        <f>ROW(Source!A314)</f>
        <v>314</v>
      </c>
      <c r="B447">
        <v>16748969</v>
      </c>
      <c r="C447">
        <v>16751077</v>
      </c>
      <c r="D447">
        <v>15168752</v>
      </c>
      <c r="E447">
        <v>1</v>
      </c>
      <c r="F447">
        <v>1</v>
      </c>
      <c r="G447">
        <v>1</v>
      </c>
      <c r="H447">
        <v>3</v>
      </c>
      <c r="I447" t="s">
        <v>1443</v>
      </c>
      <c r="J447" t="s">
        <v>1444</v>
      </c>
      <c r="K447" t="s">
        <v>1445</v>
      </c>
      <c r="L447">
        <v>1346</v>
      </c>
      <c r="N447">
        <v>1009</v>
      </c>
      <c r="O447" t="s">
        <v>323</v>
      </c>
      <c r="P447" t="s">
        <v>323</v>
      </c>
      <c r="Q447">
        <v>1</v>
      </c>
      <c r="W447">
        <v>0</v>
      </c>
      <c r="X447">
        <v>586013393</v>
      </c>
      <c r="Y447">
        <v>2.14</v>
      </c>
      <c r="AA447">
        <v>69.34</v>
      </c>
      <c r="AB447">
        <v>0</v>
      </c>
      <c r="AC447">
        <v>0</v>
      </c>
      <c r="AD447">
        <v>0</v>
      </c>
      <c r="AE447">
        <v>10.57</v>
      </c>
      <c r="AF447">
        <v>0</v>
      </c>
      <c r="AG447">
        <v>0</v>
      </c>
      <c r="AH447">
        <v>0</v>
      </c>
      <c r="AI447">
        <v>6.56</v>
      </c>
      <c r="AJ447">
        <v>1</v>
      </c>
      <c r="AK447">
        <v>1</v>
      </c>
      <c r="AL447">
        <v>1</v>
      </c>
      <c r="AN447">
        <v>0</v>
      </c>
      <c r="AO447">
        <v>1</v>
      </c>
      <c r="AP447">
        <v>0</v>
      </c>
      <c r="AQ447">
        <v>0</v>
      </c>
      <c r="AR447">
        <v>0</v>
      </c>
      <c r="AS447" t="s">
        <v>6</v>
      </c>
      <c r="AT447">
        <v>2.14</v>
      </c>
      <c r="AU447" t="s">
        <v>6</v>
      </c>
      <c r="AV447">
        <v>0</v>
      </c>
      <c r="AW447">
        <v>2</v>
      </c>
      <c r="AX447">
        <v>16751097</v>
      </c>
      <c r="AY447">
        <v>1</v>
      </c>
      <c r="AZ447">
        <v>0</v>
      </c>
      <c r="BA447">
        <v>419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0</v>
      </c>
      <c r="BP447">
        <v>0</v>
      </c>
      <c r="BQ447">
        <v>0</v>
      </c>
      <c r="BR447">
        <v>0</v>
      </c>
      <c r="BS447">
        <v>0</v>
      </c>
      <c r="BT447">
        <v>0</v>
      </c>
      <c r="BU447">
        <v>0</v>
      </c>
      <c r="BV447">
        <v>0</v>
      </c>
      <c r="BW447">
        <v>0</v>
      </c>
      <c r="CX447">
        <f>Y447*Source!I314</f>
        <v>0.11984000000000002</v>
      </c>
      <c r="CY447">
        <f t="shared" ref="CY447:CY453" si="70">AA447</f>
        <v>69.34</v>
      </c>
      <c r="CZ447">
        <f t="shared" ref="CZ447:CZ453" si="71">AE447</f>
        <v>10.57</v>
      </c>
      <c r="DA447">
        <f t="shared" ref="DA447:DA453" si="72">AI447</f>
        <v>6.56</v>
      </c>
      <c r="DB447">
        <f t="shared" si="65"/>
        <v>22.62</v>
      </c>
      <c r="DC447">
        <f t="shared" si="66"/>
        <v>0</v>
      </c>
    </row>
    <row r="448" spans="1:107" x14ac:dyDescent="0.2">
      <c r="A448">
        <f>ROW(Source!A314)</f>
        <v>314</v>
      </c>
      <c r="B448">
        <v>16748969</v>
      </c>
      <c r="C448">
        <v>16751077</v>
      </c>
      <c r="D448">
        <v>15169942</v>
      </c>
      <c r="E448">
        <v>1</v>
      </c>
      <c r="F448">
        <v>1</v>
      </c>
      <c r="G448">
        <v>1</v>
      </c>
      <c r="H448">
        <v>3</v>
      </c>
      <c r="I448" t="s">
        <v>1391</v>
      </c>
      <c r="J448" t="s">
        <v>1392</v>
      </c>
      <c r="K448" t="s">
        <v>1291</v>
      </c>
      <c r="L448">
        <v>1346</v>
      </c>
      <c r="N448">
        <v>1009</v>
      </c>
      <c r="O448" t="s">
        <v>323</v>
      </c>
      <c r="P448" t="s">
        <v>323</v>
      </c>
      <c r="Q448">
        <v>1</v>
      </c>
      <c r="W448">
        <v>0</v>
      </c>
      <c r="X448">
        <v>103900845</v>
      </c>
      <c r="Y448">
        <v>1.25</v>
      </c>
      <c r="AA448">
        <v>59.3</v>
      </c>
      <c r="AB448">
        <v>0</v>
      </c>
      <c r="AC448">
        <v>0</v>
      </c>
      <c r="AD448">
        <v>0</v>
      </c>
      <c r="AE448">
        <v>9.0399999999999991</v>
      </c>
      <c r="AF448">
        <v>0</v>
      </c>
      <c r="AG448">
        <v>0</v>
      </c>
      <c r="AH448">
        <v>0</v>
      </c>
      <c r="AI448">
        <v>6.56</v>
      </c>
      <c r="AJ448">
        <v>1</v>
      </c>
      <c r="AK448">
        <v>1</v>
      </c>
      <c r="AL448">
        <v>1</v>
      </c>
      <c r="AN448">
        <v>0</v>
      </c>
      <c r="AO448">
        <v>1</v>
      </c>
      <c r="AP448">
        <v>0</v>
      </c>
      <c r="AQ448">
        <v>0</v>
      </c>
      <c r="AR448">
        <v>0</v>
      </c>
      <c r="AS448" t="s">
        <v>6</v>
      </c>
      <c r="AT448">
        <v>1.25</v>
      </c>
      <c r="AU448" t="s">
        <v>6</v>
      </c>
      <c r="AV448">
        <v>0</v>
      </c>
      <c r="AW448">
        <v>2</v>
      </c>
      <c r="AX448">
        <v>16751098</v>
      </c>
      <c r="AY448">
        <v>1</v>
      </c>
      <c r="AZ448">
        <v>0</v>
      </c>
      <c r="BA448">
        <v>420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0</v>
      </c>
      <c r="BP448">
        <v>0</v>
      </c>
      <c r="BQ448">
        <v>0</v>
      </c>
      <c r="BR448">
        <v>0</v>
      </c>
      <c r="BS448">
        <v>0</v>
      </c>
      <c r="BT448">
        <v>0</v>
      </c>
      <c r="BU448">
        <v>0</v>
      </c>
      <c r="BV448">
        <v>0</v>
      </c>
      <c r="BW448">
        <v>0</v>
      </c>
      <c r="CX448">
        <f>Y448*Source!I314</f>
        <v>7.0000000000000007E-2</v>
      </c>
      <c r="CY448">
        <f t="shared" si="70"/>
        <v>59.3</v>
      </c>
      <c r="CZ448">
        <f t="shared" si="71"/>
        <v>9.0399999999999991</v>
      </c>
      <c r="DA448">
        <f t="shared" si="72"/>
        <v>6.56</v>
      </c>
      <c r="DB448">
        <f t="shared" si="65"/>
        <v>11.3</v>
      </c>
      <c r="DC448">
        <f t="shared" si="66"/>
        <v>0</v>
      </c>
    </row>
    <row r="449" spans="1:107" x14ac:dyDescent="0.2">
      <c r="A449">
        <f>ROW(Source!A314)</f>
        <v>314</v>
      </c>
      <c r="B449">
        <v>16748969</v>
      </c>
      <c r="C449">
        <v>16751077</v>
      </c>
      <c r="D449">
        <v>15170074</v>
      </c>
      <c r="E449">
        <v>1</v>
      </c>
      <c r="F449">
        <v>1</v>
      </c>
      <c r="G449">
        <v>1</v>
      </c>
      <c r="H449">
        <v>3</v>
      </c>
      <c r="I449" t="s">
        <v>1399</v>
      </c>
      <c r="J449" t="s">
        <v>1400</v>
      </c>
      <c r="K449" t="s">
        <v>1401</v>
      </c>
      <c r="L449">
        <v>1355</v>
      </c>
      <c r="N449">
        <v>1010</v>
      </c>
      <c r="O449" t="s">
        <v>724</v>
      </c>
      <c r="P449" t="s">
        <v>724</v>
      </c>
      <c r="Q449">
        <v>100</v>
      </c>
      <c r="W449">
        <v>0</v>
      </c>
      <c r="X449">
        <v>1794244060</v>
      </c>
      <c r="Y449">
        <v>0.3</v>
      </c>
      <c r="AA449">
        <v>564.16</v>
      </c>
      <c r="AB449">
        <v>0</v>
      </c>
      <c r="AC449">
        <v>0</v>
      </c>
      <c r="AD449">
        <v>0</v>
      </c>
      <c r="AE449">
        <v>86</v>
      </c>
      <c r="AF449">
        <v>0</v>
      </c>
      <c r="AG449">
        <v>0</v>
      </c>
      <c r="AH449">
        <v>0</v>
      </c>
      <c r="AI449">
        <v>6.56</v>
      </c>
      <c r="AJ449">
        <v>1</v>
      </c>
      <c r="AK449">
        <v>1</v>
      </c>
      <c r="AL449">
        <v>1</v>
      </c>
      <c r="AN449">
        <v>0</v>
      </c>
      <c r="AO449">
        <v>1</v>
      </c>
      <c r="AP449">
        <v>0</v>
      </c>
      <c r="AQ449">
        <v>0</v>
      </c>
      <c r="AR449">
        <v>0</v>
      </c>
      <c r="AS449" t="s">
        <v>6</v>
      </c>
      <c r="AT449">
        <v>0.3</v>
      </c>
      <c r="AU449" t="s">
        <v>6</v>
      </c>
      <c r="AV449">
        <v>0</v>
      </c>
      <c r="AW449">
        <v>2</v>
      </c>
      <c r="AX449">
        <v>16751099</v>
      </c>
      <c r="AY449">
        <v>1</v>
      </c>
      <c r="AZ449">
        <v>0</v>
      </c>
      <c r="BA449">
        <v>421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0</v>
      </c>
      <c r="BP449">
        <v>0</v>
      </c>
      <c r="BQ449">
        <v>0</v>
      </c>
      <c r="BR449">
        <v>0</v>
      </c>
      <c r="BS449">
        <v>0</v>
      </c>
      <c r="BT449">
        <v>0</v>
      </c>
      <c r="BU449">
        <v>0</v>
      </c>
      <c r="BV449">
        <v>0</v>
      </c>
      <c r="BW449">
        <v>0</v>
      </c>
      <c r="CX449">
        <f>Y449*Source!I314</f>
        <v>1.6799999999999999E-2</v>
      </c>
      <c r="CY449">
        <f t="shared" si="70"/>
        <v>564.16</v>
      </c>
      <c r="CZ449">
        <f t="shared" si="71"/>
        <v>86</v>
      </c>
      <c r="DA449">
        <f t="shared" si="72"/>
        <v>6.56</v>
      </c>
      <c r="DB449">
        <f t="shared" si="65"/>
        <v>25.8</v>
      </c>
      <c r="DC449">
        <f t="shared" si="66"/>
        <v>0</v>
      </c>
    </row>
    <row r="450" spans="1:107" x14ac:dyDescent="0.2">
      <c r="A450">
        <f>ROW(Source!A314)</f>
        <v>314</v>
      </c>
      <c r="B450">
        <v>16748969</v>
      </c>
      <c r="C450">
        <v>16751077</v>
      </c>
      <c r="D450">
        <v>15217313</v>
      </c>
      <c r="E450">
        <v>1</v>
      </c>
      <c r="F450">
        <v>1</v>
      </c>
      <c r="G450">
        <v>1</v>
      </c>
      <c r="H450">
        <v>3</v>
      </c>
      <c r="I450" t="s">
        <v>1461</v>
      </c>
      <c r="J450" t="s">
        <v>1462</v>
      </c>
      <c r="K450" t="s">
        <v>1463</v>
      </c>
      <c r="L450">
        <v>1354</v>
      </c>
      <c r="N450">
        <v>1010</v>
      </c>
      <c r="O450" t="s">
        <v>53</v>
      </c>
      <c r="P450" t="s">
        <v>53</v>
      </c>
      <c r="Q450">
        <v>1</v>
      </c>
      <c r="W450">
        <v>0</v>
      </c>
      <c r="X450">
        <v>365674879</v>
      </c>
      <c r="Y450">
        <v>30</v>
      </c>
      <c r="AA450">
        <v>69.14</v>
      </c>
      <c r="AB450">
        <v>0</v>
      </c>
      <c r="AC450">
        <v>0</v>
      </c>
      <c r="AD450">
        <v>0</v>
      </c>
      <c r="AE450">
        <v>10.54</v>
      </c>
      <c r="AF450">
        <v>0</v>
      </c>
      <c r="AG450">
        <v>0</v>
      </c>
      <c r="AH450">
        <v>0</v>
      </c>
      <c r="AI450">
        <v>6.56</v>
      </c>
      <c r="AJ450">
        <v>1</v>
      </c>
      <c r="AK450">
        <v>1</v>
      </c>
      <c r="AL450">
        <v>1</v>
      </c>
      <c r="AN450">
        <v>0</v>
      </c>
      <c r="AO450">
        <v>1</v>
      </c>
      <c r="AP450">
        <v>0</v>
      </c>
      <c r="AQ450">
        <v>0</v>
      </c>
      <c r="AR450">
        <v>0</v>
      </c>
      <c r="AS450" t="s">
        <v>6</v>
      </c>
      <c r="AT450">
        <v>30</v>
      </c>
      <c r="AU450" t="s">
        <v>6</v>
      </c>
      <c r="AV450">
        <v>0</v>
      </c>
      <c r="AW450">
        <v>2</v>
      </c>
      <c r="AX450">
        <v>16751100</v>
      </c>
      <c r="AY450">
        <v>1</v>
      </c>
      <c r="AZ450">
        <v>0</v>
      </c>
      <c r="BA450">
        <v>422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0</v>
      </c>
      <c r="BP450">
        <v>0</v>
      </c>
      <c r="BQ450">
        <v>0</v>
      </c>
      <c r="BR450">
        <v>0</v>
      </c>
      <c r="BS450">
        <v>0</v>
      </c>
      <c r="BT450">
        <v>0</v>
      </c>
      <c r="BU450">
        <v>0</v>
      </c>
      <c r="BV450">
        <v>0</v>
      </c>
      <c r="BW450">
        <v>0</v>
      </c>
      <c r="CX450">
        <f>Y450*Source!I314</f>
        <v>1.68</v>
      </c>
      <c r="CY450">
        <f t="shared" si="70"/>
        <v>69.14</v>
      </c>
      <c r="CZ450">
        <f t="shared" si="71"/>
        <v>10.54</v>
      </c>
      <c r="DA450">
        <f t="shared" si="72"/>
        <v>6.56</v>
      </c>
      <c r="DB450">
        <f t="shared" si="65"/>
        <v>316.2</v>
      </c>
      <c r="DC450">
        <f t="shared" si="66"/>
        <v>0</v>
      </c>
    </row>
    <row r="451" spans="1:107" x14ac:dyDescent="0.2">
      <c r="A451">
        <f>ROW(Source!A314)</f>
        <v>314</v>
      </c>
      <c r="B451">
        <v>16748969</v>
      </c>
      <c r="C451">
        <v>16751077</v>
      </c>
      <c r="D451">
        <v>15218624</v>
      </c>
      <c r="E451">
        <v>1</v>
      </c>
      <c r="F451">
        <v>1</v>
      </c>
      <c r="G451">
        <v>1</v>
      </c>
      <c r="H451">
        <v>3</v>
      </c>
      <c r="I451" t="s">
        <v>697</v>
      </c>
      <c r="J451" t="s">
        <v>699</v>
      </c>
      <c r="K451" t="s">
        <v>698</v>
      </c>
      <c r="L451">
        <v>1354</v>
      </c>
      <c r="N451">
        <v>1010</v>
      </c>
      <c r="O451" t="s">
        <v>53</v>
      </c>
      <c r="P451" t="s">
        <v>53</v>
      </c>
      <c r="Q451">
        <v>1</v>
      </c>
      <c r="W451">
        <v>0</v>
      </c>
      <c r="X451">
        <v>1131365880</v>
      </c>
      <c r="Y451">
        <v>40</v>
      </c>
      <c r="AA451">
        <v>409.34</v>
      </c>
      <c r="AB451">
        <v>0</v>
      </c>
      <c r="AC451">
        <v>0</v>
      </c>
      <c r="AD451">
        <v>0</v>
      </c>
      <c r="AE451">
        <v>62.4</v>
      </c>
      <c r="AF451">
        <v>0</v>
      </c>
      <c r="AG451">
        <v>0</v>
      </c>
      <c r="AH451">
        <v>0</v>
      </c>
      <c r="AI451">
        <v>6.56</v>
      </c>
      <c r="AJ451">
        <v>1</v>
      </c>
      <c r="AK451">
        <v>1</v>
      </c>
      <c r="AL451">
        <v>1</v>
      </c>
      <c r="AN451">
        <v>0</v>
      </c>
      <c r="AO451">
        <v>0</v>
      </c>
      <c r="AP451">
        <v>0</v>
      </c>
      <c r="AQ451">
        <v>0</v>
      </c>
      <c r="AR451">
        <v>0</v>
      </c>
      <c r="AS451" t="s">
        <v>6</v>
      </c>
      <c r="AT451">
        <v>40</v>
      </c>
      <c r="AU451" t="s">
        <v>6</v>
      </c>
      <c r="AV451">
        <v>0</v>
      </c>
      <c r="AW451">
        <v>1</v>
      </c>
      <c r="AX451">
        <v>-1</v>
      </c>
      <c r="AY451">
        <v>0</v>
      </c>
      <c r="AZ451">
        <v>0</v>
      </c>
      <c r="BA451" t="s">
        <v>6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0</v>
      </c>
      <c r="BP451">
        <v>0</v>
      </c>
      <c r="BQ451">
        <v>0</v>
      </c>
      <c r="BR451">
        <v>0</v>
      </c>
      <c r="BS451">
        <v>0</v>
      </c>
      <c r="BT451">
        <v>0</v>
      </c>
      <c r="BU451">
        <v>0</v>
      </c>
      <c r="BV451">
        <v>0</v>
      </c>
      <c r="BW451">
        <v>0</v>
      </c>
      <c r="CX451">
        <f>Y451*Source!I314</f>
        <v>2.2400000000000002</v>
      </c>
      <c r="CY451">
        <f t="shared" si="70"/>
        <v>409.34</v>
      </c>
      <c r="CZ451">
        <f t="shared" si="71"/>
        <v>62.4</v>
      </c>
      <c r="DA451">
        <f t="shared" si="72"/>
        <v>6.56</v>
      </c>
      <c r="DB451">
        <f t="shared" si="65"/>
        <v>2496</v>
      </c>
      <c r="DC451">
        <f t="shared" si="66"/>
        <v>0</v>
      </c>
    </row>
    <row r="452" spans="1:107" x14ac:dyDescent="0.2">
      <c r="A452">
        <f>ROW(Source!A314)</f>
        <v>314</v>
      </c>
      <c r="B452">
        <v>16748969</v>
      </c>
      <c r="C452">
        <v>16751077</v>
      </c>
      <c r="D452">
        <v>15219265</v>
      </c>
      <c r="E452">
        <v>1</v>
      </c>
      <c r="F452">
        <v>1</v>
      </c>
      <c r="G452">
        <v>1</v>
      </c>
      <c r="H452">
        <v>3</v>
      </c>
      <c r="I452" t="s">
        <v>1464</v>
      </c>
      <c r="J452" t="s">
        <v>1465</v>
      </c>
      <c r="K452" t="s">
        <v>1466</v>
      </c>
      <c r="L452">
        <v>1354</v>
      </c>
      <c r="N452">
        <v>1010</v>
      </c>
      <c r="O452" t="s">
        <v>53</v>
      </c>
      <c r="P452" t="s">
        <v>53</v>
      </c>
      <c r="Q452">
        <v>1</v>
      </c>
      <c r="W452">
        <v>0</v>
      </c>
      <c r="X452">
        <v>1761059010</v>
      </c>
      <c r="Y452">
        <v>6</v>
      </c>
      <c r="AA452">
        <v>32.799999999999997</v>
      </c>
      <c r="AB452">
        <v>0</v>
      </c>
      <c r="AC452">
        <v>0</v>
      </c>
      <c r="AD452">
        <v>0</v>
      </c>
      <c r="AE452">
        <v>5</v>
      </c>
      <c r="AF452">
        <v>0</v>
      </c>
      <c r="AG452">
        <v>0</v>
      </c>
      <c r="AH452">
        <v>0</v>
      </c>
      <c r="AI452">
        <v>6.56</v>
      </c>
      <c r="AJ452">
        <v>1</v>
      </c>
      <c r="AK452">
        <v>1</v>
      </c>
      <c r="AL452">
        <v>1</v>
      </c>
      <c r="AN452">
        <v>0</v>
      </c>
      <c r="AO452">
        <v>1</v>
      </c>
      <c r="AP452">
        <v>0</v>
      </c>
      <c r="AQ452">
        <v>0</v>
      </c>
      <c r="AR452">
        <v>0</v>
      </c>
      <c r="AS452" t="s">
        <v>6</v>
      </c>
      <c r="AT452">
        <v>6</v>
      </c>
      <c r="AU452" t="s">
        <v>6</v>
      </c>
      <c r="AV452">
        <v>0</v>
      </c>
      <c r="AW452">
        <v>2</v>
      </c>
      <c r="AX452">
        <v>16751101</v>
      </c>
      <c r="AY452">
        <v>1</v>
      </c>
      <c r="AZ452">
        <v>0</v>
      </c>
      <c r="BA452">
        <v>423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0</v>
      </c>
      <c r="BJ452">
        <v>0</v>
      </c>
      <c r="BK452">
        <v>0</v>
      </c>
      <c r="BL452">
        <v>0</v>
      </c>
      <c r="BM452">
        <v>0</v>
      </c>
      <c r="BN452">
        <v>0</v>
      </c>
      <c r="BO452">
        <v>0</v>
      </c>
      <c r="BP452">
        <v>0</v>
      </c>
      <c r="BQ452">
        <v>0</v>
      </c>
      <c r="BR452">
        <v>0</v>
      </c>
      <c r="BS452">
        <v>0</v>
      </c>
      <c r="BT452">
        <v>0</v>
      </c>
      <c r="BU452">
        <v>0</v>
      </c>
      <c r="BV452">
        <v>0</v>
      </c>
      <c r="BW452">
        <v>0</v>
      </c>
      <c r="CX452">
        <f>Y452*Source!I314</f>
        <v>0.33600000000000002</v>
      </c>
      <c r="CY452">
        <f t="shared" si="70"/>
        <v>32.799999999999997</v>
      </c>
      <c r="CZ452">
        <f t="shared" si="71"/>
        <v>5</v>
      </c>
      <c r="DA452">
        <f t="shared" si="72"/>
        <v>6.56</v>
      </c>
      <c r="DB452">
        <f t="shared" si="65"/>
        <v>30</v>
      </c>
      <c r="DC452">
        <f t="shared" si="66"/>
        <v>0</v>
      </c>
    </row>
    <row r="453" spans="1:107" x14ac:dyDescent="0.2">
      <c r="A453">
        <f>ROW(Source!A314)</f>
        <v>314</v>
      </c>
      <c r="B453">
        <v>16748969</v>
      </c>
      <c r="C453">
        <v>16751077</v>
      </c>
      <c r="D453">
        <v>15164559</v>
      </c>
      <c r="E453">
        <v>17</v>
      </c>
      <c r="F453">
        <v>1</v>
      </c>
      <c r="G453">
        <v>1</v>
      </c>
      <c r="H453">
        <v>3</v>
      </c>
      <c r="I453" t="s">
        <v>1383</v>
      </c>
      <c r="J453" t="s">
        <v>6</v>
      </c>
      <c r="K453" t="s">
        <v>1384</v>
      </c>
      <c r="L453">
        <v>1374</v>
      </c>
      <c r="N453">
        <v>1013</v>
      </c>
      <c r="O453" t="s">
        <v>1385</v>
      </c>
      <c r="P453" t="s">
        <v>1385</v>
      </c>
      <c r="Q453">
        <v>1</v>
      </c>
      <c r="W453">
        <v>0</v>
      </c>
      <c r="X453">
        <v>-1731369543</v>
      </c>
      <c r="Y453">
        <v>1.61</v>
      </c>
      <c r="AA453">
        <v>1</v>
      </c>
      <c r="AB453">
        <v>0</v>
      </c>
      <c r="AC453">
        <v>0</v>
      </c>
      <c r="AD453">
        <v>0</v>
      </c>
      <c r="AE453">
        <v>1</v>
      </c>
      <c r="AF453">
        <v>0</v>
      </c>
      <c r="AG453">
        <v>0</v>
      </c>
      <c r="AH453">
        <v>0</v>
      </c>
      <c r="AI453">
        <v>1</v>
      </c>
      <c r="AJ453">
        <v>1</v>
      </c>
      <c r="AK453">
        <v>1</v>
      </c>
      <c r="AL453">
        <v>1</v>
      </c>
      <c r="AN453">
        <v>0</v>
      </c>
      <c r="AO453">
        <v>1</v>
      </c>
      <c r="AP453">
        <v>0</v>
      </c>
      <c r="AQ453">
        <v>0</v>
      </c>
      <c r="AR453">
        <v>0</v>
      </c>
      <c r="AS453" t="s">
        <v>6</v>
      </c>
      <c r="AT453">
        <v>1.61</v>
      </c>
      <c r="AU453" t="s">
        <v>6</v>
      </c>
      <c r="AV453">
        <v>0</v>
      </c>
      <c r="AW453">
        <v>2</v>
      </c>
      <c r="AX453">
        <v>16751102</v>
      </c>
      <c r="AY453">
        <v>1</v>
      </c>
      <c r="AZ453">
        <v>0</v>
      </c>
      <c r="BA453">
        <v>424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0</v>
      </c>
      <c r="BP453">
        <v>0</v>
      </c>
      <c r="BQ453">
        <v>0</v>
      </c>
      <c r="BR453">
        <v>0</v>
      </c>
      <c r="BS453">
        <v>0</v>
      </c>
      <c r="BT453">
        <v>0</v>
      </c>
      <c r="BU453">
        <v>0</v>
      </c>
      <c r="BV453">
        <v>0</v>
      </c>
      <c r="BW453">
        <v>0</v>
      </c>
      <c r="CX453">
        <f>Y453*Source!I314</f>
        <v>9.0160000000000004E-2</v>
      </c>
      <c r="CY453">
        <f t="shared" si="70"/>
        <v>1</v>
      </c>
      <c r="CZ453">
        <f t="shared" si="71"/>
        <v>1</v>
      </c>
      <c r="DA453">
        <f t="shared" si="72"/>
        <v>1</v>
      </c>
      <c r="DB453">
        <f t="shared" si="65"/>
        <v>1.61</v>
      </c>
      <c r="DC453">
        <f t="shared" si="66"/>
        <v>0</v>
      </c>
    </row>
    <row r="454" spans="1:107" x14ac:dyDescent="0.2">
      <c r="A454">
        <f>ROW(Source!A316)</f>
        <v>316</v>
      </c>
      <c r="B454">
        <v>16748969</v>
      </c>
      <c r="C454">
        <v>16751104</v>
      </c>
      <c r="D454">
        <v>15436556</v>
      </c>
      <c r="E454">
        <v>1</v>
      </c>
      <c r="F454">
        <v>1</v>
      </c>
      <c r="G454">
        <v>1</v>
      </c>
      <c r="H454">
        <v>1</v>
      </c>
      <c r="I454" t="s">
        <v>1265</v>
      </c>
      <c r="J454" t="s">
        <v>6</v>
      </c>
      <c r="K454" t="s">
        <v>1266</v>
      </c>
      <c r="L454">
        <v>1191</v>
      </c>
      <c r="N454">
        <v>1013</v>
      </c>
      <c r="O454" t="s">
        <v>1072</v>
      </c>
      <c r="P454" t="s">
        <v>1072</v>
      </c>
      <c r="Q454">
        <v>1</v>
      </c>
      <c r="W454">
        <v>0</v>
      </c>
      <c r="X454">
        <v>1069510174</v>
      </c>
      <c r="Y454">
        <v>13.41</v>
      </c>
      <c r="AA454">
        <v>0</v>
      </c>
      <c r="AB454">
        <v>0</v>
      </c>
      <c r="AC454">
        <v>0</v>
      </c>
      <c r="AD454">
        <v>63.11</v>
      </c>
      <c r="AE454">
        <v>0</v>
      </c>
      <c r="AF454">
        <v>0</v>
      </c>
      <c r="AG454">
        <v>0</v>
      </c>
      <c r="AH454">
        <v>9.6199999999999992</v>
      </c>
      <c r="AI454">
        <v>1</v>
      </c>
      <c r="AJ454">
        <v>1</v>
      </c>
      <c r="AK454">
        <v>1</v>
      </c>
      <c r="AL454">
        <v>6.56</v>
      </c>
      <c r="AN454">
        <v>0</v>
      </c>
      <c r="AO454">
        <v>1</v>
      </c>
      <c r="AP454">
        <v>0</v>
      </c>
      <c r="AQ454">
        <v>0</v>
      </c>
      <c r="AR454">
        <v>0</v>
      </c>
      <c r="AS454" t="s">
        <v>6</v>
      </c>
      <c r="AT454">
        <v>13.41</v>
      </c>
      <c r="AU454" t="s">
        <v>6</v>
      </c>
      <c r="AV454">
        <v>1</v>
      </c>
      <c r="AW454">
        <v>2</v>
      </c>
      <c r="AX454">
        <v>16751117</v>
      </c>
      <c r="AY454">
        <v>1</v>
      </c>
      <c r="AZ454">
        <v>0</v>
      </c>
      <c r="BA454">
        <v>425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0</v>
      </c>
      <c r="BP454">
        <v>0</v>
      </c>
      <c r="BQ454">
        <v>0</v>
      </c>
      <c r="BR454">
        <v>0</v>
      </c>
      <c r="BS454">
        <v>0</v>
      </c>
      <c r="BT454">
        <v>0</v>
      </c>
      <c r="BU454">
        <v>0</v>
      </c>
      <c r="BV454">
        <v>0</v>
      </c>
      <c r="BW454">
        <v>0</v>
      </c>
      <c r="CX454">
        <f>Y454*Source!I316</f>
        <v>9.3869999999999987</v>
      </c>
      <c r="CY454">
        <f>AD454</f>
        <v>63.11</v>
      </c>
      <c r="CZ454">
        <f>AH454</f>
        <v>9.6199999999999992</v>
      </c>
      <c r="DA454">
        <f>AL454</f>
        <v>6.56</v>
      </c>
      <c r="DB454">
        <f t="shared" si="65"/>
        <v>129</v>
      </c>
      <c r="DC454">
        <f t="shared" si="66"/>
        <v>0</v>
      </c>
    </row>
    <row r="455" spans="1:107" x14ac:dyDescent="0.2">
      <c r="A455">
        <f>ROW(Source!A316)</f>
        <v>316</v>
      </c>
      <c r="B455">
        <v>16748969</v>
      </c>
      <c r="C455">
        <v>16751104</v>
      </c>
      <c r="D455">
        <v>15430395</v>
      </c>
      <c r="E455">
        <v>1</v>
      </c>
      <c r="F455">
        <v>1</v>
      </c>
      <c r="G455">
        <v>1</v>
      </c>
      <c r="H455">
        <v>1</v>
      </c>
      <c r="I455" t="s">
        <v>1073</v>
      </c>
      <c r="J455" t="s">
        <v>6</v>
      </c>
      <c r="K455" t="s">
        <v>1074</v>
      </c>
      <c r="L455">
        <v>1191</v>
      </c>
      <c r="N455">
        <v>1013</v>
      </c>
      <c r="O455" t="s">
        <v>1072</v>
      </c>
      <c r="P455" t="s">
        <v>1072</v>
      </c>
      <c r="Q455">
        <v>1</v>
      </c>
      <c r="W455">
        <v>0</v>
      </c>
      <c r="X455">
        <v>-1417349443</v>
      </c>
      <c r="Y455">
        <v>4.58</v>
      </c>
      <c r="AA455">
        <v>0</v>
      </c>
      <c r="AB455">
        <v>0</v>
      </c>
      <c r="AC455">
        <v>0</v>
      </c>
      <c r="AD455">
        <v>0</v>
      </c>
      <c r="AE455">
        <v>0</v>
      </c>
      <c r="AF455">
        <v>0</v>
      </c>
      <c r="AG455">
        <v>0</v>
      </c>
      <c r="AH455">
        <v>0</v>
      </c>
      <c r="AI455">
        <v>1</v>
      </c>
      <c r="AJ455">
        <v>1</v>
      </c>
      <c r="AK455">
        <v>6.56</v>
      </c>
      <c r="AL455">
        <v>1</v>
      </c>
      <c r="AN455">
        <v>0</v>
      </c>
      <c r="AO455">
        <v>1</v>
      </c>
      <c r="AP455">
        <v>0</v>
      </c>
      <c r="AQ455">
        <v>0</v>
      </c>
      <c r="AR455">
        <v>0</v>
      </c>
      <c r="AS455" t="s">
        <v>6</v>
      </c>
      <c r="AT455">
        <v>4.58</v>
      </c>
      <c r="AU455" t="s">
        <v>6</v>
      </c>
      <c r="AV455">
        <v>2</v>
      </c>
      <c r="AW455">
        <v>2</v>
      </c>
      <c r="AX455">
        <v>16751118</v>
      </c>
      <c r="AY455">
        <v>1</v>
      </c>
      <c r="AZ455">
        <v>0</v>
      </c>
      <c r="BA455">
        <v>426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0</v>
      </c>
      <c r="BQ455">
        <v>0</v>
      </c>
      <c r="BR455">
        <v>0</v>
      </c>
      <c r="BS455">
        <v>0</v>
      </c>
      <c r="BT455">
        <v>0</v>
      </c>
      <c r="BU455">
        <v>0</v>
      </c>
      <c r="BV455">
        <v>0</v>
      </c>
      <c r="BW455">
        <v>0</v>
      </c>
      <c r="CX455">
        <f>Y455*Source!I316</f>
        <v>3.206</v>
      </c>
      <c r="CY455">
        <f>AD455</f>
        <v>0</v>
      </c>
      <c r="CZ455">
        <f>AH455</f>
        <v>0</v>
      </c>
      <c r="DA455">
        <f>AL455</f>
        <v>1</v>
      </c>
      <c r="DB455">
        <f t="shared" si="65"/>
        <v>0</v>
      </c>
      <c r="DC455">
        <f t="shared" si="66"/>
        <v>0</v>
      </c>
    </row>
    <row r="456" spans="1:107" x14ac:dyDescent="0.2">
      <c r="A456">
        <f>ROW(Source!A316)</f>
        <v>316</v>
      </c>
      <c r="B456">
        <v>16748969</v>
      </c>
      <c r="C456">
        <v>16751104</v>
      </c>
      <c r="D456">
        <v>15247680</v>
      </c>
      <c r="E456">
        <v>1</v>
      </c>
      <c r="F456">
        <v>1</v>
      </c>
      <c r="G456">
        <v>1</v>
      </c>
      <c r="H456">
        <v>2</v>
      </c>
      <c r="I456" t="s">
        <v>1211</v>
      </c>
      <c r="J456" t="s">
        <v>1212</v>
      </c>
      <c r="K456" t="s">
        <v>1213</v>
      </c>
      <c r="L456">
        <v>1368</v>
      </c>
      <c r="N456">
        <v>1011</v>
      </c>
      <c r="O456" t="s">
        <v>1078</v>
      </c>
      <c r="P456" t="s">
        <v>1078</v>
      </c>
      <c r="Q456">
        <v>1</v>
      </c>
      <c r="W456">
        <v>0</v>
      </c>
      <c r="X456">
        <v>-1718674368</v>
      </c>
      <c r="Y456">
        <v>0.2</v>
      </c>
      <c r="AA456">
        <v>0</v>
      </c>
      <c r="AB456">
        <v>734.65</v>
      </c>
      <c r="AC456">
        <v>13.5</v>
      </c>
      <c r="AD456">
        <v>0</v>
      </c>
      <c r="AE456">
        <v>0</v>
      </c>
      <c r="AF456">
        <v>111.99</v>
      </c>
      <c r="AG456">
        <v>13.5</v>
      </c>
      <c r="AH456">
        <v>0</v>
      </c>
      <c r="AI456">
        <v>1</v>
      </c>
      <c r="AJ456">
        <v>6.56</v>
      </c>
      <c r="AK456">
        <v>1</v>
      </c>
      <c r="AL456">
        <v>1</v>
      </c>
      <c r="AN456">
        <v>0</v>
      </c>
      <c r="AO456">
        <v>1</v>
      </c>
      <c r="AP456">
        <v>0</v>
      </c>
      <c r="AQ456">
        <v>0</v>
      </c>
      <c r="AR456">
        <v>0</v>
      </c>
      <c r="AS456" t="s">
        <v>6</v>
      </c>
      <c r="AT456">
        <v>0.2</v>
      </c>
      <c r="AU456" t="s">
        <v>6</v>
      </c>
      <c r="AV456">
        <v>0</v>
      </c>
      <c r="AW456">
        <v>2</v>
      </c>
      <c r="AX456">
        <v>16751119</v>
      </c>
      <c r="AY456">
        <v>1</v>
      </c>
      <c r="AZ456">
        <v>0</v>
      </c>
      <c r="BA456">
        <v>427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0</v>
      </c>
      <c r="BP456">
        <v>0</v>
      </c>
      <c r="BQ456">
        <v>0</v>
      </c>
      <c r="BR456">
        <v>0</v>
      </c>
      <c r="BS456">
        <v>0</v>
      </c>
      <c r="BT456">
        <v>0</v>
      </c>
      <c r="BU456">
        <v>0</v>
      </c>
      <c r="BV456">
        <v>0</v>
      </c>
      <c r="BW456">
        <v>0</v>
      </c>
      <c r="CX456">
        <f>Y456*Source!I316</f>
        <v>0.13999999999999999</v>
      </c>
      <c r="CY456">
        <f>AB456</f>
        <v>734.65</v>
      </c>
      <c r="CZ456">
        <f>AF456</f>
        <v>111.99</v>
      </c>
      <c r="DA456">
        <f>AJ456</f>
        <v>6.56</v>
      </c>
      <c r="DB456">
        <f t="shared" si="65"/>
        <v>22.4</v>
      </c>
      <c r="DC456">
        <f t="shared" si="66"/>
        <v>2.7</v>
      </c>
    </row>
    <row r="457" spans="1:107" x14ac:dyDescent="0.2">
      <c r="A457">
        <f>ROW(Source!A316)</f>
        <v>316</v>
      </c>
      <c r="B457">
        <v>16748969</v>
      </c>
      <c r="C457">
        <v>16751104</v>
      </c>
      <c r="D457">
        <v>15247814</v>
      </c>
      <c r="E457">
        <v>1</v>
      </c>
      <c r="F457">
        <v>1</v>
      </c>
      <c r="G457">
        <v>1</v>
      </c>
      <c r="H457">
        <v>2</v>
      </c>
      <c r="I457" t="s">
        <v>1467</v>
      </c>
      <c r="J457" t="s">
        <v>1468</v>
      </c>
      <c r="K457" t="s">
        <v>1469</v>
      </c>
      <c r="L457">
        <v>1368</v>
      </c>
      <c r="N457">
        <v>1011</v>
      </c>
      <c r="O457" t="s">
        <v>1078</v>
      </c>
      <c r="P457" t="s">
        <v>1078</v>
      </c>
      <c r="Q457">
        <v>1</v>
      </c>
      <c r="W457">
        <v>0</v>
      </c>
      <c r="X457">
        <v>-1692889495</v>
      </c>
      <c r="Y457">
        <v>3.13</v>
      </c>
      <c r="AA457">
        <v>0</v>
      </c>
      <c r="AB457">
        <v>5.9</v>
      </c>
      <c r="AC457">
        <v>0</v>
      </c>
      <c r="AD457">
        <v>0</v>
      </c>
      <c r="AE457">
        <v>0</v>
      </c>
      <c r="AF457">
        <v>0.9</v>
      </c>
      <c r="AG457">
        <v>0</v>
      </c>
      <c r="AH457">
        <v>0</v>
      </c>
      <c r="AI457">
        <v>1</v>
      </c>
      <c r="AJ457">
        <v>6.56</v>
      </c>
      <c r="AK457">
        <v>1</v>
      </c>
      <c r="AL457">
        <v>1</v>
      </c>
      <c r="AN457">
        <v>0</v>
      </c>
      <c r="AO457">
        <v>1</v>
      </c>
      <c r="AP457">
        <v>0</v>
      </c>
      <c r="AQ457">
        <v>0</v>
      </c>
      <c r="AR457">
        <v>0</v>
      </c>
      <c r="AS457" t="s">
        <v>6</v>
      </c>
      <c r="AT457">
        <v>3.13</v>
      </c>
      <c r="AU457" t="s">
        <v>6</v>
      </c>
      <c r="AV457">
        <v>0</v>
      </c>
      <c r="AW457">
        <v>2</v>
      </c>
      <c r="AX457">
        <v>16751120</v>
      </c>
      <c r="AY457">
        <v>1</v>
      </c>
      <c r="AZ457">
        <v>0</v>
      </c>
      <c r="BA457">
        <v>428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0</v>
      </c>
      <c r="BP457">
        <v>0</v>
      </c>
      <c r="BQ457">
        <v>0</v>
      </c>
      <c r="BR457">
        <v>0</v>
      </c>
      <c r="BS457">
        <v>0</v>
      </c>
      <c r="BT457">
        <v>0</v>
      </c>
      <c r="BU457">
        <v>0</v>
      </c>
      <c r="BV457">
        <v>0</v>
      </c>
      <c r="BW457">
        <v>0</v>
      </c>
      <c r="CX457">
        <f>Y457*Source!I316</f>
        <v>2.1909999999999998</v>
      </c>
      <c r="CY457">
        <f>AB457</f>
        <v>5.9</v>
      </c>
      <c r="CZ457">
        <f>AF457</f>
        <v>0.9</v>
      </c>
      <c r="DA457">
        <f>AJ457</f>
        <v>6.56</v>
      </c>
      <c r="DB457">
        <f t="shared" si="65"/>
        <v>2.82</v>
      </c>
      <c r="DC457">
        <f t="shared" si="66"/>
        <v>0</v>
      </c>
    </row>
    <row r="458" spans="1:107" x14ac:dyDescent="0.2">
      <c r="A458">
        <f>ROW(Source!A316)</f>
        <v>316</v>
      </c>
      <c r="B458">
        <v>16748969</v>
      </c>
      <c r="C458">
        <v>16751104</v>
      </c>
      <c r="D458">
        <v>15247879</v>
      </c>
      <c r="E458">
        <v>1</v>
      </c>
      <c r="F458">
        <v>1</v>
      </c>
      <c r="G458">
        <v>1</v>
      </c>
      <c r="H458">
        <v>2</v>
      </c>
      <c r="I458" t="s">
        <v>1470</v>
      </c>
      <c r="J458" t="s">
        <v>1471</v>
      </c>
      <c r="K458" t="s">
        <v>1472</v>
      </c>
      <c r="L458">
        <v>1368</v>
      </c>
      <c r="N458">
        <v>1011</v>
      </c>
      <c r="O458" t="s">
        <v>1078</v>
      </c>
      <c r="P458" t="s">
        <v>1078</v>
      </c>
      <c r="Q458">
        <v>1</v>
      </c>
      <c r="W458">
        <v>0</v>
      </c>
      <c r="X458">
        <v>941837819</v>
      </c>
      <c r="Y458">
        <v>3.13</v>
      </c>
      <c r="AA458">
        <v>0</v>
      </c>
      <c r="AB458">
        <v>21.52</v>
      </c>
      <c r="AC458">
        <v>0</v>
      </c>
      <c r="AD458">
        <v>0</v>
      </c>
      <c r="AE458">
        <v>0</v>
      </c>
      <c r="AF458">
        <v>3.28</v>
      </c>
      <c r="AG458">
        <v>0</v>
      </c>
      <c r="AH458">
        <v>0</v>
      </c>
      <c r="AI458">
        <v>1</v>
      </c>
      <c r="AJ458">
        <v>6.56</v>
      </c>
      <c r="AK458">
        <v>1</v>
      </c>
      <c r="AL458">
        <v>1</v>
      </c>
      <c r="AN458">
        <v>0</v>
      </c>
      <c r="AO458">
        <v>1</v>
      </c>
      <c r="AP458">
        <v>0</v>
      </c>
      <c r="AQ458">
        <v>0</v>
      </c>
      <c r="AR458">
        <v>0</v>
      </c>
      <c r="AS458" t="s">
        <v>6</v>
      </c>
      <c r="AT458">
        <v>3.13</v>
      </c>
      <c r="AU458" t="s">
        <v>6</v>
      </c>
      <c r="AV458">
        <v>0</v>
      </c>
      <c r="AW458">
        <v>2</v>
      </c>
      <c r="AX458">
        <v>16751121</v>
      </c>
      <c r="AY458">
        <v>1</v>
      </c>
      <c r="AZ458">
        <v>0</v>
      </c>
      <c r="BA458">
        <v>429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0</v>
      </c>
      <c r="BP458">
        <v>0</v>
      </c>
      <c r="BQ458">
        <v>0</v>
      </c>
      <c r="BR458">
        <v>0</v>
      </c>
      <c r="BS458">
        <v>0</v>
      </c>
      <c r="BT458">
        <v>0</v>
      </c>
      <c r="BU458">
        <v>0</v>
      </c>
      <c r="BV458">
        <v>0</v>
      </c>
      <c r="BW458">
        <v>0</v>
      </c>
      <c r="CX458">
        <f>Y458*Source!I316</f>
        <v>2.1909999999999998</v>
      </c>
      <c r="CY458">
        <f>AB458</f>
        <v>21.52</v>
      </c>
      <c r="CZ458">
        <f>AF458</f>
        <v>3.28</v>
      </c>
      <c r="DA458">
        <f>AJ458</f>
        <v>6.56</v>
      </c>
      <c r="DB458">
        <f t="shared" si="65"/>
        <v>10.27</v>
      </c>
      <c r="DC458">
        <f t="shared" si="66"/>
        <v>0</v>
      </c>
    </row>
    <row r="459" spans="1:107" x14ac:dyDescent="0.2">
      <c r="A459">
        <f>ROW(Source!A316)</f>
        <v>316</v>
      </c>
      <c r="B459">
        <v>16748969</v>
      </c>
      <c r="C459">
        <v>16751104</v>
      </c>
      <c r="D459">
        <v>15248014</v>
      </c>
      <c r="E459">
        <v>1</v>
      </c>
      <c r="F459">
        <v>1</v>
      </c>
      <c r="G459">
        <v>1</v>
      </c>
      <c r="H459">
        <v>2</v>
      </c>
      <c r="I459" t="s">
        <v>1473</v>
      </c>
      <c r="J459" t="s">
        <v>1474</v>
      </c>
      <c r="K459" t="s">
        <v>1475</v>
      </c>
      <c r="L459">
        <v>1368</v>
      </c>
      <c r="N459">
        <v>1011</v>
      </c>
      <c r="O459" t="s">
        <v>1078</v>
      </c>
      <c r="P459" t="s">
        <v>1078</v>
      </c>
      <c r="Q459">
        <v>1</v>
      </c>
      <c r="W459">
        <v>0</v>
      </c>
      <c r="X459">
        <v>1599745326</v>
      </c>
      <c r="Y459">
        <v>4.18</v>
      </c>
      <c r="AA459">
        <v>0</v>
      </c>
      <c r="AB459">
        <v>936.11</v>
      </c>
      <c r="AC459">
        <v>13.5</v>
      </c>
      <c r="AD459">
        <v>0</v>
      </c>
      <c r="AE459">
        <v>0</v>
      </c>
      <c r="AF459">
        <v>142.69999999999999</v>
      </c>
      <c r="AG459">
        <v>13.5</v>
      </c>
      <c r="AH459">
        <v>0</v>
      </c>
      <c r="AI459">
        <v>1</v>
      </c>
      <c r="AJ459">
        <v>6.56</v>
      </c>
      <c r="AK459">
        <v>1</v>
      </c>
      <c r="AL459">
        <v>1</v>
      </c>
      <c r="AN459">
        <v>0</v>
      </c>
      <c r="AO459">
        <v>1</v>
      </c>
      <c r="AP459">
        <v>0</v>
      </c>
      <c r="AQ459">
        <v>0</v>
      </c>
      <c r="AR459">
        <v>0</v>
      </c>
      <c r="AS459" t="s">
        <v>6</v>
      </c>
      <c r="AT459">
        <v>4.18</v>
      </c>
      <c r="AU459" t="s">
        <v>6</v>
      </c>
      <c r="AV459">
        <v>0</v>
      </c>
      <c r="AW459">
        <v>2</v>
      </c>
      <c r="AX459">
        <v>16751122</v>
      </c>
      <c r="AY459">
        <v>1</v>
      </c>
      <c r="AZ459">
        <v>0</v>
      </c>
      <c r="BA459">
        <v>430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0</v>
      </c>
      <c r="BR459">
        <v>0</v>
      </c>
      <c r="BS459">
        <v>0</v>
      </c>
      <c r="BT459">
        <v>0</v>
      </c>
      <c r="BU459">
        <v>0</v>
      </c>
      <c r="BV459">
        <v>0</v>
      </c>
      <c r="BW459">
        <v>0</v>
      </c>
      <c r="CX459">
        <f>Y459*Source!I316</f>
        <v>2.9259999999999997</v>
      </c>
      <c r="CY459">
        <f>AB459</f>
        <v>936.11</v>
      </c>
      <c r="CZ459">
        <f>AF459</f>
        <v>142.69999999999999</v>
      </c>
      <c r="DA459">
        <f>AJ459</f>
        <v>6.56</v>
      </c>
      <c r="DB459">
        <f t="shared" si="65"/>
        <v>596.49</v>
      </c>
      <c r="DC459">
        <f t="shared" si="66"/>
        <v>56.43</v>
      </c>
    </row>
    <row r="460" spans="1:107" x14ac:dyDescent="0.2">
      <c r="A460">
        <f>ROW(Source!A316)</f>
        <v>316</v>
      </c>
      <c r="B460">
        <v>16748969</v>
      </c>
      <c r="C460">
        <v>16751104</v>
      </c>
      <c r="D460">
        <v>15249073</v>
      </c>
      <c r="E460">
        <v>1</v>
      </c>
      <c r="F460">
        <v>1</v>
      </c>
      <c r="G460">
        <v>1</v>
      </c>
      <c r="H460">
        <v>2</v>
      </c>
      <c r="I460" t="s">
        <v>1097</v>
      </c>
      <c r="J460" t="s">
        <v>1098</v>
      </c>
      <c r="K460" t="s">
        <v>1099</v>
      </c>
      <c r="L460">
        <v>1368</v>
      </c>
      <c r="N460">
        <v>1011</v>
      </c>
      <c r="O460" t="s">
        <v>1078</v>
      </c>
      <c r="P460" t="s">
        <v>1078</v>
      </c>
      <c r="Q460">
        <v>1</v>
      </c>
      <c r="W460">
        <v>0</v>
      </c>
      <c r="X460">
        <v>1372534845</v>
      </c>
      <c r="Y460">
        <v>0.2</v>
      </c>
      <c r="AA460">
        <v>0</v>
      </c>
      <c r="AB460">
        <v>431.06</v>
      </c>
      <c r="AC460">
        <v>11.6</v>
      </c>
      <c r="AD460">
        <v>0</v>
      </c>
      <c r="AE460">
        <v>0</v>
      </c>
      <c r="AF460">
        <v>65.709999999999994</v>
      </c>
      <c r="AG460">
        <v>11.6</v>
      </c>
      <c r="AH460">
        <v>0</v>
      </c>
      <c r="AI460">
        <v>1</v>
      </c>
      <c r="AJ460">
        <v>6.56</v>
      </c>
      <c r="AK460">
        <v>1</v>
      </c>
      <c r="AL460">
        <v>1</v>
      </c>
      <c r="AN460">
        <v>0</v>
      </c>
      <c r="AO460">
        <v>1</v>
      </c>
      <c r="AP460">
        <v>0</v>
      </c>
      <c r="AQ460">
        <v>0</v>
      </c>
      <c r="AR460">
        <v>0</v>
      </c>
      <c r="AS460" t="s">
        <v>6</v>
      </c>
      <c r="AT460">
        <v>0.2</v>
      </c>
      <c r="AU460" t="s">
        <v>6</v>
      </c>
      <c r="AV460">
        <v>0</v>
      </c>
      <c r="AW460">
        <v>2</v>
      </c>
      <c r="AX460">
        <v>16751123</v>
      </c>
      <c r="AY460">
        <v>1</v>
      </c>
      <c r="AZ460">
        <v>0</v>
      </c>
      <c r="BA460">
        <v>431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0</v>
      </c>
      <c r="BQ460">
        <v>0</v>
      </c>
      <c r="BR460">
        <v>0</v>
      </c>
      <c r="BS460">
        <v>0</v>
      </c>
      <c r="BT460">
        <v>0</v>
      </c>
      <c r="BU460">
        <v>0</v>
      </c>
      <c r="BV460">
        <v>0</v>
      </c>
      <c r="BW460">
        <v>0</v>
      </c>
      <c r="CX460">
        <f>Y460*Source!I316</f>
        <v>0.13999999999999999</v>
      </c>
      <c r="CY460">
        <f>AB460</f>
        <v>431.06</v>
      </c>
      <c r="CZ460">
        <f>AF460</f>
        <v>65.709999999999994</v>
      </c>
      <c r="DA460">
        <f>AJ460</f>
        <v>6.56</v>
      </c>
      <c r="DB460">
        <f t="shared" si="65"/>
        <v>13.14</v>
      </c>
      <c r="DC460">
        <f t="shared" si="66"/>
        <v>2.3199999999999998</v>
      </c>
    </row>
    <row r="461" spans="1:107" x14ac:dyDescent="0.2">
      <c r="A461">
        <f>ROW(Source!A316)</f>
        <v>316</v>
      </c>
      <c r="B461">
        <v>16748969</v>
      </c>
      <c r="C461">
        <v>16751104</v>
      </c>
      <c r="D461">
        <v>15167600</v>
      </c>
      <c r="E461">
        <v>1</v>
      </c>
      <c r="F461">
        <v>1</v>
      </c>
      <c r="G461">
        <v>1</v>
      </c>
      <c r="H461">
        <v>3</v>
      </c>
      <c r="I461" t="s">
        <v>1476</v>
      </c>
      <c r="J461" t="s">
        <v>1477</v>
      </c>
      <c r="K461" t="s">
        <v>1478</v>
      </c>
      <c r="L461">
        <v>1308</v>
      </c>
      <c r="N461">
        <v>1003</v>
      </c>
      <c r="O461" t="s">
        <v>34</v>
      </c>
      <c r="P461" t="s">
        <v>34</v>
      </c>
      <c r="Q461">
        <v>100</v>
      </c>
      <c r="W461">
        <v>0</v>
      </c>
      <c r="X461">
        <v>568244124</v>
      </c>
      <c r="Y461">
        <v>2.4500000000000001E-2</v>
      </c>
      <c r="AA461">
        <v>787.2</v>
      </c>
      <c r="AB461">
        <v>0</v>
      </c>
      <c r="AC461">
        <v>0</v>
      </c>
      <c r="AD461">
        <v>0</v>
      </c>
      <c r="AE461">
        <v>120</v>
      </c>
      <c r="AF461">
        <v>0</v>
      </c>
      <c r="AG461">
        <v>0</v>
      </c>
      <c r="AH461">
        <v>0</v>
      </c>
      <c r="AI461">
        <v>6.56</v>
      </c>
      <c r="AJ461">
        <v>1</v>
      </c>
      <c r="AK461">
        <v>1</v>
      </c>
      <c r="AL461">
        <v>1</v>
      </c>
      <c r="AN461">
        <v>0</v>
      </c>
      <c r="AO461">
        <v>1</v>
      </c>
      <c r="AP461">
        <v>0</v>
      </c>
      <c r="AQ461">
        <v>0</v>
      </c>
      <c r="AR461">
        <v>0</v>
      </c>
      <c r="AS461" t="s">
        <v>6</v>
      </c>
      <c r="AT461">
        <v>2.4500000000000001E-2</v>
      </c>
      <c r="AU461" t="s">
        <v>6</v>
      </c>
      <c r="AV461">
        <v>0</v>
      </c>
      <c r="AW461">
        <v>2</v>
      </c>
      <c r="AX461">
        <v>16751124</v>
      </c>
      <c r="AY461">
        <v>1</v>
      </c>
      <c r="AZ461">
        <v>0</v>
      </c>
      <c r="BA461">
        <v>432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0</v>
      </c>
      <c r="BR461">
        <v>0</v>
      </c>
      <c r="BS461">
        <v>0</v>
      </c>
      <c r="BT461">
        <v>0</v>
      </c>
      <c r="BU461">
        <v>0</v>
      </c>
      <c r="BV461">
        <v>0</v>
      </c>
      <c r="BW461">
        <v>0</v>
      </c>
      <c r="CX461">
        <f>Y461*Source!I316</f>
        <v>1.7149999999999999E-2</v>
      </c>
      <c r="CY461">
        <f>AA461</f>
        <v>787.2</v>
      </c>
      <c r="CZ461">
        <f>AE461</f>
        <v>120</v>
      </c>
      <c r="DA461">
        <f>AI461</f>
        <v>6.56</v>
      </c>
      <c r="DB461">
        <f t="shared" si="65"/>
        <v>2.94</v>
      </c>
      <c r="DC461">
        <f t="shared" si="66"/>
        <v>0</v>
      </c>
    </row>
    <row r="462" spans="1:107" x14ac:dyDescent="0.2">
      <c r="A462">
        <f>ROW(Source!A316)</f>
        <v>316</v>
      </c>
      <c r="B462">
        <v>16748969</v>
      </c>
      <c r="C462">
        <v>16751104</v>
      </c>
      <c r="D462">
        <v>15195042</v>
      </c>
      <c r="E462">
        <v>1</v>
      </c>
      <c r="F462">
        <v>1</v>
      </c>
      <c r="G462">
        <v>1</v>
      </c>
      <c r="H462">
        <v>3</v>
      </c>
      <c r="I462" t="s">
        <v>1479</v>
      </c>
      <c r="J462" t="s">
        <v>1480</v>
      </c>
      <c r="K462" t="s">
        <v>1481</v>
      </c>
      <c r="L462">
        <v>1346</v>
      </c>
      <c r="N462">
        <v>1009</v>
      </c>
      <c r="O462" t="s">
        <v>323</v>
      </c>
      <c r="P462" t="s">
        <v>323</v>
      </c>
      <c r="Q462">
        <v>1</v>
      </c>
      <c r="W462">
        <v>0</v>
      </c>
      <c r="X462">
        <v>1391681712</v>
      </c>
      <c r="Y462">
        <v>0.5</v>
      </c>
      <c r="AA462">
        <v>446.41</v>
      </c>
      <c r="AB462">
        <v>0</v>
      </c>
      <c r="AC462">
        <v>0</v>
      </c>
      <c r="AD462">
        <v>0</v>
      </c>
      <c r="AE462">
        <v>68.05</v>
      </c>
      <c r="AF462">
        <v>0</v>
      </c>
      <c r="AG462">
        <v>0</v>
      </c>
      <c r="AH462">
        <v>0</v>
      </c>
      <c r="AI462">
        <v>6.56</v>
      </c>
      <c r="AJ462">
        <v>1</v>
      </c>
      <c r="AK462">
        <v>1</v>
      </c>
      <c r="AL462">
        <v>1</v>
      </c>
      <c r="AN462">
        <v>0</v>
      </c>
      <c r="AO462">
        <v>1</v>
      </c>
      <c r="AP462">
        <v>0</v>
      </c>
      <c r="AQ462">
        <v>0</v>
      </c>
      <c r="AR462">
        <v>0</v>
      </c>
      <c r="AS462" t="s">
        <v>6</v>
      </c>
      <c r="AT462">
        <v>0.5</v>
      </c>
      <c r="AU462" t="s">
        <v>6</v>
      </c>
      <c r="AV462">
        <v>0</v>
      </c>
      <c r="AW462">
        <v>2</v>
      </c>
      <c r="AX462">
        <v>16751125</v>
      </c>
      <c r="AY462">
        <v>1</v>
      </c>
      <c r="AZ462">
        <v>0</v>
      </c>
      <c r="BA462">
        <v>433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0</v>
      </c>
      <c r="BJ462">
        <v>0</v>
      </c>
      <c r="BK462">
        <v>0</v>
      </c>
      <c r="BL462">
        <v>0</v>
      </c>
      <c r="BM462">
        <v>0</v>
      </c>
      <c r="BN462">
        <v>0</v>
      </c>
      <c r="BO462">
        <v>0</v>
      </c>
      <c r="BP462">
        <v>0</v>
      </c>
      <c r="BQ462">
        <v>0</v>
      </c>
      <c r="BR462">
        <v>0</v>
      </c>
      <c r="BS462">
        <v>0</v>
      </c>
      <c r="BT462">
        <v>0</v>
      </c>
      <c r="BU462">
        <v>0</v>
      </c>
      <c r="BV462">
        <v>0</v>
      </c>
      <c r="BW462">
        <v>0</v>
      </c>
      <c r="CX462">
        <f>Y462*Source!I316</f>
        <v>0.35</v>
      </c>
      <c r="CY462">
        <f>AA462</f>
        <v>446.41</v>
      </c>
      <c r="CZ462">
        <f>AE462</f>
        <v>68.05</v>
      </c>
      <c r="DA462">
        <f>AI462</f>
        <v>6.56</v>
      </c>
      <c r="DB462">
        <f t="shared" si="65"/>
        <v>34.03</v>
      </c>
      <c r="DC462">
        <f t="shared" si="66"/>
        <v>0</v>
      </c>
    </row>
    <row r="463" spans="1:107" x14ac:dyDescent="0.2">
      <c r="A463">
        <f>ROW(Source!A316)</f>
        <v>316</v>
      </c>
      <c r="B463">
        <v>16748969</v>
      </c>
      <c r="C463">
        <v>16751104</v>
      </c>
      <c r="D463">
        <v>15203871</v>
      </c>
      <c r="E463">
        <v>1</v>
      </c>
      <c r="F463">
        <v>1</v>
      </c>
      <c r="G463">
        <v>1</v>
      </c>
      <c r="H463">
        <v>3</v>
      </c>
      <c r="I463" t="s">
        <v>1482</v>
      </c>
      <c r="J463" t="s">
        <v>1483</v>
      </c>
      <c r="K463" t="s">
        <v>1484</v>
      </c>
      <c r="L463">
        <v>1348</v>
      </c>
      <c r="N463">
        <v>1009</v>
      </c>
      <c r="O463" t="s">
        <v>71</v>
      </c>
      <c r="P463" t="s">
        <v>71</v>
      </c>
      <c r="Q463">
        <v>1000</v>
      </c>
      <c r="W463">
        <v>0</v>
      </c>
      <c r="X463">
        <v>-108263514</v>
      </c>
      <c r="Y463">
        <v>2.8800000000000002E-3</v>
      </c>
      <c r="AA463">
        <v>51344.46</v>
      </c>
      <c r="AB463">
        <v>0</v>
      </c>
      <c r="AC463">
        <v>0</v>
      </c>
      <c r="AD463">
        <v>0</v>
      </c>
      <c r="AE463">
        <v>7826.9</v>
      </c>
      <c r="AF463">
        <v>0</v>
      </c>
      <c r="AG463">
        <v>0</v>
      </c>
      <c r="AH463">
        <v>0</v>
      </c>
      <c r="AI463">
        <v>6.56</v>
      </c>
      <c r="AJ463">
        <v>1</v>
      </c>
      <c r="AK463">
        <v>1</v>
      </c>
      <c r="AL463">
        <v>1</v>
      </c>
      <c r="AN463">
        <v>0</v>
      </c>
      <c r="AO463">
        <v>1</v>
      </c>
      <c r="AP463">
        <v>0</v>
      </c>
      <c r="AQ463">
        <v>0</v>
      </c>
      <c r="AR463">
        <v>0</v>
      </c>
      <c r="AS463" t="s">
        <v>6</v>
      </c>
      <c r="AT463">
        <v>2.8800000000000002E-3</v>
      </c>
      <c r="AU463" t="s">
        <v>6</v>
      </c>
      <c r="AV463">
        <v>0</v>
      </c>
      <c r="AW463">
        <v>2</v>
      </c>
      <c r="AX463">
        <v>16751126</v>
      </c>
      <c r="AY463">
        <v>1</v>
      </c>
      <c r="AZ463">
        <v>0</v>
      </c>
      <c r="BA463">
        <v>434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0</v>
      </c>
      <c r="BP463">
        <v>0</v>
      </c>
      <c r="BQ463">
        <v>0</v>
      </c>
      <c r="BR463">
        <v>0</v>
      </c>
      <c r="BS463">
        <v>0</v>
      </c>
      <c r="BT463">
        <v>0</v>
      </c>
      <c r="BU463">
        <v>0</v>
      </c>
      <c r="BV463">
        <v>0</v>
      </c>
      <c r="BW463">
        <v>0</v>
      </c>
      <c r="CX463">
        <f>Y463*Source!I316</f>
        <v>2.016E-3</v>
      </c>
      <c r="CY463">
        <f>AA463</f>
        <v>51344.46</v>
      </c>
      <c r="CZ463">
        <f>AE463</f>
        <v>7826.9</v>
      </c>
      <c r="DA463">
        <f>AI463</f>
        <v>6.56</v>
      </c>
      <c r="DB463">
        <f t="shared" si="65"/>
        <v>22.54</v>
      </c>
      <c r="DC463">
        <f t="shared" si="66"/>
        <v>0</v>
      </c>
    </row>
    <row r="464" spans="1:107" x14ac:dyDescent="0.2">
      <c r="A464">
        <f>ROW(Source!A316)</f>
        <v>316</v>
      </c>
      <c r="B464">
        <v>16748969</v>
      </c>
      <c r="C464">
        <v>16751104</v>
      </c>
      <c r="D464">
        <v>15223468</v>
      </c>
      <c r="E464">
        <v>1</v>
      </c>
      <c r="F464">
        <v>1</v>
      </c>
      <c r="G464">
        <v>1</v>
      </c>
      <c r="H464">
        <v>3</v>
      </c>
      <c r="I464" t="s">
        <v>705</v>
      </c>
      <c r="J464" t="s">
        <v>707</v>
      </c>
      <c r="K464" t="s">
        <v>706</v>
      </c>
      <c r="L464">
        <v>1477</v>
      </c>
      <c r="N464">
        <v>1013</v>
      </c>
      <c r="O464" t="s">
        <v>641</v>
      </c>
      <c r="P464" t="s">
        <v>643</v>
      </c>
      <c r="Q464">
        <v>1</v>
      </c>
      <c r="W464">
        <v>0</v>
      </c>
      <c r="X464">
        <v>934625288</v>
      </c>
      <c r="Y464">
        <v>0.1</v>
      </c>
      <c r="AA464">
        <v>203459.52</v>
      </c>
      <c r="AB464">
        <v>0</v>
      </c>
      <c r="AC464">
        <v>0</v>
      </c>
      <c r="AD464">
        <v>0</v>
      </c>
      <c r="AE464">
        <v>31015.17</v>
      </c>
      <c r="AF464">
        <v>0</v>
      </c>
      <c r="AG464">
        <v>0</v>
      </c>
      <c r="AH464">
        <v>0</v>
      </c>
      <c r="AI464">
        <v>6.56</v>
      </c>
      <c r="AJ464">
        <v>1</v>
      </c>
      <c r="AK464">
        <v>1</v>
      </c>
      <c r="AL464">
        <v>1</v>
      </c>
      <c r="AN464">
        <v>0</v>
      </c>
      <c r="AO464">
        <v>0</v>
      </c>
      <c r="AP464">
        <v>0</v>
      </c>
      <c r="AQ464">
        <v>0</v>
      </c>
      <c r="AR464">
        <v>0</v>
      </c>
      <c r="AS464" t="s">
        <v>6</v>
      </c>
      <c r="AT464">
        <v>0.1</v>
      </c>
      <c r="AU464" t="s">
        <v>6</v>
      </c>
      <c r="AV464">
        <v>0</v>
      </c>
      <c r="AW464">
        <v>1</v>
      </c>
      <c r="AX464">
        <v>-1</v>
      </c>
      <c r="AY464">
        <v>0</v>
      </c>
      <c r="AZ464">
        <v>0</v>
      </c>
      <c r="BA464" t="s">
        <v>6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0</v>
      </c>
      <c r="BP464">
        <v>0</v>
      </c>
      <c r="BQ464">
        <v>0</v>
      </c>
      <c r="BR464">
        <v>0</v>
      </c>
      <c r="BS464">
        <v>0</v>
      </c>
      <c r="BT464">
        <v>0</v>
      </c>
      <c r="BU464">
        <v>0</v>
      </c>
      <c r="BV464">
        <v>0</v>
      </c>
      <c r="BW464">
        <v>0</v>
      </c>
      <c r="CX464">
        <f>Y464*Source!I316</f>
        <v>6.9999999999999993E-2</v>
      </c>
      <c r="CY464">
        <f>AA464</f>
        <v>203459.52</v>
      </c>
      <c r="CZ464">
        <f>AE464</f>
        <v>31015.17</v>
      </c>
      <c r="DA464">
        <f>AI464</f>
        <v>6.56</v>
      </c>
      <c r="DB464">
        <f t="shared" si="65"/>
        <v>3101.52</v>
      </c>
      <c r="DC464">
        <f t="shared" si="66"/>
        <v>0</v>
      </c>
    </row>
    <row r="465" spans="1:107" x14ac:dyDescent="0.2">
      <c r="A465">
        <f>ROW(Source!A316)</f>
        <v>316</v>
      </c>
      <c r="B465">
        <v>16748969</v>
      </c>
      <c r="C465">
        <v>16751104</v>
      </c>
      <c r="D465">
        <v>15164559</v>
      </c>
      <c r="E465">
        <v>17</v>
      </c>
      <c r="F465">
        <v>1</v>
      </c>
      <c r="G465">
        <v>1</v>
      </c>
      <c r="H465">
        <v>3</v>
      </c>
      <c r="I465" t="s">
        <v>1383</v>
      </c>
      <c r="J465" t="s">
        <v>6</v>
      </c>
      <c r="K465" t="s">
        <v>1384</v>
      </c>
      <c r="L465">
        <v>1374</v>
      </c>
      <c r="N465">
        <v>1013</v>
      </c>
      <c r="O465" t="s">
        <v>1385</v>
      </c>
      <c r="P465" t="s">
        <v>1385</v>
      </c>
      <c r="Q465">
        <v>1</v>
      </c>
      <c r="W465">
        <v>0</v>
      </c>
      <c r="X465">
        <v>-1731369543</v>
      </c>
      <c r="Y465">
        <v>2.58</v>
      </c>
      <c r="AA465">
        <v>1</v>
      </c>
      <c r="AB465">
        <v>0</v>
      </c>
      <c r="AC465">
        <v>0</v>
      </c>
      <c r="AD465">
        <v>0</v>
      </c>
      <c r="AE465">
        <v>1</v>
      </c>
      <c r="AF465">
        <v>0</v>
      </c>
      <c r="AG465">
        <v>0</v>
      </c>
      <c r="AH465">
        <v>0</v>
      </c>
      <c r="AI465">
        <v>1</v>
      </c>
      <c r="AJ465">
        <v>1</v>
      </c>
      <c r="AK465">
        <v>1</v>
      </c>
      <c r="AL465">
        <v>1</v>
      </c>
      <c r="AN465">
        <v>0</v>
      </c>
      <c r="AO465">
        <v>1</v>
      </c>
      <c r="AP465">
        <v>0</v>
      </c>
      <c r="AQ465">
        <v>0</v>
      </c>
      <c r="AR465">
        <v>0</v>
      </c>
      <c r="AS465" t="s">
        <v>6</v>
      </c>
      <c r="AT465">
        <v>2.58</v>
      </c>
      <c r="AU465" t="s">
        <v>6</v>
      </c>
      <c r="AV465">
        <v>0</v>
      </c>
      <c r="AW465">
        <v>2</v>
      </c>
      <c r="AX465">
        <v>16751127</v>
      </c>
      <c r="AY465">
        <v>1</v>
      </c>
      <c r="AZ465">
        <v>0</v>
      </c>
      <c r="BA465">
        <v>435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0</v>
      </c>
      <c r="BP465">
        <v>0</v>
      </c>
      <c r="BQ465">
        <v>0</v>
      </c>
      <c r="BR465">
        <v>0</v>
      </c>
      <c r="BS465">
        <v>0</v>
      </c>
      <c r="BT465">
        <v>0</v>
      </c>
      <c r="BU465">
        <v>0</v>
      </c>
      <c r="BV465">
        <v>0</v>
      </c>
      <c r="BW465">
        <v>0</v>
      </c>
      <c r="CX465">
        <f>Y465*Source!I316</f>
        <v>1.8059999999999998</v>
      </c>
      <c r="CY465">
        <f>AA465</f>
        <v>1</v>
      </c>
      <c r="CZ465">
        <f>AE465</f>
        <v>1</v>
      </c>
      <c r="DA465">
        <f>AI465</f>
        <v>1</v>
      </c>
      <c r="DB465">
        <f t="shared" si="65"/>
        <v>2.58</v>
      </c>
      <c r="DC465">
        <f t="shared" si="66"/>
        <v>0</v>
      </c>
    </row>
    <row r="466" spans="1:107" x14ac:dyDescent="0.2">
      <c r="A466">
        <f>ROW(Source!A352)</f>
        <v>352</v>
      </c>
      <c r="B466">
        <v>16748969</v>
      </c>
      <c r="C466">
        <v>16751129</v>
      </c>
      <c r="D466">
        <v>15435721</v>
      </c>
      <c r="E466">
        <v>1</v>
      </c>
      <c r="F466">
        <v>1</v>
      </c>
      <c r="G466">
        <v>1</v>
      </c>
      <c r="H466">
        <v>1</v>
      </c>
      <c r="I466" t="s">
        <v>1353</v>
      </c>
      <c r="J466" t="s">
        <v>6</v>
      </c>
      <c r="K466" t="s">
        <v>1354</v>
      </c>
      <c r="L466">
        <v>1191</v>
      </c>
      <c r="N466">
        <v>1013</v>
      </c>
      <c r="O466" t="s">
        <v>1072</v>
      </c>
      <c r="P466" t="s">
        <v>1072</v>
      </c>
      <c r="Q466">
        <v>1</v>
      </c>
      <c r="W466">
        <v>0</v>
      </c>
      <c r="X466">
        <v>1983201532</v>
      </c>
      <c r="Y466">
        <v>20.329999999999998</v>
      </c>
      <c r="AA466">
        <v>0</v>
      </c>
      <c r="AB466">
        <v>0</v>
      </c>
      <c r="AC466">
        <v>0</v>
      </c>
      <c r="AD466">
        <v>62.39</v>
      </c>
      <c r="AE466">
        <v>0</v>
      </c>
      <c r="AF466">
        <v>0</v>
      </c>
      <c r="AG466">
        <v>0</v>
      </c>
      <c r="AH466">
        <v>9.51</v>
      </c>
      <c r="AI466">
        <v>1</v>
      </c>
      <c r="AJ466">
        <v>1</v>
      </c>
      <c r="AK466">
        <v>1</v>
      </c>
      <c r="AL466">
        <v>6.56</v>
      </c>
      <c r="AN466">
        <v>0</v>
      </c>
      <c r="AO466">
        <v>1</v>
      </c>
      <c r="AP466">
        <v>0</v>
      </c>
      <c r="AQ466">
        <v>0</v>
      </c>
      <c r="AR466">
        <v>0</v>
      </c>
      <c r="AS466" t="s">
        <v>6</v>
      </c>
      <c r="AT466">
        <v>20.329999999999998</v>
      </c>
      <c r="AU466" t="s">
        <v>6</v>
      </c>
      <c r="AV466">
        <v>1</v>
      </c>
      <c r="AW466">
        <v>2</v>
      </c>
      <c r="AX466">
        <v>16751137</v>
      </c>
      <c r="AY466">
        <v>1</v>
      </c>
      <c r="AZ466">
        <v>0</v>
      </c>
      <c r="BA466">
        <v>436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0</v>
      </c>
      <c r="BQ466">
        <v>0</v>
      </c>
      <c r="BR466">
        <v>0</v>
      </c>
      <c r="BS466">
        <v>0</v>
      </c>
      <c r="BT466">
        <v>0</v>
      </c>
      <c r="BU466">
        <v>0</v>
      </c>
      <c r="BV466">
        <v>0</v>
      </c>
      <c r="BW466">
        <v>0</v>
      </c>
      <c r="CX466">
        <f>Y466*Source!I352</f>
        <v>19.313499999999998</v>
      </c>
      <c r="CY466">
        <f>AD466</f>
        <v>62.39</v>
      </c>
      <c r="CZ466">
        <f>AH466</f>
        <v>9.51</v>
      </c>
      <c r="DA466">
        <f>AL466</f>
        <v>6.56</v>
      </c>
      <c r="DB466">
        <f t="shared" si="65"/>
        <v>193.34</v>
      </c>
      <c r="DC466">
        <f t="shared" si="66"/>
        <v>0</v>
      </c>
    </row>
    <row r="467" spans="1:107" x14ac:dyDescent="0.2">
      <c r="A467">
        <f>ROW(Source!A352)</f>
        <v>352</v>
      </c>
      <c r="B467">
        <v>16748969</v>
      </c>
      <c r="C467">
        <v>16751129</v>
      </c>
      <c r="D467">
        <v>15430395</v>
      </c>
      <c r="E467">
        <v>1</v>
      </c>
      <c r="F467">
        <v>1</v>
      </c>
      <c r="G467">
        <v>1</v>
      </c>
      <c r="H467">
        <v>1</v>
      </c>
      <c r="I467" t="s">
        <v>1073</v>
      </c>
      <c r="J467" t="s">
        <v>6</v>
      </c>
      <c r="K467" t="s">
        <v>1074</v>
      </c>
      <c r="L467">
        <v>1191</v>
      </c>
      <c r="N467">
        <v>1013</v>
      </c>
      <c r="O467" t="s">
        <v>1072</v>
      </c>
      <c r="P467" t="s">
        <v>1072</v>
      </c>
      <c r="Q467">
        <v>1</v>
      </c>
      <c r="W467">
        <v>0</v>
      </c>
      <c r="X467">
        <v>-1417349443</v>
      </c>
      <c r="Y467">
        <v>0.01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1</v>
      </c>
      <c r="AJ467">
        <v>1</v>
      </c>
      <c r="AK467">
        <v>6.56</v>
      </c>
      <c r="AL467">
        <v>1</v>
      </c>
      <c r="AN467">
        <v>0</v>
      </c>
      <c r="AO467">
        <v>1</v>
      </c>
      <c r="AP467">
        <v>0</v>
      </c>
      <c r="AQ467">
        <v>0</v>
      </c>
      <c r="AR467">
        <v>0</v>
      </c>
      <c r="AS467" t="s">
        <v>6</v>
      </c>
      <c r="AT467">
        <v>0.01</v>
      </c>
      <c r="AU467" t="s">
        <v>6</v>
      </c>
      <c r="AV467">
        <v>2</v>
      </c>
      <c r="AW467">
        <v>2</v>
      </c>
      <c r="AX467">
        <v>16751138</v>
      </c>
      <c r="AY467">
        <v>1</v>
      </c>
      <c r="AZ467">
        <v>0</v>
      </c>
      <c r="BA467">
        <v>437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0</v>
      </c>
      <c r="BS467">
        <v>0</v>
      </c>
      <c r="BT467">
        <v>0</v>
      </c>
      <c r="BU467">
        <v>0</v>
      </c>
      <c r="BV467">
        <v>0</v>
      </c>
      <c r="BW467">
        <v>0</v>
      </c>
      <c r="CX467">
        <f>Y467*Source!I352</f>
        <v>9.4999999999999998E-3</v>
      </c>
      <c r="CY467">
        <f>AD467</f>
        <v>0</v>
      </c>
      <c r="CZ467">
        <f>AH467</f>
        <v>0</v>
      </c>
      <c r="DA467">
        <f>AL467</f>
        <v>1</v>
      </c>
      <c r="DB467">
        <f t="shared" si="65"/>
        <v>0</v>
      </c>
      <c r="DC467">
        <f t="shared" si="66"/>
        <v>0</v>
      </c>
    </row>
    <row r="468" spans="1:107" x14ac:dyDescent="0.2">
      <c r="A468">
        <f>ROW(Source!A352)</f>
        <v>352</v>
      </c>
      <c r="B468">
        <v>16748969</v>
      </c>
      <c r="C468">
        <v>16751129</v>
      </c>
      <c r="D468">
        <v>15247974</v>
      </c>
      <c r="E468">
        <v>1</v>
      </c>
      <c r="F468">
        <v>1</v>
      </c>
      <c r="G468">
        <v>1</v>
      </c>
      <c r="H468">
        <v>2</v>
      </c>
      <c r="I468" t="s">
        <v>1075</v>
      </c>
      <c r="J468" t="s">
        <v>1076</v>
      </c>
      <c r="K468" t="s">
        <v>1077</v>
      </c>
      <c r="L468">
        <v>1368</v>
      </c>
      <c r="N468">
        <v>1011</v>
      </c>
      <c r="O468" t="s">
        <v>1078</v>
      </c>
      <c r="P468" t="s">
        <v>1078</v>
      </c>
      <c r="Q468">
        <v>1</v>
      </c>
      <c r="W468">
        <v>0</v>
      </c>
      <c r="X468">
        <v>1188625873</v>
      </c>
      <c r="Y468">
        <v>0.01</v>
      </c>
      <c r="AA468">
        <v>0</v>
      </c>
      <c r="AB468">
        <v>205.07</v>
      </c>
      <c r="AC468">
        <v>13.5</v>
      </c>
      <c r="AD468">
        <v>0</v>
      </c>
      <c r="AE468">
        <v>0</v>
      </c>
      <c r="AF468">
        <v>31.26</v>
      </c>
      <c r="AG468">
        <v>13.5</v>
      </c>
      <c r="AH468">
        <v>0</v>
      </c>
      <c r="AI468">
        <v>1</v>
      </c>
      <c r="AJ468">
        <v>6.56</v>
      </c>
      <c r="AK468">
        <v>1</v>
      </c>
      <c r="AL468">
        <v>1</v>
      </c>
      <c r="AN468">
        <v>0</v>
      </c>
      <c r="AO468">
        <v>1</v>
      </c>
      <c r="AP468">
        <v>0</v>
      </c>
      <c r="AQ468">
        <v>0</v>
      </c>
      <c r="AR468">
        <v>0</v>
      </c>
      <c r="AS468" t="s">
        <v>6</v>
      </c>
      <c r="AT468">
        <v>0.01</v>
      </c>
      <c r="AU468" t="s">
        <v>6</v>
      </c>
      <c r="AV468">
        <v>0</v>
      </c>
      <c r="AW468">
        <v>2</v>
      </c>
      <c r="AX468">
        <v>16751139</v>
      </c>
      <c r="AY468">
        <v>1</v>
      </c>
      <c r="AZ468">
        <v>0</v>
      </c>
      <c r="BA468">
        <v>438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0</v>
      </c>
      <c r="BP468">
        <v>0</v>
      </c>
      <c r="BQ468">
        <v>0</v>
      </c>
      <c r="BR468">
        <v>0</v>
      </c>
      <c r="BS468">
        <v>0</v>
      </c>
      <c r="BT468">
        <v>0</v>
      </c>
      <c r="BU468">
        <v>0</v>
      </c>
      <c r="BV468">
        <v>0</v>
      </c>
      <c r="BW468">
        <v>0</v>
      </c>
      <c r="CX468">
        <f>Y468*Source!I352</f>
        <v>9.4999999999999998E-3</v>
      </c>
      <c r="CY468">
        <f>AB468</f>
        <v>205.07</v>
      </c>
      <c r="CZ468">
        <f>AF468</f>
        <v>31.26</v>
      </c>
      <c r="DA468">
        <f>AJ468</f>
        <v>6.56</v>
      </c>
      <c r="DB468">
        <f t="shared" si="65"/>
        <v>0.31</v>
      </c>
      <c r="DC468">
        <f t="shared" si="66"/>
        <v>0.14000000000000001</v>
      </c>
    </row>
    <row r="469" spans="1:107" x14ac:dyDescent="0.2">
      <c r="A469">
        <f>ROW(Source!A352)</f>
        <v>352</v>
      </c>
      <c r="B469">
        <v>16748969</v>
      </c>
      <c r="C469">
        <v>16751129</v>
      </c>
      <c r="D469">
        <v>15170076</v>
      </c>
      <c r="E469">
        <v>1</v>
      </c>
      <c r="F469">
        <v>1</v>
      </c>
      <c r="G469">
        <v>1</v>
      </c>
      <c r="H469">
        <v>3</v>
      </c>
      <c r="I469" t="s">
        <v>1377</v>
      </c>
      <c r="J469" t="s">
        <v>1378</v>
      </c>
      <c r="K469" t="s">
        <v>1379</v>
      </c>
      <c r="L469">
        <v>1356</v>
      </c>
      <c r="N469">
        <v>1010</v>
      </c>
      <c r="O469" t="s">
        <v>288</v>
      </c>
      <c r="P469" t="s">
        <v>288</v>
      </c>
      <c r="Q469">
        <v>1000</v>
      </c>
      <c r="W469">
        <v>0</v>
      </c>
      <c r="X469">
        <v>1975348994</v>
      </c>
      <c r="Y469">
        <v>0.4</v>
      </c>
      <c r="AA469">
        <v>1180.8</v>
      </c>
      <c r="AB469">
        <v>0</v>
      </c>
      <c r="AC469">
        <v>0</v>
      </c>
      <c r="AD469">
        <v>0</v>
      </c>
      <c r="AE469">
        <v>180</v>
      </c>
      <c r="AF469">
        <v>0</v>
      </c>
      <c r="AG469">
        <v>0</v>
      </c>
      <c r="AH469">
        <v>0</v>
      </c>
      <c r="AI469">
        <v>6.56</v>
      </c>
      <c r="AJ469">
        <v>1</v>
      </c>
      <c r="AK469">
        <v>1</v>
      </c>
      <c r="AL469">
        <v>1</v>
      </c>
      <c r="AN469">
        <v>0</v>
      </c>
      <c r="AO469">
        <v>1</v>
      </c>
      <c r="AP469">
        <v>0</v>
      </c>
      <c r="AQ469">
        <v>0</v>
      </c>
      <c r="AR469">
        <v>0</v>
      </c>
      <c r="AS469" t="s">
        <v>6</v>
      </c>
      <c r="AT469">
        <v>0.4</v>
      </c>
      <c r="AU469" t="s">
        <v>6</v>
      </c>
      <c r="AV469">
        <v>0</v>
      </c>
      <c r="AW469">
        <v>2</v>
      </c>
      <c r="AX469">
        <v>16751140</v>
      </c>
      <c r="AY469">
        <v>1</v>
      </c>
      <c r="AZ469">
        <v>0</v>
      </c>
      <c r="BA469">
        <v>439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0</v>
      </c>
      <c r="BP469">
        <v>0</v>
      </c>
      <c r="BQ469">
        <v>0</v>
      </c>
      <c r="BR469">
        <v>0</v>
      </c>
      <c r="BS469">
        <v>0</v>
      </c>
      <c r="BT469">
        <v>0</v>
      </c>
      <c r="BU469">
        <v>0</v>
      </c>
      <c r="BV469">
        <v>0</v>
      </c>
      <c r="BW469">
        <v>0</v>
      </c>
      <c r="CX469">
        <f>Y469*Source!I352</f>
        <v>0.38</v>
      </c>
      <c r="CY469">
        <f>AA469</f>
        <v>1180.8</v>
      </c>
      <c r="CZ469">
        <f>AE469</f>
        <v>180</v>
      </c>
      <c r="DA469">
        <f>AI469</f>
        <v>6.56</v>
      </c>
      <c r="DB469">
        <f t="shared" si="65"/>
        <v>72</v>
      </c>
      <c r="DC469">
        <f t="shared" si="66"/>
        <v>0</v>
      </c>
    </row>
    <row r="470" spans="1:107" x14ac:dyDescent="0.2">
      <c r="A470">
        <f>ROW(Source!A352)</f>
        <v>352</v>
      </c>
      <c r="B470">
        <v>16748969</v>
      </c>
      <c r="C470">
        <v>16751129</v>
      </c>
      <c r="D470">
        <v>15170438</v>
      </c>
      <c r="E470">
        <v>1</v>
      </c>
      <c r="F470">
        <v>1</v>
      </c>
      <c r="G470">
        <v>1</v>
      </c>
      <c r="H470">
        <v>3</v>
      </c>
      <c r="I470" t="s">
        <v>1380</v>
      </c>
      <c r="J470" t="s">
        <v>1381</v>
      </c>
      <c r="K470" t="s">
        <v>1382</v>
      </c>
      <c r="L470">
        <v>1348</v>
      </c>
      <c r="N470">
        <v>1009</v>
      </c>
      <c r="O470" t="s">
        <v>71</v>
      </c>
      <c r="P470" t="s">
        <v>71</v>
      </c>
      <c r="Q470">
        <v>1000</v>
      </c>
      <c r="W470">
        <v>0</v>
      </c>
      <c r="X470">
        <v>-1755229539</v>
      </c>
      <c r="Y470">
        <v>1.4E-3</v>
      </c>
      <c r="AA470">
        <v>81540.800000000003</v>
      </c>
      <c r="AB470">
        <v>0</v>
      </c>
      <c r="AC470">
        <v>0</v>
      </c>
      <c r="AD470">
        <v>0</v>
      </c>
      <c r="AE470">
        <v>12430</v>
      </c>
      <c r="AF470">
        <v>0</v>
      </c>
      <c r="AG470">
        <v>0</v>
      </c>
      <c r="AH470">
        <v>0</v>
      </c>
      <c r="AI470">
        <v>6.56</v>
      </c>
      <c r="AJ470">
        <v>1</v>
      </c>
      <c r="AK470">
        <v>1</v>
      </c>
      <c r="AL470">
        <v>1</v>
      </c>
      <c r="AN470">
        <v>0</v>
      </c>
      <c r="AO470">
        <v>1</v>
      </c>
      <c r="AP470">
        <v>0</v>
      </c>
      <c r="AQ470">
        <v>0</v>
      </c>
      <c r="AR470">
        <v>0</v>
      </c>
      <c r="AS470" t="s">
        <v>6</v>
      </c>
      <c r="AT470">
        <v>1.4E-3</v>
      </c>
      <c r="AU470" t="s">
        <v>6</v>
      </c>
      <c r="AV470">
        <v>0</v>
      </c>
      <c r="AW470">
        <v>2</v>
      </c>
      <c r="AX470">
        <v>16751141</v>
      </c>
      <c r="AY470">
        <v>1</v>
      </c>
      <c r="AZ470">
        <v>0</v>
      </c>
      <c r="BA470">
        <v>440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0</v>
      </c>
      <c r="BL470">
        <v>0</v>
      </c>
      <c r="BM470">
        <v>0</v>
      </c>
      <c r="BN470">
        <v>0</v>
      </c>
      <c r="BO470">
        <v>0</v>
      </c>
      <c r="BP470">
        <v>0</v>
      </c>
      <c r="BQ470">
        <v>0</v>
      </c>
      <c r="BR470">
        <v>0</v>
      </c>
      <c r="BS470">
        <v>0</v>
      </c>
      <c r="BT470">
        <v>0</v>
      </c>
      <c r="BU470">
        <v>0</v>
      </c>
      <c r="BV470">
        <v>0</v>
      </c>
      <c r="BW470">
        <v>0</v>
      </c>
      <c r="CX470">
        <f>Y470*Source!I352</f>
        <v>1.33E-3</v>
      </c>
      <c r="CY470">
        <f>AA470</f>
        <v>81540.800000000003</v>
      </c>
      <c r="CZ470">
        <f>AE470</f>
        <v>12430</v>
      </c>
      <c r="DA470">
        <f>AI470</f>
        <v>6.56</v>
      </c>
      <c r="DB470">
        <f t="shared" si="65"/>
        <v>17.399999999999999</v>
      </c>
      <c r="DC470">
        <f t="shared" si="66"/>
        <v>0</v>
      </c>
    </row>
    <row r="471" spans="1:107" x14ac:dyDescent="0.2">
      <c r="A471">
        <f>ROW(Source!A352)</f>
        <v>352</v>
      </c>
      <c r="B471">
        <v>16748969</v>
      </c>
      <c r="C471">
        <v>16751129</v>
      </c>
      <c r="D471">
        <v>15218462</v>
      </c>
      <c r="E471">
        <v>1</v>
      </c>
      <c r="F471">
        <v>1</v>
      </c>
      <c r="G471">
        <v>1</v>
      </c>
      <c r="H471">
        <v>3</v>
      </c>
      <c r="I471" t="s">
        <v>714</v>
      </c>
      <c r="J471" t="s">
        <v>716</v>
      </c>
      <c r="K471" t="s">
        <v>715</v>
      </c>
      <c r="L471">
        <v>1308</v>
      </c>
      <c r="N471">
        <v>1003</v>
      </c>
      <c r="O471" t="s">
        <v>34</v>
      </c>
      <c r="P471" t="s">
        <v>34</v>
      </c>
      <c r="Q471">
        <v>100</v>
      </c>
      <c r="W471">
        <v>0</v>
      </c>
      <c r="X471">
        <v>-960028865</v>
      </c>
      <c r="Y471">
        <v>1</v>
      </c>
      <c r="AA471">
        <v>8921.6</v>
      </c>
      <c r="AB471">
        <v>0</v>
      </c>
      <c r="AC471">
        <v>0</v>
      </c>
      <c r="AD471">
        <v>0</v>
      </c>
      <c r="AE471">
        <v>1360</v>
      </c>
      <c r="AF471">
        <v>0</v>
      </c>
      <c r="AG471">
        <v>0</v>
      </c>
      <c r="AH471">
        <v>0</v>
      </c>
      <c r="AI471">
        <v>6.56</v>
      </c>
      <c r="AJ471">
        <v>1</v>
      </c>
      <c r="AK471">
        <v>1</v>
      </c>
      <c r="AL471">
        <v>1</v>
      </c>
      <c r="AN471">
        <v>0</v>
      </c>
      <c r="AO471">
        <v>0</v>
      </c>
      <c r="AP471">
        <v>0</v>
      </c>
      <c r="AQ471">
        <v>0</v>
      </c>
      <c r="AR471">
        <v>0</v>
      </c>
      <c r="AS471" t="s">
        <v>6</v>
      </c>
      <c r="AT471">
        <v>1</v>
      </c>
      <c r="AU471" t="s">
        <v>6</v>
      </c>
      <c r="AV471">
        <v>0</v>
      </c>
      <c r="AW471">
        <v>1</v>
      </c>
      <c r="AX471">
        <v>-1</v>
      </c>
      <c r="AY471">
        <v>0</v>
      </c>
      <c r="AZ471">
        <v>0</v>
      </c>
      <c r="BA471" t="s">
        <v>6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0</v>
      </c>
      <c r="BP471">
        <v>0</v>
      </c>
      <c r="BQ471">
        <v>0</v>
      </c>
      <c r="BR471">
        <v>0</v>
      </c>
      <c r="BS471">
        <v>0</v>
      </c>
      <c r="BT471">
        <v>0</v>
      </c>
      <c r="BU471">
        <v>0</v>
      </c>
      <c r="BV471">
        <v>0</v>
      </c>
      <c r="BW471">
        <v>0</v>
      </c>
      <c r="CX471">
        <f>Y471*Source!I352</f>
        <v>0.95</v>
      </c>
      <c r="CY471">
        <f>AA471</f>
        <v>8921.6</v>
      </c>
      <c r="CZ471">
        <f>AE471</f>
        <v>1360</v>
      </c>
      <c r="DA471">
        <f>AI471</f>
        <v>6.56</v>
      </c>
      <c r="DB471">
        <f t="shared" si="65"/>
        <v>1360</v>
      </c>
      <c r="DC471">
        <f t="shared" si="66"/>
        <v>0</v>
      </c>
    </row>
    <row r="472" spans="1:107" x14ac:dyDescent="0.2">
      <c r="A472">
        <f>ROW(Source!A352)</f>
        <v>352</v>
      </c>
      <c r="B472">
        <v>16748969</v>
      </c>
      <c r="C472">
        <v>16751129</v>
      </c>
      <c r="D472">
        <v>15164559</v>
      </c>
      <c r="E472">
        <v>17</v>
      </c>
      <c r="F472">
        <v>1</v>
      </c>
      <c r="G472">
        <v>1</v>
      </c>
      <c r="H472">
        <v>3</v>
      </c>
      <c r="I472" t="s">
        <v>1383</v>
      </c>
      <c r="J472" t="s">
        <v>6</v>
      </c>
      <c r="K472" t="s">
        <v>1384</v>
      </c>
      <c r="L472">
        <v>1374</v>
      </c>
      <c r="N472">
        <v>1013</v>
      </c>
      <c r="O472" t="s">
        <v>1385</v>
      </c>
      <c r="P472" t="s">
        <v>1385</v>
      </c>
      <c r="Q472">
        <v>1</v>
      </c>
      <c r="W472">
        <v>0</v>
      </c>
      <c r="X472">
        <v>-1731369543</v>
      </c>
      <c r="Y472">
        <v>3.87</v>
      </c>
      <c r="AA472">
        <v>1</v>
      </c>
      <c r="AB472">
        <v>0</v>
      </c>
      <c r="AC472">
        <v>0</v>
      </c>
      <c r="AD472">
        <v>0</v>
      </c>
      <c r="AE472">
        <v>1</v>
      </c>
      <c r="AF472">
        <v>0</v>
      </c>
      <c r="AG472">
        <v>0</v>
      </c>
      <c r="AH472">
        <v>0</v>
      </c>
      <c r="AI472">
        <v>1</v>
      </c>
      <c r="AJ472">
        <v>1</v>
      </c>
      <c r="AK472">
        <v>1</v>
      </c>
      <c r="AL472">
        <v>1</v>
      </c>
      <c r="AN472">
        <v>0</v>
      </c>
      <c r="AO472">
        <v>1</v>
      </c>
      <c r="AP472">
        <v>0</v>
      </c>
      <c r="AQ472">
        <v>0</v>
      </c>
      <c r="AR472">
        <v>0</v>
      </c>
      <c r="AS472" t="s">
        <v>6</v>
      </c>
      <c r="AT472">
        <v>3.87</v>
      </c>
      <c r="AU472" t="s">
        <v>6</v>
      </c>
      <c r="AV472">
        <v>0</v>
      </c>
      <c r="AW472">
        <v>2</v>
      </c>
      <c r="AX472">
        <v>16751142</v>
      </c>
      <c r="AY472">
        <v>1</v>
      </c>
      <c r="AZ472">
        <v>0</v>
      </c>
      <c r="BA472">
        <v>441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0</v>
      </c>
      <c r="BP472">
        <v>0</v>
      </c>
      <c r="BQ472">
        <v>0</v>
      </c>
      <c r="BR472">
        <v>0</v>
      </c>
      <c r="BS472">
        <v>0</v>
      </c>
      <c r="BT472">
        <v>0</v>
      </c>
      <c r="BU472">
        <v>0</v>
      </c>
      <c r="BV472">
        <v>0</v>
      </c>
      <c r="BW472">
        <v>0</v>
      </c>
      <c r="CX472">
        <f>Y472*Source!I352</f>
        <v>3.6764999999999999</v>
      </c>
      <c r="CY472">
        <f>AA472</f>
        <v>1</v>
      </c>
      <c r="CZ472">
        <f>AE472</f>
        <v>1</v>
      </c>
      <c r="DA472">
        <f>AI472</f>
        <v>1</v>
      </c>
      <c r="DB472">
        <f t="shared" si="65"/>
        <v>3.87</v>
      </c>
      <c r="DC472">
        <f t="shared" si="66"/>
        <v>0</v>
      </c>
    </row>
    <row r="473" spans="1:107" x14ac:dyDescent="0.2">
      <c r="A473">
        <f>ROW(Source!A354)</f>
        <v>354</v>
      </c>
      <c r="B473">
        <v>16748969</v>
      </c>
      <c r="C473">
        <v>16751144</v>
      </c>
      <c r="D473">
        <v>15446300</v>
      </c>
      <c r="E473">
        <v>1</v>
      </c>
      <c r="F473">
        <v>1</v>
      </c>
      <c r="G473">
        <v>1</v>
      </c>
      <c r="H473">
        <v>1</v>
      </c>
      <c r="I473" t="s">
        <v>1095</v>
      </c>
      <c r="J473" t="s">
        <v>6</v>
      </c>
      <c r="K473" t="s">
        <v>1096</v>
      </c>
      <c r="L473">
        <v>1191</v>
      </c>
      <c r="N473">
        <v>1013</v>
      </c>
      <c r="O473" t="s">
        <v>1072</v>
      </c>
      <c r="P473" t="s">
        <v>1072</v>
      </c>
      <c r="Q473">
        <v>1</v>
      </c>
      <c r="W473">
        <v>0</v>
      </c>
      <c r="X473">
        <v>912892513</v>
      </c>
      <c r="Y473">
        <v>34.56</v>
      </c>
      <c r="AA473">
        <v>0</v>
      </c>
      <c r="AB473">
        <v>0</v>
      </c>
      <c r="AC473">
        <v>0</v>
      </c>
      <c r="AD473">
        <v>65.08</v>
      </c>
      <c r="AE473">
        <v>0</v>
      </c>
      <c r="AF473">
        <v>0</v>
      </c>
      <c r="AG473">
        <v>0</v>
      </c>
      <c r="AH473">
        <v>9.92</v>
      </c>
      <c r="AI473">
        <v>1</v>
      </c>
      <c r="AJ473">
        <v>1</v>
      </c>
      <c r="AK473">
        <v>1</v>
      </c>
      <c r="AL473">
        <v>6.56</v>
      </c>
      <c r="AN473">
        <v>0</v>
      </c>
      <c r="AO473">
        <v>1</v>
      </c>
      <c r="AP473">
        <v>0</v>
      </c>
      <c r="AQ473">
        <v>0</v>
      </c>
      <c r="AR473">
        <v>0</v>
      </c>
      <c r="AS473" t="s">
        <v>6</v>
      </c>
      <c r="AT473">
        <v>34.56</v>
      </c>
      <c r="AU473" t="s">
        <v>6</v>
      </c>
      <c r="AV473">
        <v>1</v>
      </c>
      <c r="AW473">
        <v>2</v>
      </c>
      <c r="AX473">
        <v>16751156</v>
      </c>
      <c r="AY473">
        <v>1</v>
      </c>
      <c r="AZ473">
        <v>0</v>
      </c>
      <c r="BA473">
        <v>442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0</v>
      </c>
      <c r="BP473">
        <v>0</v>
      </c>
      <c r="BQ473">
        <v>0</v>
      </c>
      <c r="BR473">
        <v>0</v>
      </c>
      <c r="BS473">
        <v>0</v>
      </c>
      <c r="BT473">
        <v>0</v>
      </c>
      <c r="BU473">
        <v>0</v>
      </c>
      <c r="BV473">
        <v>0</v>
      </c>
      <c r="BW473">
        <v>0</v>
      </c>
      <c r="CX473">
        <f>Y473*Source!I354</f>
        <v>38.707200000000007</v>
      </c>
      <c r="CY473">
        <f>AD473</f>
        <v>65.08</v>
      </c>
      <c r="CZ473">
        <f>AH473</f>
        <v>9.92</v>
      </c>
      <c r="DA473">
        <f>AL473</f>
        <v>6.56</v>
      </c>
      <c r="DB473">
        <f t="shared" si="65"/>
        <v>342.84</v>
      </c>
      <c r="DC473">
        <f t="shared" si="66"/>
        <v>0</v>
      </c>
    </row>
    <row r="474" spans="1:107" x14ac:dyDescent="0.2">
      <c r="A474">
        <f>ROW(Source!A354)</f>
        <v>354</v>
      </c>
      <c r="B474">
        <v>16748969</v>
      </c>
      <c r="C474">
        <v>16751144</v>
      </c>
      <c r="D474">
        <v>15430395</v>
      </c>
      <c r="E474">
        <v>1</v>
      </c>
      <c r="F474">
        <v>1</v>
      </c>
      <c r="G474">
        <v>1</v>
      </c>
      <c r="H474">
        <v>1</v>
      </c>
      <c r="I474" t="s">
        <v>1073</v>
      </c>
      <c r="J474" t="s">
        <v>6</v>
      </c>
      <c r="K474" t="s">
        <v>1074</v>
      </c>
      <c r="L474">
        <v>1191</v>
      </c>
      <c r="N474">
        <v>1013</v>
      </c>
      <c r="O474" t="s">
        <v>1072</v>
      </c>
      <c r="P474" t="s">
        <v>1072</v>
      </c>
      <c r="Q474">
        <v>1</v>
      </c>
      <c r="W474">
        <v>0</v>
      </c>
      <c r="X474">
        <v>-1417349443</v>
      </c>
      <c r="Y474">
        <v>0.05</v>
      </c>
      <c r="AA474">
        <v>0</v>
      </c>
      <c r="AB474">
        <v>0</v>
      </c>
      <c r="AC474">
        <v>0</v>
      </c>
      <c r="AD474">
        <v>0</v>
      </c>
      <c r="AE474">
        <v>0</v>
      </c>
      <c r="AF474">
        <v>0</v>
      </c>
      <c r="AG474">
        <v>0</v>
      </c>
      <c r="AH474">
        <v>0</v>
      </c>
      <c r="AI474">
        <v>1</v>
      </c>
      <c r="AJ474">
        <v>1</v>
      </c>
      <c r="AK474">
        <v>6.56</v>
      </c>
      <c r="AL474">
        <v>1</v>
      </c>
      <c r="AN474">
        <v>0</v>
      </c>
      <c r="AO474">
        <v>1</v>
      </c>
      <c r="AP474">
        <v>0</v>
      </c>
      <c r="AQ474">
        <v>0</v>
      </c>
      <c r="AR474">
        <v>0</v>
      </c>
      <c r="AS474" t="s">
        <v>6</v>
      </c>
      <c r="AT474">
        <v>0.05</v>
      </c>
      <c r="AU474" t="s">
        <v>6</v>
      </c>
      <c r="AV474">
        <v>2</v>
      </c>
      <c r="AW474">
        <v>2</v>
      </c>
      <c r="AX474">
        <v>16751157</v>
      </c>
      <c r="AY474">
        <v>1</v>
      </c>
      <c r="AZ474">
        <v>0</v>
      </c>
      <c r="BA474">
        <v>443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0</v>
      </c>
      <c r="BR474">
        <v>0</v>
      </c>
      <c r="BS474">
        <v>0</v>
      </c>
      <c r="BT474">
        <v>0</v>
      </c>
      <c r="BU474">
        <v>0</v>
      </c>
      <c r="BV474">
        <v>0</v>
      </c>
      <c r="BW474">
        <v>0</v>
      </c>
      <c r="CX474">
        <f>Y474*Source!I354</f>
        <v>5.6000000000000008E-2</v>
      </c>
      <c r="CY474">
        <f>AD474</f>
        <v>0</v>
      </c>
      <c r="CZ474">
        <f>AH474</f>
        <v>0</v>
      </c>
      <c r="DA474">
        <f>AL474</f>
        <v>1</v>
      </c>
      <c r="DB474">
        <f t="shared" si="65"/>
        <v>0</v>
      </c>
      <c r="DC474">
        <f t="shared" si="66"/>
        <v>0</v>
      </c>
    </row>
    <row r="475" spans="1:107" x14ac:dyDescent="0.2">
      <c r="A475">
        <f>ROW(Source!A354)</f>
        <v>354</v>
      </c>
      <c r="B475">
        <v>16748969</v>
      </c>
      <c r="C475">
        <v>16751144</v>
      </c>
      <c r="D475">
        <v>15247680</v>
      </c>
      <c r="E475">
        <v>1</v>
      </c>
      <c r="F475">
        <v>1</v>
      </c>
      <c r="G475">
        <v>1</v>
      </c>
      <c r="H475">
        <v>2</v>
      </c>
      <c r="I475" t="s">
        <v>1211</v>
      </c>
      <c r="J475" t="s">
        <v>1212</v>
      </c>
      <c r="K475" t="s">
        <v>1213</v>
      </c>
      <c r="L475">
        <v>1368</v>
      </c>
      <c r="N475">
        <v>1011</v>
      </c>
      <c r="O475" t="s">
        <v>1078</v>
      </c>
      <c r="P475" t="s">
        <v>1078</v>
      </c>
      <c r="Q475">
        <v>1</v>
      </c>
      <c r="W475">
        <v>0</v>
      </c>
      <c r="X475">
        <v>-1718674368</v>
      </c>
      <c r="Y475">
        <v>0.03</v>
      </c>
      <c r="AA475">
        <v>0</v>
      </c>
      <c r="AB475">
        <v>734.65</v>
      </c>
      <c r="AC475">
        <v>13.5</v>
      </c>
      <c r="AD475">
        <v>0</v>
      </c>
      <c r="AE475">
        <v>0</v>
      </c>
      <c r="AF475">
        <v>111.99</v>
      </c>
      <c r="AG475">
        <v>13.5</v>
      </c>
      <c r="AH475">
        <v>0</v>
      </c>
      <c r="AI475">
        <v>1</v>
      </c>
      <c r="AJ475">
        <v>6.56</v>
      </c>
      <c r="AK475">
        <v>1</v>
      </c>
      <c r="AL475">
        <v>1</v>
      </c>
      <c r="AN475">
        <v>0</v>
      </c>
      <c r="AO475">
        <v>1</v>
      </c>
      <c r="AP475">
        <v>0</v>
      </c>
      <c r="AQ475">
        <v>0</v>
      </c>
      <c r="AR475">
        <v>0</v>
      </c>
      <c r="AS475" t="s">
        <v>6</v>
      </c>
      <c r="AT475">
        <v>0.03</v>
      </c>
      <c r="AU475" t="s">
        <v>6</v>
      </c>
      <c r="AV475">
        <v>0</v>
      </c>
      <c r="AW475">
        <v>2</v>
      </c>
      <c r="AX475">
        <v>16751158</v>
      </c>
      <c r="AY475">
        <v>1</v>
      </c>
      <c r="AZ475">
        <v>0</v>
      </c>
      <c r="BA475">
        <v>444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0</v>
      </c>
      <c r="BP475">
        <v>0</v>
      </c>
      <c r="BQ475">
        <v>0</v>
      </c>
      <c r="BR475">
        <v>0</v>
      </c>
      <c r="BS475">
        <v>0</v>
      </c>
      <c r="BT475">
        <v>0</v>
      </c>
      <c r="BU475">
        <v>0</v>
      </c>
      <c r="BV475">
        <v>0</v>
      </c>
      <c r="BW475">
        <v>0</v>
      </c>
      <c r="CX475">
        <f>Y475*Source!I354</f>
        <v>3.3600000000000005E-2</v>
      </c>
      <c r="CY475">
        <f>AB475</f>
        <v>734.65</v>
      </c>
      <c r="CZ475">
        <f>AF475</f>
        <v>111.99</v>
      </c>
      <c r="DA475">
        <f>AJ475</f>
        <v>6.56</v>
      </c>
      <c r="DB475">
        <f t="shared" si="65"/>
        <v>3.36</v>
      </c>
      <c r="DC475">
        <f t="shared" si="66"/>
        <v>0.41</v>
      </c>
    </row>
    <row r="476" spans="1:107" x14ac:dyDescent="0.2">
      <c r="A476">
        <f>ROW(Source!A354)</f>
        <v>354</v>
      </c>
      <c r="B476">
        <v>16748969</v>
      </c>
      <c r="C476">
        <v>16751144</v>
      </c>
      <c r="D476">
        <v>15249073</v>
      </c>
      <c r="E476">
        <v>1</v>
      </c>
      <c r="F476">
        <v>1</v>
      </c>
      <c r="G476">
        <v>1</v>
      </c>
      <c r="H476">
        <v>2</v>
      </c>
      <c r="I476" t="s">
        <v>1097</v>
      </c>
      <c r="J476" t="s">
        <v>1098</v>
      </c>
      <c r="K476" t="s">
        <v>1099</v>
      </c>
      <c r="L476">
        <v>1368</v>
      </c>
      <c r="N476">
        <v>1011</v>
      </c>
      <c r="O476" t="s">
        <v>1078</v>
      </c>
      <c r="P476" t="s">
        <v>1078</v>
      </c>
      <c r="Q476">
        <v>1</v>
      </c>
      <c r="W476">
        <v>0</v>
      </c>
      <c r="X476">
        <v>1372534845</v>
      </c>
      <c r="Y476">
        <v>0.02</v>
      </c>
      <c r="AA476">
        <v>0</v>
      </c>
      <c r="AB476">
        <v>431.06</v>
      </c>
      <c r="AC476">
        <v>11.6</v>
      </c>
      <c r="AD476">
        <v>0</v>
      </c>
      <c r="AE476">
        <v>0</v>
      </c>
      <c r="AF476">
        <v>65.709999999999994</v>
      </c>
      <c r="AG476">
        <v>11.6</v>
      </c>
      <c r="AH476">
        <v>0</v>
      </c>
      <c r="AI476">
        <v>1</v>
      </c>
      <c r="AJ476">
        <v>6.56</v>
      </c>
      <c r="AK476">
        <v>1</v>
      </c>
      <c r="AL476">
        <v>1</v>
      </c>
      <c r="AN476">
        <v>0</v>
      </c>
      <c r="AO476">
        <v>1</v>
      </c>
      <c r="AP476">
        <v>0</v>
      </c>
      <c r="AQ476">
        <v>0</v>
      </c>
      <c r="AR476">
        <v>0</v>
      </c>
      <c r="AS476" t="s">
        <v>6</v>
      </c>
      <c r="AT476">
        <v>0.02</v>
      </c>
      <c r="AU476" t="s">
        <v>6</v>
      </c>
      <c r="AV476">
        <v>0</v>
      </c>
      <c r="AW476">
        <v>2</v>
      </c>
      <c r="AX476">
        <v>16751159</v>
      </c>
      <c r="AY476">
        <v>1</v>
      </c>
      <c r="AZ476">
        <v>0</v>
      </c>
      <c r="BA476">
        <v>445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0</v>
      </c>
      <c r="BR476">
        <v>0</v>
      </c>
      <c r="BS476">
        <v>0</v>
      </c>
      <c r="BT476">
        <v>0</v>
      </c>
      <c r="BU476">
        <v>0</v>
      </c>
      <c r="BV476">
        <v>0</v>
      </c>
      <c r="BW476">
        <v>0</v>
      </c>
      <c r="CX476">
        <f>Y476*Source!I354</f>
        <v>2.2400000000000003E-2</v>
      </c>
      <c r="CY476">
        <f>AB476</f>
        <v>431.06</v>
      </c>
      <c r="CZ476">
        <f>AF476</f>
        <v>65.709999999999994</v>
      </c>
      <c r="DA476">
        <f>AJ476</f>
        <v>6.56</v>
      </c>
      <c r="DB476">
        <f t="shared" si="65"/>
        <v>1.31</v>
      </c>
      <c r="DC476">
        <f t="shared" si="66"/>
        <v>0.23</v>
      </c>
    </row>
    <row r="477" spans="1:107" x14ac:dyDescent="0.2">
      <c r="A477">
        <f>ROW(Source!A354)</f>
        <v>354</v>
      </c>
      <c r="B477">
        <v>16748969</v>
      </c>
      <c r="C477">
        <v>16751144</v>
      </c>
      <c r="D477">
        <v>15167588</v>
      </c>
      <c r="E477">
        <v>1</v>
      </c>
      <c r="F477">
        <v>1</v>
      </c>
      <c r="G477">
        <v>1</v>
      </c>
      <c r="H477">
        <v>3</v>
      </c>
      <c r="I477" t="s">
        <v>1388</v>
      </c>
      <c r="J477" t="s">
        <v>1389</v>
      </c>
      <c r="K477" t="s">
        <v>1390</v>
      </c>
      <c r="L477">
        <v>1346</v>
      </c>
      <c r="N477">
        <v>1009</v>
      </c>
      <c r="O477" t="s">
        <v>323</v>
      </c>
      <c r="P477" t="s">
        <v>323</v>
      </c>
      <c r="Q477">
        <v>1</v>
      </c>
      <c r="W477">
        <v>0</v>
      </c>
      <c r="X477">
        <v>-1088866022</v>
      </c>
      <c r="Y477">
        <v>0.11</v>
      </c>
      <c r="AA477">
        <v>199.42</v>
      </c>
      <c r="AB477">
        <v>0</v>
      </c>
      <c r="AC477">
        <v>0</v>
      </c>
      <c r="AD477">
        <v>0</v>
      </c>
      <c r="AE477">
        <v>30.4</v>
      </c>
      <c r="AF477">
        <v>0</v>
      </c>
      <c r="AG477">
        <v>0</v>
      </c>
      <c r="AH477">
        <v>0</v>
      </c>
      <c r="AI477">
        <v>6.56</v>
      </c>
      <c r="AJ477">
        <v>1</v>
      </c>
      <c r="AK477">
        <v>1</v>
      </c>
      <c r="AL477">
        <v>1</v>
      </c>
      <c r="AN477">
        <v>0</v>
      </c>
      <c r="AO477">
        <v>1</v>
      </c>
      <c r="AP477">
        <v>0</v>
      </c>
      <c r="AQ477">
        <v>0</v>
      </c>
      <c r="AR477">
        <v>0</v>
      </c>
      <c r="AS477" t="s">
        <v>6</v>
      </c>
      <c r="AT477">
        <v>0.11</v>
      </c>
      <c r="AU477" t="s">
        <v>6</v>
      </c>
      <c r="AV477">
        <v>0</v>
      </c>
      <c r="AW477">
        <v>2</v>
      </c>
      <c r="AX477">
        <v>16751160</v>
      </c>
      <c r="AY477">
        <v>1</v>
      </c>
      <c r="AZ477">
        <v>0</v>
      </c>
      <c r="BA477">
        <v>446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0</v>
      </c>
      <c r="BR477">
        <v>0</v>
      </c>
      <c r="BS477">
        <v>0</v>
      </c>
      <c r="BT477">
        <v>0</v>
      </c>
      <c r="BU477">
        <v>0</v>
      </c>
      <c r="BV477">
        <v>0</v>
      </c>
      <c r="BW477">
        <v>0</v>
      </c>
      <c r="CX477">
        <f>Y477*Source!I354</f>
        <v>0.12320000000000002</v>
      </c>
      <c r="CY477">
        <f t="shared" ref="CY477:CY482" si="73">AA477</f>
        <v>199.42</v>
      </c>
      <c r="CZ477">
        <f t="shared" ref="CZ477:CZ482" si="74">AE477</f>
        <v>30.4</v>
      </c>
      <c r="DA477">
        <f t="shared" ref="DA477:DA482" si="75">AI477</f>
        <v>6.56</v>
      </c>
      <c r="DB477">
        <f t="shared" si="65"/>
        <v>3.34</v>
      </c>
      <c r="DC477">
        <f t="shared" si="66"/>
        <v>0</v>
      </c>
    </row>
    <row r="478" spans="1:107" x14ac:dyDescent="0.2">
      <c r="A478">
        <f>ROW(Source!A354)</f>
        <v>354</v>
      </c>
      <c r="B478">
        <v>16748969</v>
      </c>
      <c r="C478">
        <v>16751144</v>
      </c>
      <c r="D478">
        <v>15170074</v>
      </c>
      <c r="E478">
        <v>1</v>
      </c>
      <c r="F478">
        <v>1</v>
      </c>
      <c r="G478">
        <v>1</v>
      </c>
      <c r="H478">
        <v>3</v>
      </c>
      <c r="I478" t="s">
        <v>1399</v>
      </c>
      <c r="J478" t="s">
        <v>1400</v>
      </c>
      <c r="K478" t="s">
        <v>1401</v>
      </c>
      <c r="L478">
        <v>1355</v>
      </c>
      <c r="N478">
        <v>1010</v>
      </c>
      <c r="O478" t="s">
        <v>724</v>
      </c>
      <c r="P478" t="s">
        <v>724</v>
      </c>
      <c r="Q478">
        <v>100</v>
      </c>
      <c r="W478">
        <v>0</v>
      </c>
      <c r="X478">
        <v>1794244060</v>
      </c>
      <c r="Y478">
        <v>1.02</v>
      </c>
      <c r="AA478">
        <v>564.16</v>
      </c>
      <c r="AB478">
        <v>0</v>
      </c>
      <c r="AC478">
        <v>0</v>
      </c>
      <c r="AD478">
        <v>0</v>
      </c>
      <c r="AE478">
        <v>86</v>
      </c>
      <c r="AF478">
        <v>0</v>
      </c>
      <c r="AG478">
        <v>0</v>
      </c>
      <c r="AH478">
        <v>0</v>
      </c>
      <c r="AI478">
        <v>6.56</v>
      </c>
      <c r="AJ478">
        <v>1</v>
      </c>
      <c r="AK478">
        <v>1</v>
      </c>
      <c r="AL478">
        <v>1</v>
      </c>
      <c r="AN478">
        <v>0</v>
      </c>
      <c r="AO478">
        <v>1</v>
      </c>
      <c r="AP478">
        <v>0</v>
      </c>
      <c r="AQ478">
        <v>0</v>
      </c>
      <c r="AR478">
        <v>0</v>
      </c>
      <c r="AS478" t="s">
        <v>6</v>
      </c>
      <c r="AT478">
        <v>1.02</v>
      </c>
      <c r="AU478" t="s">
        <v>6</v>
      </c>
      <c r="AV478">
        <v>0</v>
      </c>
      <c r="AW478">
        <v>2</v>
      </c>
      <c r="AX478">
        <v>16751161</v>
      </c>
      <c r="AY478">
        <v>1</v>
      </c>
      <c r="AZ478">
        <v>0</v>
      </c>
      <c r="BA478">
        <v>447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  <c r="BP478">
        <v>0</v>
      </c>
      <c r="BQ478">
        <v>0</v>
      </c>
      <c r="BR478">
        <v>0</v>
      </c>
      <c r="BS478">
        <v>0</v>
      </c>
      <c r="BT478">
        <v>0</v>
      </c>
      <c r="BU478">
        <v>0</v>
      </c>
      <c r="BV478">
        <v>0</v>
      </c>
      <c r="BW478">
        <v>0</v>
      </c>
      <c r="CX478">
        <f>Y478*Source!I354</f>
        <v>1.1424000000000001</v>
      </c>
      <c r="CY478">
        <f t="shared" si="73"/>
        <v>564.16</v>
      </c>
      <c r="CZ478">
        <f t="shared" si="74"/>
        <v>86</v>
      </c>
      <c r="DA478">
        <f t="shared" si="75"/>
        <v>6.56</v>
      </c>
      <c r="DB478">
        <f t="shared" si="65"/>
        <v>87.72</v>
      </c>
      <c r="DC478">
        <f t="shared" si="66"/>
        <v>0</v>
      </c>
    </row>
    <row r="479" spans="1:107" x14ac:dyDescent="0.2">
      <c r="A479">
        <f>ROW(Source!A354)</f>
        <v>354</v>
      </c>
      <c r="B479">
        <v>16748969</v>
      </c>
      <c r="C479">
        <v>16751144</v>
      </c>
      <c r="D479">
        <v>15170434</v>
      </c>
      <c r="E479">
        <v>1</v>
      </c>
      <c r="F479">
        <v>1</v>
      </c>
      <c r="G479">
        <v>1</v>
      </c>
      <c r="H479">
        <v>3</v>
      </c>
      <c r="I479" t="s">
        <v>1402</v>
      </c>
      <c r="J479" t="s">
        <v>1403</v>
      </c>
      <c r="K479" t="s">
        <v>1404</v>
      </c>
      <c r="L479">
        <v>1348</v>
      </c>
      <c r="N479">
        <v>1009</v>
      </c>
      <c r="O479" t="s">
        <v>71</v>
      </c>
      <c r="P479" t="s">
        <v>71</v>
      </c>
      <c r="Q479">
        <v>1000</v>
      </c>
      <c r="W479">
        <v>0</v>
      </c>
      <c r="X479">
        <v>797358079</v>
      </c>
      <c r="Y479">
        <v>1.6000000000000001E-4</v>
      </c>
      <c r="AA479">
        <v>195488</v>
      </c>
      <c r="AB479">
        <v>0</v>
      </c>
      <c r="AC479">
        <v>0</v>
      </c>
      <c r="AD479">
        <v>0</v>
      </c>
      <c r="AE479">
        <v>29800</v>
      </c>
      <c r="AF479">
        <v>0</v>
      </c>
      <c r="AG479">
        <v>0</v>
      </c>
      <c r="AH479">
        <v>0</v>
      </c>
      <c r="AI479">
        <v>6.56</v>
      </c>
      <c r="AJ479">
        <v>1</v>
      </c>
      <c r="AK479">
        <v>1</v>
      </c>
      <c r="AL479">
        <v>1</v>
      </c>
      <c r="AN479">
        <v>0</v>
      </c>
      <c r="AO479">
        <v>1</v>
      </c>
      <c r="AP479">
        <v>0</v>
      </c>
      <c r="AQ479">
        <v>0</v>
      </c>
      <c r="AR479">
        <v>0</v>
      </c>
      <c r="AS479" t="s">
        <v>6</v>
      </c>
      <c r="AT479">
        <v>1.6000000000000001E-4</v>
      </c>
      <c r="AU479" t="s">
        <v>6</v>
      </c>
      <c r="AV479">
        <v>0</v>
      </c>
      <c r="AW479">
        <v>2</v>
      </c>
      <c r="AX479">
        <v>16751162</v>
      </c>
      <c r="AY479">
        <v>1</v>
      </c>
      <c r="AZ479">
        <v>0</v>
      </c>
      <c r="BA479">
        <v>448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0</v>
      </c>
      <c r="BO479">
        <v>0</v>
      </c>
      <c r="BP479">
        <v>0</v>
      </c>
      <c r="BQ479">
        <v>0</v>
      </c>
      <c r="BR479">
        <v>0</v>
      </c>
      <c r="BS479">
        <v>0</v>
      </c>
      <c r="BT479">
        <v>0</v>
      </c>
      <c r="BU479">
        <v>0</v>
      </c>
      <c r="BV479">
        <v>0</v>
      </c>
      <c r="BW479">
        <v>0</v>
      </c>
      <c r="CX479">
        <f>Y479*Source!I354</f>
        <v>1.7920000000000002E-4</v>
      </c>
      <c r="CY479">
        <f t="shared" si="73"/>
        <v>195488</v>
      </c>
      <c r="CZ479">
        <f t="shared" si="74"/>
        <v>29800</v>
      </c>
      <c r="DA479">
        <f t="shared" si="75"/>
        <v>6.56</v>
      </c>
      <c r="DB479">
        <f t="shared" si="65"/>
        <v>4.7699999999999996</v>
      </c>
      <c r="DC479">
        <f t="shared" si="66"/>
        <v>0</v>
      </c>
    </row>
    <row r="480" spans="1:107" x14ac:dyDescent="0.2">
      <c r="A480">
        <f>ROW(Source!A354)</f>
        <v>354</v>
      </c>
      <c r="B480">
        <v>16748969</v>
      </c>
      <c r="C480">
        <v>16751144</v>
      </c>
      <c r="D480">
        <v>15170438</v>
      </c>
      <c r="E480">
        <v>1</v>
      </c>
      <c r="F480">
        <v>1</v>
      </c>
      <c r="G480">
        <v>1</v>
      </c>
      <c r="H480">
        <v>3</v>
      </c>
      <c r="I480" t="s">
        <v>1380</v>
      </c>
      <c r="J480" t="s">
        <v>1381</v>
      </c>
      <c r="K480" t="s">
        <v>1382</v>
      </c>
      <c r="L480">
        <v>1348</v>
      </c>
      <c r="N480">
        <v>1009</v>
      </c>
      <c r="O480" t="s">
        <v>71</v>
      </c>
      <c r="P480" t="s">
        <v>71</v>
      </c>
      <c r="Q480">
        <v>1000</v>
      </c>
      <c r="W480">
        <v>0</v>
      </c>
      <c r="X480">
        <v>-1755229539</v>
      </c>
      <c r="Y480">
        <v>2.9999999999999997E-4</v>
      </c>
      <c r="AA480">
        <v>81540.800000000003</v>
      </c>
      <c r="AB480">
        <v>0</v>
      </c>
      <c r="AC480">
        <v>0</v>
      </c>
      <c r="AD480">
        <v>0</v>
      </c>
      <c r="AE480">
        <v>12430</v>
      </c>
      <c r="AF480">
        <v>0</v>
      </c>
      <c r="AG480">
        <v>0</v>
      </c>
      <c r="AH480">
        <v>0</v>
      </c>
      <c r="AI480">
        <v>6.56</v>
      </c>
      <c r="AJ480">
        <v>1</v>
      </c>
      <c r="AK480">
        <v>1</v>
      </c>
      <c r="AL480">
        <v>1</v>
      </c>
      <c r="AN480">
        <v>0</v>
      </c>
      <c r="AO480">
        <v>1</v>
      </c>
      <c r="AP480">
        <v>0</v>
      </c>
      <c r="AQ480">
        <v>0</v>
      </c>
      <c r="AR480">
        <v>0</v>
      </c>
      <c r="AS480" t="s">
        <v>6</v>
      </c>
      <c r="AT480">
        <v>2.9999999999999997E-4</v>
      </c>
      <c r="AU480" t="s">
        <v>6</v>
      </c>
      <c r="AV480">
        <v>0</v>
      </c>
      <c r="AW480">
        <v>2</v>
      </c>
      <c r="AX480">
        <v>16751163</v>
      </c>
      <c r="AY480">
        <v>1</v>
      </c>
      <c r="AZ480">
        <v>0</v>
      </c>
      <c r="BA480">
        <v>449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0</v>
      </c>
      <c r="BO480">
        <v>0</v>
      </c>
      <c r="BP480">
        <v>0</v>
      </c>
      <c r="BQ480">
        <v>0</v>
      </c>
      <c r="BR480">
        <v>0</v>
      </c>
      <c r="BS480">
        <v>0</v>
      </c>
      <c r="BT480">
        <v>0</v>
      </c>
      <c r="BU480">
        <v>0</v>
      </c>
      <c r="BV480">
        <v>0</v>
      </c>
      <c r="BW480">
        <v>0</v>
      </c>
      <c r="CX480">
        <f>Y480*Source!I354</f>
        <v>3.3599999999999998E-4</v>
      </c>
      <c r="CY480">
        <f t="shared" si="73"/>
        <v>81540.800000000003</v>
      </c>
      <c r="CZ480">
        <f t="shared" si="74"/>
        <v>12430</v>
      </c>
      <c r="DA480">
        <f t="shared" si="75"/>
        <v>6.56</v>
      </c>
      <c r="DB480">
        <f t="shared" si="65"/>
        <v>3.73</v>
      </c>
      <c r="DC480">
        <f t="shared" si="66"/>
        <v>0</v>
      </c>
    </row>
    <row r="481" spans="1:107" x14ac:dyDescent="0.2">
      <c r="A481">
        <f>ROW(Source!A354)</f>
        <v>354</v>
      </c>
      <c r="B481">
        <v>16748969</v>
      </c>
      <c r="C481">
        <v>16751144</v>
      </c>
      <c r="D481">
        <v>15220789</v>
      </c>
      <c r="E481">
        <v>1</v>
      </c>
      <c r="F481">
        <v>1</v>
      </c>
      <c r="G481">
        <v>1</v>
      </c>
      <c r="H481">
        <v>3</v>
      </c>
      <c r="I481" t="s">
        <v>722</v>
      </c>
      <c r="J481" t="s">
        <v>725</v>
      </c>
      <c r="K481" t="s">
        <v>723</v>
      </c>
      <c r="L481">
        <v>1355</v>
      </c>
      <c r="N481">
        <v>1010</v>
      </c>
      <c r="O481" t="s">
        <v>724</v>
      </c>
      <c r="P481" t="s">
        <v>724</v>
      </c>
      <c r="Q481">
        <v>100</v>
      </c>
      <c r="W481">
        <v>0</v>
      </c>
      <c r="X481">
        <v>833885235</v>
      </c>
      <c r="Y481">
        <v>1</v>
      </c>
      <c r="AA481">
        <v>3785.12</v>
      </c>
      <c r="AB481">
        <v>0</v>
      </c>
      <c r="AC481">
        <v>0</v>
      </c>
      <c r="AD481">
        <v>0</v>
      </c>
      <c r="AE481">
        <v>577</v>
      </c>
      <c r="AF481">
        <v>0</v>
      </c>
      <c r="AG481">
        <v>0</v>
      </c>
      <c r="AH481">
        <v>0</v>
      </c>
      <c r="AI481">
        <v>6.56</v>
      </c>
      <c r="AJ481">
        <v>1</v>
      </c>
      <c r="AK481">
        <v>1</v>
      </c>
      <c r="AL481">
        <v>1</v>
      </c>
      <c r="AN481">
        <v>0</v>
      </c>
      <c r="AO481">
        <v>0</v>
      </c>
      <c r="AP481">
        <v>0</v>
      </c>
      <c r="AQ481">
        <v>0</v>
      </c>
      <c r="AR481">
        <v>0</v>
      </c>
      <c r="AS481" t="s">
        <v>6</v>
      </c>
      <c r="AT481">
        <v>1</v>
      </c>
      <c r="AU481" t="s">
        <v>6</v>
      </c>
      <c r="AV481">
        <v>0</v>
      </c>
      <c r="AW481">
        <v>1</v>
      </c>
      <c r="AX481">
        <v>-1</v>
      </c>
      <c r="AY481">
        <v>0</v>
      </c>
      <c r="AZ481">
        <v>0</v>
      </c>
      <c r="BA481" t="s">
        <v>6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0</v>
      </c>
      <c r="BJ481">
        <v>0</v>
      </c>
      <c r="BK481">
        <v>0</v>
      </c>
      <c r="BL481">
        <v>0</v>
      </c>
      <c r="BM481">
        <v>0</v>
      </c>
      <c r="BN481">
        <v>0</v>
      </c>
      <c r="BO481">
        <v>0</v>
      </c>
      <c r="BP481">
        <v>0</v>
      </c>
      <c r="BQ481">
        <v>0</v>
      </c>
      <c r="BR481">
        <v>0</v>
      </c>
      <c r="BS481">
        <v>0</v>
      </c>
      <c r="BT481">
        <v>0</v>
      </c>
      <c r="BU481">
        <v>0</v>
      </c>
      <c r="BV481">
        <v>0</v>
      </c>
      <c r="BW481">
        <v>0</v>
      </c>
      <c r="CX481">
        <f>Y481*Source!I354</f>
        <v>1.1200000000000001</v>
      </c>
      <c r="CY481">
        <f t="shared" si="73"/>
        <v>3785.12</v>
      </c>
      <c r="CZ481">
        <f t="shared" si="74"/>
        <v>577</v>
      </c>
      <c r="DA481">
        <f t="shared" si="75"/>
        <v>6.56</v>
      </c>
      <c r="DB481">
        <f t="shared" ref="DB481:DB544" si="76">ROUND(ROUND(AT481*CZ481,2),2)</f>
        <v>577</v>
      </c>
      <c r="DC481">
        <f t="shared" ref="DC481:DC544" si="77">ROUND(ROUND(AT481*AG481,2),2)</f>
        <v>0</v>
      </c>
    </row>
    <row r="482" spans="1:107" x14ac:dyDescent="0.2">
      <c r="A482">
        <f>ROW(Source!A354)</f>
        <v>354</v>
      </c>
      <c r="B482">
        <v>16748969</v>
      </c>
      <c r="C482">
        <v>16751144</v>
      </c>
      <c r="D482">
        <v>15164559</v>
      </c>
      <c r="E482">
        <v>17</v>
      </c>
      <c r="F482">
        <v>1</v>
      </c>
      <c r="G482">
        <v>1</v>
      </c>
      <c r="H482">
        <v>3</v>
      </c>
      <c r="I482" t="s">
        <v>1383</v>
      </c>
      <c r="J482" t="s">
        <v>6</v>
      </c>
      <c r="K482" t="s">
        <v>1384</v>
      </c>
      <c r="L482">
        <v>1374</v>
      </c>
      <c r="N482">
        <v>1013</v>
      </c>
      <c r="O482" t="s">
        <v>1385</v>
      </c>
      <c r="P482" t="s">
        <v>1385</v>
      </c>
      <c r="Q482">
        <v>1</v>
      </c>
      <c r="W482">
        <v>0</v>
      </c>
      <c r="X482">
        <v>-1731369543</v>
      </c>
      <c r="Y482">
        <v>6.86</v>
      </c>
      <c r="AA482">
        <v>1</v>
      </c>
      <c r="AB482">
        <v>0</v>
      </c>
      <c r="AC482">
        <v>0</v>
      </c>
      <c r="AD482">
        <v>0</v>
      </c>
      <c r="AE482">
        <v>1</v>
      </c>
      <c r="AF482">
        <v>0</v>
      </c>
      <c r="AG482">
        <v>0</v>
      </c>
      <c r="AH482">
        <v>0</v>
      </c>
      <c r="AI482">
        <v>1</v>
      </c>
      <c r="AJ482">
        <v>1</v>
      </c>
      <c r="AK482">
        <v>1</v>
      </c>
      <c r="AL482">
        <v>1</v>
      </c>
      <c r="AN482">
        <v>0</v>
      </c>
      <c r="AO482">
        <v>1</v>
      </c>
      <c r="AP482">
        <v>0</v>
      </c>
      <c r="AQ482">
        <v>0</v>
      </c>
      <c r="AR482">
        <v>0</v>
      </c>
      <c r="AS482" t="s">
        <v>6</v>
      </c>
      <c r="AT482">
        <v>6.86</v>
      </c>
      <c r="AU482" t="s">
        <v>6</v>
      </c>
      <c r="AV482">
        <v>0</v>
      </c>
      <c r="AW482">
        <v>2</v>
      </c>
      <c r="AX482">
        <v>16751164</v>
      </c>
      <c r="AY482">
        <v>1</v>
      </c>
      <c r="AZ482">
        <v>0</v>
      </c>
      <c r="BA482">
        <v>450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0</v>
      </c>
      <c r="BP482">
        <v>0</v>
      </c>
      <c r="BQ482">
        <v>0</v>
      </c>
      <c r="BR482">
        <v>0</v>
      </c>
      <c r="BS482">
        <v>0</v>
      </c>
      <c r="BT482">
        <v>0</v>
      </c>
      <c r="BU482">
        <v>0</v>
      </c>
      <c r="BV482">
        <v>0</v>
      </c>
      <c r="BW482">
        <v>0</v>
      </c>
      <c r="CX482">
        <f>Y482*Source!I354</f>
        <v>7.6832000000000011</v>
      </c>
      <c r="CY482">
        <f t="shared" si="73"/>
        <v>1</v>
      </c>
      <c r="CZ482">
        <f t="shared" si="74"/>
        <v>1</v>
      </c>
      <c r="DA482">
        <f t="shared" si="75"/>
        <v>1</v>
      </c>
      <c r="DB482">
        <f t="shared" si="76"/>
        <v>6.86</v>
      </c>
      <c r="DC482">
        <f t="shared" si="77"/>
        <v>0</v>
      </c>
    </row>
    <row r="483" spans="1:107" x14ac:dyDescent="0.2">
      <c r="A483">
        <f>ROW(Source!A356)</f>
        <v>356</v>
      </c>
      <c r="B483">
        <v>16748969</v>
      </c>
      <c r="C483">
        <v>16751167</v>
      </c>
      <c r="D483">
        <v>15446300</v>
      </c>
      <c r="E483">
        <v>1</v>
      </c>
      <c r="F483">
        <v>1</v>
      </c>
      <c r="G483">
        <v>1</v>
      </c>
      <c r="H483">
        <v>1</v>
      </c>
      <c r="I483" t="s">
        <v>1095</v>
      </c>
      <c r="J483" t="s">
        <v>6</v>
      </c>
      <c r="K483" t="s">
        <v>1096</v>
      </c>
      <c r="L483">
        <v>1191</v>
      </c>
      <c r="N483">
        <v>1013</v>
      </c>
      <c r="O483" t="s">
        <v>1072</v>
      </c>
      <c r="P483" t="s">
        <v>1072</v>
      </c>
      <c r="Q483">
        <v>1</v>
      </c>
      <c r="W483">
        <v>0</v>
      </c>
      <c r="X483">
        <v>912892513</v>
      </c>
      <c r="Y483">
        <v>60.88</v>
      </c>
      <c r="AA483">
        <v>0</v>
      </c>
      <c r="AB483">
        <v>0</v>
      </c>
      <c r="AC483">
        <v>0</v>
      </c>
      <c r="AD483">
        <v>65.08</v>
      </c>
      <c r="AE483">
        <v>0</v>
      </c>
      <c r="AF483">
        <v>0</v>
      </c>
      <c r="AG483">
        <v>0</v>
      </c>
      <c r="AH483">
        <v>9.92</v>
      </c>
      <c r="AI483">
        <v>1</v>
      </c>
      <c r="AJ483">
        <v>1</v>
      </c>
      <c r="AK483">
        <v>1</v>
      </c>
      <c r="AL483">
        <v>6.56</v>
      </c>
      <c r="AN483">
        <v>0</v>
      </c>
      <c r="AO483">
        <v>1</v>
      </c>
      <c r="AP483">
        <v>0</v>
      </c>
      <c r="AQ483">
        <v>0</v>
      </c>
      <c r="AR483">
        <v>0</v>
      </c>
      <c r="AS483" t="s">
        <v>6</v>
      </c>
      <c r="AT483">
        <v>60.88</v>
      </c>
      <c r="AU483" t="s">
        <v>6</v>
      </c>
      <c r="AV483">
        <v>1</v>
      </c>
      <c r="AW483">
        <v>2</v>
      </c>
      <c r="AX483">
        <v>16751179</v>
      </c>
      <c r="AY483">
        <v>1</v>
      </c>
      <c r="AZ483">
        <v>0</v>
      </c>
      <c r="BA483">
        <v>451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0</v>
      </c>
      <c r="BH483">
        <v>0</v>
      </c>
      <c r="BI483">
        <v>0</v>
      </c>
      <c r="BJ483">
        <v>0</v>
      </c>
      <c r="BK483">
        <v>0</v>
      </c>
      <c r="BL483">
        <v>0</v>
      </c>
      <c r="BM483">
        <v>0</v>
      </c>
      <c r="BN483">
        <v>0</v>
      </c>
      <c r="BO483">
        <v>0</v>
      </c>
      <c r="BP483">
        <v>0</v>
      </c>
      <c r="BQ483">
        <v>0</v>
      </c>
      <c r="BR483">
        <v>0</v>
      </c>
      <c r="BS483">
        <v>0</v>
      </c>
      <c r="BT483">
        <v>0</v>
      </c>
      <c r="BU483">
        <v>0</v>
      </c>
      <c r="BV483">
        <v>0</v>
      </c>
      <c r="BW483">
        <v>0</v>
      </c>
      <c r="CX483">
        <f>Y483*Source!I356</f>
        <v>0.60880000000000001</v>
      </c>
      <c r="CY483">
        <f>AD483</f>
        <v>65.08</v>
      </c>
      <c r="CZ483">
        <f>AH483</f>
        <v>9.92</v>
      </c>
      <c r="DA483">
        <f>AL483</f>
        <v>6.56</v>
      </c>
      <c r="DB483">
        <f t="shared" si="76"/>
        <v>603.92999999999995</v>
      </c>
      <c r="DC483">
        <f t="shared" si="77"/>
        <v>0</v>
      </c>
    </row>
    <row r="484" spans="1:107" x14ac:dyDescent="0.2">
      <c r="A484">
        <f>ROW(Source!A356)</f>
        <v>356</v>
      </c>
      <c r="B484">
        <v>16748969</v>
      </c>
      <c r="C484">
        <v>16751167</v>
      </c>
      <c r="D484">
        <v>15430395</v>
      </c>
      <c r="E484">
        <v>1</v>
      </c>
      <c r="F484">
        <v>1</v>
      </c>
      <c r="G484">
        <v>1</v>
      </c>
      <c r="H484">
        <v>1</v>
      </c>
      <c r="I484" t="s">
        <v>1073</v>
      </c>
      <c r="J484" t="s">
        <v>6</v>
      </c>
      <c r="K484" t="s">
        <v>1074</v>
      </c>
      <c r="L484">
        <v>1191</v>
      </c>
      <c r="N484">
        <v>1013</v>
      </c>
      <c r="O484" t="s">
        <v>1072</v>
      </c>
      <c r="P484" t="s">
        <v>1072</v>
      </c>
      <c r="Q484">
        <v>1</v>
      </c>
      <c r="W484">
        <v>0</v>
      </c>
      <c r="X484">
        <v>-1417349443</v>
      </c>
      <c r="Y484">
        <v>0.16</v>
      </c>
      <c r="AA484">
        <v>0</v>
      </c>
      <c r="AB484">
        <v>0</v>
      </c>
      <c r="AC484">
        <v>0</v>
      </c>
      <c r="AD484">
        <v>0</v>
      </c>
      <c r="AE484">
        <v>0</v>
      </c>
      <c r="AF484">
        <v>0</v>
      </c>
      <c r="AG484">
        <v>0</v>
      </c>
      <c r="AH484">
        <v>0</v>
      </c>
      <c r="AI484">
        <v>1</v>
      </c>
      <c r="AJ484">
        <v>1</v>
      </c>
      <c r="AK484">
        <v>6.56</v>
      </c>
      <c r="AL484">
        <v>1</v>
      </c>
      <c r="AN484">
        <v>0</v>
      </c>
      <c r="AO484">
        <v>1</v>
      </c>
      <c r="AP484">
        <v>0</v>
      </c>
      <c r="AQ484">
        <v>0</v>
      </c>
      <c r="AR484">
        <v>0</v>
      </c>
      <c r="AS484" t="s">
        <v>6</v>
      </c>
      <c r="AT484">
        <v>0.16</v>
      </c>
      <c r="AU484" t="s">
        <v>6</v>
      </c>
      <c r="AV484">
        <v>2</v>
      </c>
      <c r="AW484">
        <v>2</v>
      </c>
      <c r="AX484">
        <v>16751180</v>
      </c>
      <c r="AY484">
        <v>1</v>
      </c>
      <c r="AZ484">
        <v>0</v>
      </c>
      <c r="BA484">
        <v>452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0</v>
      </c>
      <c r="BJ484">
        <v>0</v>
      </c>
      <c r="BK484">
        <v>0</v>
      </c>
      <c r="BL484">
        <v>0</v>
      </c>
      <c r="BM484">
        <v>0</v>
      </c>
      <c r="BN484">
        <v>0</v>
      </c>
      <c r="BO484">
        <v>0</v>
      </c>
      <c r="BP484">
        <v>0</v>
      </c>
      <c r="BQ484">
        <v>0</v>
      </c>
      <c r="BR484">
        <v>0</v>
      </c>
      <c r="BS484">
        <v>0</v>
      </c>
      <c r="BT484">
        <v>0</v>
      </c>
      <c r="BU484">
        <v>0</v>
      </c>
      <c r="BV484">
        <v>0</v>
      </c>
      <c r="BW484">
        <v>0</v>
      </c>
      <c r="CX484">
        <f>Y484*Source!I356</f>
        <v>1.6000000000000001E-3</v>
      </c>
      <c r="CY484">
        <f>AD484</f>
        <v>0</v>
      </c>
      <c r="CZ484">
        <f>AH484</f>
        <v>0</v>
      </c>
      <c r="DA484">
        <f>AL484</f>
        <v>1</v>
      </c>
      <c r="DB484">
        <f t="shared" si="76"/>
        <v>0</v>
      </c>
      <c r="DC484">
        <f t="shared" si="77"/>
        <v>0</v>
      </c>
    </row>
    <row r="485" spans="1:107" x14ac:dyDescent="0.2">
      <c r="A485">
        <f>ROW(Source!A356)</f>
        <v>356</v>
      </c>
      <c r="B485">
        <v>16748969</v>
      </c>
      <c r="C485">
        <v>16751167</v>
      </c>
      <c r="D485">
        <v>15247680</v>
      </c>
      <c r="E485">
        <v>1</v>
      </c>
      <c r="F485">
        <v>1</v>
      </c>
      <c r="G485">
        <v>1</v>
      </c>
      <c r="H485">
        <v>2</v>
      </c>
      <c r="I485" t="s">
        <v>1211</v>
      </c>
      <c r="J485" t="s">
        <v>1212</v>
      </c>
      <c r="K485" t="s">
        <v>1213</v>
      </c>
      <c r="L485">
        <v>1368</v>
      </c>
      <c r="N485">
        <v>1011</v>
      </c>
      <c r="O485" t="s">
        <v>1078</v>
      </c>
      <c r="P485" t="s">
        <v>1078</v>
      </c>
      <c r="Q485">
        <v>1</v>
      </c>
      <c r="W485">
        <v>0</v>
      </c>
      <c r="X485">
        <v>-1718674368</v>
      </c>
      <c r="Y485">
        <v>0.08</v>
      </c>
      <c r="AA485">
        <v>0</v>
      </c>
      <c r="AB485">
        <v>734.65</v>
      </c>
      <c r="AC485">
        <v>13.5</v>
      </c>
      <c r="AD485">
        <v>0</v>
      </c>
      <c r="AE485">
        <v>0</v>
      </c>
      <c r="AF485">
        <v>111.99</v>
      </c>
      <c r="AG485">
        <v>13.5</v>
      </c>
      <c r="AH485">
        <v>0</v>
      </c>
      <c r="AI485">
        <v>1</v>
      </c>
      <c r="AJ485">
        <v>6.56</v>
      </c>
      <c r="AK485">
        <v>1</v>
      </c>
      <c r="AL485">
        <v>1</v>
      </c>
      <c r="AN485">
        <v>0</v>
      </c>
      <c r="AO485">
        <v>1</v>
      </c>
      <c r="AP485">
        <v>0</v>
      </c>
      <c r="AQ485">
        <v>0</v>
      </c>
      <c r="AR485">
        <v>0</v>
      </c>
      <c r="AS485" t="s">
        <v>6</v>
      </c>
      <c r="AT485">
        <v>0.08</v>
      </c>
      <c r="AU485" t="s">
        <v>6</v>
      </c>
      <c r="AV485">
        <v>0</v>
      </c>
      <c r="AW485">
        <v>2</v>
      </c>
      <c r="AX485">
        <v>16751181</v>
      </c>
      <c r="AY485">
        <v>1</v>
      </c>
      <c r="AZ485">
        <v>0</v>
      </c>
      <c r="BA485">
        <v>453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0</v>
      </c>
      <c r="BH485">
        <v>0</v>
      </c>
      <c r="BI485">
        <v>0</v>
      </c>
      <c r="BJ485">
        <v>0</v>
      </c>
      <c r="BK485">
        <v>0</v>
      </c>
      <c r="BL485">
        <v>0</v>
      </c>
      <c r="BM485">
        <v>0</v>
      </c>
      <c r="BN485">
        <v>0</v>
      </c>
      <c r="BO485">
        <v>0</v>
      </c>
      <c r="BP485">
        <v>0</v>
      </c>
      <c r="BQ485">
        <v>0</v>
      </c>
      <c r="BR485">
        <v>0</v>
      </c>
      <c r="BS485">
        <v>0</v>
      </c>
      <c r="BT485">
        <v>0</v>
      </c>
      <c r="BU485">
        <v>0</v>
      </c>
      <c r="BV485">
        <v>0</v>
      </c>
      <c r="BW485">
        <v>0</v>
      </c>
      <c r="CX485">
        <f>Y485*Source!I356</f>
        <v>8.0000000000000004E-4</v>
      </c>
      <c r="CY485">
        <f>AB485</f>
        <v>734.65</v>
      </c>
      <c r="CZ485">
        <f>AF485</f>
        <v>111.99</v>
      </c>
      <c r="DA485">
        <f>AJ485</f>
        <v>6.56</v>
      </c>
      <c r="DB485">
        <f t="shared" si="76"/>
        <v>8.9600000000000009</v>
      </c>
      <c r="DC485">
        <f t="shared" si="77"/>
        <v>1.08</v>
      </c>
    </row>
    <row r="486" spans="1:107" x14ac:dyDescent="0.2">
      <c r="A486">
        <f>ROW(Source!A356)</f>
        <v>356</v>
      </c>
      <c r="B486">
        <v>16748969</v>
      </c>
      <c r="C486">
        <v>16751167</v>
      </c>
      <c r="D486">
        <v>15249073</v>
      </c>
      <c r="E486">
        <v>1</v>
      </c>
      <c r="F486">
        <v>1</v>
      </c>
      <c r="G486">
        <v>1</v>
      </c>
      <c r="H486">
        <v>2</v>
      </c>
      <c r="I486" t="s">
        <v>1097</v>
      </c>
      <c r="J486" t="s">
        <v>1098</v>
      </c>
      <c r="K486" t="s">
        <v>1099</v>
      </c>
      <c r="L486">
        <v>1368</v>
      </c>
      <c r="N486">
        <v>1011</v>
      </c>
      <c r="O486" t="s">
        <v>1078</v>
      </c>
      <c r="P486" t="s">
        <v>1078</v>
      </c>
      <c r="Q486">
        <v>1</v>
      </c>
      <c r="W486">
        <v>0</v>
      </c>
      <c r="X486">
        <v>1372534845</v>
      </c>
      <c r="Y486">
        <v>0.08</v>
      </c>
      <c r="AA486">
        <v>0</v>
      </c>
      <c r="AB486">
        <v>431.06</v>
      </c>
      <c r="AC486">
        <v>11.6</v>
      </c>
      <c r="AD486">
        <v>0</v>
      </c>
      <c r="AE486">
        <v>0</v>
      </c>
      <c r="AF486">
        <v>65.709999999999994</v>
      </c>
      <c r="AG486">
        <v>11.6</v>
      </c>
      <c r="AH486">
        <v>0</v>
      </c>
      <c r="AI486">
        <v>1</v>
      </c>
      <c r="AJ486">
        <v>6.56</v>
      </c>
      <c r="AK486">
        <v>1</v>
      </c>
      <c r="AL486">
        <v>1</v>
      </c>
      <c r="AN486">
        <v>0</v>
      </c>
      <c r="AO486">
        <v>1</v>
      </c>
      <c r="AP486">
        <v>0</v>
      </c>
      <c r="AQ486">
        <v>0</v>
      </c>
      <c r="AR486">
        <v>0</v>
      </c>
      <c r="AS486" t="s">
        <v>6</v>
      </c>
      <c r="AT486">
        <v>0.08</v>
      </c>
      <c r="AU486" t="s">
        <v>6</v>
      </c>
      <c r="AV486">
        <v>0</v>
      </c>
      <c r="AW486">
        <v>2</v>
      </c>
      <c r="AX486">
        <v>16751182</v>
      </c>
      <c r="AY486">
        <v>1</v>
      </c>
      <c r="AZ486">
        <v>0</v>
      </c>
      <c r="BA486">
        <v>454</v>
      </c>
      <c r="BB486">
        <v>0</v>
      </c>
      <c r="BC486">
        <v>0</v>
      </c>
      <c r="BD486">
        <v>0</v>
      </c>
      <c r="BE486">
        <v>0</v>
      </c>
      <c r="BF486">
        <v>0</v>
      </c>
      <c r="BG486">
        <v>0</v>
      </c>
      <c r="BH486">
        <v>0</v>
      </c>
      <c r="BI486">
        <v>0</v>
      </c>
      <c r="BJ486">
        <v>0</v>
      </c>
      <c r="BK486">
        <v>0</v>
      </c>
      <c r="BL486">
        <v>0</v>
      </c>
      <c r="BM486">
        <v>0</v>
      </c>
      <c r="BN486">
        <v>0</v>
      </c>
      <c r="BO486">
        <v>0</v>
      </c>
      <c r="BP486">
        <v>0</v>
      </c>
      <c r="BQ486">
        <v>0</v>
      </c>
      <c r="BR486">
        <v>0</v>
      </c>
      <c r="BS486">
        <v>0</v>
      </c>
      <c r="BT486">
        <v>0</v>
      </c>
      <c r="BU486">
        <v>0</v>
      </c>
      <c r="BV486">
        <v>0</v>
      </c>
      <c r="BW486">
        <v>0</v>
      </c>
      <c r="CX486">
        <f>Y486*Source!I356</f>
        <v>8.0000000000000004E-4</v>
      </c>
      <c r="CY486">
        <f>AB486</f>
        <v>431.06</v>
      </c>
      <c r="CZ486">
        <f>AF486</f>
        <v>65.709999999999994</v>
      </c>
      <c r="DA486">
        <f>AJ486</f>
        <v>6.56</v>
      </c>
      <c r="DB486">
        <f t="shared" si="76"/>
        <v>5.26</v>
      </c>
      <c r="DC486">
        <f t="shared" si="77"/>
        <v>0.93</v>
      </c>
    </row>
    <row r="487" spans="1:107" x14ac:dyDescent="0.2">
      <c r="A487">
        <f>ROW(Source!A356)</f>
        <v>356</v>
      </c>
      <c r="B487">
        <v>16748969</v>
      </c>
      <c r="C487">
        <v>16751167</v>
      </c>
      <c r="D487">
        <v>15249377</v>
      </c>
      <c r="E487">
        <v>1</v>
      </c>
      <c r="F487">
        <v>1</v>
      </c>
      <c r="G487">
        <v>1</v>
      </c>
      <c r="H487">
        <v>2</v>
      </c>
      <c r="I487" t="s">
        <v>1100</v>
      </c>
      <c r="J487" t="s">
        <v>1101</v>
      </c>
      <c r="K487" t="s">
        <v>1102</v>
      </c>
      <c r="L487">
        <v>1368</v>
      </c>
      <c r="N487">
        <v>1011</v>
      </c>
      <c r="O487" t="s">
        <v>1078</v>
      </c>
      <c r="P487" t="s">
        <v>1078</v>
      </c>
      <c r="Q487">
        <v>1</v>
      </c>
      <c r="W487">
        <v>0</v>
      </c>
      <c r="X487">
        <v>-353815937</v>
      </c>
      <c r="Y487">
        <v>2.97</v>
      </c>
      <c r="AA487">
        <v>0</v>
      </c>
      <c r="AB487">
        <v>53.14</v>
      </c>
      <c r="AC487">
        <v>0</v>
      </c>
      <c r="AD487">
        <v>0</v>
      </c>
      <c r="AE487">
        <v>0</v>
      </c>
      <c r="AF487">
        <v>8.1</v>
      </c>
      <c r="AG487">
        <v>0</v>
      </c>
      <c r="AH487">
        <v>0</v>
      </c>
      <c r="AI487">
        <v>1</v>
      </c>
      <c r="AJ487">
        <v>6.56</v>
      </c>
      <c r="AK487">
        <v>1</v>
      </c>
      <c r="AL487">
        <v>1</v>
      </c>
      <c r="AN487">
        <v>0</v>
      </c>
      <c r="AO487">
        <v>1</v>
      </c>
      <c r="AP487">
        <v>0</v>
      </c>
      <c r="AQ487">
        <v>0</v>
      </c>
      <c r="AR487">
        <v>0</v>
      </c>
      <c r="AS487" t="s">
        <v>6</v>
      </c>
      <c r="AT487">
        <v>2.97</v>
      </c>
      <c r="AU487" t="s">
        <v>6</v>
      </c>
      <c r="AV487">
        <v>0</v>
      </c>
      <c r="AW487">
        <v>2</v>
      </c>
      <c r="AX487">
        <v>16751183</v>
      </c>
      <c r="AY487">
        <v>1</v>
      </c>
      <c r="AZ487">
        <v>0</v>
      </c>
      <c r="BA487">
        <v>455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0</v>
      </c>
      <c r="BI487">
        <v>0</v>
      </c>
      <c r="BJ487">
        <v>0</v>
      </c>
      <c r="BK487">
        <v>0</v>
      </c>
      <c r="BL487">
        <v>0</v>
      </c>
      <c r="BM487">
        <v>0</v>
      </c>
      <c r="BN487">
        <v>0</v>
      </c>
      <c r="BO487">
        <v>0</v>
      </c>
      <c r="BP487">
        <v>0</v>
      </c>
      <c r="BQ487">
        <v>0</v>
      </c>
      <c r="BR487">
        <v>0</v>
      </c>
      <c r="BS487">
        <v>0</v>
      </c>
      <c r="BT487">
        <v>0</v>
      </c>
      <c r="BU487">
        <v>0</v>
      </c>
      <c r="BV487">
        <v>0</v>
      </c>
      <c r="BW487">
        <v>0</v>
      </c>
      <c r="CX487">
        <f>Y487*Source!I356</f>
        <v>2.9700000000000004E-2</v>
      </c>
      <c r="CY487">
        <f>AB487</f>
        <v>53.14</v>
      </c>
      <c r="CZ487">
        <f>AF487</f>
        <v>8.1</v>
      </c>
      <c r="DA487">
        <f>AJ487</f>
        <v>6.56</v>
      </c>
      <c r="DB487">
        <f t="shared" si="76"/>
        <v>24.06</v>
      </c>
      <c r="DC487">
        <f t="shared" si="77"/>
        <v>0</v>
      </c>
    </row>
    <row r="488" spans="1:107" x14ac:dyDescent="0.2">
      <c r="A488">
        <f>ROW(Source!A356)</f>
        <v>356</v>
      </c>
      <c r="B488">
        <v>16748969</v>
      </c>
      <c r="C488">
        <v>16751167</v>
      </c>
      <c r="D488">
        <v>15168752</v>
      </c>
      <c r="E488">
        <v>1</v>
      </c>
      <c r="F488">
        <v>1</v>
      </c>
      <c r="G488">
        <v>1</v>
      </c>
      <c r="H488">
        <v>3</v>
      </c>
      <c r="I488" t="s">
        <v>1443</v>
      </c>
      <c r="J488" t="s">
        <v>1444</v>
      </c>
      <c r="K488" t="s">
        <v>1445</v>
      </c>
      <c r="L488">
        <v>1346</v>
      </c>
      <c r="N488">
        <v>1009</v>
      </c>
      <c r="O488" t="s">
        <v>323</v>
      </c>
      <c r="P488" t="s">
        <v>323</v>
      </c>
      <c r="Q488">
        <v>1</v>
      </c>
      <c r="W488">
        <v>0</v>
      </c>
      <c r="X488">
        <v>586013393</v>
      </c>
      <c r="Y488">
        <v>2.4E-2</v>
      </c>
      <c r="AA488">
        <v>69.34</v>
      </c>
      <c r="AB488">
        <v>0</v>
      </c>
      <c r="AC488">
        <v>0</v>
      </c>
      <c r="AD488">
        <v>0</v>
      </c>
      <c r="AE488">
        <v>10.57</v>
      </c>
      <c r="AF488">
        <v>0</v>
      </c>
      <c r="AG488">
        <v>0</v>
      </c>
      <c r="AH488">
        <v>0</v>
      </c>
      <c r="AI488">
        <v>6.56</v>
      </c>
      <c r="AJ488">
        <v>1</v>
      </c>
      <c r="AK488">
        <v>1</v>
      </c>
      <c r="AL488">
        <v>1</v>
      </c>
      <c r="AN488">
        <v>0</v>
      </c>
      <c r="AO488">
        <v>1</v>
      </c>
      <c r="AP488">
        <v>0</v>
      </c>
      <c r="AQ488">
        <v>0</v>
      </c>
      <c r="AR488">
        <v>0</v>
      </c>
      <c r="AS488" t="s">
        <v>6</v>
      </c>
      <c r="AT488">
        <v>2.4E-2</v>
      </c>
      <c r="AU488" t="s">
        <v>6</v>
      </c>
      <c r="AV488">
        <v>0</v>
      </c>
      <c r="AW488">
        <v>2</v>
      </c>
      <c r="AX488">
        <v>16751184</v>
      </c>
      <c r="AY488">
        <v>1</v>
      </c>
      <c r="AZ488">
        <v>0</v>
      </c>
      <c r="BA488">
        <v>456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0</v>
      </c>
      <c r="BK488">
        <v>0</v>
      </c>
      <c r="BL488">
        <v>0</v>
      </c>
      <c r="BM488">
        <v>0</v>
      </c>
      <c r="BN488">
        <v>0</v>
      </c>
      <c r="BO488">
        <v>0</v>
      </c>
      <c r="BP488">
        <v>0</v>
      </c>
      <c r="BQ488">
        <v>0</v>
      </c>
      <c r="BR488">
        <v>0</v>
      </c>
      <c r="BS488">
        <v>0</v>
      </c>
      <c r="BT488">
        <v>0</v>
      </c>
      <c r="BU488">
        <v>0</v>
      </c>
      <c r="BV488">
        <v>0</v>
      </c>
      <c r="BW488">
        <v>0</v>
      </c>
      <c r="CX488">
        <f>Y488*Source!I356</f>
        <v>2.4000000000000001E-4</v>
      </c>
      <c r="CY488">
        <f t="shared" ref="CY488:CY493" si="78">AA488</f>
        <v>69.34</v>
      </c>
      <c r="CZ488">
        <f t="shared" ref="CZ488:CZ493" si="79">AE488</f>
        <v>10.57</v>
      </c>
      <c r="DA488">
        <f t="shared" ref="DA488:DA493" si="80">AI488</f>
        <v>6.56</v>
      </c>
      <c r="DB488">
        <f t="shared" si="76"/>
        <v>0.25</v>
      </c>
      <c r="DC488">
        <f t="shared" si="77"/>
        <v>0</v>
      </c>
    </row>
    <row r="489" spans="1:107" x14ac:dyDescent="0.2">
      <c r="A489">
        <f>ROW(Source!A356)</f>
        <v>356</v>
      </c>
      <c r="B489">
        <v>16748969</v>
      </c>
      <c r="C489">
        <v>16751167</v>
      </c>
      <c r="D489">
        <v>15169942</v>
      </c>
      <c r="E489">
        <v>1</v>
      </c>
      <c r="F489">
        <v>1</v>
      </c>
      <c r="G489">
        <v>1</v>
      </c>
      <c r="H489">
        <v>3</v>
      </c>
      <c r="I489" t="s">
        <v>1391</v>
      </c>
      <c r="J489" t="s">
        <v>1392</v>
      </c>
      <c r="K489" t="s">
        <v>1291</v>
      </c>
      <c r="L489">
        <v>1346</v>
      </c>
      <c r="N489">
        <v>1009</v>
      </c>
      <c r="O489" t="s">
        <v>323</v>
      </c>
      <c r="P489" t="s">
        <v>323</v>
      </c>
      <c r="Q489">
        <v>1</v>
      </c>
      <c r="W489">
        <v>0</v>
      </c>
      <c r="X489">
        <v>103900845</v>
      </c>
      <c r="Y489">
        <v>2.73</v>
      </c>
      <c r="AA489">
        <v>59.3</v>
      </c>
      <c r="AB489">
        <v>0</v>
      </c>
      <c r="AC489">
        <v>0</v>
      </c>
      <c r="AD489">
        <v>0</v>
      </c>
      <c r="AE489">
        <v>9.0399999999999991</v>
      </c>
      <c r="AF489">
        <v>0</v>
      </c>
      <c r="AG489">
        <v>0</v>
      </c>
      <c r="AH489">
        <v>0</v>
      </c>
      <c r="AI489">
        <v>6.56</v>
      </c>
      <c r="AJ489">
        <v>1</v>
      </c>
      <c r="AK489">
        <v>1</v>
      </c>
      <c r="AL489">
        <v>1</v>
      </c>
      <c r="AN489">
        <v>0</v>
      </c>
      <c r="AO489">
        <v>1</v>
      </c>
      <c r="AP489">
        <v>0</v>
      </c>
      <c r="AQ489">
        <v>0</v>
      </c>
      <c r="AR489">
        <v>0</v>
      </c>
      <c r="AS489" t="s">
        <v>6</v>
      </c>
      <c r="AT489">
        <v>2.73</v>
      </c>
      <c r="AU489" t="s">
        <v>6</v>
      </c>
      <c r="AV489">
        <v>0</v>
      </c>
      <c r="AW489">
        <v>2</v>
      </c>
      <c r="AX489">
        <v>16751185</v>
      </c>
      <c r="AY489">
        <v>1</v>
      </c>
      <c r="AZ489">
        <v>0</v>
      </c>
      <c r="BA489">
        <v>457</v>
      </c>
      <c r="BB489">
        <v>0</v>
      </c>
      <c r="BC489">
        <v>0</v>
      </c>
      <c r="BD489">
        <v>0</v>
      </c>
      <c r="BE489">
        <v>0</v>
      </c>
      <c r="BF489">
        <v>0</v>
      </c>
      <c r="BG489">
        <v>0</v>
      </c>
      <c r="BH489">
        <v>0</v>
      </c>
      <c r="BI489">
        <v>0</v>
      </c>
      <c r="BJ489">
        <v>0</v>
      </c>
      <c r="BK489">
        <v>0</v>
      </c>
      <c r="BL489">
        <v>0</v>
      </c>
      <c r="BM489">
        <v>0</v>
      </c>
      <c r="BN489">
        <v>0</v>
      </c>
      <c r="BO489">
        <v>0</v>
      </c>
      <c r="BP489">
        <v>0</v>
      </c>
      <c r="BQ489">
        <v>0</v>
      </c>
      <c r="BR489">
        <v>0</v>
      </c>
      <c r="BS489">
        <v>0</v>
      </c>
      <c r="BT489">
        <v>0</v>
      </c>
      <c r="BU489">
        <v>0</v>
      </c>
      <c r="BV489">
        <v>0</v>
      </c>
      <c r="BW489">
        <v>0</v>
      </c>
      <c r="CX489">
        <f>Y489*Source!I356</f>
        <v>2.7300000000000001E-2</v>
      </c>
      <c r="CY489">
        <f t="shared" si="78"/>
        <v>59.3</v>
      </c>
      <c r="CZ489">
        <f t="shared" si="79"/>
        <v>9.0399999999999991</v>
      </c>
      <c r="DA489">
        <f t="shared" si="80"/>
        <v>6.56</v>
      </c>
      <c r="DB489">
        <f t="shared" si="76"/>
        <v>24.68</v>
      </c>
      <c r="DC489">
        <f t="shared" si="77"/>
        <v>0</v>
      </c>
    </row>
    <row r="490" spans="1:107" x14ac:dyDescent="0.2">
      <c r="A490">
        <f>ROW(Source!A356)</f>
        <v>356</v>
      </c>
      <c r="B490">
        <v>16748969</v>
      </c>
      <c r="C490">
        <v>16751167</v>
      </c>
      <c r="D490">
        <v>15191488</v>
      </c>
      <c r="E490">
        <v>1</v>
      </c>
      <c r="F490">
        <v>1</v>
      </c>
      <c r="G490">
        <v>1</v>
      </c>
      <c r="H490">
        <v>3</v>
      </c>
      <c r="I490" t="s">
        <v>1393</v>
      </c>
      <c r="J490" t="s">
        <v>1394</v>
      </c>
      <c r="K490" t="s">
        <v>1395</v>
      </c>
      <c r="L490">
        <v>1348</v>
      </c>
      <c r="N490">
        <v>1009</v>
      </c>
      <c r="O490" t="s">
        <v>71</v>
      </c>
      <c r="P490" t="s">
        <v>71</v>
      </c>
      <c r="Q490">
        <v>1000</v>
      </c>
      <c r="W490">
        <v>0</v>
      </c>
      <c r="X490">
        <v>-1598896989</v>
      </c>
      <c r="Y490">
        <v>1.4E-2</v>
      </c>
      <c r="AA490">
        <v>32800</v>
      </c>
      <c r="AB490">
        <v>0</v>
      </c>
      <c r="AC490">
        <v>0</v>
      </c>
      <c r="AD490">
        <v>0</v>
      </c>
      <c r="AE490">
        <v>5000</v>
      </c>
      <c r="AF490">
        <v>0</v>
      </c>
      <c r="AG490">
        <v>0</v>
      </c>
      <c r="AH490">
        <v>0</v>
      </c>
      <c r="AI490">
        <v>6.56</v>
      </c>
      <c r="AJ490">
        <v>1</v>
      </c>
      <c r="AK490">
        <v>1</v>
      </c>
      <c r="AL490">
        <v>1</v>
      </c>
      <c r="AN490">
        <v>0</v>
      </c>
      <c r="AO490">
        <v>1</v>
      </c>
      <c r="AP490">
        <v>0</v>
      </c>
      <c r="AQ490">
        <v>0</v>
      </c>
      <c r="AR490">
        <v>0</v>
      </c>
      <c r="AS490" t="s">
        <v>6</v>
      </c>
      <c r="AT490">
        <v>1.4E-2</v>
      </c>
      <c r="AU490" t="s">
        <v>6</v>
      </c>
      <c r="AV490">
        <v>0</v>
      </c>
      <c r="AW490">
        <v>2</v>
      </c>
      <c r="AX490">
        <v>16751186</v>
      </c>
      <c r="AY490">
        <v>1</v>
      </c>
      <c r="AZ490">
        <v>0</v>
      </c>
      <c r="BA490">
        <v>458</v>
      </c>
      <c r="BB490">
        <v>0</v>
      </c>
      <c r="BC490">
        <v>0</v>
      </c>
      <c r="BD490">
        <v>0</v>
      </c>
      <c r="BE490">
        <v>0</v>
      </c>
      <c r="BF490">
        <v>0</v>
      </c>
      <c r="BG490">
        <v>0</v>
      </c>
      <c r="BH490">
        <v>0</v>
      </c>
      <c r="BI490">
        <v>0</v>
      </c>
      <c r="BJ490">
        <v>0</v>
      </c>
      <c r="BK490">
        <v>0</v>
      </c>
      <c r="BL490">
        <v>0</v>
      </c>
      <c r="BM490">
        <v>0</v>
      </c>
      <c r="BN490">
        <v>0</v>
      </c>
      <c r="BO490">
        <v>0</v>
      </c>
      <c r="BP490">
        <v>0</v>
      </c>
      <c r="BQ490">
        <v>0</v>
      </c>
      <c r="BR490">
        <v>0</v>
      </c>
      <c r="BS490">
        <v>0</v>
      </c>
      <c r="BT490">
        <v>0</v>
      </c>
      <c r="BU490">
        <v>0</v>
      </c>
      <c r="BV490">
        <v>0</v>
      </c>
      <c r="BW490">
        <v>0</v>
      </c>
      <c r="CX490">
        <f>Y490*Source!I356</f>
        <v>1.4000000000000001E-4</v>
      </c>
      <c r="CY490">
        <f t="shared" si="78"/>
        <v>32800</v>
      </c>
      <c r="CZ490">
        <f t="shared" si="79"/>
        <v>5000</v>
      </c>
      <c r="DA490">
        <f t="shared" si="80"/>
        <v>6.56</v>
      </c>
      <c r="DB490">
        <f t="shared" si="76"/>
        <v>70</v>
      </c>
      <c r="DC490">
        <f t="shared" si="77"/>
        <v>0</v>
      </c>
    </row>
    <row r="491" spans="1:107" x14ac:dyDescent="0.2">
      <c r="A491">
        <f>ROW(Source!A356)</f>
        <v>356</v>
      </c>
      <c r="B491">
        <v>16748969</v>
      </c>
      <c r="C491">
        <v>16751167</v>
      </c>
      <c r="D491">
        <v>15203871</v>
      </c>
      <c r="E491">
        <v>1</v>
      </c>
      <c r="F491">
        <v>1</v>
      </c>
      <c r="G491">
        <v>1</v>
      </c>
      <c r="H491">
        <v>3</v>
      </c>
      <c r="I491" t="s">
        <v>1482</v>
      </c>
      <c r="J491" t="s">
        <v>1483</v>
      </c>
      <c r="K491" t="s">
        <v>1484</v>
      </c>
      <c r="L491">
        <v>1348</v>
      </c>
      <c r="N491">
        <v>1009</v>
      </c>
      <c r="O491" t="s">
        <v>71</v>
      </c>
      <c r="P491" t="s">
        <v>71</v>
      </c>
      <c r="Q491">
        <v>1000</v>
      </c>
      <c r="W491">
        <v>0</v>
      </c>
      <c r="X491">
        <v>-108263514</v>
      </c>
      <c r="Y491">
        <v>2.7000000000000001E-3</v>
      </c>
      <c r="AA491">
        <v>51344.46</v>
      </c>
      <c r="AB491">
        <v>0</v>
      </c>
      <c r="AC491">
        <v>0</v>
      </c>
      <c r="AD491">
        <v>0</v>
      </c>
      <c r="AE491">
        <v>7826.9</v>
      </c>
      <c r="AF491">
        <v>0</v>
      </c>
      <c r="AG491">
        <v>0</v>
      </c>
      <c r="AH491">
        <v>0</v>
      </c>
      <c r="AI491">
        <v>6.56</v>
      </c>
      <c r="AJ491">
        <v>1</v>
      </c>
      <c r="AK491">
        <v>1</v>
      </c>
      <c r="AL491">
        <v>1</v>
      </c>
      <c r="AN491">
        <v>0</v>
      </c>
      <c r="AO491">
        <v>1</v>
      </c>
      <c r="AP491">
        <v>0</v>
      </c>
      <c r="AQ491">
        <v>0</v>
      </c>
      <c r="AR491">
        <v>0</v>
      </c>
      <c r="AS491" t="s">
        <v>6</v>
      </c>
      <c r="AT491">
        <v>2.7000000000000001E-3</v>
      </c>
      <c r="AU491" t="s">
        <v>6</v>
      </c>
      <c r="AV491">
        <v>0</v>
      </c>
      <c r="AW491">
        <v>2</v>
      </c>
      <c r="AX491">
        <v>16751187</v>
      </c>
      <c r="AY491">
        <v>1</v>
      </c>
      <c r="AZ491">
        <v>0</v>
      </c>
      <c r="BA491">
        <v>459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0</v>
      </c>
      <c r="BK491">
        <v>0</v>
      </c>
      <c r="BL491">
        <v>0</v>
      </c>
      <c r="BM491">
        <v>0</v>
      </c>
      <c r="BN491">
        <v>0</v>
      </c>
      <c r="BO491">
        <v>0</v>
      </c>
      <c r="BP491">
        <v>0</v>
      </c>
      <c r="BQ491">
        <v>0</v>
      </c>
      <c r="BR491">
        <v>0</v>
      </c>
      <c r="BS491">
        <v>0</v>
      </c>
      <c r="BT491">
        <v>0</v>
      </c>
      <c r="BU491">
        <v>0</v>
      </c>
      <c r="BV491">
        <v>0</v>
      </c>
      <c r="BW491">
        <v>0</v>
      </c>
      <c r="CX491">
        <f>Y491*Source!I356</f>
        <v>2.7000000000000002E-5</v>
      </c>
      <c r="CY491">
        <f t="shared" si="78"/>
        <v>51344.46</v>
      </c>
      <c r="CZ491">
        <f t="shared" si="79"/>
        <v>7826.9</v>
      </c>
      <c r="DA491">
        <f t="shared" si="80"/>
        <v>6.56</v>
      </c>
      <c r="DB491">
        <f t="shared" si="76"/>
        <v>21.13</v>
      </c>
      <c r="DC491">
        <f t="shared" si="77"/>
        <v>0</v>
      </c>
    </row>
    <row r="492" spans="1:107" x14ac:dyDescent="0.2">
      <c r="A492">
        <f>ROW(Source!A356)</f>
        <v>356</v>
      </c>
      <c r="B492">
        <v>16748969</v>
      </c>
      <c r="C492">
        <v>16751167</v>
      </c>
      <c r="D492">
        <v>15220817</v>
      </c>
      <c r="E492">
        <v>1</v>
      </c>
      <c r="F492">
        <v>1</v>
      </c>
      <c r="G492">
        <v>1</v>
      </c>
      <c r="H492">
        <v>3</v>
      </c>
      <c r="I492" t="s">
        <v>731</v>
      </c>
      <c r="J492" t="s">
        <v>733</v>
      </c>
      <c r="K492" t="s">
        <v>732</v>
      </c>
      <c r="L492">
        <v>1355</v>
      </c>
      <c r="N492">
        <v>1010</v>
      </c>
      <c r="O492" t="s">
        <v>724</v>
      </c>
      <c r="P492" t="s">
        <v>724</v>
      </c>
      <c r="Q492">
        <v>100</v>
      </c>
      <c r="W492">
        <v>0</v>
      </c>
      <c r="X492">
        <v>1844490983</v>
      </c>
      <c r="Y492">
        <v>1</v>
      </c>
      <c r="AA492">
        <v>1988.53</v>
      </c>
      <c r="AB492">
        <v>0</v>
      </c>
      <c r="AC492">
        <v>0</v>
      </c>
      <c r="AD492">
        <v>0</v>
      </c>
      <c r="AE492">
        <v>303.13</v>
      </c>
      <c r="AF492">
        <v>0</v>
      </c>
      <c r="AG492">
        <v>0</v>
      </c>
      <c r="AH492">
        <v>0</v>
      </c>
      <c r="AI492">
        <v>6.56</v>
      </c>
      <c r="AJ492">
        <v>1</v>
      </c>
      <c r="AK492">
        <v>1</v>
      </c>
      <c r="AL492">
        <v>1</v>
      </c>
      <c r="AN492">
        <v>0</v>
      </c>
      <c r="AO492">
        <v>0</v>
      </c>
      <c r="AP492">
        <v>0</v>
      </c>
      <c r="AQ492">
        <v>0</v>
      </c>
      <c r="AR492">
        <v>0</v>
      </c>
      <c r="AS492" t="s">
        <v>6</v>
      </c>
      <c r="AT492">
        <v>1</v>
      </c>
      <c r="AU492" t="s">
        <v>6</v>
      </c>
      <c r="AV492">
        <v>0</v>
      </c>
      <c r="AW492">
        <v>1</v>
      </c>
      <c r="AX492">
        <v>-1</v>
      </c>
      <c r="AY492">
        <v>0</v>
      </c>
      <c r="AZ492">
        <v>0</v>
      </c>
      <c r="BA492" t="s">
        <v>6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0</v>
      </c>
      <c r="BJ492">
        <v>0</v>
      </c>
      <c r="BK492">
        <v>0</v>
      </c>
      <c r="BL492">
        <v>0</v>
      </c>
      <c r="BM492">
        <v>0</v>
      </c>
      <c r="BN492">
        <v>0</v>
      </c>
      <c r="BO492">
        <v>0</v>
      </c>
      <c r="BP492">
        <v>0</v>
      </c>
      <c r="BQ492">
        <v>0</v>
      </c>
      <c r="BR492">
        <v>0</v>
      </c>
      <c r="BS492">
        <v>0</v>
      </c>
      <c r="BT492">
        <v>0</v>
      </c>
      <c r="BU492">
        <v>0</v>
      </c>
      <c r="BV492">
        <v>0</v>
      </c>
      <c r="BW492">
        <v>0</v>
      </c>
      <c r="CX492">
        <f>Y492*Source!I356</f>
        <v>0.01</v>
      </c>
      <c r="CY492">
        <f t="shared" si="78"/>
        <v>1988.53</v>
      </c>
      <c r="CZ492">
        <f t="shared" si="79"/>
        <v>303.13</v>
      </c>
      <c r="DA492">
        <f t="shared" si="80"/>
        <v>6.56</v>
      </c>
      <c r="DB492">
        <f t="shared" si="76"/>
        <v>303.13</v>
      </c>
      <c r="DC492">
        <f t="shared" si="77"/>
        <v>0</v>
      </c>
    </row>
    <row r="493" spans="1:107" x14ac:dyDescent="0.2">
      <c r="A493">
        <f>ROW(Source!A356)</f>
        <v>356</v>
      </c>
      <c r="B493">
        <v>16748969</v>
      </c>
      <c r="C493">
        <v>16751167</v>
      </c>
      <c r="D493">
        <v>15164559</v>
      </c>
      <c r="E493">
        <v>17</v>
      </c>
      <c r="F493">
        <v>1</v>
      </c>
      <c r="G493">
        <v>1</v>
      </c>
      <c r="H493">
        <v>3</v>
      </c>
      <c r="I493" t="s">
        <v>1383</v>
      </c>
      <c r="J493" t="s">
        <v>6</v>
      </c>
      <c r="K493" t="s">
        <v>1384</v>
      </c>
      <c r="L493">
        <v>1374</v>
      </c>
      <c r="N493">
        <v>1013</v>
      </c>
      <c r="O493" t="s">
        <v>1385</v>
      </c>
      <c r="P493" t="s">
        <v>1385</v>
      </c>
      <c r="Q493">
        <v>1</v>
      </c>
      <c r="W493">
        <v>0</v>
      </c>
      <c r="X493">
        <v>-1731369543</v>
      </c>
      <c r="Y493">
        <v>12.08</v>
      </c>
      <c r="AA493">
        <v>1</v>
      </c>
      <c r="AB493">
        <v>0</v>
      </c>
      <c r="AC493">
        <v>0</v>
      </c>
      <c r="AD493">
        <v>0</v>
      </c>
      <c r="AE493">
        <v>1</v>
      </c>
      <c r="AF493">
        <v>0</v>
      </c>
      <c r="AG493">
        <v>0</v>
      </c>
      <c r="AH493">
        <v>0</v>
      </c>
      <c r="AI493">
        <v>1</v>
      </c>
      <c r="AJ493">
        <v>1</v>
      </c>
      <c r="AK493">
        <v>1</v>
      </c>
      <c r="AL493">
        <v>1</v>
      </c>
      <c r="AN493">
        <v>0</v>
      </c>
      <c r="AO493">
        <v>1</v>
      </c>
      <c r="AP493">
        <v>0</v>
      </c>
      <c r="AQ493">
        <v>0</v>
      </c>
      <c r="AR493">
        <v>0</v>
      </c>
      <c r="AS493" t="s">
        <v>6</v>
      </c>
      <c r="AT493">
        <v>12.08</v>
      </c>
      <c r="AU493" t="s">
        <v>6</v>
      </c>
      <c r="AV493">
        <v>0</v>
      </c>
      <c r="AW493">
        <v>2</v>
      </c>
      <c r="AX493">
        <v>16751188</v>
      </c>
      <c r="AY493">
        <v>1</v>
      </c>
      <c r="AZ493">
        <v>0</v>
      </c>
      <c r="BA493">
        <v>460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0</v>
      </c>
      <c r="BH493">
        <v>0</v>
      </c>
      <c r="BI493">
        <v>0</v>
      </c>
      <c r="BJ493">
        <v>0</v>
      </c>
      <c r="BK493">
        <v>0</v>
      </c>
      <c r="BL493">
        <v>0</v>
      </c>
      <c r="BM493">
        <v>0</v>
      </c>
      <c r="BN493">
        <v>0</v>
      </c>
      <c r="BO493">
        <v>0</v>
      </c>
      <c r="BP493">
        <v>0</v>
      </c>
      <c r="BQ493">
        <v>0</v>
      </c>
      <c r="BR493">
        <v>0</v>
      </c>
      <c r="BS493">
        <v>0</v>
      </c>
      <c r="BT493">
        <v>0</v>
      </c>
      <c r="BU493">
        <v>0</v>
      </c>
      <c r="BV493">
        <v>0</v>
      </c>
      <c r="BW493">
        <v>0</v>
      </c>
      <c r="CX493">
        <f>Y493*Source!I356</f>
        <v>0.1208</v>
      </c>
      <c r="CY493">
        <f t="shared" si="78"/>
        <v>1</v>
      </c>
      <c r="CZ493">
        <f t="shared" si="79"/>
        <v>1</v>
      </c>
      <c r="DA493">
        <f t="shared" si="80"/>
        <v>1</v>
      </c>
      <c r="DB493">
        <f t="shared" si="76"/>
        <v>12.08</v>
      </c>
      <c r="DC493">
        <f t="shared" si="77"/>
        <v>0</v>
      </c>
    </row>
    <row r="494" spans="1:107" x14ac:dyDescent="0.2">
      <c r="A494">
        <f>ROW(Source!A358)</f>
        <v>358</v>
      </c>
      <c r="B494">
        <v>16748969</v>
      </c>
      <c r="C494">
        <v>16751190</v>
      </c>
      <c r="D494">
        <v>15430397</v>
      </c>
      <c r="E494">
        <v>1</v>
      </c>
      <c r="F494">
        <v>1</v>
      </c>
      <c r="G494">
        <v>1</v>
      </c>
      <c r="H494">
        <v>1</v>
      </c>
      <c r="I494" t="s">
        <v>1234</v>
      </c>
      <c r="J494" t="s">
        <v>6</v>
      </c>
      <c r="K494" t="s">
        <v>1235</v>
      </c>
      <c r="L494">
        <v>1191</v>
      </c>
      <c r="N494">
        <v>1013</v>
      </c>
      <c r="O494" t="s">
        <v>1072</v>
      </c>
      <c r="P494" t="s">
        <v>1072</v>
      </c>
      <c r="Q494">
        <v>1</v>
      </c>
      <c r="W494">
        <v>0</v>
      </c>
      <c r="X494">
        <v>-1081351934</v>
      </c>
      <c r="Y494">
        <v>3.76</v>
      </c>
      <c r="AA494">
        <v>0</v>
      </c>
      <c r="AB494">
        <v>0</v>
      </c>
      <c r="AC494">
        <v>0</v>
      </c>
      <c r="AD494">
        <v>61.66</v>
      </c>
      <c r="AE494">
        <v>0</v>
      </c>
      <c r="AF494">
        <v>0</v>
      </c>
      <c r="AG494">
        <v>0</v>
      </c>
      <c r="AH494">
        <v>9.4</v>
      </c>
      <c r="AI494">
        <v>1</v>
      </c>
      <c r="AJ494">
        <v>1</v>
      </c>
      <c r="AK494">
        <v>1</v>
      </c>
      <c r="AL494">
        <v>6.56</v>
      </c>
      <c r="AN494">
        <v>0</v>
      </c>
      <c r="AO494">
        <v>1</v>
      </c>
      <c r="AP494">
        <v>0</v>
      </c>
      <c r="AQ494">
        <v>0</v>
      </c>
      <c r="AR494">
        <v>0</v>
      </c>
      <c r="AS494" t="s">
        <v>6</v>
      </c>
      <c r="AT494">
        <v>3.76</v>
      </c>
      <c r="AU494" t="s">
        <v>6</v>
      </c>
      <c r="AV494">
        <v>1</v>
      </c>
      <c r="AW494">
        <v>2</v>
      </c>
      <c r="AX494">
        <v>16751200</v>
      </c>
      <c r="AY494">
        <v>1</v>
      </c>
      <c r="AZ494">
        <v>0</v>
      </c>
      <c r="BA494">
        <v>461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0</v>
      </c>
      <c r="BH494">
        <v>0</v>
      </c>
      <c r="BI494">
        <v>0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0</v>
      </c>
      <c r="BP494">
        <v>0</v>
      </c>
      <c r="BQ494">
        <v>0</v>
      </c>
      <c r="BR494">
        <v>0</v>
      </c>
      <c r="BS494">
        <v>0</v>
      </c>
      <c r="BT494">
        <v>0</v>
      </c>
      <c r="BU494">
        <v>0</v>
      </c>
      <c r="BV494">
        <v>0</v>
      </c>
      <c r="BW494">
        <v>0</v>
      </c>
      <c r="CX494">
        <f>Y494*Source!I358</f>
        <v>18.085599999999996</v>
      </c>
      <c r="CY494">
        <f>AD494</f>
        <v>61.66</v>
      </c>
      <c r="CZ494">
        <f>AH494</f>
        <v>9.4</v>
      </c>
      <c r="DA494">
        <f>AL494</f>
        <v>6.56</v>
      </c>
      <c r="DB494">
        <f t="shared" si="76"/>
        <v>35.340000000000003</v>
      </c>
      <c r="DC494">
        <f t="shared" si="77"/>
        <v>0</v>
      </c>
    </row>
    <row r="495" spans="1:107" x14ac:dyDescent="0.2">
      <c r="A495">
        <f>ROW(Source!A358)</f>
        <v>358</v>
      </c>
      <c r="B495">
        <v>16748969</v>
      </c>
      <c r="C495">
        <v>16751190</v>
      </c>
      <c r="D495">
        <v>15430395</v>
      </c>
      <c r="E495">
        <v>1</v>
      </c>
      <c r="F495">
        <v>1</v>
      </c>
      <c r="G495">
        <v>1</v>
      </c>
      <c r="H495">
        <v>1</v>
      </c>
      <c r="I495" t="s">
        <v>1073</v>
      </c>
      <c r="J495" t="s">
        <v>6</v>
      </c>
      <c r="K495" t="s">
        <v>1074</v>
      </c>
      <c r="L495">
        <v>1191</v>
      </c>
      <c r="N495">
        <v>1013</v>
      </c>
      <c r="O495" t="s">
        <v>1072</v>
      </c>
      <c r="P495" t="s">
        <v>1072</v>
      </c>
      <c r="Q495">
        <v>1</v>
      </c>
      <c r="W495">
        <v>0</v>
      </c>
      <c r="X495">
        <v>-1417349443</v>
      </c>
      <c r="Y495">
        <v>0.02</v>
      </c>
      <c r="AA495">
        <v>0</v>
      </c>
      <c r="AB495">
        <v>0</v>
      </c>
      <c r="AC495">
        <v>0</v>
      </c>
      <c r="AD495">
        <v>0</v>
      </c>
      <c r="AE495">
        <v>0</v>
      </c>
      <c r="AF495">
        <v>0</v>
      </c>
      <c r="AG495">
        <v>0</v>
      </c>
      <c r="AH495">
        <v>0</v>
      </c>
      <c r="AI495">
        <v>1</v>
      </c>
      <c r="AJ495">
        <v>1</v>
      </c>
      <c r="AK495">
        <v>6.56</v>
      </c>
      <c r="AL495">
        <v>1</v>
      </c>
      <c r="AN495">
        <v>0</v>
      </c>
      <c r="AO495">
        <v>1</v>
      </c>
      <c r="AP495">
        <v>0</v>
      </c>
      <c r="AQ495">
        <v>0</v>
      </c>
      <c r="AR495">
        <v>0</v>
      </c>
      <c r="AS495" t="s">
        <v>6</v>
      </c>
      <c r="AT495">
        <v>0.02</v>
      </c>
      <c r="AU495" t="s">
        <v>6</v>
      </c>
      <c r="AV495">
        <v>2</v>
      </c>
      <c r="AW495">
        <v>2</v>
      </c>
      <c r="AX495">
        <v>16751201</v>
      </c>
      <c r="AY495">
        <v>1</v>
      </c>
      <c r="AZ495">
        <v>0</v>
      </c>
      <c r="BA495">
        <v>462</v>
      </c>
      <c r="BB495">
        <v>0</v>
      </c>
      <c r="BC495">
        <v>0</v>
      </c>
      <c r="BD495">
        <v>0</v>
      </c>
      <c r="BE495">
        <v>0</v>
      </c>
      <c r="BF495">
        <v>0</v>
      </c>
      <c r="BG495">
        <v>0</v>
      </c>
      <c r="BH495">
        <v>0</v>
      </c>
      <c r="BI495">
        <v>0</v>
      </c>
      <c r="BJ495">
        <v>0</v>
      </c>
      <c r="BK495">
        <v>0</v>
      </c>
      <c r="BL495">
        <v>0</v>
      </c>
      <c r="BM495">
        <v>0</v>
      </c>
      <c r="BN495">
        <v>0</v>
      </c>
      <c r="BO495">
        <v>0</v>
      </c>
      <c r="BP495">
        <v>0</v>
      </c>
      <c r="BQ495">
        <v>0</v>
      </c>
      <c r="BR495">
        <v>0</v>
      </c>
      <c r="BS495">
        <v>0</v>
      </c>
      <c r="BT495">
        <v>0</v>
      </c>
      <c r="BU495">
        <v>0</v>
      </c>
      <c r="BV495">
        <v>0</v>
      </c>
      <c r="BW495">
        <v>0</v>
      </c>
      <c r="CX495">
        <f>Y495*Source!I358</f>
        <v>9.6199999999999994E-2</v>
      </c>
      <c r="CY495">
        <f>AD495</f>
        <v>0</v>
      </c>
      <c r="CZ495">
        <f>AH495</f>
        <v>0</v>
      </c>
      <c r="DA495">
        <f>AL495</f>
        <v>1</v>
      </c>
      <c r="DB495">
        <f t="shared" si="76"/>
        <v>0</v>
      </c>
      <c r="DC495">
        <f t="shared" si="77"/>
        <v>0</v>
      </c>
    </row>
    <row r="496" spans="1:107" x14ac:dyDescent="0.2">
      <c r="A496">
        <f>ROW(Source!A358)</f>
        <v>358</v>
      </c>
      <c r="B496">
        <v>16748969</v>
      </c>
      <c r="C496">
        <v>16751190</v>
      </c>
      <c r="D496">
        <v>15247680</v>
      </c>
      <c r="E496">
        <v>1</v>
      </c>
      <c r="F496">
        <v>1</v>
      </c>
      <c r="G496">
        <v>1</v>
      </c>
      <c r="H496">
        <v>2</v>
      </c>
      <c r="I496" t="s">
        <v>1211</v>
      </c>
      <c r="J496" t="s">
        <v>1212</v>
      </c>
      <c r="K496" t="s">
        <v>1213</v>
      </c>
      <c r="L496">
        <v>1368</v>
      </c>
      <c r="N496">
        <v>1011</v>
      </c>
      <c r="O496" t="s">
        <v>1078</v>
      </c>
      <c r="P496" t="s">
        <v>1078</v>
      </c>
      <c r="Q496">
        <v>1</v>
      </c>
      <c r="W496">
        <v>0</v>
      </c>
      <c r="X496">
        <v>-1718674368</v>
      </c>
      <c r="Y496">
        <v>0.01</v>
      </c>
      <c r="AA496">
        <v>0</v>
      </c>
      <c r="AB496">
        <v>734.65</v>
      </c>
      <c r="AC496">
        <v>13.5</v>
      </c>
      <c r="AD496">
        <v>0</v>
      </c>
      <c r="AE496">
        <v>0</v>
      </c>
      <c r="AF496">
        <v>111.99</v>
      </c>
      <c r="AG496">
        <v>13.5</v>
      </c>
      <c r="AH496">
        <v>0</v>
      </c>
      <c r="AI496">
        <v>1</v>
      </c>
      <c r="AJ496">
        <v>6.56</v>
      </c>
      <c r="AK496">
        <v>1</v>
      </c>
      <c r="AL496">
        <v>1</v>
      </c>
      <c r="AN496">
        <v>0</v>
      </c>
      <c r="AO496">
        <v>1</v>
      </c>
      <c r="AP496">
        <v>0</v>
      </c>
      <c r="AQ496">
        <v>0</v>
      </c>
      <c r="AR496">
        <v>0</v>
      </c>
      <c r="AS496" t="s">
        <v>6</v>
      </c>
      <c r="AT496">
        <v>0.01</v>
      </c>
      <c r="AU496" t="s">
        <v>6</v>
      </c>
      <c r="AV496">
        <v>0</v>
      </c>
      <c r="AW496">
        <v>2</v>
      </c>
      <c r="AX496">
        <v>16751202</v>
      </c>
      <c r="AY496">
        <v>1</v>
      </c>
      <c r="AZ496">
        <v>0</v>
      </c>
      <c r="BA496">
        <v>463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0</v>
      </c>
      <c r="BJ496">
        <v>0</v>
      </c>
      <c r="BK496">
        <v>0</v>
      </c>
      <c r="BL496">
        <v>0</v>
      </c>
      <c r="BM496">
        <v>0</v>
      </c>
      <c r="BN496">
        <v>0</v>
      </c>
      <c r="BO496">
        <v>0</v>
      </c>
      <c r="BP496">
        <v>0</v>
      </c>
      <c r="BQ496">
        <v>0</v>
      </c>
      <c r="BR496">
        <v>0</v>
      </c>
      <c r="BS496">
        <v>0</v>
      </c>
      <c r="BT496">
        <v>0</v>
      </c>
      <c r="BU496">
        <v>0</v>
      </c>
      <c r="BV496">
        <v>0</v>
      </c>
      <c r="BW496">
        <v>0</v>
      </c>
      <c r="CX496">
        <f>Y496*Source!I358</f>
        <v>4.8099999999999997E-2</v>
      </c>
      <c r="CY496">
        <f>AB496</f>
        <v>734.65</v>
      </c>
      <c r="CZ496">
        <f>AF496</f>
        <v>111.99</v>
      </c>
      <c r="DA496">
        <f>AJ496</f>
        <v>6.56</v>
      </c>
      <c r="DB496">
        <f t="shared" si="76"/>
        <v>1.1200000000000001</v>
      </c>
      <c r="DC496">
        <f t="shared" si="77"/>
        <v>0.14000000000000001</v>
      </c>
    </row>
    <row r="497" spans="1:107" x14ac:dyDescent="0.2">
      <c r="A497">
        <f>ROW(Source!A358)</f>
        <v>358</v>
      </c>
      <c r="B497">
        <v>16748969</v>
      </c>
      <c r="C497">
        <v>16751190</v>
      </c>
      <c r="D497">
        <v>15249073</v>
      </c>
      <c r="E497">
        <v>1</v>
      </c>
      <c r="F497">
        <v>1</v>
      </c>
      <c r="G497">
        <v>1</v>
      </c>
      <c r="H497">
        <v>2</v>
      </c>
      <c r="I497" t="s">
        <v>1097</v>
      </c>
      <c r="J497" t="s">
        <v>1098</v>
      </c>
      <c r="K497" t="s">
        <v>1099</v>
      </c>
      <c r="L497">
        <v>1368</v>
      </c>
      <c r="N497">
        <v>1011</v>
      </c>
      <c r="O497" t="s">
        <v>1078</v>
      </c>
      <c r="P497" t="s">
        <v>1078</v>
      </c>
      <c r="Q497">
        <v>1</v>
      </c>
      <c r="W497">
        <v>0</v>
      </c>
      <c r="X497">
        <v>1372534845</v>
      </c>
      <c r="Y497">
        <v>0.01</v>
      </c>
      <c r="AA497">
        <v>0</v>
      </c>
      <c r="AB497">
        <v>431.06</v>
      </c>
      <c r="AC497">
        <v>11.6</v>
      </c>
      <c r="AD497">
        <v>0</v>
      </c>
      <c r="AE497">
        <v>0</v>
      </c>
      <c r="AF497">
        <v>65.709999999999994</v>
      </c>
      <c r="AG497">
        <v>11.6</v>
      </c>
      <c r="AH497">
        <v>0</v>
      </c>
      <c r="AI497">
        <v>1</v>
      </c>
      <c r="AJ497">
        <v>6.56</v>
      </c>
      <c r="AK497">
        <v>1</v>
      </c>
      <c r="AL497">
        <v>1</v>
      </c>
      <c r="AN497">
        <v>0</v>
      </c>
      <c r="AO497">
        <v>1</v>
      </c>
      <c r="AP497">
        <v>0</v>
      </c>
      <c r="AQ497">
        <v>0</v>
      </c>
      <c r="AR497">
        <v>0</v>
      </c>
      <c r="AS497" t="s">
        <v>6</v>
      </c>
      <c r="AT497">
        <v>0.01</v>
      </c>
      <c r="AU497" t="s">
        <v>6</v>
      </c>
      <c r="AV497">
        <v>0</v>
      </c>
      <c r="AW497">
        <v>2</v>
      </c>
      <c r="AX497">
        <v>16751203</v>
      </c>
      <c r="AY497">
        <v>1</v>
      </c>
      <c r="AZ497">
        <v>0</v>
      </c>
      <c r="BA497">
        <v>464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0</v>
      </c>
      <c r="BH497">
        <v>0</v>
      </c>
      <c r="BI497">
        <v>0</v>
      </c>
      <c r="BJ497">
        <v>0</v>
      </c>
      <c r="BK497">
        <v>0</v>
      </c>
      <c r="BL497">
        <v>0</v>
      </c>
      <c r="BM497">
        <v>0</v>
      </c>
      <c r="BN497">
        <v>0</v>
      </c>
      <c r="BO497">
        <v>0</v>
      </c>
      <c r="BP497">
        <v>0</v>
      </c>
      <c r="BQ497">
        <v>0</v>
      </c>
      <c r="BR497">
        <v>0</v>
      </c>
      <c r="BS497">
        <v>0</v>
      </c>
      <c r="BT497">
        <v>0</v>
      </c>
      <c r="BU497">
        <v>0</v>
      </c>
      <c r="BV497">
        <v>0</v>
      </c>
      <c r="BW497">
        <v>0</v>
      </c>
      <c r="CX497">
        <f>Y497*Source!I358</f>
        <v>4.8099999999999997E-2</v>
      </c>
      <c r="CY497">
        <f>AB497</f>
        <v>431.06</v>
      </c>
      <c r="CZ497">
        <f>AF497</f>
        <v>65.709999999999994</v>
      </c>
      <c r="DA497">
        <f>AJ497</f>
        <v>6.56</v>
      </c>
      <c r="DB497">
        <f t="shared" si="76"/>
        <v>0.66</v>
      </c>
      <c r="DC497">
        <f t="shared" si="77"/>
        <v>0.12</v>
      </c>
    </row>
    <row r="498" spans="1:107" x14ac:dyDescent="0.2">
      <c r="A498">
        <f>ROW(Source!A358)</f>
        <v>358</v>
      </c>
      <c r="B498">
        <v>16748969</v>
      </c>
      <c r="C498">
        <v>16751190</v>
      </c>
      <c r="D498">
        <v>15167588</v>
      </c>
      <c r="E498">
        <v>1</v>
      </c>
      <c r="F498">
        <v>1</v>
      </c>
      <c r="G498">
        <v>1</v>
      </c>
      <c r="H498">
        <v>3</v>
      </c>
      <c r="I498" t="s">
        <v>1388</v>
      </c>
      <c r="J498" t="s">
        <v>1389</v>
      </c>
      <c r="K498" t="s">
        <v>1390</v>
      </c>
      <c r="L498">
        <v>1346</v>
      </c>
      <c r="N498">
        <v>1009</v>
      </c>
      <c r="O498" t="s">
        <v>323</v>
      </c>
      <c r="P498" t="s">
        <v>323</v>
      </c>
      <c r="Q498">
        <v>1</v>
      </c>
      <c r="W498">
        <v>0</v>
      </c>
      <c r="X498">
        <v>-1088866022</v>
      </c>
      <c r="Y498">
        <v>0.16</v>
      </c>
      <c r="AA498">
        <v>199.42</v>
      </c>
      <c r="AB498">
        <v>0</v>
      </c>
      <c r="AC498">
        <v>0</v>
      </c>
      <c r="AD498">
        <v>0</v>
      </c>
      <c r="AE498">
        <v>30.4</v>
      </c>
      <c r="AF498">
        <v>0</v>
      </c>
      <c r="AG498">
        <v>0</v>
      </c>
      <c r="AH498">
        <v>0</v>
      </c>
      <c r="AI498">
        <v>6.56</v>
      </c>
      <c r="AJ498">
        <v>1</v>
      </c>
      <c r="AK498">
        <v>1</v>
      </c>
      <c r="AL498">
        <v>1</v>
      </c>
      <c r="AN498">
        <v>0</v>
      </c>
      <c r="AO498">
        <v>1</v>
      </c>
      <c r="AP498">
        <v>0</v>
      </c>
      <c r="AQ498">
        <v>0</v>
      </c>
      <c r="AR498">
        <v>0</v>
      </c>
      <c r="AS498" t="s">
        <v>6</v>
      </c>
      <c r="AT498">
        <v>0.16</v>
      </c>
      <c r="AU498" t="s">
        <v>6</v>
      </c>
      <c r="AV498">
        <v>0</v>
      </c>
      <c r="AW498">
        <v>2</v>
      </c>
      <c r="AX498">
        <v>16751204</v>
      </c>
      <c r="AY498">
        <v>1</v>
      </c>
      <c r="AZ498">
        <v>0</v>
      </c>
      <c r="BA498">
        <v>465</v>
      </c>
      <c r="BB498">
        <v>0</v>
      </c>
      <c r="BC498">
        <v>0</v>
      </c>
      <c r="BD498">
        <v>0</v>
      </c>
      <c r="BE498">
        <v>0</v>
      </c>
      <c r="BF498">
        <v>0</v>
      </c>
      <c r="BG498">
        <v>0</v>
      </c>
      <c r="BH498">
        <v>0</v>
      </c>
      <c r="BI498">
        <v>0</v>
      </c>
      <c r="BJ498">
        <v>0</v>
      </c>
      <c r="BK498">
        <v>0</v>
      </c>
      <c r="BL498">
        <v>0</v>
      </c>
      <c r="BM498">
        <v>0</v>
      </c>
      <c r="BN498">
        <v>0</v>
      </c>
      <c r="BO498">
        <v>0</v>
      </c>
      <c r="BP498">
        <v>0</v>
      </c>
      <c r="BQ498">
        <v>0</v>
      </c>
      <c r="BR498">
        <v>0</v>
      </c>
      <c r="BS498">
        <v>0</v>
      </c>
      <c r="BT498">
        <v>0</v>
      </c>
      <c r="BU498">
        <v>0</v>
      </c>
      <c r="BV498">
        <v>0</v>
      </c>
      <c r="BW498">
        <v>0</v>
      </c>
      <c r="CX498">
        <f>Y498*Source!I358</f>
        <v>0.76959999999999995</v>
      </c>
      <c r="CY498">
        <f>AA498</f>
        <v>199.42</v>
      </c>
      <c r="CZ498">
        <f>AE498</f>
        <v>30.4</v>
      </c>
      <c r="DA498">
        <f>AI498</f>
        <v>6.56</v>
      </c>
      <c r="DB498">
        <f t="shared" si="76"/>
        <v>4.8600000000000003</v>
      </c>
      <c r="DC498">
        <f t="shared" si="77"/>
        <v>0</v>
      </c>
    </row>
    <row r="499" spans="1:107" x14ac:dyDescent="0.2">
      <c r="A499">
        <f>ROW(Source!A358)</f>
        <v>358</v>
      </c>
      <c r="B499">
        <v>16748969</v>
      </c>
      <c r="C499">
        <v>16751190</v>
      </c>
      <c r="D499">
        <v>15167600</v>
      </c>
      <c r="E499">
        <v>1</v>
      </c>
      <c r="F499">
        <v>1</v>
      </c>
      <c r="G499">
        <v>1</v>
      </c>
      <c r="H499">
        <v>3</v>
      </c>
      <c r="I499" t="s">
        <v>1476</v>
      </c>
      <c r="J499" t="s">
        <v>1477</v>
      </c>
      <c r="K499" t="s">
        <v>1478</v>
      </c>
      <c r="L499">
        <v>1308</v>
      </c>
      <c r="N499">
        <v>1003</v>
      </c>
      <c r="O499" t="s">
        <v>34</v>
      </c>
      <c r="P499" t="s">
        <v>34</v>
      </c>
      <c r="Q499">
        <v>100</v>
      </c>
      <c r="W499">
        <v>0</v>
      </c>
      <c r="X499">
        <v>568244124</v>
      </c>
      <c r="Y499">
        <v>5.5E-2</v>
      </c>
      <c r="AA499">
        <v>787.2</v>
      </c>
      <c r="AB499">
        <v>0</v>
      </c>
      <c r="AC499">
        <v>0</v>
      </c>
      <c r="AD499">
        <v>0</v>
      </c>
      <c r="AE499">
        <v>120</v>
      </c>
      <c r="AF499">
        <v>0</v>
      </c>
      <c r="AG499">
        <v>0</v>
      </c>
      <c r="AH499">
        <v>0</v>
      </c>
      <c r="AI499">
        <v>6.56</v>
      </c>
      <c r="AJ499">
        <v>1</v>
      </c>
      <c r="AK499">
        <v>1</v>
      </c>
      <c r="AL499">
        <v>1</v>
      </c>
      <c r="AN499">
        <v>0</v>
      </c>
      <c r="AO499">
        <v>1</v>
      </c>
      <c r="AP499">
        <v>0</v>
      </c>
      <c r="AQ499">
        <v>0</v>
      </c>
      <c r="AR499">
        <v>0</v>
      </c>
      <c r="AS499" t="s">
        <v>6</v>
      </c>
      <c r="AT499">
        <v>5.5E-2</v>
      </c>
      <c r="AU499" t="s">
        <v>6</v>
      </c>
      <c r="AV499">
        <v>0</v>
      </c>
      <c r="AW499">
        <v>2</v>
      </c>
      <c r="AX499">
        <v>16751205</v>
      </c>
      <c r="AY499">
        <v>1</v>
      </c>
      <c r="AZ499">
        <v>0</v>
      </c>
      <c r="BA499">
        <v>466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0</v>
      </c>
      <c r="BJ499">
        <v>0</v>
      </c>
      <c r="BK499">
        <v>0</v>
      </c>
      <c r="BL499">
        <v>0</v>
      </c>
      <c r="BM499">
        <v>0</v>
      </c>
      <c r="BN499">
        <v>0</v>
      </c>
      <c r="BO499">
        <v>0</v>
      </c>
      <c r="BP499">
        <v>0</v>
      </c>
      <c r="BQ499">
        <v>0</v>
      </c>
      <c r="BR499">
        <v>0</v>
      </c>
      <c r="BS499">
        <v>0</v>
      </c>
      <c r="BT499">
        <v>0</v>
      </c>
      <c r="BU499">
        <v>0</v>
      </c>
      <c r="BV499">
        <v>0</v>
      </c>
      <c r="BW499">
        <v>0</v>
      </c>
      <c r="CX499">
        <f>Y499*Source!I358</f>
        <v>0.26455000000000001</v>
      </c>
      <c r="CY499">
        <f>AA499</f>
        <v>787.2</v>
      </c>
      <c r="CZ499">
        <f>AE499</f>
        <v>120</v>
      </c>
      <c r="DA499">
        <f>AI499</f>
        <v>6.56</v>
      </c>
      <c r="DB499">
        <f t="shared" si="76"/>
        <v>6.6</v>
      </c>
      <c r="DC499">
        <f t="shared" si="77"/>
        <v>0</v>
      </c>
    </row>
    <row r="500" spans="1:107" x14ac:dyDescent="0.2">
      <c r="A500">
        <f>ROW(Source!A358)</f>
        <v>358</v>
      </c>
      <c r="B500">
        <v>16748969</v>
      </c>
      <c r="C500">
        <v>16751190</v>
      </c>
      <c r="D500">
        <v>15203834</v>
      </c>
      <c r="E500">
        <v>1</v>
      </c>
      <c r="F500">
        <v>1</v>
      </c>
      <c r="G500">
        <v>1</v>
      </c>
      <c r="H500">
        <v>3</v>
      </c>
      <c r="I500" t="s">
        <v>1411</v>
      </c>
      <c r="J500" t="s">
        <v>1412</v>
      </c>
      <c r="K500" t="s">
        <v>374</v>
      </c>
      <c r="L500">
        <v>1346</v>
      </c>
      <c r="N500">
        <v>1009</v>
      </c>
      <c r="O500" t="s">
        <v>323</v>
      </c>
      <c r="P500" t="s">
        <v>323</v>
      </c>
      <c r="Q500">
        <v>1</v>
      </c>
      <c r="W500">
        <v>0</v>
      </c>
      <c r="X500">
        <v>210558753</v>
      </c>
      <c r="Y500">
        <v>0.05</v>
      </c>
      <c r="AA500">
        <v>187.62</v>
      </c>
      <c r="AB500">
        <v>0</v>
      </c>
      <c r="AC500">
        <v>0</v>
      </c>
      <c r="AD500">
        <v>0</v>
      </c>
      <c r="AE500">
        <v>28.6</v>
      </c>
      <c r="AF500">
        <v>0</v>
      </c>
      <c r="AG500">
        <v>0</v>
      </c>
      <c r="AH500">
        <v>0</v>
      </c>
      <c r="AI500">
        <v>6.56</v>
      </c>
      <c r="AJ500">
        <v>1</v>
      </c>
      <c r="AK500">
        <v>1</v>
      </c>
      <c r="AL500">
        <v>1</v>
      </c>
      <c r="AN500">
        <v>0</v>
      </c>
      <c r="AO500">
        <v>1</v>
      </c>
      <c r="AP500">
        <v>0</v>
      </c>
      <c r="AQ500">
        <v>0</v>
      </c>
      <c r="AR500">
        <v>0</v>
      </c>
      <c r="AS500" t="s">
        <v>6</v>
      </c>
      <c r="AT500">
        <v>0.05</v>
      </c>
      <c r="AU500" t="s">
        <v>6</v>
      </c>
      <c r="AV500">
        <v>0</v>
      </c>
      <c r="AW500">
        <v>2</v>
      </c>
      <c r="AX500">
        <v>16751206</v>
      </c>
      <c r="AY500">
        <v>1</v>
      </c>
      <c r="AZ500">
        <v>0</v>
      </c>
      <c r="BA500">
        <v>467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0</v>
      </c>
      <c r="BH500">
        <v>0</v>
      </c>
      <c r="BI500">
        <v>0</v>
      </c>
      <c r="BJ500">
        <v>0</v>
      </c>
      <c r="BK500">
        <v>0</v>
      </c>
      <c r="BL500">
        <v>0</v>
      </c>
      <c r="BM500">
        <v>0</v>
      </c>
      <c r="BN500">
        <v>0</v>
      </c>
      <c r="BO500">
        <v>0</v>
      </c>
      <c r="BP500">
        <v>0</v>
      </c>
      <c r="BQ500">
        <v>0</v>
      </c>
      <c r="BR500">
        <v>0</v>
      </c>
      <c r="BS500">
        <v>0</v>
      </c>
      <c r="BT500">
        <v>0</v>
      </c>
      <c r="BU500">
        <v>0</v>
      </c>
      <c r="BV500">
        <v>0</v>
      </c>
      <c r="BW500">
        <v>0</v>
      </c>
      <c r="CX500">
        <f>Y500*Source!I358</f>
        <v>0.24049999999999999</v>
      </c>
      <c r="CY500">
        <f>AA500</f>
        <v>187.62</v>
      </c>
      <c r="CZ500">
        <f>AE500</f>
        <v>28.6</v>
      </c>
      <c r="DA500">
        <f>AI500</f>
        <v>6.56</v>
      </c>
      <c r="DB500">
        <f t="shared" si="76"/>
        <v>1.43</v>
      </c>
      <c r="DC500">
        <f t="shared" si="77"/>
        <v>0</v>
      </c>
    </row>
    <row r="501" spans="1:107" x14ac:dyDescent="0.2">
      <c r="A501">
        <f>ROW(Source!A358)</f>
        <v>358</v>
      </c>
      <c r="B501">
        <v>16748969</v>
      </c>
      <c r="C501">
        <v>16751190</v>
      </c>
      <c r="D501">
        <v>15223029</v>
      </c>
      <c r="E501">
        <v>1</v>
      </c>
      <c r="F501">
        <v>1</v>
      </c>
      <c r="G501">
        <v>1</v>
      </c>
      <c r="H501">
        <v>3</v>
      </c>
      <c r="I501" t="s">
        <v>739</v>
      </c>
      <c r="J501" t="s">
        <v>741</v>
      </c>
      <c r="K501" t="s">
        <v>740</v>
      </c>
      <c r="L501">
        <v>1477</v>
      </c>
      <c r="N501">
        <v>1013</v>
      </c>
      <c r="O501" t="s">
        <v>641</v>
      </c>
      <c r="P501" t="s">
        <v>643</v>
      </c>
      <c r="Q501">
        <v>1</v>
      </c>
      <c r="W501">
        <v>0</v>
      </c>
      <c r="X501">
        <v>559331636</v>
      </c>
      <c r="Y501">
        <v>0.1</v>
      </c>
      <c r="AA501">
        <v>45397.89</v>
      </c>
      <c r="AB501">
        <v>0</v>
      </c>
      <c r="AC501">
        <v>0</v>
      </c>
      <c r="AD501">
        <v>0</v>
      </c>
      <c r="AE501">
        <v>6920.41</v>
      </c>
      <c r="AF501">
        <v>0</v>
      </c>
      <c r="AG501">
        <v>0</v>
      </c>
      <c r="AH501">
        <v>0</v>
      </c>
      <c r="AI501">
        <v>6.56</v>
      </c>
      <c r="AJ501">
        <v>1</v>
      </c>
      <c r="AK501">
        <v>1</v>
      </c>
      <c r="AL501">
        <v>1</v>
      </c>
      <c r="AN501">
        <v>0</v>
      </c>
      <c r="AO501">
        <v>0</v>
      </c>
      <c r="AP501">
        <v>0</v>
      </c>
      <c r="AQ501">
        <v>0</v>
      </c>
      <c r="AR501">
        <v>0</v>
      </c>
      <c r="AS501" t="s">
        <v>6</v>
      </c>
      <c r="AT501">
        <v>0.1</v>
      </c>
      <c r="AU501" t="s">
        <v>6</v>
      </c>
      <c r="AV501">
        <v>0</v>
      </c>
      <c r="AW501">
        <v>1</v>
      </c>
      <c r="AX501">
        <v>-1</v>
      </c>
      <c r="AY501">
        <v>0</v>
      </c>
      <c r="AZ501">
        <v>0</v>
      </c>
      <c r="BA501" t="s">
        <v>6</v>
      </c>
      <c r="BB501">
        <v>0</v>
      </c>
      <c r="BC501">
        <v>0</v>
      </c>
      <c r="BD501">
        <v>0</v>
      </c>
      <c r="BE501">
        <v>0</v>
      </c>
      <c r="BF501">
        <v>0</v>
      </c>
      <c r="BG501">
        <v>0</v>
      </c>
      <c r="BH501">
        <v>0</v>
      </c>
      <c r="BI501">
        <v>0</v>
      </c>
      <c r="BJ501">
        <v>0</v>
      </c>
      <c r="BK501">
        <v>0</v>
      </c>
      <c r="BL501">
        <v>0</v>
      </c>
      <c r="BM501">
        <v>0</v>
      </c>
      <c r="BN501">
        <v>0</v>
      </c>
      <c r="BO501">
        <v>0</v>
      </c>
      <c r="BP501">
        <v>0</v>
      </c>
      <c r="BQ501">
        <v>0</v>
      </c>
      <c r="BR501">
        <v>0</v>
      </c>
      <c r="BS501">
        <v>0</v>
      </c>
      <c r="BT501">
        <v>0</v>
      </c>
      <c r="BU501">
        <v>0</v>
      </c>
      <c r="BV501">
        <v>0</v>
      </c>
      <c r="BW501">
        <v>0</v>
      </c>
      <c r="CX501">
        <f>Y501*Source!I358</f>
        <v>0.48099999999999998</v>
      </c>
      <c r="CY501">
        <f>AA501</f>
        <v>45397.89</v>
      </c>
      <c r="CZ501">
        <f>AE501</f>
        <v>6920.41</v>
      </c>
      <c r="DA501">
        <f>AI501</f>
        <v>6.56</v>
      </c>
      <c r="DB501">
        <f t="shared" si="76"/>
        <v>692.04</v>
      </c>
      <c r="DC501">
        <f t="shared" si="77"/>
        <v>0</v>
      </c>
    </row>
    <row r="502" spans="1:107" x14ac:dyDescent="0.2">
      <c r="A502">
        <f>ROW(Source!A358)</f>
        <v>358</v>
      </c>
      <c r="B502">
        <v>16748969</v>
      </c>
      <c r="C502">
        <v>16751190</v>
      </c>
      <c r="D502">
        <v>15164559</v>
      </c>
      <c r="E502">
        <v>17</v>
      </c>
      <c r="F502">
        <v>1</v>
      </c>
      <c r="G502">
        <v>1</v>
      </c>
      <c r="H502">
        <v>3</v>
      </c>
      <c r="I502" t="s">
        <v>1383</v>
      </c>
      <c r="J502" t="s">
        <v>6</v>
      </c>
      <c r="K502" t="s">
        <v>1384</v>
      </c>
      <c r="L502">
        <v>1374</v>
      </c>
      <c r="N502">
        <v>1013</v>
      </c>
      <c r="O502" t="s">
        <v>1385</v>
      </c>
      <c r="P502" t="s">
        <v>1385</v>
      </c>
      <c r="Q502">
        <v>1</v>
      </c>
      <c r="W502">
        <v>0</v>
      </c>
      <c r="X502">
        <v>-1731369543</v>
      </c>
      <c r="Y502">
        <v>0.71</v>
      </c>
      <c r="AA502">
        <v>1</v>
      </c>
      <c r="AB502">
        <v>0</v>
      </c>
      <c r="AC502">
        <v>0</v>
      </c>
      <c r="AD502">
        <v>0</v>
      </c>
      <c r="AE502">
        <v>1</v>
      </c>
      <c r="AF502">
        <v>0</v>
      </c>
      <c r="AG502">
        <v>0</v>
      </c>
      <c r="AH502">
        <v>0</v>
      </c>
      <c r="AI502">
        <v>1</v>
      </c>
      <c r="AJ502">
        <v>1</v>
      </c>
      <c r="AK502">
        <v>1</v>
      </c>
      <c r="AL502">
        <v>1</v>
      </c>
      <c r="AN502">
        <v>0</v>
      </c>
      <c r="AO502">
        <v>1</v>
      </c>
      <c r="AP502">
        <v>0</v>
      </c>
      <c r="AQ502">
        <v>0</v>
      </c>
      <c r="AR502">
        <v>0</v>
      </c>
      <c r="AS502" t="s">
        <v>6</v>
      </c>
      <c r="AT502">
        <v>0.71</v>
      </c>
      <c r="AU502" t="s">
        <v>6</v>
      </c>
      <c r="AV502">
        <v>0</v>
      </c>
      <c r="AW502">
        <v>2</v>
      </c>
      <c r="AX502">
        <v>16751207</v>
      </c>
      <c r="AY502">
        <v>1</v>
      </c>
      <c r="AZ502">
        <v>0</v>
      </c>
      <c r="BA502">
        <v>468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0</v>
      </c>
      <c r="BJ502">
        <v>0</v>
      </c>
      <c r="BK502">
        <v>0</v>
      </c>
      <c r="BL502">
        <v>0</v>
      </c>
      <c r="BM502">
        <v>0</v>
      </c>
      <c r="BN502">
        <v>0</v>
      </c>
      <c r="BO502">
        <v>0</v>
      </c>
      <c r="BP502">
        <v>0</v>
      </c>
      <c r="BQ502">
        <v>0</v>
      </c>
      <c r="BR502">
        <v>0</v>
      </c>
      <c r="BS502">
        <v>0</v>
      </c>
      <c r="BT502">
        <v>0</v>
      </c>
      <c r="BU502">
        <v>0</v>
      </c>
      <c r="BV502">
        <v>0</v>
      </c>
      <c r="BW502">
        <v>0</v>
      </c>
      <c r="CX502">
        <f>Y502*Source!I358</f>
        <v>3.4150999999999994</v>
      </c>
      <c r="CY502">
        <f>AA502</f>
        <v>1</v>
      </c>
      <c r="CZ502">
        <f>AE502</f>
        <v>1</v>
      </c>
      <c r="DA502">
        <f>AI502</f>
        <v>1</v>
      </c>
      <c r="DB502">
        <f t="shared" si="76"/>
        <v>0.71</v>
      </c>
      <c r="DC502">
        <f t="shared" si="77"/>
        <v>0</v>
      </c>
    </row>
    <row r="503" spans="1:107" x14ac:dyDescent="0.2">
      <c r="A503">
        <f>ROW(Source!A360)</f>
        <v>360</v>
      </c>
      <c r="B503">
        <v>16748969</v>
      </c>
      <c r="C503">
        <v>16751209</v>
      </c>
      <c r="D503">
        <v>15438286</v>
      </c>
      <c r="E503">
        <v>1</v>
      </c>
      <c r="F503">
        <v>1</v>
      </c>
      <c r="G503">
        <v>1</v>
      </c>
      <c r="H503">
        <v>1</v>
      </c>
      <c r="I503" t="s">
        <v>1177</v>
      </c>
      <c r="J503" t="s">
        <v>6</v>
      </c>
      <c r="K503" t="s">
        <v>1178</v>
      </c>
      <c r="L503">
        <v>1191</v>
      </c>
      <c r="N503">
        <v>1013</v>
      </c>
      <c r="O503" t="s">
        <v>1072</v>
      </c>
      <c r="P503" t="s">
        <v>1072</v>
      </c>
      <c r="Q503">
        <v>1</v>
      </c>
      <c r="W503">
        <v>0</v>
      </c>
      <c r="X503">
        <v>-1027537862</v>
      </c>
      <c r="Y503">
        <v>15.2</v>
      </c>
      <c r="AA503">
        <v>0</v>
      </c>
      <c r="AB503">
        <v>0</v>
      </c>
      <c r="AC503">
        <v>0</v>
      </c>
      <c r="AD503">
        <v>60.22</v>
      </c>
      <c r="AE503">
        <v>0</v>
      </c>
      <c r="AF503">
        <v>0</v>
      </c>
      <c r="AG503">
        <v>0</v>
      </c>
      <c r="AH503">
        <v>9.18</v>
      </c>
      <c r="AI503">
        <v>1</v>
      </c>
      <c r="AJ503">
        <v>1</v>
      </c>
      <c r="AK503">
        <v>1</v>
      </c>
      <c r="AL503">
        <v>6.56</v>
      </c>
      <c r="AN503">
        <v>0</v>
      </c>
      <c r="AO503">
        <v>1</v>
      </c>
      <c r="AP503">
        <v>0</v>
      </c>
      <c r="AQ503">
        <v>0</v>
      </c>
      <c r="AR503">
        <v>0</v>
      </c>
      <c r="AS503" t="s">
        <v>6</v>
      </c>
      <c r="AT503">
        <v>15.2</v>
      </c>
      <c r="AU503" t="s">
        <v>6</v>
      </c>
      <c r="AV503">
        <v>1</v>
      </c>
      <c r="AW503">
        <v>2</v>
      </c>
      <c r="AX503">
        <v>16751214</v>
      </c>
      <c r="AY503">
        <v>1</v>
      </c>
      <c r="AZ503">
        <v>0</v>
      </c>
      <c r="BA503">
        <v>469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0</v>
      </c>
      <c r="BJ503">
        <v>0</v>
      </c>
      <c r="BK503">
        <v>0</v>
      </c>
      <c r="BL503">
        <v>0</v>
      </c>
      <c r="BM503">
        <v>0</v>
      </c>
      <c r="BN503">
        <v>0</v>
      </c>
      <c r="BO503">
        <v>0</v>
      </c>
      <c r="BP503">
        <v>0</v>
      </c>
      <c r="BQ503">
        <v>0</v>
      </c>
      <c r="BR503">
        <v>0</v>
      </c>
      <c r="BS503">
        <v>0</v>
      </c>
      <c r="BT503">
        <v>0</v>
      </c>
      <c r="BU503">
        <v>0</v>
      </c>
      <c r="BV503">
        <v>0</v>
      </c>
      <c r="BW503">
        <v>0</v>
      </c>
      <c r="CX503">
        <f>Y503*Source!I360</f>
        <v>8.6639999999999997</v>
      </c>
      <c r="CY503">
        <f>AD503</f>
        <v>60.22</v>
      </c>
      <c r="CZ503">
        <f>AH503</f>
        <v>9.18</v>
      </c>
      <c r="DA503">
        <f>AL503</f>
        <v>6.56</v>
      </c>
      <c r="DB503">
        <f t="shared" si="76"/>
        <v>139.54</v>
      </c>
      <c r="DC503">
        <f t="shared" si="77"/>
        <v>0</v>
      </c>
    </row>
    <row r="504" spans="1:107" x14ac:dyDescent="0.2">
      <c r="A504">
        <f>ROW(Source!A360)</f>
        <v>360</v>
      </c>
      <c r="B504">
        <v>16748969</v>
      </c>
      <c r="C504">
        <v>16751209</v>
      </c>
      <c r="D504">
        <v>15170155</v>
      </c>
      <c r="E504">
        <v>1</v>
      </c>
      <c r="F504">
        <v>1</v>
      </c>
      <c r="G504">
        <v>1</v>
      </c>
      <c r="H504">
        <v>3</v>
      </c>
      <c r="I504" t="s">
        <v>1405</v>
      </c>
      <c r="J504" t="s">
        <v>1406</v>
      </c>
      <c r="K504" t="s">
        <v>1407</v>
      </c>
      <c r="L504">
        <v>1355</v>
      </c>
      <c r="N504">
        <v>1010</v>
      </c>
      <c r="O504" t="s">
        <v>724</v>
      </c>
      <c r="P504" t="s">
        <v>724</v>
      </c>
      <c r="Q504">
        <v>100</v>
      </c>
      <c r="W504">
        <v>0</v>
      </c>
      <c r="X504">
        <v>1135215184</v>
      </c>
      <c r="Y504">
        <v>1.75</v>
      </c>
      <c r="AA504">
        <v>52.48</v>
      </c>
      <c r="AB504">
        <v>0</v>
      </c>
      <c r="AC504">
        <v>0</v>
      </c>
      <c r="AD504">
        <v>0</v>
      </c>
      <c r="AE504">
        <v>8</v>
      </c>
      <c r="AF504">
        <v>0</v>
      </c>
      <c r="AG504">
        <v>0</v>
      </c>
      <c r="AH504">
        <v>0</v>
      </c>
      <c r="AI504">
        <v>6.56</v>
      </c>
      <c r="AJ504">
        <v>1</v>
      </c>
      <c r="AK504">
        <v>1</v>
      </c>
      <c r="AL504">
        <v>1</v>
      </c>
      <c r="AN504">
        <v>0</v>
      </c>
      <c r="AO504">
        <v>1</v>
      </c>
      <c r="AP504">
        <v>0</v>
      </c>
      <c r="AQ504">
        <v>0</v>
      </c>
      <c r="AR504">
        <v>0</v>
      </c>
      <c r="AS504" t="s">
        <v>6</v>
      </c>
      <c r="AT504">
        <v>1.75</v>
      </c>
      <c r="AU504" t="s">
        <v>6</v>
      </c>
      <c r="AV504">
        <v>0</v>
      </c>
      <c r="AW504">
        <v>2</v>
      </c>
      <c r="AX504">
        <v>16751215</v>
      </c>
      <c r="AY504">
        <v>1</v>
      </c>
      <c r="AZ504">
        <v>0</v>
      </c>
      <c r="BA504">
        <v>470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0</v>
      </c>
      <c r="BJ504">
        <v>0</v>
      </c>
      <c r="BK504">
        <v>0</v>
      </c>
      <c r="BL504">
        <v>0</v>
      </c>
      <c r="BM504">
        <v>0</v>
      </c>
      <c r="BN504">
        <v>0</v>
      </c>
      <c r="BO504">
        <v>0</v>
      </c>
      <c r="BP504">
        <v>0</v>
      </c>
      <c r="BQ504">
        <v>0</v>
      </c>
      <c r="BR504">
        <v>0</v>
      </c>
      <c r="BS504">
        <v>0</v>
      </c>
      <c r="BT504">
        <v>0</v>
      </c>
      <c r="BU504">
        <v>0</v>
      </c>
      <c r="BV504">
        <v>0</v>
      </c>
      <c r="BW504">
        <v>0</v>
      </c>
      <c r="CX504">
        <f>Y504*Source!I360</f>
        <v>0.99749999999999994</v>
      </c>
      <c r="CY504">
        <f>AA504</f>
        <v>52.48</v>
      </c>
      <c r="CZ504">
        <f>AE504</f>
        <v>8</v>
      </c>
      <c r="DA504">
        <f>AI504</f>
        <v>6.56</v>
      </c>
      <c r="DB504">
        <f t="shared" si="76"/>
        <v>14</v>
      </c>
      <c r="DC504">
        <f t="shared" si="77"/>
        <v>0</v>
      </c>
    </row>
    <row r="505" spans="1:107" x14ac:dyDescent="0.2">
      <c r="A505">
        <f>ROW(Source!A360)</f>
        <v>360</v>
      </c>
      <c r="B505">
        <v>16748969</v>
      </c>
      <c r="C505">
        <v>16751209</v>
      </c>
      <c r="D505">
        <v>15233333</v>
      </c>
      <c r="E505">
        <v>1</v>
      </c>
      <c r="F505">
        <v>1</v>
      </c>
      <c r="G505">
        <v>1</v>
      </c>
      <c r="H505">
        <v>3</v>
      </c>
      <c r="I505" t="s">
        <v>630</v>
      </c>
      <c r="J505" t="s">
        <v>633</v>
      </c>
      <c r="K505" t="s">
        <v>631</v>
      </c>
      <c r="L505">
        <v>1302</v>
      </c>
      <c r="N505">
        <v>1003</v>
      </c>
      <c r="O505" t="s">
        <v>632</v>
      </c>
      <c r="P505" t="s">
        <v>632</v>
      </c>
      <c r="Q505">
        <v>10</v>
      </c>
      <c r="W505">
        <v>0</v>
      </c>
      <c r="X505">
        <v>-819900352</v>
      </c>
      <c r="Y505">
        <v>10</v>
      </c>
      <c r="AA505">
        <v>105.68</v>
      </c>
      <c r="AB505">
        <v>0</v>
      </c>
      <c r="AC505">
        <v>0</v>
      </c>
      <c r="AD505">
        <v>0</v>
      </c>
      <c r="AE505">
        <v>16.11</v>
      </c>
      <c r="AF505">
        <v>0</v>
      </c>
      <c r="AG505">
        <v>0</v>
      </c>
      <c r="AH505">
        <v>0</v>
      </c>
      <c r="AI505">
        <v>6.56</v>
      </c>
      <c r="AJ505">
        <v>1</v>
      </c>
      <c r="AK505">
        <v>1</v>
      </c>
      <c r="AL505">
        <v>1</v>
      </c>
      <c r="AN505">
        <v>0</v>
      </c>
      <c r="AO505">
        <v>0</v>
      </c>
      <c r="AP505">
        <v>0</v>
      </c>
      <c r="AQ505">
        <v>0</v>
      </c>
      <c r="AR505">
        <v>0</v>
      </c>
      <c r="AS505" t="s">
        <v>6</v>
      </c>
      <c r="AT505">
        <v>10</v>
      </c>
      <c r="AU505" t="s">
        <v>6</v>
      </c>
      <c r="AV505">
        <v>0</v>
      </c>
      <c r="AW505">
        <v>1</v>
      </c>
      <c r="AX505">
        <v>-1</v>
      </c>
      <c r="AY505">
        <v>0</v>
      </c>
      <c r="AZ505">
        <v>0</v>
      </c>
      <c r="BA505" t="s">
        <v>6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0</v>
      </c>
      <c r="BJ505">
        <v>0</v>
      </c>
      <c r="BK505">
        <v>0</v>
      </c>
      <c r="BL505">
        <v>0</v>
      </c>
      <c r="BM505">
        <v>0</v>
      </c>
      <c r="BN505">
        <v>0</v>
      </c>
      <c r="BO505">
        <v>0</v>
      </c>
      <c r="BP505">
        <v>0</v>
      </c>
      <c r="BQ505">
        <v>0</v>
      </c>
      <c r="BR505">
        <v>0</v>
      </c>
      <c r="BS505">
        <v>0</v>
      </c>
      <c r="BT505">
        <v>0</v>
      </c>
      <c r="BU505">
        <v>0</v>
      </c>
      <c r="BV505">
        <v>0</v>
      </c>
      <c r="BW505">
        <v>0</v>
      </c>
      <c r="CX505">
        <f>Y505*Source!I360</f>
        <v>5.6999999999999993</v>
      </c>
      <c r="CY505">
        <f>AA505</f>
        <v>105.68</v>
      </c>
      <c r="CZ505">
        <f>AE505</f>
        <v>16.11</v>
      </c>
      <c r="DA505">
        <f>AI505</f>
        <v>6.56</v>
      </c>
      <c r="DB505">
        <f t="shared" si="76"/>
        <v>161.1</v>
      </c>
      <c r="DC505">
        <f t="shared" si="77"/>
        <v>0</v>
      </c>
    </row>
    <row r="506" spans="1:107" x14ac:dyDescent="0.2">
      <c r="A506">
        <f>ROW(Source!A360)</f>
        <v>360</v>
      </c>
      <c r="B506">
        <v>16748969</v>
      </c>
      <c r="C506">
        <v>16751209</v>
      </c>
      <c r="D506">
        <v>15164559</v>
      </c>
      <c r="E506">
        <v>17</v>
      </c>
      <c r="F506">
        <v>1</v>
      </c>
      <c r="G506">
        <v>1</v>
      </c>
      <c r="H506">
        <v>3</v>
      </c>
      <c r="I506" t="s">
        <v>1383</v>
      </c>
      <c r="J506" t="s">
        <v>6</v>
      </c>
      <c r="K506" t="s">
        <v>1384</v>
      </c>
      <c r="L506">
        <v>1374</v>
      </c>
      <c r="N506">
        <v>1013</v>
      </c>
      <c r="O506" t="s">
        <v>1385</v>
      </c>
      <c r="P506" t="s">
        <v>1385</v>
      </c>
      <c r="Q506">
        <v>1</v>
      </c>
      <c r="W506">
        <v>0</v>
      </c>
      <c r="X506">
        <v>-1731369543</v>
      </c>
      <c r="Y506">
        <v>2.79</v>
      </c>
      <c r="AA506">
        <v>1</v>
      </c>
      <c r="AB506">
        <v>0</v>
      </c>
      <c r="AC506">
        <v>0</v>
      </c>
      <c r="AD506">
        <v>0</v>
      </c>
      <c r="AE506">
        <v>1</v>
      </c>
      <c r="AF506">
        <v>0</v>
      </c>
      <c r="AG506">
        <v>0</v>
      </c>
      <c r="AH506">
        <v>0</v>
      </c>
      <c r="AI506">
        <v>1</v>
      </c>
      <c r="AJ506">
        <v>1</v>
      </c>
      <c r="AK506">
        <v>1</v>
      </c>
      <c r="AL506">
        <v>1</v>
      </c>
      <c r="AN506">
        <v>0</v>
      </c>
      <c r="AO506">
        <v>1</v>
      </c>
      <c r="AP506">
        <v>0</v>
      </c>
      <c r="AQ506">
        <v>0</v>
      </c>
      <c r="AR506">
        <v>0</v>
      </c>
      <c r="AS506" t="s">
        <v>6</v>
      </c>
      <c r="AT506">
        <v>2.79</v>
      </c>
      <c r="AU506" t="s">
        <v>6</v>
      </c>
      <c r="AV506">
        <v>0</v>
      </c>
      <c r="AW506">
        <v>2</v>
      </c>
      <c r="AX506">
        <v>16751216</v>
      </c>
      <c r="AY506">
        <v>1</v>
      </c>
      <c r="AZ506">
        <v>0</v>
      </c>
      <c r="BA506">
        <v>471</v>
      </c>
      <c r="BB506">
        <v>0</v>
      </c>
      <c r="BC506">
        <v>0</v>
      </c>
      <c r="BD506">
        <v>0</v>
      </c>
      <c r="BE506">
        <v>0</v>
      </c>
      <c r="BF506">
        <v>0</v>
      </c>
      <c r="BG506">
        <v>0</v>
      </c>
      <c r="BH506">
        <v>0</v>
      </c>
      <c r="BI506">
        <v>0</v>
      </c>
      <c r="BJ506">
        <v>0</v>
      </c>
      <c r="BK506">
        <v>0</v>
      </c>
      <c r="BL506">
        <v>0</v>
      </c>
      <c r="BM506">
        <v>0</v>
      </c>
      <c r="BN506">
        <v>0</v>
      </c>
      <c r="BO506">
        <v>0</v>
      </c>
      <c r="BP506">
        <v>0</v>
      </c>
      <c r="BQ506">
        <v>0</v>
      </c>
      <c r="BR506">
        <v>0</v>
      </c>
      <c r="BS506">
        <v>0</v>
      </c>
      <c r="BT506">
        <v>0</v>
      </c>
      <c r="BU506">
        <v>0</v>
      </c>
      <c r="BV506">
        <v>0</v>
      </c>
      <c r="BW506">
        <v>0</v>
      </c>
      <c r="CX506">
        <f>Y506*Source!I360</f>
        <v>1.5902999999999998</v>
      </c>
      <c r="CY506">
        <f>AA506</f>
        <v>1</v>
      </c>
      <c r="CZ506">
        <f>AE506</f>
        <v>1</v>
      </c>
      <c r="DA506">
        <f>AI506</f>
        <v>1</v>
      </c>
      <c r="DB506">
        <f t="shared" si="76"/>
        <v>2.79</v>
      </c>
      <c r="DC506">
        <f t="shared" si="77"/>
        <v>0</v>
      </c>
    </row>
    <row r="507" spans="1:107" x14ac:dyDescent="0.2">
      <c r="A507">
        <f>ROW(Source!A362)</f>
        <v>362</v>
      </c>
      <c r="B507">
        <v>16748969</v>
      </c>
      <c r="C507">
        <v>16751218</v>
      </c>
      <c r="D507">
        <v>15430397</v>
      </c>
      <c r="E507">
        <v>1</v>
      </c>
      <c r="F507">
        <v>1</v>
      </c>
      <c r="G507">
        <v>1</v>
      </c>
      <c r="H507">
        <v>1</v>
      </c>
      <c r="I507" t="s">
        <v>1234</v>
      </c>
      <c r="J507" t="s">
        <v>6</v>
      </c>
      <c r="K507" t="s">
        <v>1235</v>
      </c>
      <c r="L507">
        <v>1191</v>
      </c>
      <c r="N507">
        <v>1013</v>
      </c>
      <c r="O507" t="s">
        <v>1072</v>
      </c>
      <c r="P507" t="s">
        <v>1072</v>
      </c>
      <c r="Q507">
        <v>1</v>
      </c>
      <c r="W507">
        <v>0</v>
      </c>
      <c r="X507">
        <v>-1081351934</v>
      </c>
      <c r="Y507">
        <v>6.29</v>
      </c>
      <c r="AA507">
        <v>0</v>
      </c>
      <c r="AB507">
        <v>0</v>
      </c>
      <c r="AC507">
        <v>0</v>
      </c>
      <c r="AD507">
        <v>61.66</v>
      </c>
      <c r="AE507">
        <v>0</v>
      </c>
      <c r="AF507">
        <v>0</v>
      </c>
      <c r="AG507">
        <v>0</v>
      </c>
      <c r="AH507">
        <v>9.4</v>
      </c>
      <c r="AI507">
        <v>1</v>
      </c>
      <c r="AJ507">
        <v>1</v>
      </c>
      <c r="AK507">
        <v>1</v>
      </c>
      <c r="AL507">
        <v>6.56</v>
      </c>
      <c r="AN507">
        <v>0</v>
      </c>
      <c r="AO507">
        <v>1</v>
      </c>
      <c r="AP507">
        <v>0</v>
      </c>
      <c r="AQ507">
        <v>0</v>
      </c>
      <c r="AR507">
        <v>0</v>
      </c>
      <c r="AS507" t="s">
        <v>6</v>
      </c>
      <c r="AT507">
        <v>6.29</v>
      </c>
      <c r="AU507" t="s">
        <v>6</v>
      </c>
      <c r="AV507">
        <v>1</v>
      </c>
      <c r="AW507">
        <v>2</v>
      </c>
      <c r="AX507">
        <v>16751230</v>
      </c>
      <c r="AY507">
        <v>1</v>
      </c>
      <c r="AZ507">
        <v>0</v>
      </c>
      <c r="BA507">
        <v>472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0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0</v>
      </c>
      <c r="BP507">
        <v>0</v>
      </c>
      <c r="BQ507">
        <v>0</v>
      </c>
      <c r="BR507">
        <v>0</v>
      </c>
      <c r="BS507">
        <v>0</v>
      </c>
      <c r="BT507">
        <v>0</v>
      </c>
      <c r="BU507">
        <v>0</v>
      </c>
      <c r="BV507">
        <v>0</v>
      </c>
      <c r="BW507">
        <v>0</v>
      </c>
      <c r="CX507">
        <f>Y507*Source!I362</f>
        <v>3.5852999999999997</v>
      </c>
      <c r="CY507">
        <f>AD507</f>
        <v>61.66</v>
      </c>
      <c r="CZ507">
        <f>AH507</f>
        <v>9.4</v>
      </c>
      <c r="DA507">
        <f>AL507</f>
        <v>6.56</v>
      </c>
      <c r="DB507">
        <f t="shared" si="76"/>
        <v>59.13</v>
      </c>
      <c r="DC507">
        <f t="shared" si="77"/>
        <v>0</v>
      </c>
    </row>
    <row r="508" spans="1:107" x14ac:dyDescent="0.2">
      <c r="A508">
        <f>ROW(Source!A362)</f>
        <v>362</v>
      </c>
      <c r="B508">
        <v>16748969</v>
      </c>
      <c r="C508">
        <v>16751218</v>
      </c>
      <c r="D508">
        <v>15430395</v>
      </c>
      <c r="E508">
        <v>1</v>
      </c>
      <c r="F508">
        <v>1</v>
      </c>
      <c r="G508">
        <v>1</v>
      </c>
      <c r="H508">
        <v>1</v>
      </c>
      <c r="I508" t="s">
        <v>1073</v>
      </c>
      <c r="J508" t="s">
        <v>6</v>
      </c>
      <c r="K508" t="s">
        <v>1074</v>
      </c>
      <c r="L508">
        <v>1191</v>
      </c>
      <c r="N508">
        <v>1013</v>
      </c>
      <c r="O508" t="s">
        <v>1072</v>
      </c>
      <c r="P508" t="s">
        <v>1072</v>
      </c>
      <c r="Q508">
        <v>1</v>
      </c>
      <c r="W508">
        <v>0</v>
      </c>
      <c r="X508">
        <v>-1417349443</v>
      </c>
      <c r="Y508">
        <v>0.06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0</v>
      </c>
      <c r="AG508">
        <v>0</v>
      </c>
      <c r="AH508">
        <v>0</v>
      </c>
      <c r="AI508">
        <v>1</v>
      </c>
      <c r="AJ508">
        <v>1</v>
      </c>
      <c r="AK508">
        <v>6.56</v>
      </c>
      <c r="AL508">
        <v>1</v>
      </c>
      <c r="AN508">
        <v>0</v>
      </c>
      <c r="AO508">
        <v>1</v>
      </c>
      <c r="AP508">
        <v>0</v>
      </c>
      <c r="AQ508">
        <v>0</v>
      </c>
      <c r="AR508">
        <v>0</v>
      </c>
      <c r="AS508" t="s">
        <v>6</v>
      </c>
      <c r="AT508">
        <v>0.06</v>
      </c>
      <c r="AU508" t="s">
        <v>6</v>
      </c>
      <c r="AV508">
        <v>2</v>
      </c>
      <c r="AW508">
        <v>2</v>
      </c>
      <c r="AX508">
        <v>16751231</v>
      </c>
      <c r="AY508">
        <v>1</v>
      </c>
      <c r="AZ508">
        <v>0</v>
      </c>
      <c r="BA508">
        <v>473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0</v>
      </c>
      <c r="BP508">
        <v>0</v>
      </c>
      <c r="BQ508">
        <v>0</v>
      </c>
      <c r="BR508">
        <v>0</v>
      </c>
      <c r="BS508">
        <v>0</v>
      </c>
      <c r="BT508">
        <v>0</v>
      </c>
      <c r="BU508">
        <v>0</v>
      </c>
      <c r="BV508">
        <v>0</v>
      </c>
      <c r="BW508">
        <v>0</v>
      </c>
      <c r="CX508">
        <f>Y508*Source!I362</f>
        <v>3.4199999999999994E-2</v>
      </c>
      <c r="CY508">
        <f>AD508</f>
        <v>0</v>
      </c>
      <c r="CZ508">
        <f>AH508</f>
        <v>0</v>
      </c>
      <c r="DA508">
        <f>AL508</f>
        <v>1</v>
      </c>
      <c r="DB508">
        <f t="shared" si="76"/>
        <v>0</v>
      </c>
      <c r="DC508">
        <f t="shared" si="77"/>
        <v>0</v>
      </c>
    </row>
    <row r="509" spans="1:107" x14ac:dyDescent="0.2">
      <c r="A509">
        <f>ROW(Source!A362)</f>
        <v>362</v>
      </c>
      <c r="B509">
        <v>16748969</v>
      </c>
      <c r="C509">
        <v>16751218</v>
      </c>
      <c r="D509">
        <v>15247680</v>
      </c>
      <c r="E509">
        <v>1</v>
      </c>
      <c r="F509">
        <v>1</v>
      </c>
      <c r="G509">
        <v>1</v>
      </c>
      <c r="H509">
        <v>2</v>
      </c>
      <c r="I509" t="s">
        <v>1211</v>
      </c>
      <c r="J509" t="s">
        <v>1212</v>
      </c>
      <c r="K509" t="s">
        <v>1213</v>
      </c>
      <c r="L509">
        <v>1368</v>
      </c>
      <c r="N509">
        <v>1011</v>
      </c>
      <c r="O509" t="s">
        <v>1078</v>
      </c>
      <c r="P509" t="s">
        <v>1078</v>
      </c>
      <c r="Q509">
        <v>1</v>
      </c>
      <c r="W509">
        <v>0</v>
      </c>
      <c r="X509">
        <v>-1718674368</v>
      </c>
      <c r="Y509">
        <v>0.03</v>
      </c>
      <c r="AA509">
        <v>0</v>
      </c>
      <c r="AB509">
        <v>734.65</v>
      </c>
      <c r="AC509">
        <v>13.5</v>
      </c>
      <c r="AD509">
        <v>0</v>
      </c>
      <c r="AE509">
        <v>0</v>
      </c>
      <c r="AF509">
        <v>111.99</v>
      </c>
      <c r="AG509">
        <v>13.5</v>
      </c>
      <c r="AH509">
        <v>0</v>
      </c>
      <c r="AI509">
        <v>1</v>
      </c>
      <c r="AJ509">
        <v>6.56</v>
      </c>
      <c r="AK509">
        <v>1</v>
      </c>
      <c r="AL509">
        <v>1</v>
      </c>
      <c r="AN509">
        <v>0</v>
      </c>
      <c r="AO509">
        <v>1</v>
      </c>
      <c r="AP509">
        <v>0</v>
      </c>
      <c r="AQ509">
        <v>0</v>
      </c>
      <c r="AR509">
        <v>0</v>
      </c>
      <c r="AS509" t="s">
        <v>6</v>
      </c>
      <c r="AT509">
        <v>0.03</v>
      </c>
      <c r="AU509" t="s">
        <v>6</v>
      </c>
      <c r="AV509">
        <v>0</v>
      </c>
      <c r="AW509">
        <v>2</v>
      </c>
      <c r="AX509">
        <v>16751232</v>
      </c>
      <c r="AY509">
        <v>1</v>
      </c>
      <c r="AZ509">
        <v>0</v>
      </c>
      <c r="BA509">
        <v>474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0</v>
      </c>
      <c r="BJ509">
        <v>0</v>
      </c>
      <c r="BK509">
        <v>0</v>
      </c>
      <c r="BL509">
        <v>0</v>
      </c>
      <c r="BM509">
        <v>0</v>
      </c>
      <c r="BN509">
        <v>0</v>
      </c>
      <c r="BO509">
        <v>0</v>
      </c>
      <c r="BP509">
        <v>0</v>
      </c>
      <c r="BQ509">
        <v>0</v>
      </c>
      <c r="BR509">
        <v>0</v>
      </c>
      <c r="BS509">
        <v>0</v>
      </c>
      <c r="BT509">
        <v>0</v>
      </c>
      <c r="BU509">
        <v>0</v>
      </c>
      <c r="BV509">
        <v>0</v>
      </c>
      <c r="BW509">
        <v>0</v>
      </c>
      <c r="CX509">
        <f>Y509*Source!I362</f>
        <v>1.7099999999999997E-2</v>
      </c>
      <c r="CY509">
        <f>AB509</f>
        <v>734.65</v>
      </c>
      <c r="CZ509">
        <f>AF509</f>
        <v>111.99</v>
      </c>
      <c r="DA509">
        <f>AJ509</f>
        <v>6.56</v>
      </c>
      <c r="DB509">
        <f t="shared" si="76"/>
        <v>3.36</v>
      </c>
      <c r="DC509">
        <f t="shared" si="77"/>
        <v>0.41</v>
      </c>
    </row>
    <row r="510" spans="1:107" x14ac:dyDescent="0.2">
      <c r="A510">
        <f>ROW(Source!A362)</f>
        <v>362</v>
      </c>
      <c r="B510">
        <v>16748969</v>
      </c>
      <c r="C510">
        <v>16751218</v>
      </c>
      <c r="D510">
        <v>15249073</v>
      </c>
      <c r="E510">
        <v>1</v>
      </c>
      <c r="F510">
        <v>1</v>
      </c>
      <c r="G510">
        <v>1</v>
      </c>
      <c r="H510">
        <v>2</v>
      </c>
      <c r="I510" t="s">
        <v>1097</v>
      </c>
      <c r="J510" t="s">
        <v>1098</v>
      </c>
      <c r="K510" t="s">
        <v>1099</v>
      </c>
      <c r="L510">
        <v>1368</v>
      </c>
      <c r="N510">
        <v>1011</v>
      </c>
      <c r="O510" t="s">
        <v>1078</v>
      </c>
      <c r="P510" t="s">
        <v>1078</v>
      </c>
      <c r="Q510">
        <v>1</v>
      </c>
      <c r="W510">
        <v>0</v>
      </c>
      <c r="X510">
        <v>1372534845</v>
      </c>
      <c r="Y510">
        <v>0.03</v>
      </c>
      <c r="AA510">
        <v>0</v>
      </c>
      <c r="AB510">
        <v>431.06</v>
      </c>
      <c r="AC510">
        <v>11.6</v>
      </c>
      <c r="AD510">
        <v>0</v>
      </c>
      <c r="AE510">
        <v>0</v>
      </c>
      <c r="AF510">
        <v>65.709999999999994</v>
      </c>
      <c r="AG510">
        <v>11.6</v>
      </c>
      <c r="AH510">
        <v>0</v>
      </c>
      <c r="AI510">
        <v>1</v>
      </c>
      <c r="AJ510">
        <v>6.56</v>
      </c>
      <c r="AK510">
        <v>1</v>
      </c>
      <c r="AL510">
        <v>1</v>
      </c>
      <c r="AN510">
        <v>0</v>
      </c>
      <c r="AO510">
        <v>1</v>
      </c>
      <c r="AP510">
        <v>0</v>
      </c>
      <c r="AQ510">
        <v>0</v>
      </c>
      <c r="AR510">
        <v>0</v>
      </c>
      <c r="AS510" t="s">
        <v>6</v>
      </c>
      <c r="AT510">
        <v>0.03</v>
      </c>
      <c r="AU510" t="s">
        <v>6</v>
      </c>
      <c r="AV510">
        <v>0</v>
      </c>
      <c r="AW510">
        <v>2</v>
      </c>
      <c r="AX510">
        <v>16751233</v>
      </c>
      <c r="AY510">
        <v>1</v>
      </c>
      <c r="AZ510">
        <v>0</v>
      </c>
      <c r="BA510">
        <v>475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0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0</v>
      </c>
      <c r="BP510">
        <v>0</v>
      </c>
      <c r="BQ510">
        <v>0</v>
      </c>
      <c r="BR510">
        <v>0</v>
      </c>
      <c r="BS510">
        <v>0</v>
      </c>
      <c r="BT510">
        <v>0</v>
      </c>
      <c r="BU510">
        <v>0</v>
      </c>
      <c r="BV510">
        <v>0</v>
      </c>
      <c r="BW510">
        <v>0</v>
      </c>
      <c r="CX510">
        <f>Y510*Source!I362</f>
        <v>1.7099999999999997E-2</v>
      </c>
      <c r="CY510">
        <f>AB510</f>
        <v>431.06</v>
      </c>
      <c r="CZ510">
        <f>AF510</f>
        <v>65.709999999999994</v>
      </c>
      <c r="DA510">
        <f>AJ510</f>
        <v>6.56</v>
      </c>
      <c r="DB510">
        <f t="shared" si="76"/>
        <v>1.97</v>
      </c>
      <c r="DC510">
        <f t="shared" si="77"/>
        <v>0.35</v>
      </c>
    </row>
    <row r="511" spans="1:107" x14ac:dyDescent="0.2">
      <c r="A511">
        <f>ROW(Source!A362)</f>
        <v>362</v>
      </c>
      <c r="B511">
        <v>16748969</v>
      </c>
      <c r="C511">
        <v>16751218</v>
      </c>
      <c r="D511">
        <v>15167588</v>
      </c>
      <c r="E511">
        <v>1</v>
      </c>
      <c r="F511">
        <v>1</v>
      </c>
      <c r="G511">
        <v>1</v>
      </c>
      <c r="H511">
        <v>3</v>
      </c>
      <c r="I511" t="s">
        <v>1388</v>
      </c>
      <c r="J511" t="s">
        <v>1389</v>
      </c>
      <c r="K511" t="s">
        <v>1390</v>
      </c>
      <c r="L511">
        <v>1346</v>
      </c>
      <c r="N511">
        <v>1009</v>
      </c>
      <c r="O511" t="s">
        <v>323</v>
      </c>
      <c r="P511" t="s">
        <v>323</v>
      </c>
      <c r="Q511">
        <v>1</v>
      </c>
      <c r="W511">
        <v>0</v>
      </c>
      <c r="X511">
        <v>-1088866022</v>
      </c>
      <c r="Y511">
        <v>0.32</v>
      </c>
      <c r="AA511">
        <v>199.42</v>
      </c>
      <c r="AB511">
        <v>0</v>
      </c>
      <c r="AC511">
        <v>0</v>
      </c>
      <c r="AD511">
        <v>0</v>
      </c>
      <c r="AE511">
        <v>30.4</v>
      </c>
      <c r="AF511">
        <v>0</v>
      </c>
      <c r="AG511">
        <v>0</v>
      </c>
      <c r="AH511">
        <v>0</v>
      </c>
      <c r="AI511">
        <v>6.56</v>
      </c>
      <c r="AJ511">
        <v>1</v>
      </c>
      <c r="AK511">
        <v>1</v>
      </c>
      <c r="AL511">
        <v>1</v>
      </c>
      <c r="AN511">
        <v>0</v>
      </c>
      <c r="AO511">
        <v>1</v>
      </c>
      <c r="AP511">
        <v>0</v>
      </c>
      <c r="AQ511">
        <v>0</v>
      </c>
      <c r="AR511">
        <v>0</v>
      </c>
      <c r="AS511" t="s">
        <v>6</v>
      </c>
      <c r="AT511">
        <v>0.32</v>
      </c>
      <c r="AU511" t="s">
        <v>6</v>
      </c>
      <c r="AV511">
        <v>0</v>
      </c>
      <c r="AW511">
        <v>2</v>
      </c>
      <c r="AX511">
        <v>16751234</v>
      </c>
      <c r="AY511">
        <v>1</v>
      </c>
      <c r="AZ511">
        <v>0</v>
      </c>
      <c r="BA511">
        <v>476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0</v>
      </c>
      <c r="BH511">
        <v>0</v>
      </c>
      <c r="BI511">
        <v>0</v>
      </c>
      <c r="BJ511">
        <v>0</v>
      </c>
      <c r="BK511">
        <v>0</v>
      </c>
      <c r="BL511">
        <v>0</v>
      </c>
      <c r="BM511">
        <v>0</v>
      </c>
      <c r="BN511">
        <v>0</v>
      </c>
      <c r="BO511">
        <v>0</v>
      </c>
      <c r="BP511">
        <v>0</v>
      </c>
      <c r="BQ511">
        <v>0</v>
      </c>
      <c r="BR511">
        <v>0</v>
      </c>
      <c r="BS511">
        <v>0</v>
      </c>
      <c r="BT511">
        <v>0</v>
      </c>
      <c r="BU511">
        <v>0</v>
      </c>
      <c r="BV511">
        <v>0</v>
      </c>
      <c r="BW511">
        <v>0</v>
      </c>
      <c r="CX511">
        <f>Y511*Source!I362</f>
        <v>0.18239999999999998</v>
      </c>
      <c r="CY511">
        <f t="shared" ref="CY511:CY517" si="81">AA511</f>
        <v>199.42</v>
      </c>
      <c r="CZ511">
        <f t="shared" ref="CZ511:CZ517" si="82">AE511</f>
        <v>30.4</v>
      </c>
      <c r="DA511">
        <f t="shared" ref="DA511:DA517" si="83">AI511</f>
        <v>6.56</v>
      </c>
      <c r="DB511">
        <f t="shared" si="76"/>
        <v>9.73</v>
      </c>
      <c r="DC511">
        <f t="shared" si="77"/>
        <v>0</v>
      </c>
    </row>
    <row r="512" spans="1:107" x14ac:dyDescent="0.2">
      <c r="A512">
        <f>ROW(Source!A362)</f>
        <v>362</v>
      </c>
      <c r="B512">
        <v>16748969</v>
      </c>
      <c r="C512">
        <v>16751218</v>
      </c>
      <c r="D512">
        <v>15167867</v>
      </c>
      <c r="E512">
        <v>1</v>
      </c>
      <c r="F512">
        <v>1</v>
      </c>
      <c r="G512">
        <v>1</v>
      </c>
      <c r="H512">
        <v>3</v>
      </c>
      <c r="I512" t="s">
        <v>1408</v>
      </c>
      <c r="J512" t="s">
        <v>1409</v>
      </c>
      <c r="K512" t="s">
        <v>1410</v>
      </c>
      <c r="L512">
        <v>1348</v>
      </c>
      <c r="N512">
        <v>1009</v>
      </c>
      <c r="O512" t="s">
        <v>71</v>
      </c>
      <c r="P512" t="s">
        <v>71</v>
      </c>
      <c r="Q512">
        <v>1000</v>
      </c>
      <c r="W512">
        <v>0</v>
      </c>
      <c r="X512">
        <v>1012095217</v>
      </c>
      <c r="Y512">
        <v>1.0499999999999999E-3</v>
      </c>
      <c r="AA512">
        <v>11939.2</v>
      </c>
      <c r="AB512">
        <v>0</v>
      </c>
      <c r="AC512">
        <v>0</v>
      </c>
      <c r="AD512">
        <v>0</v>
      </c>
      <c r="AE512">
        <v>1820</v>
      </c>
      <c r="AF512">
        <v>0</v>
      </c>
      <c r="AG512">
        <v>0</v>
      </c>
      <c r="AH512">
        <v>0</v>
      </c>
      <c r="AI512">
        <v>6.56</v>
      </c>
      <c r="AJ512">
        <v>1</v>
      </c>
      <c r="AK512">
        <v>1</v>
      </c>
      <c r="AL512">
        <v>1</v>
      </c>
      <c r="AN512">
        <v>0</v>
      </c>
      <c r="AO512">
        <v>1</v>
      </c>
      <c r="AP512">
        <v>0</v>
      </c>
      <c r="AQ512">
        <v>0</v>
      </c>
      <c r="AR512">
        <v>0</v>
      </c>
      <c r="AS512" t="s">
        <v>6</v>
      </c>
      <c r="AT512">
        <v>1.0499999999999999E-3</v>
      </c>
      <c r="AU512" t="s">
        <v>6</v>
      </c>
      <c r="AV512">
        <v>0</v>
      </c>
      <c r="AW512">
        <v>2</v>
      </c>
      <c r="AX512">
        <v>16751235</v>
      </c>
      <c r="AY512">
        <v>1</v>
      </c>
      <c r="AZ512">
        <v>0</v>
      </c>
      <c r="BA512">
        <v>477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0</v>
      </c>
      <c r="BI512">
        <v>0</v>
      </c>
      <c r="BJ512">
        <v>0</v>
      </c>
      <c r="BK512">
        <v>0</v>
      </c>
      <c r="BL512">
        <v>0</v>
      </c>
      <c r="BM512">
        <v>0</v>
      </c>
      <c r="BN512">
        <v>0</v>
      </c>
      <c r="BO512">
        <v>0</v>
      </c>
      <c r="BP512">
        <v>0</v>
      </c>
      <c r="BQ512">
        <v>0</v>
      </c>
      <c r="BR512">
        <v>0</v>
      </c>
      <c r="BS512">
        <v>0</v>
      </c>
      <c r="BT512">
        <v>0</v>
      </c>
      <c r="BU512">
        <v>0</v>
      </c>
      <c r="BV512">
        <v>0</v>
      </c>
      <c r="BW512">
        <v>0</v>
      </c>
      <c r="CX512">
        <f>Y512*Source!I362</f>
        <v>5.9849999999999997E-4</v>
      </c>
      <c r="CY512">
        <f t="shared" si="81"/>
        <v>11939.2</v>
      </c>
      <c r="CZ512">
        <f t="shared" si="82"/>
        <v>1820</v>
      </c>
      <c r="DA512">
        <f t="shared" si="83"/>
        <v>6.56</v>
      </c>
      <c r="DB512">
        <f t="shared" si="76"/>
        <v>1.91</v>
      </c>
      <c r="DC512">
        <f t="shared" si="77"/>
        <v>0</v>
      </c>
    </row>
    <row r="513" spans="1:107" x14ac:dyDescent="0.2">
      <c r="A513">
        <f>ROW(Source!A362)</f>
        <v>362</v>
      </c>
      <c r="B513">
        <v>16748969</v>
      </c>
      <c r="C513">
        <v>16751218</v>
      </c>
      <c r="D513">
        <v>15203834</v>
      </c>
      <c r="E513">
        <v>1</v>
      </c>
      <c r="F513">
        <v>1</v>
      </c>
      <c r="G513">
        <v>1</v>
      </c>
      <c r="H513">
        <v>3</v>
      </c>
      <c r="I513" t="s">
        <v>1411</v>
      </c>
      <c r="J513" t="s">
        <v>1412</v>
      </c>
      <c r="K513" t="s">
        <v>374</v>
      </c>
      <c r="L513">
        <v>1346</v>
      </c>
      <c r="N513">
        <v>1009</v>
      </c>
      <c r="O513" t="s">
        <v>323</v>
      </c>
      <c r="P513" t="s">
        <v>323</v>
      </c>
      <c r="Q513">
        <v>1</v>
      </c>
      <c r="W513">
        <v>0</v>
      </c>
      <c r="X513">
        <v>210558753</v>
      </c>
      <c r="Y513">
        <v>0.02</v>
      </c>
      <c r="AA513">
        <v>187.62</v>
      </c>
      <c r="AB513">
        <v>0</v>
      </c>
      <c r="AC513">
        <v>0</v>
      </c>
      <c r="AD513">
        <v>0</v>
      </c>
      <c r="AE513">
        <v>28.6</v>
      </c>
      <c r="AF513">
        <v>0</v>
      </c>
      <c r="AG513">
        <v>0</v>
      </c>
      <c r="AH513">
        <v>0</v>
      </c>
      <c r="AI513">
        <v>6.56</v>
      </c>
      <c r="AJ513">
        <v>1</v>
      </c>
      <c r="AK513">
        <v>1</v>
      </c>
      <c r="AL513">
        <v>1</v>
      </c>
      <c r="AN513">
        <v>0</v>
      </c>
      <c r="AO513">
        <v>1</v>
      </c>
      <c r="AP513">
        <v>0</v>
      </c>
      <c r="AQ513">
        <v>0</v>
      </c>
      <c r="AR513">
        <v>0</v>
      </c>
      <c r="AS513" t="s">
        <v>6</v>
      </c>
      <c r="AT513">
        <v>0.02</v>
      </c>
      <c r="AU513" t="s">
        <v>6</v>
      </c>
      <c r="AV513">
        <v>0</v>
      </c>
      <c r="AW513">
        <v>2</v>
      </c>
      <c r="AX513">
        <v>16751236</v>
      </c>
      <c r="AY513">
        <v>1</v>
      </c>
      <c r="AZ513">
        <v>0</v>
      </c>
      <c r="BA513">
        <v>478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0</v>
      </c>
      <c r="BI513">
        <v>0</v>
      </c>
      <c r="BJ513">
        <v>0</v>
      </c>
      <c r="BK513">
        <v>0</v>
      </c>
      <c r="BL513">
        <v>0</v>
      </c>
      <c r="BM513">
        <v>0</v>
      </c>
      <c r="BN513">
        <v>0</v>
      </c>
      <c r="BO513">
        <v>0</v>
      </c>
      <c r="BP513">
        <v>0</v>
      </c>
      <c r="BQ513">
        <v>0</v>
      </c>
      <c r="BR513">
        <v>0</v>
      </c>
      <c r="BS513">
        <v>0</v>
      </c>
      <c r="BT513">
        <v>0</v>
      </c>
      <c r="BU513">
        <v>0</v>
      </c>
      <c r="BV513">
        <v>0</v>
      </c>
      <c r="BW513">
        <v>0</v>
      </c>
      <c r="CX513">
        <f>Y513*Source!I362</f>
        <v>1.1399999999999999E-2</v>
      </c>
      <c r="CY513">
        <f t="shared" si="81"/>
        <v>187.62</v>
      </c>
      <c r="CZ513">
        <f t="shared" si="82"/>
        <v>28.6</v>
      </c>
      <c r="DA513">
        <f t="shared" si="83"/>
        <v>6.56</v>
      </c>
      <c r="DB513">
        <f t="shared" si="76"/>
        <v>0.56999999999999995</v>
      </c>
      <c r="DC513">
        <f t="shared" si="77"/>
        <v>0</v>
      </c>
    </row>
    <row r="514" spans="1:107" x14ac:dyDescent="0.2">
      <c r="A514">
        <f>ROW(Source!A362)</f>
        <v>362</v>
      </c>
      <c r="B514">
        <v>16748969</v>
      </c>
      <c r="C514">
        <v>16751218</v>
      </c>
      <c r="D514">
        <v>15217529</v>
      </c>
      <c r="E514">
        <v>1</v>
      </c>
      <c r="F514">
        <v>1</v>
      </c>
      <c r="G514">
        <v>1</v>
      </c>
      <c r="H514">
        <v>3</v>
      </c>
      <c r="I514" t="s">
        <v>1485</v>
      </c>
      <c r="J514" t="s">
        <v>1486</v>
      </c>
      <c r="K514" t="s">
        <v>1487</v>
      </c>
      <c r="L514">
        <v>1355</v>
      </c>
      <c r="N514">
        <v>1010</v>
      </c>
      <c r="O514" t="s">
        <v>724</v>
      </c>
      <c r="P514" t="s">
        <v>724</v>
      </c>
      <c r="Q514">
        <v>100</v>
      </c>
      <c r="W514">
        <v>0</v>
      </c>
      <c r="X514">
        <v>-1427219203</v>
      </c>
      <c r="Y514">
        <v>0.05</v>
      </c>
      <c r="AA514">
        <v>938.08</v>
      </c>
      <c r="AB514">
        <v>0</v>
      </c>
      <c r="AC514">
        <v>0</v>
      </c>
      <c r="AD514">
        <v>0</v>
      </c>
      <c r="AE514">
        <v>143</v>
      </c>
      <c r="AF514">
        <v>0</v>
      </c>
      <c r="AG514">
        <v>0</v>
      </c>
      <c r="AH514">
        <v>0</v>
      </c>
      <c r="AI514">
        <v>6.56</v>
      </c>
      <c r="AJ514">
        <v>1</v>
      </c>
      <c r="AK514">
        <v>1</v>
      </c>
      <c r="AL514">
        <v>1</v>
      </c>
      <c r="AN514">
        <v>0</v>
      </c>
      <c r="AO514">
        <v>1</v>
      </c>
      <c r="AP514">
        <v>0</v>
      </c>
      <c r="AQ514">
        <v>0</v>
      </c>
      <c r="AR514">
        <v>0</v>
      </c>
      <c r="AS514" t="s">
        <v>6</v>
      </c>
      <c r="AT514">
        <v>0.05</v>
      </c>
      <c r="AU514" t="s">
        <v>6</v>
      </c>
      <c r="AV514">
        <v>0</v>
      </c>
      <c r="AW514">
        <v>2</v>
      </c>
      <c r="AX514">
        <v>16751237</v>
      </c>
      <c r="AY514">
        <v>1</v>
      </c>
      <c r="AZ514">
        <v>0</v>
      </c>
      <c r="BA514">
        <v>479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0</v>
      </c>
      <c r="BP514">
        <v>0</v>
      </c>
      <c r="BQ514">
        <v>0</v>
      </c>
      <c r="BR514">
        <v>0</v>
      </c>
      <c r="BS514">
        <v>0</v>
      </c>
      <c r="BT514">
        <v>0</v>
      </c>
      <c r="BU514">
        <v>0</v>
      </c>
      <c r="BV514">
        <v>0</v>
      </c>
      <c r="BW514">
        <v>0</v>
      </c>
      <c r="CX514">
        <f>Y514*Source!I362</f>
        <v>2.8499999999999998E-2</v>
      </c>
      <c r="CY514">
        <f t="shared" si="81"/>
        <v>938.08</v>
      </c>
      <c r="CZ514">
        <f t="shared" si="82"/>
        <v>143</v>
      </c>
      <c r="DA514">
        <f t="shared" si="83"/>
        <v>6.56</v>
      </c>
      <c r="DB514">
        <f t="shared" si="76"/>
        <v>7.15</v>
      </c>
      <c r="DC514">
        <f t="shared" si="77"/>
        <v>0</v>
      </c>
    </row>
    <row r="515" spans="1:107" x14ac:dyDescent="0.2">
      <c r="A515">
        <f>ROW(Source!A362)</f>
        <v>362</v>
      </c>
      <c r="B515">
        <v>16748969</v>
      </c>
      <c r="C515">
        <v>16751218</v>
      </c>
      <c r="D515">
        <v>15217579</v>
      </c>
      <c r="E515">
        <v>1</v>
      </c>
      <c r="F515">
        <v>1</v>
      </c>
      <c r="G515">
        <v>1</v>
      </c>
      <c r="H515">
        <v>3</v>
      </c>
      <c r="I515" t="s">
        <v>1488</v>
      </c>
      <c r="J515" t="s">
        <v>1489</v>
      </c>
      <c r="K515" t="s">
        <v>1490</v>
      </c>
      <c r="L515">
        <v>1356</v>
      </c>
      <c r="N515">
        <v>1010</v>
      </c>
      <c r="O515" t="s">
        <v>288</v>
      </c>
      <c r="P515" t="s">
        <v>288</v>
      </c>
      <c r="Q515">
        <v>1000</v>
      </c>
      <c r="W515">
        <v>0</v>
      </c>
      <c r="X515">
        <v>2033598199</v>
      </c>
      <c r="Y515">
        <v>1.2200000000000001E-2</v>
      </c>
      <c r="AA515">
        <v>1155.94</v>
      </c>
      <c r="AB515">
        <v>0</v>
      </c>
      <c r="AC515">
        <v>0</v>
      </c>
      <c r="AD515">
        <v>0</v>
      </c>
      <c r="AE515">
        <v>176.21</v>
      </c>
      <c r="AF515">
        <v>0</v>
      </c>
      <c r="AG515">
        <v>0</v>
      </c>
      <c r="AH515">
        <v>0</v>
      </c>
      <c r="AI515">
        <v>6.56</v>
      </c>
      <c r="AJ515">
        <v>1</v>
      </c>
      <c r="AK515">
        <v>1</v>
      </c>
      <c r="AL515">
        <v>1</v>
      </c>
      <c r="AN515">
        <v>0</v>
      </c>
      <c r="AO515">
        <v>1</v>
      </c>
      <c r="AP515">
        <v>0</v>
      </c>
      <c r="AQ515">
        <v>0</v>
      </c>
      <c r="AR515">
        <v>0</v>
      </c>
      <c r="AS515" t="s">
        <v>6</v>
      </c>
      <c r="AT515">
        <v>1.2200000000000001E-2</v>
      </c>
      <c r="AU515" t="s">
        <v>6</v>
      </c>
      <c r="AV515">
        <v>0</v>
      </c>
      <c r="AW515">
        <v>2</v>
      </c>
      <c r="AX515">
        <v>16751238</v>
      </c>
      <c r="AY515">
        <v>1</v>
      </c>
      <c r="AZ515">
        <v>0</v>
      </c>
      <c r="BA515">
        <v>480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0</v>
      </c>
      <c r="BH515">
        <v>0</v>
      </c>
      <c r="BI515">
        <v>0</v>
      </c>
      <c r="BJ515">
        <v>0</v>
      </c>
      <c r="BK515">
        <v>0</v>
      </c>
      <c r="BL515">
        <v>0</v>
      </c>
      <c r="BM515">
        <v>0</v>
      </c>
      <c r="BN515">
        <v>0</v>
      </c>
      <c r="BO515">
        <v>0</v>
      </c>
      <c r="BP515">
        <v>0</v>
      </c>
      <c r="BQ515">
        <v>0</v>
      </c>
      <c r="BR515">
        <v>0</v>
      </c>
      <c r="BS515">
        <v>0</v>
      </c>
      <c r="BT515">
        <v>0</v>
      </c>
      <c r="BU515">
        <v>0</v>
      </c>
      <c r="BV515">
        <v>0</v>
      </c>
      <c r="BW515">
        <v>0</v>
      </c>
      <c r="CX515">
        <f>Y515*Source!I362</f>
        <v>6.9540000000000001E-3</v>
      </c>
      <c r="CY515">
        <f t="shared" si="81"/>
        <v>1155.94</v>
      </c>
      <c r="CZ515">
        <f t="shared" si="82"/>
        <v>176.21</v>
      </c>
      <c r="DA515">
        <f t="shared" si="83"/>
        <v>6.56</v>
      </c>
      <c r="DB515">
        <f t="shared" si="76"/>
        <v>2.15</v>
      </c>
      <c r="DC515">
        <f t="shared" si="77"/>
        <v>0</v>
      </c>
    </row>
    <row r="516" spans="1:107" x14ac:dyDescent="0.2">
      <c r="A516">
        <f>ROW(Source!A362)</f>
        <v>362</v>
      </c>
      <c r="B516">
        <v>16748969</v>
      </c>
      <c r="C516">
        <v>16751218</v>
      </c>
      <c r="D516">
        <v>15223029</v>
      </c>
      <c r="E516">
        <v>1</v>
      </c>
      <c r="F516">
        <v>1</v>
      </c>
      <c r="G516">
        <v>1</v>
      </c>
      <c r="H516">
        <v>3</v>
      </c>
      <c r="I516" t="s">
        <v>739</v>
      </c>
      <c r="J516" t="s">
        <v>741</v>
      </c>
      <c r="K516" t="s">
        <v>740</v>
      </c>
      <c r="L516">
        <v>1477</v>
      </c>
      <c r="N516">
        <v>1013</v>
      </c>
      <c r="O516" t="s">
        <v>641</v>
      </c>
      <c r="P516" t="s">
        <v>643</v>
      </c>
      <c r="Q516">
        <v>1</v>
      </c>
      <c r="W516">
        <v>0</v>
      </c>
      <c r="X516">
        <v>559331636</v>
      </c>
      <c r="Y516">
        <v>0.1</v>
      </c>
      <c r="AA516">
        <v>45397.89</v>
      </c>
      <c r="AB516">
        <v>0</v>
      </c>
      <c r="AC516">
        <v>0</v>
      </c>
      <c r="AD516">
        <v>0</v>
      </c>
      <c r="AE516">
        <v>6920.41</v>
      </c>
      <c r="AF516">
        <v>0</v>
      </c>
      <c r="AG516">
        <v>0</v>
      </c>
      <c r="AH516">
        <v>0</v>
      </c>
      <c r="AI516">
        <v>6.56</v>
      </c>
      <c r="AJ516">
        <v>1</v>
      </c>
      <c r="AK516">
        <v>1</v>
      </c>
      <c r="AL516">
        <v>1</v>
      </c>
      <c r="AN516">
        <v>0</v>
      </c>
      <c r="AO516">
        <v>0</v>
      </c>
      <c r="AP516">
        <v>0</v>
      </c>
      <c r="AQ516">
        <v>0</v>
      </c>
      <c r="AR516">
        <v>0</v>
      </c>
      <c r="AS516" t="s">
        <v>6</v>
      </c>
      <c r="AT516">
        <v>0.1</v>
      </c>
      <c r="AU516" t="s">
        <v>6</v>
      </c>
      <c r="AV516">
        <v>0</v>
      </c>
      <c r="AW516">
        <v>1</v>
      </c>
      <c r="AX516">
        <v>-1</v>
      </c>
      <c r="AY516">
        <v>0</v>
      </c>
      <c r="AZ516">
        <v>0</v>
      </c>
      <c r="BA516" t="s">
        <v>6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  <c r="BH516">
        <v>0</v>
      </c>
      <c r="BI516">
        <v>0</v>
      </c>
      <c r="BJ516">
        <v>0</v>
      </c>
      <c r="BK516">
        <v>0</v>
      </c>
      <c r="BL516">
        <v>0</v>
      </c>
      <c r="BM516">
        <v>0</v>
      </c>
      <c r="BN516">
        <v>0</v>
      </c>
      <c r="BO516">
        <v>0</v>
      </c>
      <c r="BP516">
        <v>0</v>
      </c>
      <c r="BQ516">
        <v>0</v>
      </c>
      <c r="BR516">
        <v>0</v>
      </c>
      <c r="BS516">
        <v>0</v>
      </c>
      <c r="BT516">
        <v>0</v>
      </c>
      <c r="BU516">
        <v>0</v>
      </c>
      <c r="BV516">
        <v>0</v>
      </c>
      <c r="BW516">
        <v>0</v>
      </c>
      <c r="CX516">
        <f>Y516*Source!I362</f>
        <v>5.6999999999999995E-2</v>
      </c>
      <c r="CY516">
        <f t="shared" si="81"/>
        <v>45397.89</v>
      </c>
      <c r="CZ516">
        <f t="shared" si="82"/>
        <v>6920.41</v>
      </c>
      <c r="DA516">
        <f t="shared" si="83"/>
        <v>6.56</v>
      </c>
      <c r="DB516">
        <f t="shared" si="76"/>
        <v>692.04</v>
      </c>
      <c r="DC516">
        <f t="shared" si="77"/>
        <v>0</v>
      </c>
    </row>
    <row r="517" spans="1:107" x14ac:dyDescent="0.2">
      <c r="A517">
        <f>ROW(Source!A362)</f>
        <v>362</v>
      </c>
      <c r="B517">
        <v>16748969</v>
      </c>
      <c r="C517">
        <v>16751218</v>
      </c>
      <c r="D517">
        <v>15164559</v>
      </c>
      <c r="E517">
        <v>17</v>
      </c>
      <c r="F517">
        <v>1</v>
      </c>
      <c r="G517">
        <v>1</v>
      </c>
      <c r="H517">
        <v>3</v>
      </c>
      <c r="I517" t="s">
        <v>1383</v>
      </c>
      <c r="J517" t="s">
        <v>6</v>
      </c>
      <c r="K517" t="s">
        <v>1384</v>
      </c>
      <c r="L517">
        <v>1374</v>
      </c>
      <c r="N517">
        <v>1013</v>
      </c>
      <c r="O517" t="s">
        <v>1385</v>
      </c>
      <c r="P517" t="s">
        <v>1385</v>
      </c>
      <c r="Q517">
        <v>1</v>
      </c>
      <c r="W517">
        <v>0</v>
      </c>
      <c r="X517">
        <v>-1731369543</v>
      </c>
      <c r="Y517">
        <v>1.18</v>
      </c>
      <c r="AA517">
        <v>1</v>
      </c>
      <c r="AB517">
        <v>0</v>
      </c>
      <c r="AC517">
        <v>0</v>
      </c>
      <c r="AD517">
        <v>0</v>
      </c>
      <c r="AE517">
        <v>1</v>
      </c>
      <c r="AF517">
        <v>0</v>
      </c>
      <c r="AG517">
        <v>0</v>
      </c>
      <c r="AH517">
        <v>0</v>
      </c>
      <c r="AI517">
        <v>1</v>
      </c>
      <c r="AJ517">
        <v>1</v>
      </c>
      <c r="AK517">
        <v>1</v>
      </c>
      <c r="AL517">
        <v>1</v>
      </c>
      <c r="AN517">
        <v>0</v>
      </c>
      <c r="AO517">
        <v>1</v>
      </c>
      <c r="AP517">
        <v>0</v>
      </c>
      <c r="AQ517">
        <v>0</v>
      </c>
      <c r="AR517">
        <v>0</v>
      </c>
      <c r="AS517" t="s">
        <v>6</v>
      </c>
      <c r="AT517">
        <v>1.18</v>
      </c>
      <c r="AU517" t="s">
        <v>6</v>
      </c>
      <c r="AV517">
        <v>0</v>
      </c>
      <c r="AW517">
        <v>2</v>
      </c>
      <c r="AX517">
        <v>16751239</v>
      </c>
      <c r="AY517">
        <v>1</v>
      </c>
      <c r="AZ517">
        <v>0</v>
      </c>
      <c r="BA517">
        <v>481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0</v>
      </c>
      <c r="BJ517">
        <v>0</v>
      </c>
      <c r="BK517">
        <v>0</v>
      </c>
      <c r="BL517">
        <v>0</v>
      </c>
      <c r="BM517">
        <v>0</v>
      </c>
      <c r="BN517">
        <v>0</v>
      </c>
      <c r="BO517">
        <v>0</v>
      </c>
      <c r="BP517">
        <v>0</v>
      </c>
      <c r="BQ517">
        <v>0</v>
      </c>
      <c r="BR517">
        <v>0</v>
      </c>
      <c r="BS517">
        <v>0</v>
      </c>
      <c r="BT517">
        <v>0</v>
      </c>
      <c r="BU517">
        <v>0</v>
      </c>
      <c r="BV517">
        <v>0</v>
      </c>
      <c r="BW517">
        <v>0</v>
      </c>
      <c r="CX517">
        <f>Y517*Source!I362</f>
        <v>0.67259999999999986</v>
      </c>
      <c r="CY517">
        <f t="shared" si="81"/>
        <v>1</v>
      </c>
      <c r="CZ517">
        <f t="shared" si="82"/>
        <v>1</v>
      </c>
      <c r="DA517">
        <f t="shared" si="83"/>
        <v>1</v>
      </c>
      <c r="DB517">
        <f t="shared" si="76"/>
        <v>1.18</v>
      </c>
      <c r="DC517">
        <f t="shared" si="77"/>
        <v>0</v>
      </c>
    </row>
    <row r="518" spans="1:107" x14ac:dyDescent="0.2">
      <c r="A518">
        <f>ROW(Source!A364)</f>
        <v>364</v>
      </c>
      <c r="B518">
        <v>16748969</v>
      </c>
      <c r="C518">
        <v>16751241</v>
      </c>
      <c r="D518">
        <v>15430397</v>
      </c>
      <c r="E518">
        <v>1</v>
      </c>
      <c r="F518">
        <v>1</v>
      </c>
      <c r="G518">
        <v>1</v>
      </c>
      <c r="H518">
        <v>1</v>
      </c>
      <c r="I518" t="s">
        <v>1234</v>
      </c>
      <c r="J518" t="s">
        <v>6</v>
      </c>
      <c r="K518" t="s">
        <v>1235</v>
      </c>
      <c r="L518">
        <v>1191</v>
      </c>
      <c r="N518">
        <v>1013</v>
      </c>
      <c r="O518" t="s">
        <v>1072</v>
      </c>
      <c r="P518" t="s">
        <v>1072</v>
      </c>
      <c r="Q518">
        <v>1</v>
      </c>
      <c r="W518">
        <v>0</v>
      </c>
      <c r="X518">
        <v>-1081351934</v>
      </c>
      <c r="Y518">
        <v>8.56</v>
      </c>
      <c r="AA518">
        <v>0</v>
      </c>
      <c r="AB518">
        <v>0</v>
      </c>
      <c r="AC518">
        <v>0</v>
      </c>
      <c r="AD518">
        <v>61.66</v>
      </c>
      <c r="AE518">
        <v>0</v>
      </c>
      <c r="AF518">
        <v>0</v>
      </c>
      <c r="AG518">
        <v>0</v>
      </c>
      <c r="AH518">
        <v>9.4</v>
      </c>
      <c r="AI518">
        <v>1</v>
      </c>
      <c r="AJ518">
        <v>1</v>
      </c>
      <c r="AK518">
        <v>1</v>
      </c>
      <c r="AL518">
        <v>6.56</v>
      </c>
      <c r="AN518">
        <v>0</v>
      </c>
      <c r="AO518">
        <v>1</v>
      </c>
      <c r="AP518">
        <v>0</v>
      </c>
      <c r="AQ518">
        <v>0</v>
      </c>
      <c r="AR518">
        <v>0</v>
      </c>
      <c r="AS518" t="s">
        <v>6</v>
      </c>
      <c r="AT518">
        <v>8.56</v>
      </c>
      <c r="AU518" t="s">
        <v>6</v>
      </c>
      <c r="AV518">
        <v>1</v>
      </c>
      <c r="AW518">
        <v>2</v>
      </c>
      <c r="AX518">
        <v>16751255</v>
      </c>
      <c r="AY518">
        <v>1</v>
      </c>
      <c r="AZ518">
        <v>0</v>
      </c>
      <c r="BA518">
        <v>482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0</v>
      </c>
      <c r="BJ518">
        <v>0</v>
      </c>
      <c r="BK518">
        <v>0</v>
      </c>
      <c r="BL518">
        <v>0</v>
      </c>
      <c r="BM518">
        <v>0</v>
      </c>
      <c r="BN518">
        <v>0</v>
      </c>
      <c r="BO518">
        <v>0</v>
      </c>
      <c r="BP518">
        <v>0</v>
      </c>
      <c r="BQ518">
        <v>0</v>
      </c>
      <c r="BR518">
        <v>0</v>
      </c>
      <c r="BS518">
        <v>0</v>
      </c>
      <c r="BT518">
        <v>0</v>
      </c>
      <c r="BU518">
        <v>0</v>
      </c>
      <c r="BV518">
        <v>0</v>
      </c>
      <c r="BW518">
        <v>0</v>
      </c>
      <c r="CX518">
        <f>Y518*Source!I364</f>
        <v>0.47936000000000006</v>
      </c>
      <c r="CY518">
        <f>AD518</f>
        <v>61.66</v>
      </c>
      <c r="CZ518">
        <f>AH518</f>
        <v>9.4</v>
      </c>
      <c r="DA518">
        <f>AL518</f>
        <v>6.56</v>
      </c>
      <c r="DB518">
        <f t="shared" si="76"/>
        <v>80.459999999999994</v>
      </c>
      <c r="DC518">
        <f t="shared" si="77"/>
        <v>0</v>
      </c>
    </row>
    <row r="519" spans="1:107" x14ac:dyDescent="0.2">
      <c r="A519">
        <f>ROW(Source!A364)</f>
        <v>364</v>
      </c>
      <c r="B519">
        <v>16748969</v>
      </c>
      <c r="C519">
        <v>16751241</v>
      </c>
      <c r="D519">
        <v>15430395</v>
      </c>
      <c r="E519">
        <v>1</v>
      </c>
      <c r="F519">
        <v>1</v>
      </c>
      <c r="G519">
        <v>1</v>
      </c>
      <c r="H519">
        <v>1</v>
      </c>
      <c r="I519" t="s">
        <v>1073</v>
      </c>
      <c r="J519" t="s">
        <v>6</v>
      </c>
      <c r="K519" t="s">
        <v>1074</v>
      </c>
      <c r="L519">
        <v>1191</v>
      </c>
      <c r="N519">
        <v>1013</v>
      </c>
      <c r="O519" t="s">
        <v>1072</v>
      </c>
      <c r="P519" t="s">
        <v>1072</v>
      </c>
      <c r="Q519">
        <v>1</v>
      </c>
      <c r="W519">
        <v>0</v>
      </c>
      <c r="X519">
        <v>-1417349443</v>
      </c>
      <c r="Y519">
        <v>2.27</v>
      </c>
      <c r="AA519">
        <v>0</v>
      </c>
      <c r="AB519">
        <v>0</v>
      </c>
      <c r="AC519">
        <v>0</v>
      </c>
      <c r="AD519">
        <v>0</v>
      </c>
      <c r="AE519">
        <v>0</v>
      </c>
      <c r="AF519">
        <v>0</v>
      </c>
      <c r="AG519">
        <v>0</v>
      </c>
      <c r="AH519">
        <v>0</v>
      </c>
      <c r="AI519">
        <v>1</v>
      </c>
      <c r="AJ519">
        <v>1</v>
      </c>
      <c r="AK519">
        <v>6.56</v>
      </c>
      <c r="AL519">
        <v>1</v>
      </c>
      <c r="AN519">
        <v>0</v>
      </c>
      <c r="AO519">
        <v>1</v>
      </c>
      <c r="AP519">
        <v>0</v>
      </c>
      <c r="AQ519">
        <v>0</v>
      </c>
      <c r="AR519">
        <v>0</v>
      </c>
      <c r="AS519" t="s">
        <v>6</v>
      </c>
      <c r="AT519">
        <v>2.27</v>
      </c>
      <c r="AU519" t="s">
        <v>6</v>
      </c>
      <c r="AV519">
        <v>2</v>
      </c>
      <c r="AW519">
        <v>2</v>
      </c>
      <c r="AX519">
        <v>16751256</v>
      </c>
      <c r="AY519">
        <v>1</v>
      </c>
      <c r="AZ519">
        <v>0</v>
      </c>
      <c r="BA519">
        <v>483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0</v>
      </c>
      <c r="BO519">
        <v>0</v>
      </c>
      <c r="BP519">
        <v>0</v>
      </c>
      <c r="BQ519">
        <v>0</v>
      </c>
      <c r="BR519">
        <v>0</v>
      </c>
      <c r="BS519">
        <v>0</v>
      </c>
      <c r="BT519">
        <v>0</v>
      </c>
      <c r="BU519">
        <v>0</v>
      </c>
      <c r="BV519">
        <v>0</v>
      </c>
      <c r="BW519">
        <v>0</v>
      </c>
      <c r="CX519">
        <f>Y519*Source!I364</f>
        <v>0.12712000000000001</v>
      </c>
      <c r="CY519">
        <f>AD519</f>
        <v>0</v>
      </c>
      <c r="CZ519">
        <f>AH519</f>
        <v>0</v>
      </c>
      <c r="DA519">
        <f>AL519</f>
        <v>1</v>
      </c>
      <c r="DB519">
        <f t="shared" si="76"/>
        <v>0</v>
      </c>
      <c r="DC519">
        <f t="shared" si="77"/>
        <v>0</v>
      </c>
    </row>
    <row r="520" spans="1:107" x14ac:dyDescent="0.2">
      <c r="A520">
        <f>ROW(Source!A364)</f>
        <v>364</v>
      </c>
      <c r="B520">
        <v>16748969</v>
      </c>
      <c r="C520">
        <v>16751241</v>
      </c>
      <c r="D520">
        <v>15247680</v>
      </c>
      <c r="E520">
        <v>1</v>
      </c>
      <c r="F520">
        <v>1</v>
      </c>
      <c r="G520">
        <v>1</v>
      </c>
      <c r="H520">
        <v>2</v>
      </c>
      <c r="I520" t="s">
        <v>1211</v>
      </c>
      <c r="J520" t="s">
        <v>1212</v>
      </c>
      <c r="K520" t="s">
        <v>1213</v>
      </c>
      <c r="L520">
        <v>1368</v>
      </c>
      <c r="N520">
        <v>1011</v>
      </c>
      <c r="O520" t="s">
        <v>1078</v>
      </c>
      <c r="P520" t="s">
        <v>1078</v>
      </c>
      <c r="Q520">
        <v>1</v>
      </c>
      <c r="W520">
        <v>0</v>
      </c>
      <c r="X520">
        <v>-1718674368</v>
      </c>
      <c r="Y520">
        <v>0.1</v>
      </c>
      <c r="AA520">
        <v>0</v>
      </c>
      <c r="AB520">
        <v>734.65</v>
      </c>
      <c r="AC520">
        <v>13.5</v>
      </c>
      <c r="AD520">
        <v>0</v>
      </c>
      <c r="AE520">
        <v>0</v>
      </c>
      <c r="AF520">
        <v>111.99</v>
      </c>
      <c r="AG520">
        <v>13.5</v>
      </c>
      <c r="AH520">
        <v>0</v>
      </c>
      <c r="AI520">
        <v>1</v>
      </c>
      <c r="AJ520">
        <v>6.56</v>
      </c>
      <c r="AK520">
        <v>1</v>
      </c>
      <c r="AL520">
        <v>1</v>
      </c>
      <c r="AN520">
        <v>0</v>
      </c>
      <c r="AO520">
        <v>1</v>
      </c>
      <c r="AP520">
        <v>0</v>
      </c>
      <c r="AQ520">
        <v>0</v>
      </c>
      <c r="AR520">
        <v>0</v>
      </c>
      <c r="AS520" t="s">
        <v>6</v>
      </c>
      <c r="AT520">
        <v>0.1</v>
      </c>
      <c r="AU520" t="s">
        <v>6</v>
      </c>
      <c r="AV520">
        <v>0</v>
      </c>
      <c r="AW520">
        <v>2</v>
      </c>
      <c r="AX520">
        <v>16751257</v>
      </c>
      <c r="AY520">
        <v>1</v>
      </c>
      <c r="AZ520">
        <v>0</v>
      </c>
      <c r="BA520">
        <v>484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  <c r="BI520">
        <v>0</v>
      </c>
      <c r="BJ520">
        <v>0</v>
      </c>
      <c r="BK520">
        <v>0</v>
      </c>
      <c r="BL520">
        <v>0</v>
      </c>
      <c r="BM520">
        <v>0</v>
      </c>
      <c r="BN520">
        <v>0</v>
      </c>
      <c r="BO520">
        <v>0</v>
      </c>
      <c r="BP520">
        <v>0</v>
      </c>
      <c r="BQ520">
        <v>0</v>
      </c>
      <c r="BR520">
        <v>0</v>
      </c>
      <c r="BS520">
        <v>0</v>
      </c>
      <c r="BT520">
        <v>0</v>
      </c>
      <c r="BU520">
        <v>0</v>
      </c>
      <c r="BV520">
        <v>0</v>
      </c>
      <c r="BW520">
        <v>0</v>
      </c>
      <c r="CX520">
        <f>Y520*Source!I364</f>
        <v>5.6000000000000008E-3</v>
      </c>
      <c r="CY520">
        <f>AB520</f>
        <v>734.65</v>
      </c>
      <c r="CZ520">
        <f>AF520</f>
        <v>111.99</v>
      </c>
      <c r="DA520">
        <f>AJ520</f>
        <v>6.56</v>
      </c>
      <c r="DB520">
        <f t="shared" si="76"/>
        <v>11.2</v>
      </c>
      <c r="DC520">
        <f t="shared" si="77"/>
        <v>1.35</v>
      </c>
    </row>
    <row r="521" spans="1:107" x14ac:dyDescent="0.2">
      <c r="A521">
        <f>ROW(Source!A364)</f>
        <v>364</v>
      </c>
      <c r="B521">
        <v>16748969</v>
      </c>
      <c r="C521">
        <v>16751241</v>
      </c>
      <c r="D521">
        <v>15247962</v>
      </c>
      <c r="E521">
        <v>1</v>
      </c>
      <c r="F521">
        <v>1</v>
      </c>
      <c r="G521">
        <v>1</v>
      </c>
      <c r="H521">
        <v>2</v>
      </c>
      <c r="I521" t="s">
        <v>1458</v>
      </c>
      <c r="J521" t="s">
        <v>1459</v>
      </c>
      <c r="K521" t="s">
        <v>1460</v>
      </c>
      <c r="L521">
        <v>1368</v>
      </c>
      <c r="N521">
        <v>1011</v>
      </c>
      <c r="O521" t="s">
        <v>1078</v>
      </c>
      <c r="P521" t="s">
        <v>1078</v>
      </c>
      <c r="Q521">
        <v>1</v>
      </c>
      <c r="W521">
        <v>0</v>
      </c>
      <c r="X521">
        <v>-1099504201</v>
      </c>
      <c r="Y521">
        <v>2.0699999999999998</v>
      </c>
      <c r="AA521">
        <v>0</v>
      </c>
      <c r="AB521">
        <v>194.18</v>
      </c>
      <c r="AC521">
        <v>10.06</v>
      </c>
      <c r="AD521">
        <v>0</v>
      </c>
      <c r="AE521">
        <v>0</v>
      </c>
      <c r="AF521">
        <v>29.6</v>
      </c>
      <c r="AG521">
        <v>10.06</v>
      </c>
      <c r="AH521">
        <v>0</v>
      </c>
      <c r="AI521">
        <v>1</v>
      </c>
      <c r="AJ521">
        <v>6.56</v>
      </c>
      <c r="AK521">
        <v>1</v>
      </c>
      <c r="AL521">
        <v>1</v>
      </c>
      <c r="AN521">
        <v>0</v>
      </c>
      <c r="AO521">
        <v>1</v>
      </c>
      <c r="AP521">
        <v>0</v>
      </c>
      <c r="AQ521">
        <v>0</v>
      </c>
      <c r="AR521">
        <v>0</v>
      </c>
      <c r="AS521" t="s">
        <v>6</v>
      </c>
      <c r="AT521">
        <v>2.0699999999999998</v>
      </c>
      <c r="AU521" t="s">
        <v>6</v>
      </c>
      <c r="AV521">
        <v>0</v>
      </c>
      <c r="AW521">
        <v>2</v>
      </c>
      <c r="AX521">
        <v>16751258</v>
      </c>
      <c r="AY521">
        <v>1</v>
      </c>
      <c r="AZ521">
        <v>0</v>
      </c>
      <c r="BA521">
        <v>485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0</v>
      </c>
      <c r="BJ521">
        <v>0</v>
      </c>
      <c r="BK521">
        <v>0</v>
      </c>
      <c r="BL521">
        <v>0</v>
      </c>
      <c r="BM521">
        <v>0</v>
      </c>
      <c r="BN521">
        <v>0</v>
      </c>
      <c r="BO521">
        <v>0</v>
      </c>
      <c r="BP521">
        <v>0</v>
      </c>
      <c r="BQ521">
        <v>0</v>
      </c>
      <c r="BR521">
        <v>0</v>
      </c>
      <c r="BS521">
        <v>0</v>
      </c>
      <c r="BT521">
        <v>0</v>
      </c>
      <c r="BU521">
        <v>0</v>
      </c>
      <c r="BV521">
        <v>0</v>
      </c>
      <c r="BW521">
        <v>0</v>
      </c>
      <c r="CX521">
        <f>Y521*Source!I364</f>
        <v>0.11592</v>
      </c>
      <c r="CY521">
        <f>AB521</f>
        <v>194.18</v>
      </c>
      <c r="CZ521">
        <f>AF521</f>
        <v>29.6</v>
      </c>
      <c r="DA521">
        <f>AJ521</f>
        <v>6.56</v>
      </c>
      <c r="DB521">
        <f t="shared" si="76"/>
        <v>61.27</v>
      </c>
      <c r="DC521">
        <f t="shared" si="77"/>
        <v>20.82</v>
      </c>
    </row>
    <row r="522" spans="1:107" x14ac:dyDescent="0.2">
      <c r="A522">
        <f>ROW(Source!A364)</f>
        <v>364</v>
      </c>
      <c r="B522">
        <v>16748969</v>
      </c>
      <c r="C522">
        <v>16751241</v>
      </c>
      <c r="D522">
        <v>15249073</v>
      </c>
      <c r="E522">
        <v>1</v>
      </c>
      <c r="F522">
        <v>1</v>
      </c>
      <c r="G522">
        <v>1</v>
      </c>
      <c r="H522">
        <v>2</v>
      </c>
      <c r="I522" t="s">
        <v>1097</v>
      </c>
      <c r="J522" t="s">
        <v>1098</v>
      </c>
      <c r="K522" t="s">
        <v>1099</v>
      </c>
      <c r="L522">
        <v>1368</v>
      </c>
      <c r="N522">
        <v>1011</v>
      </c>
      <c r="O522" t="s">
        <v>1078</v>
      </c>
      <c r="P522" t="s">
        <v>1078</v>
      </c>
      <c r="Q522">
        <v>1</v>
      </c>
      <c r="W522">
        <v>0</v>
      </c>
      <c r="X522">
        <v>1372534845</v>
      </c>
      <c r="Y522">
        <v>0.1</v>
      </c>
      <c r="AA522">
        <v>0</v>
      </c>
      <c r="AB522">
        <v>431.06</v>
      </c>
      <c r="AC522">
        <v>11.6</v>
      </c>
      <c r="AD522">
        <v>0</v>
      </c>
      <c r="AE522">
        <v>0</v>
      </c>
      <c r="AF522">
        <v>65.709999999999994</v>
      </c>
      <c r="AG522">
        <v>11.6</v>
      </c>
      <c r="AH522">
        <v>0</v>
      </c>
      <c r="AI522">
        <v>1</v>
      </c>
      <c r="AJ522">
        <v>6.56</v>
      </c>
      <c r="AK522">
        <v>1</v>
      </c>
      <c r="AL522">
        <v>1</v>
      </c>
      <c r="AN522">
        <v>0</v>
      </c>
      <c r="AO522">
        <v>1</v>
      </c>
      <c r="AP522">
        <v>0</v>
      </c>
      <c r="AQ522">
        <v>0</v>
      </c>
      <c r="AR522">
        <v>0</v>
      </c>
      <c r="AS522" t="s">
        <v>6</v>
      </c>
      <c r="AT522">
        <v>0.1</v>
      </c>
      <c r="AU522" t="s">
        <v>6</v>
      </c>
      <c r="AV522">
        <v>0</v>
      </c>
      <c r="AW522">
        <v>2</v>
      </c>
      <c r="AX522">
        <v>16751259</v>
      </c>
      <c r="AY522">
        <v>1</v>
      </c>
      <c r="AZ522">
        <v>0</v>
      </c>
      <c r="BA522">
        <v>486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0</v>
      </c>
      <c r="BJ522">
        <v>0</v>
      </c>
      <c r="BK522">
        <v>0</v>
      </c>
      <c r="BL522">
        <v>0</v>
      </c>
      <c r="BM522">
        <v>0</v>
      </c>
      <c r="BN522">
        <v>0</v>
      </c>
      <c r="BO522">
        <v>0</v>
      </c>
      <c r="BP522">
        <v>0</v>
      </c>
      <c r="BQ522">
        <v>0</v>
      </c>
      <c r="BR522">
        <v>0</v>
      </c>
      <c r="BS522">
        <v>0</v>
      </c>
      <c r="BT522">
        <v>0</v>
      </c>
      <c r="BU522">
        <v>0</v>
      </c>
      <c r="BV522">
        <v>0</v>
      </c>
      <c r="BW522">
        <v>0</v>
      </c>
      <c r="CX522">
        <f>Y522*Source!I364</f>
        <v>5.6000000000000008E-3</v>
      </c>
      <c r="CY522">
        <f>AB522</f>
        <v>431.06</v>
      </c>
      <c r="CZ522">
        <f>AF522</f>
        <v>65.709999999999994</v>
      </c>
      <c r="DA522">
        <f>AJ522</f>
        <v>6.56</v>
      </c>
      <c r="DB522">
        <f t="shared" si="76"/>
        <v>6.57</v>
      </c>
      <c r="DC522">
        <f t="shared" si="77"/>
        <v>1.1599999999999999</v>
      </c>
    </row>
    <row r="523" spans="1:107" x14ac:dyDescent="0.2">
      <c r="A523">
        <f>ROW(Source!A364)</f>
        <v>364</v>
      </c>
      <c r="B523">
        <v>16748969</v>
      </c>
      <c r="C523">
        <v>16751241</v>
      </c>
      <c r="D523">
        <v>15249377</v>
      </c>
      <c r="E523">
        <v>1</v>
      </c>
      <c r="F523">
        <v>1</v>
      </c>
      <c r="G523">
        <v>1</v>
      </c>
      <c r="H523">
        <v>2</v>
      </c>
      <c r="I523" t="s">
        <v>1100</v>
      </c>
      <c r="J523" t="s">
        <v>1101</v>
      </c>
      <c r="K523" t="s">
        <v>1102</v>
      </c>
      <c r="L523">
        <v>1368</v>
      </c>
      <c r="N523">
        <v>1011</v>
      </c>
      <c r="O523" t="s">
        <v>1078</v>
      </c>
      <c r="P523" t="s">
        <v>1078</v>
      </c>
      <c r="Q523">
        <v>1</v>
      </c>
      <c r="W523">
        <v>0</v>
      </c>
      <c r="X523">
        <v>-353815937</v>
      </c>
      <c r="Y523">
        <v>1.93</v>
      </c>
      <c r="AA523">
        <v>0</v>
      </c>
      <c r="AB523">
        <v>53.14</v>
      </c>
      <c r="AC523">
        <v>0</v>
      </c>
      <c r="AD523">
        <v>0</v>
      </c>
      <c r="AE523">
        <v>0</v>
      </c>
      <c r="AF523">
        <v>8.1</v>
      </c>
      <c r="AG523">
        <v>0</v>
      </c>
      <c r="AH523">
        <v>0</v>
      </c>
      <c r="AI523">
        <v>1</v>
      </c>
      <c r="AJ523">
        <v>6.56</v>
      </c>
      <c r="AK523">
        <v>1</v>
      </c>
      <c r="AL523">
        <v>1</v>
      </c>
      <c r="AN523">
        <v>0</v>
      </c>
      <c r="AO523">
        <v>1</v>
      </c>
      <c r="AP523">
        <v>0</v>
      </c>
      <c r="AQ523">
        <v>0</v>
      </c>
      <c r="AR523">
        <v>0</v>
      </c>
      <c r="AS523" t="s">
        <v>6</v>
      </c>
      <c r="AT523">
        <v>1.93</v>
      </c>
      <c r="AU523" t="s">
        <v>6</v>
      </c>
      <c r="AV523">
        <v>0</v>
      </c>
      <c r="AW523">
        <v>2</v>
      </c>
      <c r="AX523">
        <v>16751260</v>
      </c>
      <c r="AY523">
        <v>1</v>
      </c>
      <c r="AZ523">
        <v>0</v>
      </c>
      <c r="BA523">
        <v>487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0</v>
      </c>
      <c r="BJ523">
        <v>0</v>
      </c>
      <c r="BK523">
        <v>0</v>
      </c>
      <c r="BL523">
        <v>0</v>
      </c>
      <c r="BM523">
        <v>0</v>
      </c>
      <c r="BN523">
        <v>0</v>
      </c>
      <c r="BO523">
        <v>0</v>
      </c>
      <c r="BP523">
        <v>0</v>
      </c>
      <c r="BQ523">
        <v>0</v>
      </c>
      <c r="BR523">
        <v>0</v>
      </c>
      <c r="BS523">
        <v>0</v>
      </c>
      <c r="BT523">
        <v>0</v>
      </c>
      <c r="BU523">
        <v>0</v>
      </c>
      <c r="BV523">
        <v>0</v>
      </c>
      <c r="BW523">
        <v>0</v>
      </c>
      <c r="CX523">
        <f>Y523*Source!I364</f>
        <v>0.10808</v>
      </c>
      <c r="CY523">
        <f>AB523</f>
        <v>53.14</v>
      </c>
      <c r="CZ523">
        <f>AF523</f>
        <v>8.1</v>
      </c>
      <c r="DA523">
        <f>AJ523</f>
        <v>6.56</v>
      </c>
      <c r="DB523">
        <f t="shared" si="76"/>
        <v>15.63</v>
      </c>
      <c r="DC523">
        <f t="shared" si="77"/>
        <v>0</v>
      </c>
    </row>
    <row r="524" spans="1:107" x14ac:dyDescent="0.2">
      <c r="A524">
        <f>ROW(Source!A364)</f>
        <v>364</v>
      </c>
      <c r="B524">
        <v>16748969</v>
      </c>
      <c r="C524">
        <v>16751241</v>
      </c>
      <c r="D524">
        <v>15168752</v>
      </c>
      <c r="E524">
        <v>1</v>
      </c>
      <c r="F524">
        <v>1</v>
      </c>
      <c r="G524">
        <v>1</v>
      </c>
      <c r="H524">
        <v>3</v>
      </c>
      <c r="I524" t="s">
        <v>1443</v>
      </c>
      <c r="J524" t="s">
        <v>1444</v>
      </c>
      <c r="K524" t="s">
        <v>1445</v>
      </c>
      <c r="L524">
        <v>1346</v>
      </c>
      <c r="N524">
        <v>1009</v>
      </c>
      <c r="O524" t="s">
        <v>323</v>
      </c>
      <c r="P524" t="s">
        <v>323</v>
      </c>
      <c r="Q524">
        <v>1</v>
      </c>
      <c r="W524">
        <v>0</v>
      </c>
      <c r="X524">
        <v>586013393</v>
      </c>
      <c r="Y524">
        <v>2.14</v>
      </c>
      <c r="AA524">
        <v>69.34</v>
      </c>
      <c r="AB524">
        <v>0</v>
      </c>
      <c r="AC524">
        <v>0</v>
      </c>
      <c r="AD524">
        <v>0</v>
      </c>
      <c r="AE524">
        <v>10.57</v>
      </c>
      <c r="AF524">
        <v>0</v>
      </c>
      <c r="AG524">
        <v>0</v>
      </c>
      <c r="AH524">
        <v>0</v>
      </c>
      <c r="AI524">
        <v>6.56</v>
      </c>
      <c r="AJ524">
        <v>1</v>
      </c>
      <c r="AK524">
        <v>1</v>
      </c>
      <c r="AL524">
        <v>1</v>
      </c>
      <c r="AN524">
        <v>0</v>
      </c>
      <c r="AO524">
        <v>1</v>
      </c>
      <c r="AP524">
        <v>0</v>
      </c>
      <c r="AQ524">
        <v>0</v>
      </c>
      <c r="AR524">
        <v>0</v>
      </c>
      <c r="AS524" t="s">
        <v>6</v>
      </c>
      <c r="AT524">
        <v>2.14</v>
      </c>
      <c r="AU524" t="s">
        <v>6</v>
      </c>
      <c r="AV524">
        <v>0</v>
      </c>
      <c r="AW524">
        <v>2</v>
      </c>
      <c r="AX524">
        <v>16751261</v>
      </c>
      <c r="AY524">
        <v>1</v>
      </c>
      <c r="AZ524">
        <v>0</v>
      </c>
      <c r="BA524">
        <v>488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0</v>
      </c>
      <c r="BJ524">
        <v>0</v>
      </c>
      <c r="BK524">
        <v>0</v>
      </c>
      <c r="BL524">
        <v>0</v>
      </c>
      <c r="BM524">
        <v>0</v>
      </c>
      <c r="BN524">
        <v>0</v>
      </c>
      <c r="BO524">
        <v>0</v>
      </c>
      <c r="BP524">
        <v>0</v>
      </c>
      <c r="BQ524">
        <v>0</v>
      </c>
      <c r="BR524">
        <v>0</v>
      </c>
      <c r="BS524">
        <v>0</v>
      </c>
      <c r="BT524">
        <v>0</v>
      </c>
      <c r="BU524">
        <v>0</v>
      </c>
      <c r="BV524">
        <v>0</v>
      </c>
      <c r="BW524">
        <v>0</v>
      </c>
      <c r="CX524">
        <f>Y524*Source!I364</f>
        <v>0.11984000000000002</v>
      </c>
      <c r="CY524">
        <f t="shared" ref="CY524:CY530" si="84">AA524</f>
        <v>69.34</v>
      </c>
      <c r="CZ524">
        <f t="shared" ref="CZ524:CZ530" si="85">AE524</f>
        <v>10.57</v>
      </c>
      <c r="DA524">
        <f t="shared" ref="DA524:DA530" si="86">AI524</f>
        <v>6.56</v>
      </c>
      <c r="DB524">
        <f t="shared" si="76"/>
        <v>22.62</v>
      </c>
      <c r="DC524">
        <f t="shared" si="77"/>
        <v>0</v>
      </c>
    </row>
    <row r="525" spans="1:107" x14ac:dyDescent="0.2">
      <c r="A525">
        <f>ROW(Source!A364)</f>
        <v>364</v>
      </c>
      <c r="B525">
        <v>16748969</v>
      </c>
      <c r="C525">
        <v>16751241</v>
      </c>
      <c r="D525">
        <v>15169942</v>
      </c>
      <c r="E525">
        <v>1</v>
      </c>
      <c r="F525">
        <v>1</v>
      </c>
      <c r="G525">
        <v>1</v>
      </c>
      <c r="H525">
        <v>3</v>
      </c>
      <c r="I525" t="s">
        <v>1391</v>
      </c>
      <c r="J525" t="s">
        <v>1392</v>
      </c>
      <c r="K525" t="s">
        <v>1291</v>
      </c>
      <c r="L525">
        <v>1346</v>
      </c>
      <c r="N525">
        <v>1009</v>
      </c>
      <c r="O525" t="s">
        <v>323</v>
      </c>
      <c r="P525" t="s">
        <v>323</v>
      </c>
      <c r="Q525">
        <v>1</v>
      </c>
      <c r="W525">
        <v>0</v>
      </c>
      <c r="X525">
        <v>103900845</v>
      </c>
      <c r="Y525">
        <v>1.25</v>
      </c>
      <c r="AA525">
        <v>59.3</v>
      </c>
      <c r="AB525">
        <v>0</v>
      </c>
      <c r="AC525">
        <v>0</v>
      </c>
      <c r="AD525">
        <v>0</v>
      </c>
      <c r="AE525">
        <v>9.0399999999999991</v>
      </c>
      <c r="AF525">
        <v>0</v>
      </c>
      <c r="AG525">
        <v>0</v>
      </c>
      <c r="AH525">
        <v>0</v>
      </c>
      <c r="AI525">
        <v>6.56</v>
      </c>
      <c r="AJ525">
        <v>1</v>
      </c>
      <c r="AK525">
        <v>1</v>
      </c>
      <c r="AL525">
        <v>1</v>
      </c>
      <c r="AN525">
        <v>0</v>
      </c>
      <c r="AO525">
        <v>1</v>
      </c>
      <c r="AP525">
        <v>0</v>
      </c>
      <c r="AQ525">
        <v>0</v>
      </c>
      <c r="AR525">
        <v>0</v>
      </c>
      <c r="AS525" t="s">
        <v>6</v>
      </c>
      <c r="AT525">
        <v>1.25</v>
      </c>
      <c r="AU525" t="s">
        <v>6</v>
      </c>
      <c r="AV525">
        <v>0</v>
      </c>
      <c r="AW525">
        <v>2</v>
      </c>
      <c r="AX525">
        <v>16751262</v>
      </c>
      <c r="AY525">
        <v>1</v>
      </c>
      <c r="AZ525">
        <v>0</v>
      </c>
      <c r="BA525">
        <v>489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0</v>
      </c>
      <c r="BI525">
        <v>0</v>
      </c>
      <c r="BJ525">
        <v>0</v>
      </c>
      <c r="BK525">
        <v>0</v>
      </c>
      <c r="BL525">
        <v>0</v>
      </c>
      <c r="BM525">
        <v>0</v>
      </c>
      <c r="BN525">
        <v>0</v>
      </c>
      <c r="BO525">
        <v>0</v>
      </c>
      <c r="BP525">
        <v>0</v>
      </c>
      <c r="BQ525">
        <v>0</v>
      </c>
      <c r="BR525">
        <v>0</v>
      </c>
      <c r="BS525">
        <v>0</v>
      </c>
      <c r="BT525">
        <v>0</v>
      </c>
      <c r="BU525">
        <v>0</v>
      </c>
      <c r="BV525">
        <v>0</v>
      </c>
      <c r="BW525">
        <v>0</v>
      </c>
      <c r="CX525">
        <f>Y525*Source!I364</f>
        <v>7.0000000000000007E-2</v>
      </c>
      <c r="CY525">
        <f t="shared" si="84"/>
        <v>59.3</v>
      </c>
      <c r="CZ525">
        <f t="shared" si="85"/>
        <v>9.0399999999999991</v>
      </c>
      <c r="DA525">
        <f t="shared" si="86"/>
        <v>6.56</v>
      </c>
      <c r="DB525">
        <f t="shared" si="76"/>
        <v>11.3</v>
      </c>
      <c r="DC525">
        <f t="shared" si="77"/>
        <v>0</v>
      </c>
    </row>
    <row r="526" spans="1:107" x14ac:dyDescent="0.2">
      <c r="A526">
        <f>ROW(Source!A364)</f>
        <v>364</v>
      </c>
      <c r="B526">
        <v>16748969</v>
      </c>
      <c r="C526">
        <v>16751241</v>
      </c>
      <c r="D526">
        <v>15170074</v>
      </c>
      <c r="E526">
        <v>1</v>
      </c>
      <c r="F526">
        <v>1</v>
      </c>
      <c r="G526">
        <v>1</v>
      </c>
      <c r="H526">
        <v>3</v>
      </c>
      <c r="I526" t="s">
        <v>1399</v>
      </c>
      <c r="J526" t="s">
        <v>1400</v>
      </c>
      <c r="K526" t="s">
        <v>1401</v>
      </c>
      <c r="L526">
        <v>1355</v>
      </c>
      <c r="N526">
        <v>1010</v>
      </c>
      <c r="O526" t="s">
        <v>724</v>
      </c>
      <c r="P526" t="s">
        <v>724</v>
      </c>
      <c r="Q526">
        <v>100</v>
      </c>
      <c r="W526">
        <v>0</v>
      </c>
      <c r="X526">
        <v>1794244060</v>
      </c>
      <c r="Y526">
        <v>0.3</v>
      </c>
      <c r="AA526">
        <v>564.16</v>
      </c>
      <c r="AB526">
        <v>0</v>
      </c>
      <c r="AC526">
        <v>0</v>
      </c>
      <c r="AD526">
        <v>0</v>
      </c>
      <c r="AE526">
        <v>86</v>
      </c>
      <c r="AF526">
        <v>0</v>
      </c>
      <c r="AG526">
        <v>0</v>
      </c>
      <c r="AH526">
        <v>0</v>
      </c>
      <c r="AI526">
        <v>6.56</v>
      </c>
      <c r="AJ526">
        <v>1</v>
      </c>
      <c r="AK526">
        <v>1</v>
      </c>
      <c r="AL526">
        <v>1</v>
      </c>
      <c r="AN526">
        <v>0</v>
      </c>
      <c r="AO526">
        <v>1</v>
      </c>
      <c r="AP526">
        <v>0</v>
      </c>
      <c r="AQ526">
        <v>0</v>
      </c>
      <c r="AR526">
        <v>0</v>
      </c>
      <c r="AS526" t="s">
        <v>6</v>
      </c>
      <c r="AT526">
        <v>0.3</v>
      </c>
      <c r="AU526" t="s">
        <v>6</v>
      </c>
      <c r="AV526">
        <v>0</v>
      </c>
      <c r="AW526">
        <v>2</v>
      </c>
      <c r="AX526">
        <v>16751263</v>
      </c>
      <c r="AY526">
        <v>1</v>
      </c>
      <c r="AZ526">
        <v>0</v>
      </c>
      <c r="BA526">
        <v>490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0</v>
      </c>
      <c r="BH526">
        <v>0</v>
      </c>
      <c r="BI526">
        <v>0</v>
      </c>
      <c r="BJ526">
        <v>0</v>
      </c>
      <c r="BK526">
        <v>0</v>
      </c>
      <c r="BL526">
        <v>0</v>
      </c>
      <c r="BM526">
        <v>0</v>
      </c>
      <c r="BN526">
        <v>0</v>
      </c>
      <c r="BO526">
        <v>0</v>
      </c>
      <c r="BP526">
        <v>0</v>
      </c>
      <c r="BQ526">
        <v>0</v>
      </c>
      <c r="BR526">
        <v>0</v>
      </c>
      <c r="BS526">
        <v>0</v>
      </c>
      <c r="BT526">
        <v>0</v>
      </c>
      <c r="BU526">
        <v>0</v>
      </c>
      <c r="BV526">
        <v>0</v>
      </c>
      <c r="BW526">
        <v>0</v>
      </c>
      <c r="CX526">
        <f>Y526*Source!I364</f>
        <v>1.6799999999999999E-2</v>
      </c>
      <c r="CY526">
        <f t="shared" si="84"/>
        <v>564.16</v>
      </c>
      <c r="CZ526">
        <f t="shared" si="85"/>
        <v>86</v>
      </c>
      <c r="DA526">
        <f t="shared" si="86"/>
        <v>6.56</v>
      </c>
      <c r="DB526">
        <f t="shared" si="76"/>
        <v>25.8</v>
      </c>
      <c r="DC526">
        <f t="shared" si="77"/>
        <v>0</v>
      </c>
    </row>
    <row r="527" spans="1:107" x14ac:dyDescent="0.2">
      <c r="A527">
        <f>ROW(Source!A364)</f>
        <v>364</v>
      </c>
      <c r="B527">
        <v>16748969</v>
      </c>
      <c r="C527">
        <v>16751241</v>
      </c>
      <c r="D527">
        <v>15217313</v>
      </c>
      <c r="E527">
        <v>1</v>
      </c>
      <c r="F527">
        <v>1</v>
      </c>
      <c r="G527">
        <v>1</v>
      </c>
      <c r="H527">
        <v>3</v>
      </c>
      <c r="I527" t="s">
        <v>1461</v>
      </c>
      <c r="J527" t="s">
        <v>1462</v>
      </c>
      <c r="K527" t="s">
        <v>1463</v>
      </c>
      <c r="L527">
        <v>1354</v>
      </c>
      <c r="N527">
        <v>1010</v>
      </c>
      <c r="O527" t="s">
        <v>53</v>
      </c>
      <c r="P527" t="s">
        <v>53</v>
      </c>
      <c r="Q527">
        <v>1</v>
      </c>
      <c r="W527">
        <v>0</v>
      </c>
      <c r="X527">
        <v>365674879</v>
      </c>
      <c r="Y527">
        <v>30</v>
      </c>
      <c r="AA527">
        <v>69.14</v>
      </c>
      <c r="AB527">
        <v>0</v>
      </c>
      <c r="AC527">
        <v>0</v>
      </c>
      <c r="AD527">
        <v>0</v>
      </c>
      <c r="AE527">
        <v>10.54</v>
      </c>
      <c r="AF527">
        <v>0</v>
      </c>
      <c r="AG527">
        <v>0</v>
      </c>
      <c r="AH527">
        <v>0</v>
      </c>
      <c r="AI527">
        <v>6.56</v>
      </c>
      <c r="AJ527">
        <v>1</v>
      </c>
      <c r="AK527">
        <v>1</v>
      </c>
      <c r="AL527">
        <v>1</v>
      </c>
      <c r="AN527">
        <v>0</v>
      </c>
      <c r="AO527">
        <v>1</v>
      </c>
      <c r="AP527">
        <v>0</v>
      </c>
      <c r="AQ527">
        <v>0</v>
      </c>
      <c r="AR527">
        <v>0</v>
      </c>
      <c r="AS527" t="s">
        <v>6</v>
      </c>
      <c r="AT527">
        <v>30</v>
      </c>
      <c r="AU527" t="s">
        <v>6</v>
      </c>
      <c r="AV527">
        <v>0</v>
      </c>
      <c r="AW527">
        <v>2</v>
      </c>
      <c r="AX527">
        <v>16751264</v>
      </c>
      <c r="AY527">
        <v>1</v>
      </c>
      <c r="AZ527">
        <v>0</v>
      </c>
      <c r="BA527">
        <v>491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0</v>
      </c>
      <c r="BH527">
        <v>0</v>
      </c>
      <c r="BI527">
        <v>0</v>
      </c>
      <c r="BJ527">
        <v>0</v>
      </c>
      <c r="BK527">
        <v>0</v>
      </c>
      <c r="BL527">
        <v>0</v>
      </c>
      <c r="BM527">
        <v>0</v>
      </c>
      <c r="BN527">
        <v>0</v>
      </c>
      <c r="BO527">
        <v>0</v>
      </c>
      <c r="BP527">
        <v>0</v>
      </c>
      <c r="BQ527">
        <v>0</v>
      </c>
      <c r="BR527">
        <v>0</v>
      </c>
      <c r="BS527">
        <v>0</v>
      </c>
      <c r="BT527">
        <v>0</v>
      </c>
      <c r="BU527">
        <v>0</v>
      </c>
      <c r="BV527">
        <v>0</v>
      </c>
      <c r="BW527">
        <v>0</v>
      </c>
      <c r="CX527">
        <f>Y527*Source!I364</f>
        <v>1.68</v>
      </c>
      <c r="CY527">
        <f t="shared" si="84"/>
        <v>69.14</v>
      </c>
      <c r="CZ527">
        <f t="shared" si="85"/>
        <v>10.54</v>
      </c>
      <c r="DA527">
        <f t="shared" si="86"/>
        <v>6.56</v>
      </c>
      <c r="DB527">
        <f t="shared" si="76"/>
        <v>316.2</v>
      </c>
      <c r="DC527">
        <f t="shared" si="77"/>
        <v>0</v>
      </c>
    </row>
    <row r="528" spans="1:107" x14ac:dyDescent="0.2">
      <c r="A528">
        <f>ROW(Source!A364)</f>
        <v>364</v>
      </c>
      <c r="B528">
        <v>16748969</v>
      </c>
      <c r="C528">
        <v>16751241</v>
      </c>
      <c r="D528">
        <v>15218624</v>
      </c>
      <c r="E528">
        <v>1</v>
      </c>
      <c r="F528">
        <v>1</v>
      </c>
      <c r="G528">
        <v>1</v>
      </c>
      <c r="H528">
        <v>3</v>
      </c>
      <c r="I528" t="s">
        <v>697</v>
      </c>
      <c r="J528" t="s">
        <v>699</v>
      </c>
      <c r="K528" t="s">
        <v>698</v>
      </c>
      <c r="L528">
        <v>1354</v>
      </c>
      <c r="N528">
        <v>1010</v>
      </c>
      <c r="O528" t="s">
        <v>53</v>
      </c>
      <c r="P528" t="s">
        <v>53</v>
      </c>
      <c r="Q528">
        <v>1</v>
      </c>
      <c r="W528">
        <v>0</v>
      </c>
      <c r="X528">
        <v>1131365880</v>
      </c>
      <c r="Y528">
        <v>35.714286000000001</v>
      </c>
      <c r="AA528">
        <v>409.34</v>
      </c>
      <c r="AB528">
        <v>0</v>
      </c>
      <c r="AC528">
        <v>0</v>
      </c>
      <c r="AD528">
        <v>0</v>
      </c>
      <c r="AE528">
        <v>62.4</v>
      </c>
      <c r="AF528">
        <v>0</v>
      </c>
      <c r="AG528">
        <v>0</v>
      </c>
      <c r="AH528">
        <v>0</v>
      </c>
      <c r="AI528">
        <v>6.56</v>
      </c>
      <c r="AJ528">
        <v>1</v>
      </c>
      <c r="AK528">
        <v>1</v>
      </c>
      <c r="AL528">
        <v>1</v>
      </c>
      <c r="AN528">
        <v>0</v>
      </c>
      <c r="AO528">
        <v>0</v>
      </c>
      <c r="AP528">
        <v>0</v>
      </c>
      <c r="AQ528">
        <v>0</v>
      </c>
      <c r="AR528">
        <v>0</v>
      </c>
      <c r="AS528" t="s">
        <v>6</v>
      </c>
      <c r="AT528">
        <v>35.714286000000001</v>
      </c>
      <c r="AU528" t="s">
        <v>6</v>
      </c>
      <c r="AV528">
        <v>0</v>
      </c>
      <c r="AW528">
        <v>1</v>
      </c>
      <c r="AX528">
        <v>-1</v>
      </c>
      <c r="AY528">
        <v>0</v>
      </c>
      <c r="AZ528">
        <v>0</v>
      </c>
      <c r="BA528" t="s">
        <v>6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0</v>
      </c>
      <c r="BH528">
        <v>0</v>
      </c>
      <c r="BI528">
        <v>0</v>
      </c>
      <c r="BJ528">
        <v>0</v>
      </c>
      <c r="BK528">
        <v>0</v>
      </c>
      <c r="BL528">
        <v>0</v>
      </c>
      <c r="BM528">
        <v>0</v>
      </c>
      <c r="BN528">
        <v>0</v>
      </c>
      <c r="BO528">
        <v>0</v>
      </c>
      <c r="BP528">
        <v>0</v>
      </c>
      <c r="BQ528">
        <v>0</v>
      </c>
      <c r="BR528">
        <v>0</v>
      </c>
      <c r="BS528">
        <v>0</v>
      </c>
      <c r="BT528">
        <v>0</v>
      </c>
      <c r="BU528">
        <v>0</v>
      </c>
      <c r="BV528">
        <v>0</v>
      </c>
      <c r="BW528">
        <v>0</v>
      </c>
      <c r="CX528">
        <f>Y528*Source!I364</f>
        <v>2.000000016</v>
      </c>
      <c r="CY528">
        <f t="shared" si="84"/>
        <v>409.34</v>
      </c>
      <c r="CZ528">
        <f t="shared" si="85"/>
        <v>62.4</v>
      </c>
      <c r="DA528">
        <f t="shared" si="86"/>
        <v>6.56</v>
      </c>
      <c r="DB528">
        <f t="shared" si="76"/>
        <v>2228.5700000000002</v>
      </c>
      <c r="DC528">
        <f t="shared" si="77"/>
        <v>0</v>
      </c>
    </row>
    <row r="529" spans="1:107" x14ac:dyDescent="0.2">
      <c r="A529">
        <f>ROW(Source!A364)</f>
        <v>364</v>
      </c>
      <c r="B529">
        <v>16748969</v>
      </c>
      <c r="C529">
        <v>16751241</v>
      </c>
      <c r="D529">
        <v>15219265</v>
      </c>
      <c r="E529">
        <v>1</v>
      </c>
      <c r="F529">
        <v>1</v>
      </c>
      <c r="G529">
        <v>1</v>
      </c>
      <c r="H529">
        <v>3</v>
      </c>
      <c r="I529" t="s">
        <v>1464</v>
      </c>
      <c r="J529" t="s">
        <v>1465</v>
      </c>
      <c r="K529" t="s">
        <v>1466</v>
      </c>
      <c r="L529">
        <v>1354</v>
      </c>
      <c r="N529">
        <v>1010</v>
      </c>
      <c r="O529" t="s">
        <v>53</v>
      </c>
      <c r="P529" t="s">
        <v>53</v>
      </c>
      <c r="Q529">
        <v>1</v>
      </c>
      <c r="W529">
        <v>0</v>
      </c>
      <c r="X529">
        <v>1761059010</v>
      </c>
      <c r="Y529">
        <v>6</v>
      </c>
      <c r="AA529">
        <v>32.799999999999997</v>
      </c>
      <c r="AB529">
        <v>0</v>
      </c>
      <c r="AC529">
        <v>0</v>
      </c>
      <c r="AD529">
        <v>0</v>
      </c>
      <c r="AE529">
        <v>5</v>
      </c>
      <c r="AF529">
        <v>0</v>
      </c>
      <c r="AG529">
        <v>0</v>
      </c>
      <c r="AH529">
        <v>0</v>
      </c>
      <c r="AI529">
        <v>6.56</v>
      </c>
      <c r="AJ529">
        <v>1</v>
      </c>
      <c r="AK529">
        <v>1</v>
      </c>
      <c r="AL529">
        <v>1</v>
      </c>
      <c r="AN529">
        <v>0</v>
      </c>
      <c r="AO529">
        <v>1</v>
      </c>
      <c r="AP529">
        <v>0</v>
      </c>
      <c r="AQ529">
        <v>0</v>
      </c>
      <c r="AR529">
        <v>0</v>
      </c>
      <c r="AS529" t="s">
        <v>6</v>
      </c>
      <c r="AT529">
        <v>6</v>
      </c>
      <c r="AU529" t="s">
        <v>6</v>
      </c>
      <c r="AV529">
        <v>0</v>
      </c>
      <c r="AW529">
        <v>2</v>
      </c>
      <c r="AX529">
        <v>16751265</v>
      </c>
      <c r="AY529">
        <v>1</v>
      </c>
      <c r="AZ529">
        <v>0</v>
      </c>
      <c r="BA529">
        <v>492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0</v>
      </c>
      <c r="BH529">
        <v>0</v>
      </c>
      <c r="BI529">
        <v>0</v>
      </c>
      <c r="BJ529">
        <v>0</v>
      </c>
      <c r="BK529">
        <v>0</v>
      </c>
      <c r="BL529">
        <v>0</v>
      </c>
      <c r="BM529">
        <v>0</v>
      </c>
      <c r="BN529">
        <v>0</v>
      </c>
      <c r="BO529">
        <v>0</v>
      </c>
      <c r="BP529">
        <v>0</v>
      </c>
      <c r="BQ529">
        <v>0</v>
      </c>
      <c r="BR529">
        <v>0</v>
      </c>
      <c r="BS529">
        <v>0</v>
      </c>
      <c r="BT529">
        <v>0</v>
      </c>
      <c r="BU529">
        <v>0</v>
      </c>
      <c r="BV529">
        <v>0</v>
      </c>
      <c r="BW529">
        <v>0</v>
      </c>
      <c r="CX529">
        <f>Y529*Source!I364</f>
        <v>0.33600000000000002</v>
      </c>
      <c r="CY529">
        <f t="shared" si="84"/>
        <v>32.799999999999997</v>
      </c>
      <c r="CZ529">
        <f t="shared" si="85"/>
        <v>5</v>
      </c>
      <c r="DA529">
        <f t="shared" si="86"/>
        <v>6.56</v>
      </c>
      <c r="DB529">
        <f t="shared" si="76"/>
        <v>30</v>
      </c>
      <c r="DC529">
        <f t="shared" si="77"/>
        <v>0</v>
      </c>
    </row>
    <row r="530" spans="1:107" x14ac:dyDescent="0.2">
      <c r="A530">
        <f>ROW(Source!A364)</f>
        <v>364</v>
      </c>
      <c r="B530">
        <v>16748969</v>
      </c>
      <c r="C530">
        <v>16751241</v>
      </c>
      <c r="D530">
        <v>15164559</v>
      </c>
      <c r="E530">
        <v>17</v>
      </c>
      <c r="F530">
        <v>1</v>
      </c>
      <c r="G530">
        <v>1</v>
      </c>
      <c r="H530">
        <v>3</v>
      </c>
      <c r="I530" t="s">
        <v>1383</v>
      </c>
      <c r="J530" t="s">
        <v>6</v>
      </c>
      <c r="K530" t="s">
        <v>1384</v>
      </c>
      <c r="L530">
        <v>1374</v>
      </c>
      <c r="N530">
        <v>1013</v>
      </c>
      <c r="O530" t="s">
        <v>1385</v>
      </c>
      <c r="P530" t="s">
        <v>1385</v>
      </c>
      <c r="Q530">
        <v>1</v>
      </c>
      <c r="W530">
        <v>0</v>
      </c>
      <c r="X530">
        <v>-1731369543</v>
      </c>
      <c r="Y530">
        <v>1.61</v>
      </c>
      <c r="AA530">
        <v>1</v>
      </c>
      <c r="AB530">
        <v>0</v>
      </c>
      <c r="AC530">
        <v>0</v>
      </c>
      <c r="AD530">
        <v>0</v>
      </c>
      <c r="AE530">
        <v>1</v>
      </c>
      <c r="AF530">
        <v>0</v>
      </c>
      <c r="AG530">
        <v>0</v>
      </c>
      <c r="AH530">
        <v>0</v>
      </c>
      <c r="AI530">
        <v>1</v>
      </c>
      <c r="AJ530">
        <v>1</v>
      </c>
      <c r="AK530">
        <v>1</v>
      </c>
      <c r="AL530">
        <v>1</v>
      </c>
      <c r="AN530">
        <v>0</v>
      </c>
      <c r="AO530">
        <v>1</v>
      </c>
      <c r="AP530">
        <v>0</v>
      </c>
      <c r="AQ530">
        <v>0</v>
      </c>
      <c r="AR530">
        <v>0</v>
      </c>
      <c r="AS530" t="s">
        <v>6</v>
      </c>
      <c r="AT530">
        <v>1.61</v>
      </c>
      <c r="AU530" t="s">
        <v>6</v>
      </c>
      <c r="AV530">
        <v>0</v>
      </c>
      <c r="AW530">
        <v>2</v>
      </c>
      <c r="AX530">
        <v>16751266</v>
      </c>
      <c r="AY530">
        <v>1</v>
      </c>
      <c r="AZ530">
        <v>0</v>
      </c>
      <c r="BA530">
        <v>493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0</v>
      </c>
      <c r="BH530">
        <v>0</v>
      </c>
      <c r="BI530">
        <v>0</v>
      </c>
      <c r="BJ530">
        <v>0</v>
      </c>
      <c r="BK530">
        <v>0</v>
      </c>
      <c r="BL530">
        <v>0</v>
      </c>
      <c r="BM530">
        <v>0</v>
      </c>
      <c r="BN530">
        <v>0</v>
      </c>
      <c r="BO530">
        <v>0</v>
      </c>
      <c r="BP530">
        <v>0</v>
      </c>
      <c r="BQ530">
        <v>0</v>
      </c>
      <c r="BR530">
        <v>0</v>
      </c>
      <c r="BS530">
        <v>0</v>
      </c>
      <c r="BT530">
        <v>0</v>
      </c>
      <c r="BU530">
        <v>0</v>
      </c>
      <c r="BV530">
        <v>0</v>
      </c>
      <c r="BW530">
        <v>0</v>
      </c>
      <c r="CX530">
        <f>Y530*Source!I364</f>
        <v>9.0160000000000004E-2</v>
      </c>
      <c r="CY530">
        <f t="shared" si="84"/>
        <v>1</v>
      </c>
      <c r="CZ530">
        <f t="shared" si="85"/>
        <v>1</v>
      </c>
      <c r="DA530">
        <f t="shared" si="86"/>
        <v>1</v>
      </c>
      <c r="DB530">
        <f t="shared" si="76"/>
        <v>1.61</v>
      </c>
      <c r="DC530">
        <f t="shared" si="77"/>
        <v>0</v>
      </c>
    </row>
    <row r="531" spans="1:107" x14ac:dyDescent="0.2">
      <c r="A531">
        <f>ROW(Source!A366)</f>
        <v>366</v>
      </c>
      <c r="B531">
        <v>16748969</v>
      </c>
      <c r="C531">
        <v>16751268</v>
      </c>
      <c r="D531">
        <v>15430397</v>
      </c>
      <c r="E531">
        <v>1</v>
      </c>
      <c r="F531">
        <v>1</v>
      </c>
      <c r="G531">
        <v>1</v>
      </c>
      <c r="H531">
        <v>1</v>
      </c>
      <c r="I531" t="s">
        <v>1234</v>
      </c>
      <c r="J531" t="s">
        <v>6</v>
      </c>
      <c r="K531" t="s">
        <v>1235</v>
      </c>
      <c r="L531">
        <v>1191</v>
      </c>
      <c r="N531">
        <v>1013</v>
      </c>
      <c r="O531" t="s">
        <v>1072</v>
      </c>
      <c r="P531" t="s">
        <v>1072</v>
      </c>
      <c r="Q531">
        <v>1</v>
      </c>
      <c r="W531">
        <v>0</v>
      </c>
      <c r="X531">
        <v>-1081351934</v>
      </c>
      <c r="Y531">
        <v>2.06</v>
      </c>
      <c r="AA531">
        <v>0</v>
      </c>
      <c r="AB531">
        <v>0</v>
      </c>
      <c r="AC531">
        <v>0</v>
      </c>
      <c r="AD531">
        <v>61.66</v>
      </c>
      <c r="AE531">
        <v>0</v>
      </c>
      <c r="AF531">
        <v>0</v>
      </c>
      <c r="AG531">
        <v>0</v>
      </c>
      <c r="AH531">
        <v>9.4</v>
      </c>
      <c r="AI531">
        <v>1</v>
      </c>
      <c r="AJ531">
        <v>1</v>
      </c>
      <c r="AK531">
        <v>1</v>
      </c>
      <c r="AL531">
        <v>6.56</v>
      </c>
      <c r="AN531">
        <v>0</v>
      </c>
      <c r="AO531">
        <v>1</v>
      </c>
      <c r="AP531">
        <v>0</v>
      </c>
      <c r="AQ531">
        <v>0</v>
      </c>
      <c r="AR531">
        <v>0</v>
      </c>
      <c r="AS531" t="s">
        <v>6</v>
      </c>
      <c r="AT531">
        <v>2.06</v>
      </c>
      <c r="AU531" t="s">
        <v>6</v>
      </c>
      <c r="AV531">
        <v>1</v>
      </c>
      <c r="AW531">
        <v>2</v>
      </c>
      <c r="AX531">
        <v>16751279</v>
      </c>
      <c r="AY531">
        <v>1</v>
      </c>
      <c r="AZ531">
        <v>0</v>
      </c>
      <c r="BA531">
        <v>494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0</v>
      </c>
      <c r="BH531">
        <v>0</v>
      </c>
      <c r="BI531">
        <v>0</v>
      </c>
      <c r="BJ531">
        <v>0</v>
      </c>
      <c r="BK531">
        <v>0</v>
      </c>
      <c r="BL531">
        <v>0</v>
      </c>
      <c r="BM531">
        <v>0</v>
      </c>
      <c r="BN531">
        <v>0</v>
      </c>
      <c r="BO531">
        <v>0</v>
      </c>
      <c r="BP531">
        <v>0</v>
      </c>
      <c r="BQ531">
        <v>0</v>
      </c>
      <c r="BR531">
        <v>0</v>
      </c>
      <c r="BS531">
        <v>0</v>
      </c>
      <c r="BT531">
        <v>0</v>
      </c>
      <c r="BU531">
        <v>0</v>
      </c>
      <c r="BV531">
        <v>0</v>
      </c>
      <c r="BW531">
        <v>0</v>
      </c>
      <c r="CX531">
        <f>Y531*Source!I366</f>
        <v>0.20600000000000002</v>
      </c>
      <c r="CY531">
        <f>AD531</f>
        <v>61.66</v>
      </c>
      <c r="CZ531">
        <f>AH531</f>
        <v>9.4</v>
      </c>
      <c r="DA531">
        <f>AL531</f>
        <v>6.56</v>
      </c>
      <c r="DB531">
        <f t="shared" si="76"/>
        <v>19.36</v>
      </c>
      <c r="DC531">
        <f t="shared" si="77"/>
        <v>0</v>
      </c>
    </row>
    <row r="532" spans="1:107" x14ac:dyDescent="0.2">
      <c r="A532">
        <f>ROW(Source!A366)</f>
        <v>366</v>
      </c>
      <c r="B532">
        <v>16748969</v>
      </c>
      <c r="C532">
        <v>16751268</v>
      </c>
      <c r="D532">
        <v>15430395</v>
      </c>
      <c r="E532">
        <v>1</v>
      </c>
      <c r="F532">
        <v>1</v>
      </c>
      <c r="G532">
        <v>1</v>
      </c>
      <c r="H532">
        <v>1</v>
      </c>
      <c r="I532" t="s">
        <v>1073</v>
      </c>
      <c r="J532" t="s">
        <v>6</v>
      </c>
      <c r="K532" t="s">
        <v>1074</v>
      </c>
      <c r="L532">
        <v>1191</v>
      </c>
      <c r="N532">
        <v>1013</v>
      </c>
      <c r="O532" t="s">
        <v>1072</v>
      </c>
      <c r="P532" t="s">
        <v>1072</v>
      </c>
      <c r="Q532">
        <v>1</v>
      </c>
      <c r="W532">
        <v>0</v>
      </c>
      <c r="X532">
        <v>-1417349443</v>
      </c>
      <c r="Y532">
        <v>0.04</v>
      </c>
      <c r="AA532">
        <v>0</v>
      </c>
      <c r="AB532">
        <v>0</v>
      </c>
      <c r="AC532">
        <v>0</v>
      </c>
      <c r="AD532">
        <v>0</v>
      </c>
      <c r="AE532">
        <v>0</v>
      </c>
      <c r="AF532">
        <v>0</v>
      </c>
      <c r="AG532">
        <v>0</v>
      </c>
      <c r="AH532">
        <v>0</v>
      </c>
      <c r="AI532">
        <v>1</v>
      </c>
      <c r="AJ532">
        <v>1</v>
      </c>
      <c r="AK532">
        <v>6.56</v>
      </c>
      <c r="AL532">
        <v>1</v>
      </c>
      <c r="AN532">
        <v>0</v>
      </c>
      <c r="AO532">
        <v>1</v>
      </c>
      <c r="AP532">
        <v>0</v>
      </c>
      <c r="AQ532">
        <v>0</v>
      </c>
      <c r="AR532">
        <v>0</v>
      </c>
      <c r="AS532" t="s">
        <v>6</v>
      </c>
      <c r="AT532">
        <v>0.04</v>
      </c>
      <c r="AU532" t="s">
        <v>6</v>
      </c>
      <c r="AV532">
        <v>2</v>
      </c>
      <c r="AW532">
        <v>2</v>
      </c>
      <c r="AX532">
        <v>16751280</v>
      </c>
      <c r="AY532">
        <v>1</v>
      </c>
      <c r="AZ532">
        <v>0</v>
      </c>
      <c r="BA532">
        <v>495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0</v>
      </c>
      <c r="BJ532">
        <v>0</v>
      </c>
      <c r="BK532">
        <v>0</v>
      </c>
      <c r="BL532">
        <v>0</v>
      </c>
      <c r="BM532">
        <v>0</v>
      </c>
      <c r="BN532">
        <v>0</v>
      </c>
      <c r="BO532">
        <v>0</v>
      </c>
      <c r="BP532">
        <v>0</v>
      </c>
      <c r="BQ532">
        <v>0</v>
      </c>
      <c r="BR532">
        <v>0</v>
      </c>
      <c r="BS532">
        <v>0</v>
      </c>
      <c r="BT532">
        <v>0</v>
      </c>
      <c r="BU532">
        <v>0</v>
      </c>
      <c r="BV532">
        <v>0</v>
      </c>
      <c r="BW532">
        <v>0</v>
      </c>
      <c r="CX532">
        <f>Y532*Source!I366</f>
        <v>4.0000000000000001E-3</v>
      </c>
      <c r="CY532">
        <f>AD532</f>
        <v>0</v>
      </c>
      <c r="CZ532">
        <f>AH532</f>
        <v>0</v>
      </c>
      <c r="DA532">
        <f>AL532</f>
        <v>1</v>
      </c>
      <c r="DB532">
        <f t="shared" si="76"/>
        <v>0</v>
      </c>
      <c r="DC532">
        <f t="shared" si="77"/>
        <v>0</v>
      </c>
    </row>
    <row r="533" spans="1:107" x14ac:dyDescent="0.2">
      <c r="A533">
        <f>ROW(Source!A366)</f>
        <v>366</v>
      </c>
      <c r="B533">
        <v>16748969</v>
      </c>
      <c r="C533">
        <v>16751268</v>
      </c>
      <c r="D533">
        <v>15247680</v>
      </c>
      <c r="E533">
        <v>1</v>
      </c>
      <c r="F533">
        <v>1</v>
      </c>
      <c r="G533">
        <v>1</v>
      </c>
      <c r="H533">
        <v>2</v>
      </c>
      <c r="I533" t="s">
        <v>1211</v>
      </c>
      <c r="J533" t="s">
        <v>1212</v>
      </c>
      <c r="K533" t="s">
        <v>1213</v>
      </c>
      <c r="L533">
        <v>1368</v>
      </c>
      <c r="N533">
        <v>1011</v>
      </c>
      <c r="O533" t="s">
        <v>1078</v>
      </c>
      <c r="P533" t="s">
        <v>1078</v>
      </c>
      <c r="Q533">
        <v>1</v>
      </c>
      <c r="W533">
        <v>0</v>
      </c>
      <c r="X533">
        <v>-1718674368</v>
      </c>
      <c r="Y533">
        <v>0.02</v>
      </c>
      <c r="AA533">
        <v>0</v>
      </c>
      <c r="AB533">
        <v>734.65</v>
      </c>
      <c r="AC533">
        <v>13.5</v>
      </c>
      <c r="AD533">
        <v>0</v>
      </c>
      <c r="AE533">
        <v>0</v>
      </c>
      <c r="AF533">
        <v>111.99</v>
      </c>
      <c r="AG533">
        <v>13.5</v>
      </c>
      <c r="AH533">
        <v>0</v>
      </c>
      <c r="AI533">
        <v>1</v>
      </c>
      <c r="AJ533">
        <v>6.56</v>
      </c>
      <c r="AK533">
        <v>1</v>
      </c>
      <c r="AL533">
        <v>1</v>
      </c>
      <c r="AN533">
        <v>0</v>
      </c>
      <c r="AO533">
        <v>1</v>
      </c>
      <c r="AP533">
        <v>0</v>
      </c>
      <c r="AQ533">
        <v>0</v>
      </c>
      <c r="AR533">
        <v>0</v>
      </c>
      <c r="AS533" t="s">
        <v>6</v>
      </c>
      <c r="AT533">
        <v>0.02</v>
      </c>
      <c r="AU533" t="s">
        <v>6</v>
      </c>
      <c r="AV533">
        <v>0</v>
      </c>
      <c r="AW533">
        <v>2</v>
      </c>
      <c r="AX533">
        <v>16751281</v>
      </c>
      <c r="AY533">
        <v>1</v>
      </c>
      <c r="AZ533">
        <v>0</v>
      </c>
      <c r="BA533">
        <v>496</v>
      </c>
      <c r="BB533">
        <v>0</v>
      </c>
      <c r="BC533">
        <v>0</v>
      </c>
      <c r="BD533">
        <v>0</v>
      </c>
      <c r="BE533">
        <v>0</v>
      </c>
      <c r="BF533">
        <v>0</v>
      </c>
      <c r="BG533">
        <v>0</v>
      </c>
      <c r="BH533">
        <v>0</v>
      </c>
      <c r="BI533">
        <v>0</v>
      </c>
      <c r="BJ533">
        <v>0</v>
      </c>
      <c r="BK533">
        <v>0</v>
      </c>
      <c r="BL533">
        <v>0</v>
      </c>
      <c r="BM533">
        <v>0</v>
      </c>
      <c r="BN533">
        <v>0</v>
      </c>
      <c r="BO533">
        <v>0</v>
      </c>
      <c r="BP533">
        <v>0</v>
      </c>
      <c r="BQ533">
        <v>0</v>
      </c>
      <c r="BR533">
        <v>0</v>
      </c>
      <c r="BS533">
        <v>0</v>
      </c>
      <c r="BT533">
        <v>0</v>
      </c>
      <c r="BU533">
        <v>0</v>
      </c>
      <c r="BV533">
        <v>0</v>
      </c>
      <c r="BW533">
        <v>0</v>
      </c>
      <c r="CX533">
        <f>Y533*Source!I366</f>
        <v>2E-3</v>
      </c>
      <c r="CY533">
        <f>AB533</f>
        <v>734.65</v>
      </c>
      <c r="CZ533">
        <f>AF533</f>
        <v>111.99</v>
      </c>
      <c r="DA533">
        <f>AJ533</f>
        <v>6.56</v>
      </c>
      <c r="DB533">
        <f t="shared" si="76"/>
        <v>2.2400000000000002</v>
      </c>
      <c r="DC533">
        <f t="shared" si="77"/>
        <v>0.27</v>
      </c>
    </row>
    <row r="534" spans="1:107" x14ac:dyDescent="0.2">
      <c r="A534">
        <f>ROW(Source!A366)</f>
        <v>366</v>
      </c>
      <c r="B534">
        <v>16748969</v>
      </c>
      <c r="C534">
        <v>16751268</v>
      </c>
      <c r="D534">
        <v>15249073</v>
      </c>
      <c r="E534">
        <v>1</v>
      </c>
      <c r="F534">
        <v>1</v>
      </c>
      <c r="G534">
        <v>1</v>
      </c>
      <c r="H534">
        <v>2</v>
      </c>
      <c r="I534" t="s">
        <v>1097</v>
      </c>
      <c r="J534" t="s">
        <v>1098</v>
      </c>
      <c r="K534" t="s">
        <v>1099</v>
      </c>
      <c r="L534">
        <v>1368</v>
      </c>
      <c r="N534">
        <v>1011</v>
      </c>
      <c r="O534" t="s">
        <v>1078</v>
      </c>
      <c r="P534" t="s">
        <v>1078</v>
      </c>
      <c r="Q534">
        <v>1</v>
      </c>
      <c r="W534">
        <v>0</v>
      </c>
      <c r="X534">
        <v>1372534845</v>
      </c>
      <c r="Y534">
        <v>0.02</v>
      </c>
      <c r="AA534">
        <v>0</v>
      </c>
      <c r="AB534">
        <v>431.06</v>
      </c>
      <c r="AC534">
        <v>11.6</v>
      </c>
      <c r="AD534">
        <v>0</v>
      </c>
      <c r="AE534">
        <v>0</v>
      </c>
      <c r="AF534">
        <v>65.709999999999994</v>
      </c>
      <c r="AG534">
        <v>11.6</v>
      </c>
      <c r="AH534">
        <v>0</v>
      </c>
      <c r="AI534">
        <v>1</v>
      </c>
      <c r="AJ534">
        <v>6.56</v>
      </c>
      <c r="AK534">
        <v>1</v>
      </c>
      <c r="AL534">
        <v>1</v>
      </c>
      <c r="AN534">
        <v>0</v>
      </c>
      <c r="AO534">
        <v>1</v>
      </c>
      <c r="AP534">
        <v>0</v>
      </c>
      <c r="AQ534">
        <v>0</v>
      </c>
      <c r="AR534">
        <v>0</v>
      </c>
      <c r="AS534" t="s">
        <v>6</v>
      </c>
      <c r="AT534">
        <v>0.02</v>
      </c>
      <c r="AU534" t="s">
        <v>6</v>
      </c>
      <c r="AV534">
        <v>0</v>
      </c>
      <c r="AW534">
        <v>2</v>
      </c>
      <c r="AX534">
        <v>16751282</v>
      </c>
      <c r="AY534">
        <v>1</v>
      </c>
      <c r="AZ534">
        <v>0</v>
      </c>
      <c r="BA534">
        <v>497</v>
      </c>
      <c r="BB534">
        <v>0</v>
      </c>
      <c r="BC534">
        <v>0</v>
      </c>
      <c r="BD534">
        <v>0</v>
      </c>
      <c r="BE534">
        <v>0</v>
      </c>
      <c r="BF534">
        <v>0</v>
      </c>
      <c r="BG534">
        <v>0</v>
      </c>
      <c r="BH534">
        <v>0</v>
      </c>
      <c r="BI534">
        <v>0</v>
      </c>
      <c r="BJ534">
        <v>0</v>
      </c>
      <c r="BK534">
        <v>0</v>
      </c>
      <c r="BL534">
        <v>0</v>
      </c>
      <c r="BM534">
        <v>0</v>
      </c>
      <c r="BN534">
        <v>0</v>
      </c>
      <c r="BO534">
        <v>0</v>
      </c>
      <c r="BP534">
        <v>0</v>
      </c>
      <c r="BQ534">
        <v>0</v>
      </c>
      <c r="BR534">
        <v>0</v>
      </c>
      <c r="BS534">
        <v>0</v>
      </c>
      <c r="BT534">
        <v>0</v>
      </c>
      <c r="BU534">
        <v>0</v>
      </c>
      <c r="BV534">
        <v>0</v>
      </c>
      <c r="BW534">
        <v>0</v>
      </c>
      <c r="CX534">
        <f>Y534*Source!I366</f>
        <v>2E-3</v>
      </c>
      <c r="CY534">
        <f>AB534</f>
        <v>431.06</v>
      </c>
      <c r="CZ534">
        <f>AF534</f>
        <v>65.709999999999994</v>
      </c>
      <c r="DA534">
        <f>AJ534</f>
        <v>6.56</v>
      </c>
      <c r="DB534">
        <f t="shared" si="76"/>
        <v>1.31</v>
      </c>
      <c r="DC534">
        <f t="shared" si="77"/>
        <v>0.23</v>
      </c>
    </row>
    <row r="535" spans="1:107" x14ac:dyDescent="0.2">
      <c r="A535">
        <f>ROW(Source!A366)</f>
        <v>366</v>
      </c>
      <c r="B535">
        <v>16748969</v>
      </c>
      <c r="C535">
        <v>16751268</v>
      </c>
      <c r="D535">
        <v>15167588</v>
      </c>
      <c r="E535">
        <v>1</v>
      </c>
      <c r="F535">
        <v>1</v>
      </c>
      <c r="G535">
        <v>1</v>
      </c>
      <c r="H535">
        <v>3</v>
      </c>
      <c r="I535" t="s">
        <v>1388</v>
      </c>
      <c r="J535" t="s">
        <v>1389</v>
      </c>
      <c r="K535" t="s">
        <v>1390</v>
      </c>
      <c r="L535">
        <v>1346</v>
      </c>
      <c r="N535">
        <v>1009</v>
      </c>
      <c r="O535" t="s">
        <v>323</v>
      </c>
      <c r="P535" t="s">
        <v>323</v>
      </c>
      <c r="Q535">
        <v>1</v>
      </c>
      <c r="W535">
        <v>0</v>
      </c>
      <c r="X535">
        <v>-1088866022</v>
      </c>
      <c r="Y535">
        <v>0.16</v>
      </c>
      <c r="AA535">
        <v>199.42</v>
      </c>
      <c r="AB535">
        <v>0</v>
      </c>
      <c r="AC535">
        <v>0</v>
      </c>
      <c r="AD535">
        <v>0</v>
      </c>
      <c r="AE535">
        <v>30.4</v>
      </c>
      <c r="AF535">
        <v>0</v>
      </c>
      <c r="AG535">
        <v>0</v>
      </c>
      <c r="AH535">
        <v>0</v>
      </c>
      <c r="AI535">
        <v>6.56</v>
      </c>
      <c r="AJ535">
        <v>1</v>
      </c>
      <c r="AK535">
        <v>1</v>
      </c>
      <c r="AL535">
        <v>1</v>
      </c>
      <c r="AN535">
        <v>0</v>
      </c>
      <c r="AO535">
        <v>1</v>
      </c>
      <c r="AP535">
        <v>0</v>
      </c>
      <c r="AQ535">
        <v>0</v>
      </c>
      <c r="AR535">
        <v>0</v>
      </c>
      <c r="AS535" t="s">
        <v>6</v>
      </c>
      <c r="AT535">
        <v>0.16</v>
      </c>
      <c r="AU535" t="s">
        <v>6</v>
      </c>
      <c r="AV535">
        <v>0</v>
      </c>
      <c r="AW535">
        <v>2</v>
      </c>
      <c r="AX535">
        <v>16751283</v>
      </c>
      <c r="AY535">
        <v>1</v>
      </c>
      <c r="AZ535">
        <v>0</v>
      </c>
      <c r="BA535">
        <v>498</v>
      </c>
      <c r="BB535">
        <v>0</v>
      </c>
      <c r="BC535">
        <v>0</v>
      </c>
      <c r="BD535">
        <v>0</v>
      </c>
      <c r="BE535">
        <v>0</v>
      </c>
      <c r="BF535">
        <v>0</v>
      </c>
      <c r="BG535">
        <v>0</v>
      </c>
      <c r="BH535">
        <v>0</v>
      </c>
      <c r="BI535">
        <v>0</v>
      </c>
      <c r="BJ535">
        <v>0</v>
      </c>
      <c r="BK535">
        <v>0</v>
      </c>
      <c r="BL535">
        <v>0</v>
      </c>
      <c r="BM535">
        <v>0</v>
      </c>
      <c r="BN535">
        <v>0</v>
      </c>
      <c r="BO535">
        <v>0</v>
      </c>
      <c r="BP535">
        <v>0</v>
      </c>
      <c r="BQ535">
        <v>0</v>
      </c>
      <c r="BR535">
        <v>0</v>
      </c>
      <c r="BS535">
        <v>0</v>
      </c>
      <c r="BT535">
        <v>0</v>
      </c>
      <c r="BU535">
        <v>0</v>
      </c>
      <c r="BV535">
        <v>0</v>
      </c>
      <c r="BW535">
        <v>0</v>
      </c>
      <c r="CX535">
        <f>Y535*Source!I366</f>
        <v>1.6E-2</v>
      </c>
      <c r="CY535">
        <f>AA535</f>
        <v>199.42</v>
      </c>
      <c r="CZ535">
        <f>AE535</f>
        <v>30.4</v>
      </c>
      <c r="DA535">
        <f>AI535</f>
        <v>6.56</v>
      </c>
      <c r="DB535">
        <f t="shared" si="76"/>
        <v>4.8600000000000003</v>
      </c>
      <c r="DC535">
        <f t="shared" si="77"/>
        <v>0</v>
      </c>
    </row>
    <row r="536" spans="1:107" x14ac:dyDescent="0.2">
      <c r="A536">
        <f>ROW(Source!A366)</f>
        <v>366</v>
      </c>
      <c r="B536">
        <v>16748969</v>
      </c>
      <c r="C536">
        <v>16751268</v>
      </c>
      <c r="D536">
        <v>15167600</v>
      </c>
      <c r="E536">
        <v>1</v>
      </c>
      <c r="F536">
        <v>1</v>
      </c>
      <c r="G536">
        <v>1</v>
      </c>
      <c r="H536">
        <v>3</v>
      </c>
      <c r="I536" t="s">
        <v>1476</v>
      </c>
      <c r="J536" t="s">
        <v>1477</v>
      </c>
      <c r="K536" t="s">
        <v>1478</v>
      </c>
      <c r="L536">
        <v>1308</v>
      </c>
      <c r="N536">
        <v>1003</v>
      </c>
      <c r="O536" t="s">
        <v>34</v>
      </c>
      <c r="P536" t="s">
        <v>34</v>
      </c>
      <c r="Q536">
        <v>100</v>
      </c>
      <c r="W536">
        <v>0</v>
      </c>
      <c r="X536">
        <v>568244124</v>
      </c>
      <c r="Y536">
        <v>5.5E-2</v>
      </c>
      <c r="AA536">
        <v>787.2</v>
      </c>
      <c r="AB536">
        <v>0</v>
      </c>
      <c r="AC536">
        <v>0</v>
      </c>
      <c r="AD536">
        <v>0</v>
      </c>
      <c r="AE536">
        <v>120</v>
      </c>
      <c r="AF536">
        <v>0</v>
      </c>
      <c r="AG536">
        <v>0</v>
      </c>
      <c r="AH536">
        <v>0</v>
      </c>
      <c r="AI536">
        <v>6.56</v>
      </c>
      <c r="AJ536">
        <v>1</v>
      </c>
      <c r="AK536">
        <v>1</v>
      </c>
      <c r="AL536">
        <v>1</v>
      </c>
      <c r="AN536">
        <v>0</v>
      </c>
      <c r="AO536">
        <v>1</v>
      </c>
      <c r="AP536">
        <v>0</v>
      </c>
      <c r="AQ536">
        <v>0</v>
      </c>
      <c r="AR536">
        <v>0</v>
      </c>
      <c r="AS536" t="s">
        <v>6</v>
      </c>
      <c r="AT536">
        <v>5.5E-2</v>
      </c>
      <c r="AU536" t="s">
        <v>6</v>
      </c>
      <c r="AV536">
        <v>0</v>
      </c>
      <c r="AW536">
        <v>2</v>
      </c>
      <c r="AX536">
        <v>16751284</v>
      </c>
      <c r="AY536">
        <v>1</v>
      </c>
      <c r="AZ536">
        <v>0</v>
      </c>
      <c r="BA536">
        <v>499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0</v>
      </c>
      <c r="BJ536">
        <v>0</v>
      </c>
      <c r="BK536">
        <v>0</v>
      </c>
      <c r="BL536">
        <v>0</v>
      </c>
      <c r="BM536">
        <v>0</v>
      </c>
      <c r="BN536">
        <v>0</v>
      </c>
      <c r="BO536">
        <v>0</v>
      </c>
      <c r="BP536">
        <v>0</v>
      </c>
      <c r="BQ536">
        <v>0</v>
      </c>
      <c r="BR536">
        <v>0</v>
      </c>
      <c r="BS536">
        <v>0</v>
      </c>
      <c r="BT536">
        <v>0</v>
      </c>
      <c r="BU536">
        <v>0</v>
      </c>
      <c r="BV536">
        <v>0</v>
      </c>
      <c r="BW536">
        <v>0</v>
      </c>
      <c r="CX536">
        <f>Y536*Source!I366</f>
        <v>5.5000000000000005E-3</v>
      </c>
      <c r="CY536">
        <f>AA536</f>
        <v>787.2</v>
      </c>
      <c r="CZ536">
        <f>AE536</f>
        <v>120</v>
      </c>
      <c r="DA536">
        <f>AI536</f>
        <v>6.56</v>
      </c>
      <c r="DB536">
        <f t="shared" si="76"/>
        <v>6.6</v>
      </c>
      <c r="DC536">
        <f t="shared" si="77"/>
        <v>0</v>
      </c>
    </row>
    <row r="537" spans="1:107" x14ac:dyDescent="0.2">
      <c r="A537">
        <f>ROW(Source!A366)</f>
        <v>366</v>
      </c>
      <c r="B537">
        <v>16748969</v>
      </c>
      <c r="C537">
        <v>16751268</v>
      </c>
      <c r="D537">
        <v>15203834</v>
      </c>
      <c r="E537">
        <v>1</v>
      </c>
      <c r="F537">
        <v>1</v>
      </c>
      <c r="G537">
        <v>1</v>
      </c>
      <c r="H537">
        <v>3</v>
      </c>
      <c r="I537" t="s">
        <v>1411</v>
      </c>
      <c r="J537" t="s">
        <v>1412</v>
      </c>
      <c r="K537" t="s">
        <v>374</v>
      </c>
      <c r="L537">
        <v>1346</v>
      </c>
      <c r="N537">
        <v>1009</v>
      </c>
      <c r="O537" t="s">
        <v>323</v>
      </c>
      <c r="P537" t="s">
        <v>323</v>
      </c>
      <c r="Q537">
        <v>1</v>
      </c>
      <c r="W537">
        <v>0</v>
      </c>
      <c r="X537">
        <v>210558753</v>
      </c>
      <c r="Y537">
        <v>0.05</v>
      </c>
      <c r="AA537">
        <v>187.62</v>
      </c>
      <c r="AB537">
        <v>0</v>
      </c>
      <c r="AC537">
        <v>0</v>
      </c>
      <c r="AD537">
        <v>0</v>
      </c>
      <c r="AE537">
        <v>28.6</v>
      </c>
      <c r="AF537">
        <v>0</v>
      </c>
      <c r="AG537">
        <v>0</v>
      </c>
      <c r="AH537">
        <v>0</v>
      </c>
      <c r="AI537">
        <v>6.56</v>
      </c>
      <c r="AJ537">
        <v>1</v>
      </c>
      <c r="AK537">
        <v>1</v>
      </c>
      <c r="AL537">
        <v>1</v>
      </c>
      <c r="AN537">
        <v>0</v>
      </c>
      <c r="AO537">
        <v>1</v>
      </c>
      <c r="AP537">
        <v>0</v>
      </c>
      <c r="AQ537">
        <v>0</v>
      </c>
      <c r="AR537">
        <v>0</v>
      </c>
      <c r="AS537" t="s">
        <v>6</v>
      </c>
      <c r="AT537">
        <v>0.05</v>
      </c>
      <c r="AU537" t="s">
        <v>6</v>
      </c>
      <c r="AV537">
        <v>0</v>
      </c>
      <c r="AW537">
        <v>2</v>
      </c>
      <c r="AX537">
        <v>16751285</v>
      </c>
      <c r="AY537">
        <v>1</v>
      </c>
      <c r="AZ537">
        <v>0</v>
      </c>
      <c r="BA537">
        <v>500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0</v>
      </c>
      <c r="BH537">
        <v>0</v>
      </c>
      <c r="BI537">
        <v>0</v>
      </c>
      <c r="BJ537">
        <v>0</v>
      </c>
      <c r="BK537">
        <v>0</v>
      </c>
      <c r="BL537">
        <v>0</v>
      </c>
      <c r="BM537">
        <v>0</v>
      </c>
      <c r="BN537">
        <v>0</v>
      </c>
      <c r="BO537">
        <v>0</v>
      </c>
      <c r="BP537">
        <v>0</v>
      </c>
      <c r="BQ537">
        <v>0</v>
      </c>
      <c r="BR537">
        <v>0</v>
      </c>
      <c r="BS537">
        <v>0</v>
      </c>
      <c r="BT537">
        <v>0</v>
      </c>
      <c r="BU537">
        <v>0</v>
      </c>
      <c r="BV537">
        <v>0</v>
      </c>
      <c r="BW537">
        <v>0</v>
      </c>
      <c r="CX537">
        <f>Y537*Source!I366</f>
        <v>5.000000000000001E-3</v>
      </c>
      <c r="CY537">
        <f>AA537</f>
        <v>187.62</v>
      </c>
      <c r="CZ537">
        <f>AE537</f>
        <v>28.6</v>
      </c>
      <c r="DA537">
        <f>AI537</f>
        <v>6.56</v>
      </c>
      <c r="DB537">
        <f t="shared" si="76"/>
        <v>1.43</v>
      </c>
      <c r="DC537">
        <f t="shared" si="77"/>
        <v>0</v>
      </c>
    </row>
    <row r="538" spans="1:107" x14ac:dyDescent="0.2">
      <c r="A538">
        <f>ROW(Source!A366)</f>
        <v>366</v>
      </c>
      <c r="B538">
        <v>16748969</v>
      </c>
      <c r="C538">
        <v>16751268</v>
      </c>
      <c r="D538">
        <v>15223054</v>
      </c>
      <c r="E538">
        <v>1</v>
      </c>
      <c r="F538">
        <v>1</v>
      </c>
      <c r="G538">
        <v>1</v>
      </c>
      <c r="H538">
        <v>3</v>
      </c>
      <c r="I538" t="s">
        <v>756</v>
      </c>
      <c r="J538" t="s">
        <v>758</v>
      </c>
      <c r="K538" t="s">
        <v>757</v>
      </c>
      <c r="L538">
        <v>1477</v>
      </c>
      <c r="N538">
        <v>1013</v>
      </c>
      <c r="O538" t="s">
        <v>641</v>
      </c>
      <c r="P538" t="s">
        <v>643</v>
      </c>
      <c r="Q538">
        <v>1</v>
      </c>
      <c r="W538">
        <v>0</v>
      </c>
      <c r="X538">
        <v>-1909897882</v>
      </c>
      <c r="Y538">
        <v>0.1</v>
      </c>
      <c r="AA538">
        <v>118393.9</v>
      </c>
      <c r="AB538">
        <v>0</v>
      </c>
      <c r="AC538">
        <v>0</v>
      </c>
      <c r="AD538">
        <v>0</v>
      </c>
      <c r="AE538">
        <v>18047.849999999999</v>
      </c>
      <c r="AF538">
        <v>0</v>
      </c>
      <c r="AG538">
        <v>0</v>
      </c>
      <c r="AH538">
        <v>0</v>
      </c>
      <c r="AI538">
        <v>6.56</v>
      </c>
      <c r="AJ538">
        <v>1</v>
      </c>
      <c r="AK538">
        <v>1</v>
      </c>
      <c r="AL538">
        <v>1</v>
      </c>
      <c r="AN538">
        <v>0</v>
      </c>
      <c r="AO538">
        <v>0</v>
      </c>
      <c r="AP538">
        <v>0</v>
      </c>
      <c r="AQ538">
        <v>0</v>
      </c>
      <c r="AR538">
        <v>0</v>
      </c>
      <c r="AS538" t="s">
        <v>6</v>
      </c>
      <c r="AT538">
        <v>0.1</v>
      </c>
      <c r="AU538" t="s">
        <v>6</v>
      </c>
      <c r="AV538">
        <v>0</v>
      </c>
      <c r="AW538">
        <v>1</v>
      </c>
      <c r="AX538">
        <v>-1</v>
      </c>
      <c r="AY538">
        <v>0</v>
      </c>
      <c r="AZ538">
        <v>0</v>
      </c>
      <c r="BA538" t="s">
        <v>6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0</v>
      </c>
      <c r="BJ538">
        <v>0</v>
      </c>
      <c r="BK538">
        <v>0</v>
      </c>
      <c r="BL538">
        <v>0</v>
      </c>
      <c r="BM538">
        <v>0</v>
      </c>
      <c r="BN538">
        <v>0</v>
      </c>
      <c r="BO538">
        <v>0</v>
      </c>
      <c r="BP538">
        <v>0</v>
      </c>
      <c r="BQ538">
        <v>0</v>
      </c>
      <c r="BR538">
        <v>0</v>
      </c>
      <c r="BS538">
        <v>0</v>
      </c>
      <c r="BT538">
        <v>0</v>
      </c>
      <c r="BU538">
        <v>0</v>
      </c>
      <c r="BV538">
        <v>0</v>
      </c>
      <c r="BW538">
        <v>0</v>
      </c>
      <c r="CX538">
        <f>Y538*Source!I366</f>
        <v>1.0000000000000002E-2</v>
      </c>
      <c r="CY538">
        <f>AA538</f>
        <v>118393.9</v>
      </c>
      <c r="CZ538">
        <f>AE538</f>
        <v>18047.849999999999</v>
      </c>
      <c r="DA538">
        <f>AI538</f>
        <v>6.56</v>
      </c>
      <c r="DB538">
        <f t="shared" si="76"/>
        <v>1804.79</v>
      </c>
      <c r="DC538">
        <f t="shared" si="77"/>
        <v>0</v>
      </c>
    </row>
    <row r="539" spans="1:107" x14ac:dyDescent="0.2">
      <c r="A539">
        <f>ROW(Source!A366)</f>
        <v>366</v>
      </c>
      <c r="B539">
        <v>16748969</v>
      </c>
      <c r="C539">
        <v>16751268</v>
      </c>
      <c r="D539">
        <v>15164559</v>
      </c>
      <c r="E539">
        <v>17</v>
      </c>
      <c r="F539">
        <v>1</v>
      </c>
      <c r="G539">
        <v>1</v>
      </c>
      <c r="H539">
        <v>3</v>
      </c>
      <c r="I539" t="s">
        <v>1383</v>
      </c>
      <c r="J539" t="s">
        <v>6</v>
      </c>
      <c r="K539" t="s">
        <v>1384</v>
      </c>
      <c r="L539">
        <v>1374</v>
      </c>
      <c r="N539">
        <v>1013</v>
      </c>
      <c r="O539" t="s">
        <v>1385</v>
      </c>
      <c r="P539" t="s">
        <v>1385</v>
      </c>
      <c r="Q539">
        <v>1</v>
      </c>
      <c r="W539">
        <v>0</v>
      </c>
      <c r="X539">
        <v>-1731369543</v>
      </c>
      <c r="Y539">
        <v>0.39</v>
      </c>
      <c r="AA539">
        <v>1</v>
      </c>
      <c r="AB539">
        <v>0</v>
      </c>
      <c r="AC539">
        <v>0</v>
      </c>
      <c r="AD539">
        <v>0</v>
      </c>
      <c r="AE539">
        <v>1</v>
      </c>
      <c r="AF539">
        <v>0</v>
      </c>
      <c r="AG539">
        <v>0</v>
      </c>
      <c r="AH539">
        <v>0</v>
      </c>
      <c r="AI539">
        <v>1</v>
      </c>
      <c r="AJ539">
        <v>1</v>
      </c>
      <c r="AK539">
        <v>1</v>
      </c>
      <c r="AL539">
        <v>1</v>
      </c>
      <c r="AN539">
        <v>0</v>
      </c>
      <c r="AO539">
        <v>1</v>
      </c>
      <c r="AP539">
        <v>0</v>
      </c>
      <c r="AQ539">
        <v>0</v>
      </c>
      <c r="AR539">
        <v>0</v>
      </c>
      <c r="AS539" t="s">
        <v>6</v>
      </c>
      <c r="AT539">
        <v>0.39</v>
      </c>
      <c r="AU539" t="s">
        <v>6</v>
      </c>
      <c r="AV539">
        <v>0</v>
      </c>
      <c r="AW539">
        <v>2</v>
      </c>
      <c r="AX539">
        <v>16751286</v>
      </c>
      <c r="AY539">
        <v>1</v>
      </c>
      <c r="AZ539">
        <v>0</v>
      </c>
      <c r="BA539">
        <v>501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0</v>
      </c>
      <c r="BJ539">
        <v>0</v>
      </c>
      <c r="BK539">
        <v>0</v>
      </c>
      <c r="BL539">
        <v>0</v>
      </c>
      <c r="BM539">
        <v>0</v>
      </c>
      <c r="BN539">
        <v>0</v>
      </c>
      <c r="BO539">
        <v>0</v>
      </c>
      <c r="BP539">
        <v>0</v>
      </c>
      <c r="BQ539">
        <v>0</v>
      </c>
      <c r="BR539">
        <v>0</v>
      </c>
      <c r="BS539">
        <v>0</v>
      </c>
      <c r="BT539">
        <v>0</v>
      </c>
      <c r="BU539">
        <v>0</v>
      </c>
      <c r="BV539">
        <v>0</v>
      </c>
      <c r="BW539">
        <v>0</v>
      </c>
      <c r="CX539">
        <f>Y539*Source!I366</f>
        <v>3.9000000000000007E-2</v>
      </c>
      <c r="CY539">
        <f>AA539</f>
        <v>1</v>
      </c>
      <c r="CZ539">
        <f>AE539</f>
        <v>1</v>
      </c>
      <c r="DA539">
        <f>AI539</f>
        <v>1</v>
      </c>
      <c r="DB539">
        <f t="shared" si="76"/>
        <v>0.39</v>
      </c>
      <c r="DC539">
        <f t="shared" si="77"/>
        <v>0</v>
      </c>
    </row>
    <row r="540" spans="1:107" x14ac:dyDescent="0.2">
      <c r="A540">
        <f>ROW(Source!A368)</f>
        <v>368</v>
      </c>
      <c r="B540">
        <v>16748969</v>
      </c>
      <c r="C540">
        <v>16751308</v>
      </c>
      <c r="D540">
        <v>15430397</v>
      </c>
      <c r="E540">
        <v>1</v>
      </c>
      <c r="F540">
        <v>1</v>
      </c>
      <c r="G540">
        <v>1</v>
      </c>
      <c r="H540">
        <v>1</v>
      </c>
      <c r="I540" t="s">
        <v>1234</v>
      </c>
      <c r="J540" t="s">
        <v>6</v>
      </c>
      <c r="K540" t="s">
        <v>1235</v>
      </c>
      <c r="L540">
        <v>1191</v>
      </c>
      <c r="N540">
        <v>1013</v>
      </c>
      <c r="O540" t="s">
        <v>1072</v>
      </c>
      <c r="P540" t="s">
        <v>1072</v>
      </c>
      <c r="Q540">
        <v>1</v>
      </c>
      <c r="W540">
        <v>0</v>
      </c>
      <c r="X540">
        <v>-1081351934</v>
      </c>
      <c r="Y540">
        <v>5.64</v>
      </c>
      <c r="AA540">
        <v>0</v>
      </c>
      <c r="AB540">
        <v>0</v>
      </c>
      <c r="AC540">
        <v>0</v>
      </c>
      <c r="AD540">
        <v>61.66</v>
      </c>
      <c r="AE540">
        <v>0</v>
      </c>
      <c r="AF540">
        <v>0</v>
      </c>
      <c r="AG540">
        <v>0</v>
      </c>
      <c r="AH540">
        <v>9.4</v>
      </c>
      <c r="AI540">
        <v>1</v>
      </c>
      <c r="AJ540">
        <v>1</v>
      </c>
      <c r="AK540">
        <v>1</v>
      </c>
      <c r="AL540">
        <v>6.56</v>
      </c>
      <c r="AN540">
        <v>0</v>
      </c>
      <c r="AO540">
        <v>1</v>
      </c>
      <c r="AP540">
        <v>0</v>
      </c>
      <c r="AQ540">
        <v>0</v>
      </c>
      <c r="AR540">
        <v>0</v>
      </c>
      <c r="AS540" t="s">
        <v>6</v>
      </c>
      <c r="AT540">
        <v>5.64</v>
      </c>
      <c r="AU540" t="s">
        <v>6</v>
      </c>
      <c r="AV540">
        <v>1</v>
      </c>
      <c r="AW540">
        <v>2</v>
      </c>
      <c r="AX540">
        <v>16751318</v>
      </c>
      <c r="AY540">
        <v>1</v>
      </c>
      <c r="AZ540">
        <v>0</v>
      </c>
      <c r="BA540">
        <v>502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  <c r="BH540">
        <v>0</v>
      </c>
      <c r="BI540">
        <v>0</v>
      </c>
      <c r="BJ540">
        <v>0</v>
      </c>
      <c r="BK540">
        <v>0</v>
      </c>
      <c r="BL540">
        <v>0</v>
      </c>
      <c r="BM540">
        <v>0</v>
      </c>
      <c r="BN540">
        <v>0</v>
      </c>
      <c r="BO540">
        <v>0</v>
      </c>
      <c r="BP540">
        <v>0</v>
      </c>
      <c r="BQ540">
        <v>0</v>
      </c>
      <c r="BR540">
        <v>0</v>
      </c>
      <c r="BS540">
        <v>0</v>
      </c>
      <c r="BT540">
        <v>0</v>
      </c>
      <c r="BU540">
        <v>0</v>
      </c>
      <c r="BV540">
        <v>0</v>
      </c>
      <c r="BW540">
        <v>0</v>
      </c>
      <c r="CX540">
        <f>Y540*Source!I368</f>
        <v>6.6551999999999989</v>
      </c>
      <c r="CY540">
        <f>AD540</f>
        <v>61.66</v>
      </c>
      <c r="CZ540">
        <f>AH540</f>
        <v>9.4</v>
      </c>
      <c r="DA540">
        <f>AL540</f>
        <v>6.56</v>
      </c>
      <c r="DB540">
        <f t="shared" si="76"/>
        <v>53.02</v>
      </c>
      <c r="DC540">
        <f t="shared" si="77"/>
        <v>0</v>
      </c>
    </row>
    <row r="541" spans="1:107" x14ac:dyDescent="0.2">
      <c r="A541">
        <f>ROW(Source!A368)</f>
        <v>368</v>
      </c>
      <c r="B541">
        <v>16748969</v>
      </c>
      <c r="C541">
        <v>16751308</v>
      </c>
      <c r="D541">
        <v>15430395</v>
      </c>
      <c r="E541">
        <v>1</v>
      </c>
      <c r="F541">
        <v>1</v>
      </c>
      <c r="G541">
        <v>1</v>
      </c>
      <c r="H541">
        <v>1</v>
      </c>
      <c r="I541" t="s">
        <v>1073</v>
      </c>
      <c r="J541" t="s">
        <v>6</v>
      </c>
      <c r="K541" t="s">
        <v>1074</v>
      </c>
      <c r="L541">
        <v>1191</v>
      </c>
      <c r="N541">
        <v>1013</v>
      </c>
      <c r="O541" t="s">
        <v>1072</v>
      </c>
      <c r="P541" t="s">
        <v>1072</v>
      </c>
      <c r="Q541">
        <v>1</v>
      </c>
      <c r="W541">
        <v>0</v>
      </c>
      <c r="X541">
        <v>-1417349443</v>
      </c>
      <c r="Y541">
        <v>0.52</v>
      </c>
      <c r="AA541">
        <v>0</v>
      </c>
      <c r="AB541">
        <v>0</v>
      </c>
      <c r="AC541">
        <v>0</v>
      </c>
      <c r="AD541">
        <v>0</v>
      </c>
      <c r="AE541">
        <v>0</v>
      </c>
      <c r="AF541">
        <v>0</v>
      </c>
      <c r="AG541">
        <v>0</v>
      </c>
      <c r="AH541">
        <v>0</v>
      </c>
      <c r="AI541">
        <v>1</v>
      </c>
      <c r="AJ541">
        <v>1</v>
      </c>
      <c r="AK541">
        <v>6.56</v>
      </c>
      <c r="AL541">
        <v>1</v>
      </c>
      <c r="AN541">
        <v>0</v>
      </c>
      <c r="AO541">
        <v>1</v>
      </c>
      <c r="AP541">
        <v>0</v>
      </c>
      <c r="AQ541">
        <v>0</v>
      </c>
      <c r="AR541">
        <v>0</v>
      </c>
      <c r="AS541" t="s">
        <v>6</v>
      </c>
      <c r="AT541">
        <v>0.52</v>
      </c>
      <c r="AU541" t="s">
        <v>6</v>
      </c>
      <c r="AV541">
        <v>2</v>
      </c>
      <c r="AW541">
        <v>2</v>
      </c>
      <c r="AX541">
        <v>16751319</v>
      </c>
      <c r="AY541">
        <v>1</v>
      </c>
      <c r="AZ541">
        <v>0</v>
      </c>
      <c r="BA541">
        <v>503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0</v>
      </c>
      <c r="BH541">
        <v>0</v>
      </c>
      <c r="BI541">
        <v>0</v>
      </c>
      <c r="BJ541">
        <v>0</v>
      </c>
      <c r="BK541">
        <v>0</v>
      </c>
      <c r="BL541">
        <v>0</v>
      </c>
      <c r="BM541">
        <v>0</v>
      </c>
      <c r="BN541">
        <v>0</v>
      </c>
      <c r="BO541">
        <v>0</v>
      </c>
      <c r="BP541">
        <v>0</v>
      </c>
      <c r="BQ541">
        <v>0</v>
      </c>
      <c r="BR541">
        <v>0</v>
      </c>
      <c r="BS541">
        <v>0</v>
      </c>
      <c r="BT541">
        <v>0</v>
      </c>
      <c r="BU541">
        <v>0</v>
      </c>
      <c r="BV541">
        <v>0</v>
      </c>
      <c r="BW541">
        <v>0</v>
      </c>
      <c r="CX541">
        <f>Y541*Source!I368</f>
        <v>0.61360000000000003</v>
      </c>
      <c r="CY541">
        <f>AD541</f>
        <v>0</v>
      </c>
      <c r="CZ541">
        <f>AH541</f>
        <v>0</v>
      </c>
      <c r="DA541">
        <f>AL541</f>
        <v>1</v>
      </c>
      <c r="DB541">
        <f t="shared" si="76"/>
        <v>0</v>
      </c>
      <c r="DC541">
        <f t="shared" si="77"/>
        <v>0</v>
      </c>
    </row>
    <row r="542" spans="1:107" x14ac:dyDescent="0.2">
      <c r="A542">
        <f>ROW(Source!A368)</f>
        <v>368</v>
      </c>
      <c r="B542">
        <v>16748969</v>
      </c>
      <c r="C542">
        <v>16751308</v>
      </c>
      <c r="D542">
        <v>15247680</v>
      </c>
      <c r="E542">
        <v>1</v>
      </c>
      <c r="F542">
        <v>1</v>
      </c>
      <c r="G542">
        <v>1</v>
      </c>
      <c r="H542">
        <v>2</v>
      </c>
      <c r="I542" t="s">
        <v>1211</v>
      </c>
      <c r="J542" t="s">
        <v>1212</v>
      </c>
      <c r="K542" t="s">
        <v>1213</v>
      </c>
      <c r="L542">
        <v>1368</v>
      </c>
      <c r="N542">
        <v>1011</v>
      </c>
      <c r="O542" t="s">
        <v>1078</v>
      </c>
      <c r="P542" t="s">
        <v>1078</v>
      </c>
      <c r="Q542">
        <v>1</v>
      </c>
      <c r="W542">
        <v>0</v>
      </c>
      <c r="X542">
        <v>-1718674368</v>
      </c>
      <c r="Y542">
        <v>0.26</v>
      </c>
      <c r="AA542">
        <v>0</v>
      </c>
      <c r="AB542">
        <v>734.65</v>
      </c>
      <c r="AC542">
        <v>13.5</v>
      </c>
      <c r="AD542">
        <v>0</v>
      </c>
      <c r="AE542">
        <v>0</v>
      </c>
      <c r="AF542">
        <v>111.99</v>
      </c>
      <c r="AG542">
        <v>13.5</v>
      </c>
      <c r="AH542">
        <v>0</v>
      </c>
      <c r="AI542">
        <v>1</v>
      </c>
      <c r="AJ542">
        <v>6.56</v>
      </c>
      <c r="AK542">
        <v>1</v>
      </c>
      <c r="AL542">
        <v>1</v>
      </c>
      <c r="AN542">
        <v>0</v>
      </c>
      <c r="AO542">
        <v>1</v>
      </c>
      <c r="AP542">
        <v>0</v>
      </c>
      <c r="AQ542">
        <v>0</v>
      </c>
      <c r="AR542">
        <v>0</v>
      </c>
      <c r="AS542" t="s">
        <v>6</v>
      </c>
      <c r="AT542">
        <v>0.26</v>
      </c>
      <c r="AU542" t="s">
        <v>6</v>
      </c>
      <c r="AV542">
        <v>0</v>
      </c>
      <c r="AW542">
        <v>2</v>
      </c>
      <c r="AX542">
        <v>16751320</v>
      </c>
      <c r="AY542">
        <v>1</v>
      </c>
      <c r="AZ542">
        <v>0</v>
      </c>
      <c r="BA542">
        <v>504</v>
      </c>
      <c r="BB542">
        <v>0</v>
      </c>
      <c r="BC542">
        <v>0</v>
      </c>
      <c r="BD542">
        <v>0</v>
      </c>
      <c r="BE542">
        <v>0</v>
      </c>
      <c r="BF542">
        <v>0</v>
      </c>
      <c r="BG542">
        <v>0</v>
      </c>
      <c r="BH542">
        <v>0</v>
      </c>
      <c r="BI542">
        <v>0</v>
      </c>
      <c r="BJ542">
        <v>0</v>
      </c>
      <c r="BK542">
        <v>0</v>
      </c>
      <c r="BL542">
        <v>0</v>
      </c>
      <c r="BM542">
        <v>0</v>
      </c>
      <c r="BN542">
        <v>0</v>
      </c>
      <c r="BO542">
        <v>0</v>
      </c>
      <c r="BP542">
        <v>0</v>
      </c>
      <c r="BQ542">
        <v>0</v>
      </c>
      <c r="BR542">
        <v>0</v>
      </c>
      <c r="BS542">
        <v>0</v>
      </c>
      <c r="BT542">
        <v>0</v>
      </c>
      <c r="BU542">
        <v>0</v>
      </c>
      <c r="BV542">
        <v>0</v>
      </c>
      <c r="BW542">
        <v>0</v>
      </c>
      <c r="CX542">
        <f>Y542*Source!I368</f>
        <v>0.30680000000000002</v>
      </c>
      <c r="CY542">
        <f>AB542</f>
        <v>734.65</v>
      </c>
      <c r="CZ542">
        <f>AF542</f>
        <v>111.99</v>
      </c>
      <c r="DA542">
        <f>AJ542</f>
        <v>6.56</v>
      </c>
      <c r="DB542">
        <f t="shared" si="76"/>
        <v>29.12</v>
      </c>
      <c r="DC542">
        <f t="shared" si="77"/>
        <v>3.51</v>
      </c>
    </row>
    <row r="543" spans="1:107" x14ac:dyDescent="0.2">
      <c r="A543">
        <f>ROW(Source!A368)</f>
        <v>368</v>
      </c>
      <c r="B543">
        <v>16748969</v>
      </c>
      <c r="C543">
        <v>16751308</v>
      </c>
      <c r="D543">
        <v>15249073</v>
      </c>
      <c r="E543">
        <v>1</v>
      </c>
      <c r="F543">
        <v>1</v>
      </c>
      <c r="G543">
        <v>1</v>
      </c>
      <c r="H543">
        <v>2</v>
      </c>
      <c r="I543" t="s">
        <v>1097</v>
      </c>
      <c r="J543" t="s">
        <v>1098</v>
      </c>
      <c r="K543" t="s">
        <v>1099</v>
      </c>
      <c r="L543">
        <v>1368</v>
      </c>
      <c r="N543">
        <v>1011</v>
      </c>
      <c r="O543" t="s">
        <v>1078</v>
      </c>
      <c r="P543" t="s">
        <v>1078</v>
      </c>
      <c r="Q543">
        <v>1</v>
      </c>
      <c r="W543">
        <v>0</v>
      </c>
      <c r="X543">
        <v>1372534845</v>
      </c>
      <c r="Y543">
        <v>0.26</v>
      </c>
      <c r="AA543">
        <v>0</v>
      </c>
      <c r="AB543">
        <v>431.06</v>
      </c>
      <c r="AC543">
        <v>11.6</v>
      </c>
      <c r="AD543">
        <v>0</v>
      </c>
      <c r="AE543">
        <v>0</v>
      </c>
      <c r="AF543">
        <v>65.709999999999994</v>
      </c>
      <c r="AG543">
        <v>11.6</v>
      </c>
      <c r="AH543">
        <v>0</v>
      </c>
      <c r="AI543">
        <v>1</v>
      </c>
      <c r="AJ543">
        <v>6.56</v>
      </c>
      <c r="AK543">
        <v>1</v>
      </c>
      <c r="AL543">
        <v>1</v>
      </c>
      <c r="AN543">
        <v>0</v>
      </c>
      <c r="AO543">
        <v>1</v>
      </c>
      <c r="AP543">
        <v>0</v>
      </c>
      <c r="AQ543">
        <v>0</v>
      </c>
      <c r="AR543">
        <v>0</v>
      </c>
      <c r="AS543" t="s">
        <v>6</v>
      </c>
      <c r="AT543">
        <v>0.26</v>
      </c>
      <c r="AU543" t="s">
        <v>6</v>
      </c>
      <c r="AV543">
        <v>0</v>
      </c>
      <c r="AW543">
        <v>2</v>
      </c>
      <c r="AX543">
        <v>16751321</v>
      </c>
      <c r="AY543">
        <v>1</v>
      </c>
      <c r="AZ543">
        <v>0</v>
      </c>
      <c r="BA543">
        <v>505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0</v>
      </c>
      <c r="BK543">
        <v>0</v>
      </c>
      <c r="BL543">
        <v>0</v>
      </c>
      <c r="BM543">
        <v>0</v>
      </c>
      <c r="BN543">
        <v>0</v>
      </c>
      <c r="BO543">
        <v>0</v>
      </c>
      <c r="BP543">
        <v>0</v>
      </c>
      <c r="BQ543">
        <v>0</v>
      </c>
      <c r="BR543">
        <v>0</v>
      </c>
      <c r="BS543">
        <v>0</v>
      </c>
      <c r="BT543">
        <v>0</v>
      </c>
      <c r="BU543">
        <v>0</v>
      </c>
      <c r="BV543">
        <v>0</v>
      </c>
      <c r="BW543">
        <v>0</v>
      </c>
      <c r="CX543">
        <f>Y543*Source!I368</f>
        <v>0.30680000000000002</v>
      </c>
      <c r="CY543">
        <f>AB543</f>
        <v>431.06</v>
      </c>
      <c r="CZ543">
        <f>AF543</f>
        <v>65.709999999999994</v>
      </c>
      <c r="DA543">
        <f>AJ543</f>
        <v>6.56</v>
      </c>
      <c r="DB543">
        <f t="shared" si="76"/>
        <v>17.079999999999998</v>
      </c>
      <c r="DC543">
        <f t="shared" si="77"/>
        <v>3.02</v>
      </c>
    </row>
    <row r="544" spans="1:107" x14ac:dyDescent="0.2">
      <c r="A544">
        <f>ROW(Source!A368)</f>
        <v>368</v>
      </c>
      <c r="B544">
        <v>16748969</v>
      </c>
      <c r="C544">
        <v>16751308</v>
      </c>
      <c r="D544">
        <v>15167588</v>
      </c>
      <c r="E544">
        <v>1</v>
      </c>
      <c r="F544">
        <v>1</v>
      </c>
      <c r="G544">
        <v>1</v>
      </c>
      <c r="H544">
        <v>3</v>
      </c>
      <c r="I544" t="s">
        <v>1388</v>
      </c>
      <c r="J544" t="s">
        <v>1389</v>
      </c>
      <c r="K544" t="s">
        <v>1390</v>
      </c>
      <c r="L544">
        <v>1346</v>
      </c>
      <c r="N544">
        <v>1009</v>
      </c>
      <c r="O544" t="s">
        <v>323</v>
      </c>
      <c r="P544" t="s">
        <v>323</v>
      </c>
      <c r="Q544">
        <v>1</v>
      </c>
      <c r="W544">
        <v>0</v>
      </c>
      <c r="X544">
        <v>-1088866022</v>
      </c>
      <c r="Y544">
        <v>0.16</v>
      </c>
      <c r="AA544">
        <v>199.42</v>
      </c>
      <c r="AB544">
        <v>0</v>
      </c>
      <c r="AC544">
        <v>0</v>
      </c>
      <c r="AD544">
        <v>0</v>
      </c>
      <c r="AE544">
        <v>30.4</v>
      </c>
      <c r="AF544">
        <v>0</v>
      </c>
      <c r="AG544">
        <v>0</v>
      </c>
      <c r="AH544">
        <v>0</v>
      </c>
      <c r="AI544">
        <v>6.56</v>
      </c>
      <c r="AJ544">
        <v>1</v>
      </c>
      <c r="AK544">
        <v>1</v>
      </c>
      <c r="AL544">
        <v>1</v>
      </c>
      <c r="AN544">
        <v>0</v>
      </c>
      <c r="AO544">
        <v>1</v>
      </c>
      <c r="AP544">
        <v>0</v>
      </c>
      <c r="AQ544">
        <v>0</v>
      </c>
      <c r="AR544">
        <v>0</v>
      </c>
      <c r="AS544" t="s">
        <v>6</v>
      </c>
      <c r="AT544">
        <v>0.16</v>
      </c>
      <c r="AU544" t="s">
        <v>6</v>
      </c>
      <c r="AV544">
        <v>0</v>
      </c>
      <c r="AW544">
        <v>2</v>
      </c>
      <c r="AX544">
        <v>16751322</v>
      </c>
      <c r="AY544">
        <v>1</v>
      </c>
      <c r="AZ544">
        <v>0</v>
      </c>
      <c r="BA544">
        <v>506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0</v>
      </c>
      <c r="BJ544">
        <v>0</v>
      </c>
      <c r="BK544">
        <v>0</v>
      </c>
      <c r="BL544">
        <v>0</v>
      </c>
      <c r="BM544">
        <v>0</v>
      </c>
      <c r="BN544">
        <v>0</v>
      </c>
      <c r="BO544">
        <v>0</v>
      </c>
      <c r="BP544">
        <v>0</v>
      </c>
      <c r="BQ544">
        <v>0</v>
      </c>
      <c r="BR544">
        <v>0</v>
      </c>
      <c r="BS544">
        <v>0</v>
      </c>
      <c r="BT544">
        <v>0</v>
      </c>
      <c r="BU544">
        <v>0</v>
      </c>
      <c r="BV544">
        <v>0</v>
      </c>
      <c r="BW544">
        <v>0</v>
      </c>
      <c r="CX544">
        <f>Y544*Source!I368</f>
        <v>0.1888</v>
      </c>
      <c r="CY544">
        <f t="shared" ref="CY544:CY549" si="87">AA544</f>
        <v>199.42</v>
      </c>
      <c r="CZ544">
        <f t="shared" ref="CZ544:CZ549" si="88">AE544</f>
        <v>30.4</v>
      </c>
      <c r="DA544">
        <f t="shared" ref="DA544:DA549" si="89">AI544</f>
        <v>6.56</v>
      </c>
      <c r="DB544">
        <f t="shared" si="76"/>
        <v>4.8600000000000003</v>
      </c>
      <c r="DC544">
        <f t="shared" si="77"/>
        <v>0</v>
      </c>
    </row>
    <row r="545" spans="1:107" x14ac:dyDescent="0.2">
      <c r="A545">
        <f>ROW(Source!A368)</f>
        <v>368</v>
      </c>
      <c r="B545">
        <v>16748969</v>
      </c>
      <c r="C545">
        <v>16751308</v>
      </c>
      <c r="D545">
        <v>15167600</v>
      </c>
      <c r="E545">
        <v>1</v>
      </c>
      <c r="F545">
        <v>1</v>
      </c>
      <c r="G545">
        <v>1</v>
      </c>
      <c r="H545">
        <v>3</v>
      </c>
      <c r="I545" t="s">
        <v>1476</v>
      </c>
      <c r="J545" t="s">
        <v>1477</v>
      </c>
      <c r="K545" t="s">
        <v>1478</v>
      </c>
      <c r="L545">
        <v>1308</v>
      </c>
      <c r="N545">
        <v>1003</v>
      </c>
      <c r="O545" t="s">
        <v>34</v>
      </c>
      <c r="P545" t="s">
        <v>34</v>
      </c>
      <c r="Q545">
        <v>100</v>
      </c>
      <c r="W545">
        <v>0</v>
      </c>
      <c r="X545">
        <v>568244124</v>
      </c>
      <c r="Y545">
        <v>0.13</v>
      </c>
      <c r="AA545">
        <v>787.2</v>
      </c>
      <c r="AB545">
        <v>0</v>
      </c>
      <c r="AC545">
        <v>0</v>
      </c>
      <c r="AD545">
        <v>0</v>
      </c>
      <c r="AE545">
        <v>120</v>
      </c>
      <c r="AF545">
        <v>0</v>
      </c>
      <c r="AG545">
        <v>0</v>
      </c>
      <c r="AH545">
        <v>0</v>
      </c>
      <c r="AI545">
        <v>6.56</v>
      </c>
      <c r="AJ545">
        <v>1</v>
      </c>
      <c r="AK545">
        <v>1</v>
      </c>
      <c r="AL545">
        <v>1</v>
      </c>
      <c r="AN545">
        <v>0</v>
      </c>
      <c r="AO545">
        <v>1</v>
      </c>
      <c r="AP545">
        <v>0</v>
      </c>
      <c r="AQ545">
        <v>0</v>
      </c>
      <c r="AR545">
        <v>0</v>
      </c>
      <c r="AS545" t="s">
        <v>6</v>
      </c>
      <c r="AT545">
        <v>0.13</v>
      </c>
      <c r="AU545" t="s">
        <v>6</v>
      </c>
      <c r="AV545">
        <v>0</v>
      </c>
      <c r="AW545">
        <v>2</v>
      </c>
      <c r="AX545">
        <v>16751323</v>
      </c>
      <c r="AY545">
        <v>1</v>
      </c>
      <c r="AZ545">
        <v>0</v>
      </c>
      <c r="BA545">
        <v>507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0</v>
      </c>
      <c r="BO545">
        <v>0</v>
      </c>
      <c r="BP545">
        <v>0</v>
      </c>
      <c r="BQ545">
        <v>0</v>
      </c>
      <c r="BR545">
        <v>0</v>
      </c>
      <c r="BS545">
        <v>0</v>
      </c>
      <c r="BT545">
        <v>0</v>
      </c>
      <c r="BU545">
        <v>0</v>
      </c>
      <c r="BV545">
        <v>0</v>
      </c>
      <c r="BW545">
        <v>0</v>
      </c>
      <c r="CX545">
        <f>Y545*Source!I368</f>
        <v>0.15340000000000001</v>
      </c>
      <c r="CY545">
        <f t="shared" si="87"/>
        <v>787.2</v>
      </c>
      <c r="CZ545">
        <f t="shared" si="88"/>
        <v>120</v>
      </c>
      <c r="DA545">
        <f t="shared" si="89"/>
        <v>6.56</v>
      </c>
      <c r="DB545">
        <f t="shared" ref="DB545:DB608" si="90">ROUND(ROUND(AT545*CZ545,2),2)</f>
        <v>15.6</v>
      </c>
      <c r="DC545">
        <f t="shared" ref="DC545:DC608" si="91">ROUND(ROUND(AT545*AG545,2),2)</f>
        <v>0</v>
      </c>
    </row>
    <row r="546" spans="1:107" x14ac:dyDescent="0.2">
      <c r="A546">
        <f>ROW(Source!A368)</f>
        <v>368</v>
      </c>
      <c r="B546">
        <v>16748969</v>
      </c>
      <c r="C546">
        <v>16751308</v>
      </c>
      <c r="D546">
        <v>15203834</v>
      </c>
      <c r="E546">
        <v>1</v>
      </c>
      <c r="F546">
        <v>1</v>
      </c>
      <c r="G546">
        <v>1</v>
      </c>
      <c r="H546">
        <v>3</v>
      </c>
      <c r="I546" t="s">
        <v>1411</v>
      </c>
      <c r="J546" t="s">
        <v>1412</v>
      </c>
      <c r="K546" t="s">
        <v>374</v>
      </c>
      <c r="L546">
        <v>1346</v>
      </c>
      <c r="N546">
        <v>1009</v>
      </c>
      <c r="O546" t="s">
        <v>323</v>
      </c>
      <c r="P546" t="s">
        <v>323</v>
      </c>
      <c r="Q546">
        <v>1</v>
      </c>
      <c r="W546">
        <v>0</v>
      </c>
      <c r="X546">
        <v>210558753</v>
      </c>
      <c r="Y546">
        <v>0.05</v>
      </c>
      <c r="AA546">
        <v>187.62</v>
      </c>
      <c r="AB546">
        <v>0</v>
      </c>
      <c r="AC546">
        <v>0</v>
      </c>
      <c r="AD546">
        <v>0</v>
      </c>
      <c r="AE546">
        <v>28.6</v>
      </c>
      <c r="AF546">
        <v>0</v>
      </c>
      <c r="AG546">
        <v>0</v>
      </c>
      <c r="AH546">
        <v>0</v>
      </c>
      <c r="AI546">
        <v>6.56</v>
      </c>
      <c r="AJ546">
        <v>1</v>
      </c>
      <c r="AK546">
        <v>1</v>
      </c>
      <c r="AL546">
        <v>1</v>
      </c>
      <c r="AN546">
        <v>0</v>
      </c>
      <c r="AO546">
        <v>1</v>
      </c>
      <c r="AP546">
        <v>0</v>
      </c>
      <c r="AQ546">
        <v>0</v>
      </c>
      <c r="AR546">
        <v>0</v>
      </c>
      <c r="AS546" t="s">
        <v>6</v>
      </c>
      <c r="AT546">
        <v>0.05</v>
      </c>
      <c r="AU546" t="s">
        <v>6</v>
      </c>
      <c r="AV546">
        <v>0</v>
      </c>
      <c r="AW546">
        <v>2</v>
      </c>
      <c r="AX546">
        <v>16751324</v>
      </c>
      <c r="AY546">
        <v>1</v>
      </c>
      <c r="AZ546">
        <v>0</v>
      </c>
      <c r="BA546">
        <v>508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0</v>
      </c>
      <c r="BJ546">
        <v>0</v>
      </c>
      <c r="BK546">
        <v>0</v>
      </c>
      <c r="BL546">
        <v>0</v>
      </c>
      <c r="BM546">
        <v>0</v>
      </c>
      <c r="BN546">
        <v>0</v>
      </c>
      <c r="BO546">
        <v>0</v>
      </c>
      <c r="BP546">
        <v>0</v>
      </c>
      <c r="BQ546">
        <v>0</v>
      </c>
      <c r="BR546">
        <v>0</v>
      </c>
      <c r="BS546">
        <v>0</v>
      </c>
      <c r="BT546">
        <v>0</v>
      </c>
      <c r="BU546">
        <v>0</v>
      </c>
      <c r="BV546">
        <v>0</v>
      </c>
      <c r="BW546">
        <v>0</v>
      </c>
      <c r="CX546">
        <f>Y546*Source!I368</f>
        <v>5.8999999999999997E-2</v>
      </c>
      <c r="CY546">
        <f t="shared" si="87"/>
        <v>187.62</v>
      </c>
      <c r="CZ546">
        <f t="shared" si="88"/>
        <v>28.6</v>
      </c>
      <c r="DA546">
        <f t="shared" si="89"/>
        <v>6.56</v>
      </c>
      <c r="DB546">
        <f t="shared" si="90"/>
        <v>1.43</v>
      </c>
      <c r="DC546">
        <f t="shared" si="91"/>
        <v>0</v>
      </c>
    </row>
    <row r="547" spans="1:107" x14ac:dyDescent="0.2">
      <c r="A547">
        <f>ROW(Source!A368)</f>
        <v>368</v>
      </c>
      <c r="B547">
        <v>16748969</v>
      </c>
      <c r="C547">
        <v>16751308</v>
      </c>
      <c r="D547">
        <v>15223058</v>
      </c>
      <c r="E547">
        <v>1</v>
      </c>
      <c r="F547">
        <v>1</v>
      </c>
      <c r="G547">
        <v>1</v>
      </c>
      <c r="H547">
        <v>3</v>
      </c>
      <c r="I547" t="s">
        <v>768</v>
      </c>
      <c r="J547" t="s">
        <v>770</v>
      </c>
      <c r="K547" t="s">
        <v>769</v>
      </c>
      <c r="L547">
        <v>1477</v>
      </c>
      <c r="N547">
        <v>1013</v>
      </c>
      <c r="O547" t="s">
        <v>641</v>
      </c>
      <c r="P547" t="s">
        <v>643</v>
      </c>
      <c r="Q547">
        <v>1</v>
      </c>
      <c r="W547">
        <v>0</v>
      </c>
      <c r="X547">
        <v>-1699016403</v>
      </c>
      <c r="Y547">
        <v>2.3729E-2</v>
      </c>
      <c r="AA547">
        <v>719470.76</v>
      </c>
      <c r="AB547">
        <v>0</v>
      </c>
      <c r="AC547">
        <v>0</v>
      </c>
      <c r="AD547">
        <v>0</v>
      </c>
      <c r="AE547">
        <v>109675.42</v>
      </c>
      <c r="AF547">
        <v>0</v>
      </c>
      <c r="AG547">
        <v>0</v>
      </c>
      <c r="AH547">
        <v>0</v>
      </c>
      <c r="AI547">
        <v>6.56</v>
      </c>
      <c r="AJ547">
        <v>1</v>
      </c>
      <c r="AK547">
        <v>1</v>
      </c>
      <c r="AL547">
        <v>1</v>
      </c>
      <c r="AN547">
        <v>0</v>
      </c>
      <c r="AO547">
        <v>0</v>
      </c>
      <c r="AP547">
        <v>0</v>
      </c>
      <c r="AQ547">
        <v>0</v>
      </c>
      <c r="AR547">
        <v>0</v>
      </c>
      <c r="AS547" t="s">
        <v>6</v>
      </c>
      <c r="AT547">
        <v>2.3729E-2</v>
      </c>
      <c r="AU547" t="s">
        <v>6</v>
      </c>
      <c r="AV547">
        <v>0</v>
      </c>
      <c r="AW547">
        <v>1</v>
      </c>
      <c r="AX547">
        <v>-1</v>
      </c>
      <c r="AY547">
        <v>0</v>
      </c>
      <c r="AZ547">
        <v>0</v>
      </c>
      <c r="BA547" t="s">
        <v>6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0</v>
      </c>
      <c r="BH547">
        <v>0</v>
      </c>
      <c r="BI547">
        <v>0</v>
      </c>
      <c r="BJ547">
        <v>0</v>
      </c>
      <c r="BK547">
        <v>0</v>
      </c>
      <c r="BL547">
        <v>0</v>
      </c>
      <c r="BM547">
        <v>0</v>
      </c>
      <c r="BN547">
        <v>0</v>
      </c>
      <c r="BO547">
        <v>0</v>
      </c>
      <c r="BP547">
        <v>0</v>
      </c>
      <c r="BQ547">
        <v>0</v>
      </c>
      <c r="BR547">
        <v>0</v>
      </c>
      <c r="BS547">
        <v>0</v>
      </c>
      <c r="BT547">
        <v>0</v>
      </c>
      <c r="BU547">
        <v>0</v>
      </c>
      <c r="BV547">
        <v>0</v>
      </c>
      <c r="BW547">
        <v>0</v>
      </c>
      <c r="CX547">
        <f>Y547*Source!I368</f>
        <v>2.8000219999999999E-2</v>
      </c>
      <c r="CY547">
        <f t="shared" si="87"/>
        <v>719470.76</v>
      </c>
      <c r="CZ547">
        <f t="shared" si="88"/>
        <v>109675.42</v>
      </c>
      <c r="DA547">
        <f t="shared" si="89"/>
        <v>6.56</v>
      </c>
      <c r="DB547">
        <f t="shared" si="90"/>
        <v>2602.4899999999998</v>
      </c>
      <c r="DC547">
        <f t="shared" si="91"/>
        <v>0</v>
      </c>
    </row>
    <row r="548" spans="1:107" x14ac:dyDescent="0.2">
      <c r="A548">
        <f>ROW(Source!A368)</f>
        <v>368</v>
      </c>
      <c r="B548">
        <v>16748969</v>
      </c>
      <c r="C548">
        <v>16751308</v>
      </c>
      <c r="D548">
        <v>15223061</v>
      </c>
      <c r="E548">
        <v>1</v>
      </c>
      <c r="F548">
        <v>1</v>
      </c>
      <c r="G548">
        <v>1</v>
      </c>
      <c r="H548">
        <v>3</v>
      </c>
      <c r="I548" t="s">
        <v>764</v>
      </c>
      <c r="J548" t="s">
        <v>766</v>
      </c>
      <c r="K548" t="s">
        <v>765</v>
      </c>
      <c r="L548">
        <v>1477</v>
      </c>
      <c r="N548">
        <v>1013</v>
      </c>
      <c r="O548" t="s">
        <v>641</v>
      </c>
      <c r="P548" t="s">
        <v>643</v>
      </c>
      <c r="Q548">
        <v>1</v>
      </c>
      <c r="W548">
        <v>0</v>
      </c>
      <c r="X548">
        <v>-2046187651</v>
      </c>
      <c r="Y548">
        <v>7.6271000000000005E-2</v>
      </c>
      <c r="AA548">
        <v>1779010.93</v>
      </c>
      <c r="AB548">
        <v>0</v>
      </c>
      <c r="AC548">
        <v>0</v>
      </c>
      <c r="AD548">
        <v>0</v>
      </c>
      <c r="AE548">
        <v>271190.69</v>
      </c>
      <c r="AF548">
        <v>0</v>
      </c>
      <c r="AG548">
        <v>0</v>
      </c>
      <c r="AH548">
        <v>0</v>
      </c>
      <c r="AI548">
        <v>6.56</v>
      </c>
      <c r="AJ548">
        <v>1</v>
      </c>
      <c r="AK548">
        <v>1</v>
      </c>
      <c r="AL548">
        <v>1</v>
      </c>
      <c r="AN548">
        <v>0</v>
      </c>
      <c r="AO548">
        <v>0</v>
      </c>
      <c r="AP548">
        <v>0</v>
      </c>
      <c r="AQ548">
        <v>0</v>
      </c>
      <c r="AR548">
        <v>0</v>
      </c>
      <c r="AS548" t="s">
        <v>6</v>
      </c>
      <c r="AT548">
        <v>7.6271000000000005E-2</v>
      </c>
      <c r="AU548" t="s">
        <v>6</v>
      </c>
      <c r="AV548">
        <v>0</v>
      </c>
      <c r="AW548">
        <v>1</v>
      </c>
      <c r="AX548">
        <v>-1</v>
      </c>
      <c r="AY548">
        <v>0</v>
      </c>
      <c r="AZ548">
        <v>0</v>
      </c>
      <c r="BA548" t="s">
        <v>6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0</v>
      </c>
      <c r="BH548">
        <v>0</v>
      </c>
      <c r="BI548">
        <v>0</v>
      </c>
      <c r="BJ548">
        <v>0</v>
      </c>
      <c r="BK548">
        <v>0</v>
      </c>
      <c r="BL548">
        <v>0</v>
      </c>
      <c r="BM548">
        <v>0</v>
      </c>
      <c r="BN548">
        <v>0</v>
      </c>
      <c r="BO548">
        <v>0</v>
      </c>
      <c r="BP548">
        <v>0</v>
      </c>
      <c r="BQ548">
        <v>0</v>
      </c>
      <c r="BR548">
        <v>0</v>
      </c>
      <c r="BS548">
        <v>0</v>
      </c>
      <c r="BT548">
        <v>0</v>
      </c>
      <c r="BU548">
        <v>0</v>
      </c>
      <c r="BV548">
        <v>0</v>
      </c>
      <c r="BW548">
        <v>0</v>
      </c>
      <c r="CX548">
        <f>Y548*Source!I368</f>
        <v>8.9999780000000001E-2</v>
      </c>
      <c r="CY548">
        <f t="shared" si="87"/>
        <v>1779010.93</v>
      </c>
      <c r="CZ548">
        <f t="shared" si="88"/>
        <v>271190.69</v>
      </c>
      <c r="DA548">
        <f t="shared" si="89"/>
        <v>6.56</v>
      </c>
      <c r="DB548">
        <f t="shared" si="90"/>
        <v>20683.990000000002</v>
      </c>
      <c r="DC548">
        <f t="shared" si="91"/>
        <v>0</v>
      </c>
    </row>
    <row r="549" spans="1:107" x14ac:dyDescent="0.2">
      <c r="A549">
        <f>ROW(Source!A368)</f>
        <v>368</v>
      </c>
      <c r="B549">
        <v>16748969</v>
      </c>
      <c r="C549">
        <v>16751308</v>
      </c>
      <c r="D549">
        <v>15164559</v>
      </c>
      <c r="E549">
        <v>17</v>
      </c>
      <c r="F549">
        <v>1</v>
      </c>
      <c r="G549">
        <v>1</v>
      </c>
      <c r="H549">
        <v>3</v>
      </c>
      <c r="I549" t="s">
        <v>1383</v>
      </c>
      <c r="J549" t="s">
        <v>6</v>
      </c>
      <c r="K549" t="s">
        <v>1384</v>
      </c>
      <c r="L549">
        <v>1374</v>
      </c>
      <c r="N549">
        <v>1013</v>
      </c>
      <c r="O549" t="s">
        <v>1385</v>
      </c>
      <c r="P549" t="s">
        <v>1385</v>
      </c>
      <c r="Q549">
        <v>1</v>
      </c>
      <c r="W549">
        <v>0</v>
      </c>
      <c r="X549">
        <v>-1731369543</v>
      </c>
      <c r="Y549">
        <v>1.06</v>
      </c>
      <c r="AA549">
        <v>1</v>
      </c>
      <c r="AB549">
        <v>0</v>
      </c>
      <c r="AC549">
        <v>0</v>
      </c>
      <c r="AD549">
        <v>0</v>
      </c>
      <c r="AE549">
        <v>1</v>
      </c>
      <c r="AF549">
        <v>0</v>
      </c>
      <c r="AG549">
        <v>0</v>
      </c>
      <c r="AH549">
        <v>0</v>
      </c>
      <c r="AI549">
        <v>1</v>
      </c>
      <c r="AJ549">
        <v>1</v>
      </c>
      <c r="AK549">
        <v>1</v>
      </c>
      <c r="AL549">
        <v>1</v>
      </c>
      <c r="AN549">
        <v>0</v>
      </c>
      <c r="AO549">
        <v>1</v>
      </c>
      <c r="AP549">
        <v>0</v>
      </c>
      <c r="AQ549">
        <v>0</v>
      </c>
      <c r="AR549">
        <v>0</v>
      </c>
      <c r="AS549" t="s">
        <v>6</v>
      </c>
      <c r="AT549">
        <v>1.06</v>
      </c>
      <c r="AU549" t="s">
        <v>6</v>
      </c>
      <c r="AV549">
        <v>0</v>
      </c>
      <c r="AW549">
        <v>2</v>
      </c>
      <c r="AX549">
        <v>16751325</v>
      </c>
      <c r="AY549">
        <v>1</v>
      </c>
      <c r="AZ549">
        <v>0</v>
      </c>
      <c r="BA549">
        <v>509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0</v>
      </c>
      <c r="BI549">
        <v>0</v>
      </c>
      <c r="BJ549">
        <v>0</v>
      </c>
      <c r="BK549">
        <v>0</v>
      </c>
      <c r="BL549">
        <v>0</v>
      </c>
      <c r="BM549">
        <v>0</v>
      </c>
      <c r="BN549">
        <v>0</v>
      </c>
      <c r="BO549">
        <v>0</v>
      </c>
      <c r="BP549">
        <v>0</v>
      </c>
      <c r="BQ549">
        <v>0</v>
      </c>
      <c r="BR549">
        <v>0</v>
      </c>
      <c r="BS549">
        <v>0</v>
      </c>
      <c r="BT549">
        <v>0</v>
      </c>
      <c r="BU549">
        <v>0</v>
      </c>
      <c r="BV549">
        <v>0</v>
      </c>
      <c r="BW549">
        <v>0</v>
      </c>
      <c r="CX549">
        <f>Y549*Source!I368</f>
        <v>1.2507999999999999</v>
      </c>
      <c r="CY549">
        <f t="shared" si="87"/>
        <v>1</v>
      </c>
      <c r="CZ549">
        <f t="shared" si="88"/>
        <v>1</v>
      </c>
      <c r="DA549">
        <f t="shared" si="89"/>
        <v>1</v>
      </c>
      <c r="DB549">
        <f t="shared" si="90"/>
        <v>1.06</v>
      </c>
      <c r="DC549">
        <f t="shared" si="91"/>
        <v>0</v>
      </c>
    </row>
    <row r="550" spans="1:107" x14ac:dyDescent="0.2">
      <c r="A550">
        <f>ROW(Source!A371)</f>
        <v>371</v>
      </c>
      <c r="B550">
        <v>16748969</v>
      </c>
      <c r="C550">
        <v>16751327</v>
      </c>
      <c r="D550">
        <v>15446300</v>
      </c>
      <c r="E550">
        <v>1</v>
      </c>
      <c r="F550">
        <v>1</v>
      </c>
      <c r="G550">
        <v>1</v>
      </c>
      <c r="H550">
        <v>1</v>
      </c>
      <c r="I550" t="s">
        <v>1095</v>
      </c>
      <c r="J550" t="s">
        <v>6</v>
      </c>
      <c r="K550" t="s">
        <v>1096</v>
      </c>
      <c r="L550">
        <v>1191</v>
      </c>
      <c r="N550">
        <v>1013</v>
      </c>
      <c r="O550" t="s">
        <v>1072</v>
      </c>
      <c r="P550" t="s">
        <v>1072</v>
      </c>
      <c r="Q550">
        <v>1</v>
      </c>
      <c r="W550">
        <v>0</v>
      </c>
      <c r="X550">
        <v>912892513</v>
      </c>
      <c r="Y550">
        <v>2.56</v>
      </c>
      <c r="AA550">
        <v>0</v>
      </c>
      <c r="AB550">
        <v>0</v>
      </c>
      <c r="AC550">
        <v>0</v>
      </c>
      <c r="AD550">
        <v>65.08</v>
      </c>
      <c r="AE550">
        <v>0</v>
      </c>
      <c r="AF550">
        <v>0</v>
      </c>
      <c r="AG550">
        <v>0</v>
      </c>
      <c r="AH550">
        <v>9.92</v>
      </c>
      <c r="AI550">
        <v>1</v>
      </c>
      <c r="AJ550">
        <v>1</v>
      </c>
      <c r="AK550">
        <v>1</v>
      </c>
      <c r="AL550">
        <v>6.56</v>
      </c>
      <c r="AN550">
        <v>0</v>
      </c>
      <c r="AO550">
        <v>1</v>
      </c>
      <c r="AP550">
        <v>0</v>
      </c>
      <c r="AQ550">
        <v>0</v>
      </c>
      <c r="AR550">
        <v>0</v>
      </c>
      <c r="AS550" t="s">
        <v>6</v>
      </c>
      <c r="AT550">
        <v>2.56</v>
      </c>
      <c r="AU550" t="s">
        <v>6</v>
      </c>
      <c r="AV550">
        <v>1</v>
      </c>
      <c r="AW550">
        <v>2</v>
      </c>
      <c r="AX550">
        <v>16751341</v>
      </c>
      <c r="AY550">
        <v>1</v>
      </c>
      <c r="AZ550">
        <v>0</v>
      </c>
      <c r="BA550">
        <v>510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0</v>
      </c>
      <c r="BH550">
        <v>0</v>
      </c>
      <c r="BI550">
        <v>0</v>
      </c>
      <c r="BJ550">
        <v>0</v>
      </c>
      <c r="BK550">
        <v>0</v>
      </c>
      <c r="BL550">
        <v>0</v>
      </c>
      <c r="BM550">
        <v>0</v>
      </c>
      <c r="BN550">
        <v>0</v>
      </c>
      <c r="BO550">
        <v>0</v>
      </c>
      <c r="BP550">
        <v>0</v>
      </c>
      <c r="BQ550">
        <v>0</v>
      </c>
      <c r="BR550">
        <v>0</v>
      </c>
      <c r="BS550">
        <v>0</v>
      </c>
      <c r="BT550">
        <v>0</v>
      </c>
      <c r="BU550">
        <v>0</v>
      </c>
      <c r="BV550">
        <v>0</v>
      </c>
      <c r="BW550">
        <v>0</v>
      </c>
      <c r="CX550">
        <f>Y550*Source!I371</f>
        <v>7.68</v>
      </c>
      <c r="CY550">
        <f>AD550</f>
        <v>65.08</v>
      </c>
      <c r="CZ550">
        <f>AH550</f>
        <v>9.92</v>
      </c>
      <c r="DA550">
        <f>AL550</f>
        <v>6.56</v>
      </c>
      <c r="DB550">
        <f t="shared" si="90"/>
        <v>25.4</v>
      </c>
      <c r="DC550">
        <f t="shared" si="91"/>
        <v>0</v>
      </c>
    </row>
    <row r="551" spans="1:107" x14ac:dyDescent="0.2">
      <c r="A551">
        <f>ROW(Source!A371)</f>
        <v>371</v>
      </c>
      <c r="B551">
        <v>16748969</v>
      </c>
      <c r="C551">
        <v>16751327</v>
      </c>
      <c r="D551">
        <v>15430395</v>
      </c>
      <c r="E551">
        <v>1</v>
      </c>
      <c r="F551">
        <v>1</v>
      </c>
      <c r="G551">
        <v>1</v>
      </c>
      <c r="H551">
        <v>1</v>
      </c>
      <c r="I551" t="s">
        <v>1073</v>
      </c>
      <c r="J551" t="s">
        <v>6</v>
      </c>
      <c r="K551" t="s">
        <v>1074</v>
      </c>
      <c r="L551">
        <v>1191</v>
      </c>
      <c r="N551">
        <v>1013</v>
      </c>
      <c r="O551" t="s">
        <v>1072</v>
      </c>
      <c r="P551" t="s">
        <v>1072</v>
      </c>
      <c r="Q551">
        <v>1</v>
      </c>
      <c r="W551">
        <v>0</v>
      </c>
      <c r="X551">
        <v>-1417349443</v>
      </c>
      <c r="Y551">
        <v>0.02</v>
      </c>
      <c r="AA551">
        <v>0</v>
      </c>
      <c r="AB551">
        <v>0</v>
      </c>
      <c r="AC551">
        <v>0</v>
      </c>
      <c r="AD551">
        <v>0</v>
      </c>
      <c r="AE551">
        <v>0</v>
      </c>
      <c r="AF551">
        <v>0</v>
      </c>
      <c r="AG551">
        <v>0</v>
      </c>
      <c r="AH551">
        <v>0</v>
      </c>
      <c r="AI551">
        <v>1</v>
      </c>
      <c r="AJ551">
        <v>1</v>
      </c>
      <c r="AK551">
        <v>6.56</v>
      </c>
      <c r="AL551">
        <v>1</v>
      </c>
      <c r="AN551">
        <v>0</v>
      </c>
      <c r="AO551">
        <v>1</v>
      </c>
      <c r="AP551">
        <v>0</v>
      </c>
      <c r="AQ551">
        <v>0</v>
      </c>
      <c r="AR551">
        <v>0</v>
      </c>
      <c r="AS551" t="s">
        <v>6</v>
      </c>
      <c r="AT551">
        <v>0.02</v>
      </c>
      <c r="AU551" t="s">
        <v>6</v>
      </c>
      <c r="AV551">
        <v>2</v>
      </c>
      <c r="AW551">
        <v>2</v>
      </c>
      <c r="AX551">
        <v>16751342</v>
      </c>
      <c r="AY551">
        <v>1</v>
      </c>
      <c r="AZ551">
        <v>0</v>
      </c>
      <c r="BA551">
        <v>511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0</v>
      </c>
      <c r="BP551">
        <v>0</v>
      </c>
      <c r="BQ551">
        <v>0</v>
      </c>
      <c r="BR551">
        <v>0</v>
      </c>
      <c r="BS551">
        <v>0</v>
      </c>
      <c r="BT551">
        <v>0</v>
      </c>
      <c r="BU551">
        <v>0</v>
      </c>
      <c r="BV551">
        <v>0</v>
      </c>
      <c r="BW551">
        <v>0</v>
      </c>
      <c r="CX551">
        <f>Y551*Source!I371</f>
        <v>0.06</v>
      </c>
      <c r="CY551">
        <f>AD551</f>
        <v>0</v>
      </c>
      <c r="CZ551">
        <f>AH551</f>
        <v>0</v>
      </c>
      <c r="DA551">
        <f>AL551</f>
        <v>1</v>
      </c>
      <c r="DB551">
        <f t="shared" si="90"/>
        <v>0</v>
      </c>
      <c r="DC551">
        <f t="shared" si="91"/>
        <v>0</v>
      </c>
    </row>
    <row r="552" spans="1:107" x14ac:dyDescent="0.2">
      <c r="A552">
        <f>ROW(Source!A371)</f>
        <v>371</v>
      </c>
      <c r="B552">
        <v>16748969</v>
      </c>
      <c r="C552">
        <v>16751327</v>
      </c>
      <c r="D552">
        <v>15247680</v>
      </c>
      <c r="E552">
        <v>1</v>
      </c>
      <c r="F552">
        <v>1</v>
      </c>
      <c r="G552">
        <v>1</v>
      </c>
      <c r="H552">
        <v>2</v>
      </c>
      <c r="I552" t="s">
        <v>1211</v>
      </c>
      <c r="J552" t="s">
        <v>1212</v>
      </c>
      <c r="K552" t="s">
        <v>1213</v>
      </c>
      <c r="L552">
        <v>1368</v>
      </c>
      <c r="N552">
        <v>1011</v>
      </c>
      <c r="O552" t="s">
        <v>1078</v>
      </c>
      <c r="P552" t="s">
        <v>1078</v>
      </c>
      <c r="Q552">
        <v>1</v>
      </c>
      <c r="W552">
        <v>0</v>
      </c>
      <c r="X552">
        <v>-1718674368</v>
      </c>
      <c r="Y552">
        <v>0.01</v>
      </c>
      <c r="AA552">
        <v>0</v>
      </c>
      <c r="AB552">
        <v>734.65</v>
      </c>
      <c r="AC552">
        <v>13.5</v>
      </c>
      <c r="AD552">
        <v>0</v>
      </c>
      <c r="AE552">
        <v>0</v>
      </c>
      <c r="AF552">
        <v>111.99</v>
      </c>
      <c r="AG552">
        <v>13.5</v>
      </c>
      <c r="AH552">
        <v>0</v>
      </c>
      <c r="AI552">
        <v>1</v>
      </c>
      <c r="AJ552">
        <v>6.56</v>
      </c>
      <c r="AK552">
        <v>1</v>
      </c>
      <c r="AL552">
        <v>1</v>
      </c>
      <c r="AN552">
        <v>0</v>
      </c>
      <c r="AO552">
        <v>1</v>
      </c>
      <c r="AP552">
        <v>0</v>
      </c>
      <c r="AQ552">
        <v>0</v>
      </c>
      <c r="AR552">
        <v>0</v>
      </c>
      <c r="AS552" t="s">
        <v>6</v>
      </c>
      <c r="AT552">
        <v>0.01</v>
      </c>
      <c r="AU552" t="s">
        <v>6</v>
      </c>
      <c r="AV552">
        <v>0</v>
      </c>
      <c r="AW552">
        <v>2</v>
      </c>
      <c r="AX552">
        <v>16751343</v>
      </c>
      <c r="AY552">
        <v>1</v>
      </c>
      <c r="AZ552">
        <v>0</v>
      </c>
      <c r="BA552">
        <v>512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0</v>
      </c>
      <c r="BH552">
        <v>0</v>
      </c>
      <c r="BI552">
        <v>0</v>
      </c>
      <c r="BJ552">
        <v>0</v>
      </c>
      <c r="BK552">
        <v>0</v>
      </c>
      <c r="BL552">
        <v>0</v>
      </c>
      <c r="BM552">
        <v>0</v>
      </c>
      <c r="BN552">
        <v>0</v>
      </c>
      <c r="BO552">
        <v>0</v>
      </c>
      <c r="BP552">
        <v>0</v>
      </c>
      <c r="BQ552">
        <v>0</v>
      </c>
      <c r="BR552">
        <v>0</v>
      </c>
      <c r="BS552">
        <v>0</v>
      </c>
      <c r="BT552">
        <v>0</v>
      </c>
      <c r="BU552">
        <v>0</v>
      </c>
      <c r="BV552">
        <v>0</v>
      </c>
      <c r="BW552">
        <v>0</v>
      </c>
      <c r="CX552">
        <f>Y552*Source!I371</f>
        <v>0.03</v>
      </c>
      <c r="CY552">
        <f>AB552</f>
        <v>734.65</v>
      </c>
      <c r="CZ552">
        <f>AF552</f>
        <v>111.99</v>
      </c>
      <c r="DA552">
        <f>AJ552</f>
        <v>6.56</v>
      </c>
      <c r="DB552">
        <f t="shared" si="90"/>
        <v>1.1200000000000001</v>
      </c>
      <c r="DC552">
        <f t="shared" si="91"/>
        <v>0.14000000000000001</v>
      </c>
    </row>
    <row r="553" spans="1:107" x14ac:dyDescent="0.2">
      <c r="A553">
        <f>ROW(Source!A371)</f>
        <v>371</v>
      </c>
      <c r="B553">
        <v>16748969</v>
      </c>
      <c r="C553">
        <v>16751327</v>
      </c>
      <c r="D553">
        <v>15249073</v>
      </c>
      <c r="E553">
        <v>1</v>
      </c>
      <c r="F553">
        <v>1</v>
      </c>
      <c r="G553">
        <v>1</v>
      </c>
      <c r="H553">
        <v>2</v>
      </c>
      <c r="I553" t="s">
        <v>1097</v>
      </c>
      <c r="J553" t="s">
        <v>1098</v>
      </c>
      <c r="K553" t="s">
        <v>1099</v>
      </c>
      <c r="L553">
        <v>1368</v>
      </c>
      <c r="N553">
        <v>1011</v>
      </c>
      <c r="O553" t="s">
        <v>1078</v>
      </c>
      <c r="P553" t="s">
        <v>1078</v>
      </c>
      <c r="Q553">
        <v>1</v>
      </c>
      <c r="W553">
        <v>0</v>
      </c>
      <c r="X553">
        <v>1372534845</v>
      </c>
      <c r="Y553">
        <v>0.01</v>
      </c>
      <c r="AA553">
        <v>0</v>
      </c>
      <c r="AB553">
        <v>431.06</v>
      </c>
      <c r="AC553">
        <v>11.6</v>
      </c>
      <c r="AD553">
        <v>0</v>
      </c>
      <c r="AE553">
        <v>0</v>
      </c>
      <c r="AF553">
        <v>65.709999999999994</v>
      </c>
      <c r="AG553">
        <v>11.6</v>
      </c>
      <c r="AH553">
        <v>0</v>
      </c>
      <c r="AI553">
        <v>1</v>
      </c>
      <c r="AJ553">
        <v>6.56</v>
      </c>
      <c r="AK553">
        <v>1</v>
      </c>
      <c r="AL553">
        <v>1</v>
      </c>
      <c r="AN553">
        <v>0</v>
      </c>
      <c r="AO553">
        <v>1</v>
      </c>
      <c r="AP553">
        <v>0</v>
      </c>
      <c r="AQ553">
        <v>0</v>
      </c>
      <c r="AR553">
        <v>0</v>
      </c>
      <c r="AS553" t="s">
        <v>6</v>
      </c>
      <c r="AT553">
        <v>0.01</v>
      </c>
      <c r="AU553" t="s">
        <v>6</v>
      </c>
      <c r="AV553">
        <v>0</v>
      </c>
      <c r="AW553">
        <v>2</v>
      </c>
      <c r="AX553">
        <v>16751344</v>
      </c>
      <c r="AY553">
        <v>1</v>
      </c>
      <c r="AZ553">
        <v>0</v>
      </c>
      <c r="BA553">
        <v>513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0</v>
      </c>
      <c r="BJ553">
        <v>0</v>
      </c>
      <c r="BK553">
        <v>0</v>
      </c>
      <c r="BL553">
        <v>0</v>
      </c>
      <c r="BM553">
        <v>0</v>
      </c>
      <c r="BN553">
        <v>0</v>
      </c>
      <c r="BO553">
        <v>0</v>
      </c>
      <c r="BP553">
        <v>0</v>
      </c>
      <c r="BQ553">
        <v>0</v>
      </c>
      <c r="BR553">
        <v>0</v>
      </c>
      <c r="BS553">
        <v>0</v>
      </c>
      <c r="BT553">
        <v>0</v>
      </c>
      <c r="BU553">
        <v>0</v>
      </c>
      <c r="BV553">
        <v>0</v>
      </c>
      <c r="BW553">
        <v>0</v>
      </c>
      <c r="CX553">
        <f>Y553*Source!I371</f>
        <v>0.03</v>
      </c>
      <c r="CY553">
        <f>AB553</f>
        <v>431.06</v>
      </c>
      <c r="CZ553">
        <f>AF553</f>
        <v>65.709999999999994</v>
      </c>
      <c r="DA553">
        <f>AJ553</f>
        <v>6.56</v>
      </c>
      <c r="DB553">
        <f t="shared" si="90"/>
        <v>0.66</v>
      </c>
      <c r="DC553">
        <f t="shared" si="91"/>
        <v>0.12</v>
      </c>
    </row>
    <row r="554" spans="1:107" x14ac:dyDescent="0.2">
      <c r="A554">
        <f>ROW(Source!A371)</f>
        <v>371</v>
      </c>
      <c r="B554">
        <v>16748969</v>
      </c>
      <c r="C554">
        <v>16751327</v>
      </c>
      <c r="D554">
        <v>15167588</v>
      </c>
      <c r="E554">
        <v>1</v>
      </c>
      <c r="F554">
        <v>1</v>
      </c>
      <c r="G554">
        <v>1</v>
      </c>
      <c r="H554">
        <v>3</v>
      </c>
      <c r="I554" t="s">
        <v>1388</v>
      </c>
      <c r="J554" t="s">
        <v>1389</v>
      </c>
      <c r="K554" t="s">
        <v>1390</v>
      </c>
      <c r="L554">
        <v>1346</v>
      </c>
      <c r="N554">
        <v>1009</v>
      </c>
      <c r="O554" t="s">
        <v>323</v>
      </c>
      <c r="P554" t="s">
        <v>323</v>
      </c>
      <c r="Q554">
        <v>1</v>
      </c>
      <c r="W554">
        <v>0</v>
      </c>
      <c r="X554">
        <v>-1088866022</v>
      </c>
      <c r="Y554">
        <v>1.6E-2</v>
      </c>
      <c r="AA554">
        <v>199.42</v>
      </c>
      <c r="AB554">
        <v>0</v>
      </c>
      <c r="AC554">
        <v>0</v>
      </c>
      <c r="AD554">
        <v>0</v>
      </c>
      <c r="AE554">
        <v>30.4</v>
      </c>
      <c r="AF554">
        <v>0</v>
      </c>
      <c r="AG554">
        <v>0</v>
      </c>
      <c r="AH554">
        <v>0</v>
      </c>
      <c r="AI554">
        <v>6.56</v>
      </c>
      <c r="AJ554">
        <v>1</v>
      </c>
      <c r="AK554">
        <v>1</v>
      </c>
      <c r="AL554">
        <v>1</v>
      </c>
      <c r="AN554">
        <v>0</v>
      </c>
      <c r="AO554">
        <v>1</v>
      </c>
      <c r="AP554">
        <v>0</v>
      </c>
      <c r="AQ554">
        <v>0</v>
      </c>
      <c r="AR554">
        <v>0</v>
      </c>
      <c r="AS554" t="s">
        <v>6</v>
      </c>
      <c r="AT554">
        <v>1.6E-2</v>
      </c>
      <c r="AU554" t="s">
        <v>6</v>
      </c>
      <c r="AV554">
        <v>0</v>
      </c>
      <c r="AW554">
        <v>2</v>
      </c>
      <c r="AX554">
        <v>16751345</v>
      </c>
      <c r="AY554">
        <v>1</v>
      </c>
      <c r="AZ554">
        <v>0</v>
      </c>
      <c r="BA554">
        <v>514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0</v>
      </c>
      <c r="BJ554">
        <v>0</v>
      </c>
      <c r="BK554">
        <v>0</v>
      </c>
      <c r="BL554">
        <v>0</v>
      </c>
      <c r="BM554">
        <v>0</v>
      </c>
      <c r="BN554">
        <v>0</v>
      </c>
      <c r="BO554">
        <v>0</v>
      </c>
      <c r="BP554">
        <v>0</v>
      </c>
      <c r="BQ554">
        <v>0</v>
      </c>
      <c r="BR554">
        <v>0</v>
      </c>
      <c r="BS554">
        <v>0</v>
      </c>
      <c r="BT554">
        <v>0</v>
      </c>
      <c r="BU554">
        <v>0</v>
      </c>
      <c r="BV554">
        <v>0</v>
      </c>
      <c r="BW554">
        <v>0</v>
      </c>
      <c r="CX554">
        <f>Y554*Source!I371</f>
        <v>4.8000000000000001E-2</v>
      </c>
      <c r="CY554">
        <f t="shared" ref="CY554:CY562" si="92">AA554</f>
        <v>199.42</v>
      </c>
      <c r="CZ554">
        <f t="shared" ref="CZ554:CZ562" si="93">AE554</f>
        <v>30.4</v>
      </c>
      <c r="DA554">
        <f t="shared" ref="DA554:DA562" si="94">AI554</f>
        <v>6.56</v>
      </c>
      <c r="DB554">
        <f t="shared" si="90"/>
        <v>0.49</v>
      </c>
      <c r="DC554">
        <f t="shared" si="91"/>
        <v>0</v>
      </c>
    </row>
    <row r="555" spans="1:107" x14ac:dyDescent="0.2">
      <c r="A555">
        <f>ROW(Source!A371)</f>
        <v>371</v>
      </c>
      <c r="B555">
        <v>16748969</v>
      </c>
      <c r="C555">
        <v>16751327</v>
      </c>
      <c r="D555">
        <v>15170074</v>
      </c>
      <c r="E555">
        <v>1</v>
      </c>
      <c r="F555">
        <v>1</v>
      </c>
      <c r="G555">
        <v>1</v>
      </c>
      <c r="H555">
        <v>3</v>
      </c>
      <c r="I555" t="s">
        <v>1399</v>
      </c>
      <c r="J555" t="s">
        <v>1400</v>
      </c>
      <c r="K555" t="s">
        <v>1401</v>
      </c>
      <c r="L555">
        <v>1355</v>
      </c>
      <c r="N555">
        <v>1010</v>
      </c>
      <c r="O555" t="s">
        <v>724</v>
      </c>
      <c r="P555" t="s">
        <v>724</v>
      </c>
      <c r="Q555">
        <v>100</v>
      </c>
      <c r="W555">
        <v>0</v>
      </c>
      <c r="X555">
        <v>1794244060</v>
      </c>
      <c r="Y555">
        <v>4.1000000000000002E-2</v>
      </c>
      <c r="AA555">
        <v>564.16</v>
      </c>
      <c r="AB555">
        <v>0</v>
      </c>
      <c r="AC555">
        <v>0</v>
      </c>
      <c r="AD555">
        <v>0</v>
      </c>
      <c r="AE555">
        <v>86</v>
      </c>
      <c r="AF555">
        <v>0</v>
      </c>
      <c r="AG555">
        <v>0</v>
      </c>
      <c r="AH555">
        <v>0</v>
      </c>
      <c r="AI555">
        <v>6.56</v>
      </c>
      <c r="AJ555">
        <v>1</v>
      </c>
      <c r="AK555">
        <v>1</v>
      </c>
      <c r="AL555">
        <v>1</v>
      </c>
      <c r="AN555">
        <v>0</v>
      </c>
      <c r="AO555">
        <v>1</v>
      </c>
      <c r="AP555">
        <v>0</v>
      </c>
      <c r="AQ555">
        <v>0</v>
      </c>
      <c r="AR555">
        <v>0</v>
      </c>
      <c r="AS555" t="s">
        <v>6</v>
      </c>
      <c r="AT555">
        <v>4.1000000000000002E-2</v>
      </c>
      <c r="AU555" t="s">
        <v>6</v>
      </c>
      <c r="AV555">
        <v>0</v>
      </c>
      <c r="AW555">
        <v>2</v>
      </c>
      <c r="AX555">
        <v>16751346</v>
      </c>
      <c r="AY555">
        <v>1</v>
      </c>
      <c r="AZ555">
        <v>0</v>
      </c>
      <c r="BA555">
        <v>515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0</v>
      </c>
      <c r="BJ555">
        <v>0</v>
      </c>
      <c r="BK555">
        <v>0</v>
      </c>
      <c r="BL555">
        <v>0</v>
      </c>
      <c r="BM555">
        <v>0</v>
      </c>
      <c r="BN555">
        <v>0</v>
      </c>
      <c r="BO555">
        <v>0</v>
      </c>
      <c r="BP555">
        <v>0</v>
      </c>
      <c r="BQ555">
        <v>0</v>
      </c>
      <c r="BR555">
        <v>0</v>
      </c>
      <c r="BS555">
        <v>0</v>
      </c>
      <c r="BT555">
        <v>0</v>
      </c>
      <c r="BU555">
        <v>0</v>
      </c>
      <c r="BV555">
        <v>0</v>
      </c>
      <c r="BW555">
        <v>0</v>
      </c>
      <c r="CX555">
        <f>Y555*Source!I371</f>
        <v>0.123</v>
      </c>
      <c r="CY555">
        <f t="shared" si="92"/>
        <v>564.16</v>
      </c>
      <c r="CZ555">
        <f t="shared" si="93"/>
        <v>86</v>
      </c>
      <c r="DA555">
        <f t="shared" si="94"/>
        <v>6.56</v>
      </c>
      <c r="DB555">
        <f t="shared" si="90"/>
        <v>3.53</v>
      </c>
      <c r="DC555">
        <f t="shared" si="91"/>
        <v>0</v>
      </c>
    </row>
    <row r="556" spans="1:107" x14ac:dyDescent="0.2">
      <c r="A556">
        <f>ROW(Source!A371)</f>
        <v>371</v>
      </c>
      <c r="B556">
        <v>16748969</v>
      </c>
      <c r="C556">
        <v>16751327</v>
      </c>
      <c r="D556">
        <v>15203834</v>
      </c>
      <c r="E556">
        <v>1</v>
      </c>
      <c r="F556">
        <v>1</v>
      </c>
      <c r="G556">
        <v>1</v>
      </c>
      <c r="H556">
        <v>3</v>
      </c>
      <c r="I556" t="s">
        <v>1411</v>
      </c>
      <c r="J556" t="s">
        <v>1412</v>
      </c>
      <c r="K556" t="s">
        <v>374</v>
      </c>
      <c r="L556">
        <v>1346</v>
      </c>
      <c r="N556">
        <v>1009</v>
      </c>
      <c r="O556" t="s">
        <v>323</v>
      </c>
      <c r="P556" t="s">
        <v>323</v>
      </c>
      <c r="Q556">
        <v>1</v>
      </c>
      <c r="W556">
        <v>0</v>
      </c>
      <c r="X556">
        <v>210558753</v>
      </c>
      <c r="Y556">
        <v>0.1</v>
      </c>
      <c r="AA556">
        <v>187.62</v>
      </c>
      <c r="AB556">
        <v>0</v>
      </c>
      <c r="AC556">
        <v>0</v>
      </c>
      <c r="AD556">
        <v>0</v>
      </c>
      <c r="AE556">
        <v>28.6</v>
      </c>
      <c r="AF556">
        <v>0</v>
      </c>
      <c r="AG556">
        <v>0</v>
      </c>
      <c r="AH556">
        <v>0</v>
      </c>
      <c r="AI556">
        <v>6.56</v>
      </c>
      <c r="AJ556">
        <v>1</v>
      </c>
      <c r="AK556">
        <v>1</v>
      </c>
      <c r="AL556">
        <v>1</v>
      </c>
      <c r="AN556">
        <v>0</v>
      </c>
      <c r="AO556">
        <v>1</v>
      </c>
      <c r="AP556">
        <v>0</v>
      </c>
      <c r="AQ556">
        <v>0</v>
      </c>
      <c r="AR556">
        <v>0</v>
      </c>
      <c r="AS556" t="s">
        <v>6</v>
      </c>
      <c r="AT556">
        <v>0.1</v>
      </c>
      <c r="AU556" t="s">
        <v>6</v>
      </c>
      <c r="AV556">
        <v>0</v>
      </c>
      <c r="AW556">
        <v>2</v>
      </c>
      <c r="AX556">
        <v>16751347</v>
      </c>
      <c r="AY556">
        <v>1</v>
      </c>
      <c r="AZ556">
        <v>0</v>
      </c>
      <c r="BA556">
        <v>516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  <c r="BH556">
        <v>0</v>
      </c>
      <c r="BI556">
        <v>0</v>
      </c>
      <c r="BJ556">
        <v>0</v>
      </c>
      <c r="BK556">
        <v>0</v>
      </c>
      <c r="BL556">
        <v>0</v>
      </c>
      <c r="BM556">
        <v>0</v>
      </c>
      <c r="BN556">
        <v>0</v>
      </c>
      <c r="BO556">
        <v>0</v>
      </c>
      <c r="BP556">
        <v>0</v>
      </c>
      <c r="BQ556">
        <v>0</v>
      </c>
      <c r="BR556">
        <v>0</v>
      </c>
      <c r="BS556">
        <v>0</v>
      </c>
      <c r="BT556">
        <v>0</v>
      </c>
      <c r="BU556">
        <v>0</v>
      </c>
      <c r="BV556">
        <v>0</v>
      </c>
      <c r="BW556">
        <v>0</v>
      </c>
      <c r="CX556">
        <f>Y556*Source!I371</f>
        <v>0.30000000000000004</v>
      </c>
      <c r="CY556">
        <f t="shared" si="92"/>
        <v>187.62</v>
      </c>
      <c r="CZ556">
        <f t="shared" si="93"/>
        <v>28.6</v>
      </c>
      <c r="DA556">
        <f t="shared" si="94"/>
        <v>6.56</v>
      </c>
      <c r="DB556">
        <f t="shared" si="90"/>
        <v>2.86</v>
      </c>
      <c r="DC556">
        <f t="shared" si="91"/>
        <v>0</v>
      </c>
    </row>
    <row r="557" spans="1:107" x14ac:dyDescent="0.2">
      <c r="A557">
        <f>ROW(Source!A371)</f>
        <v>371</v>
      </c>
      <c r="B557">
        <v>16748969</v>
      </c>
      <c r="C557">
        <v>16751327</v>
      </c>
      <c r="D557">
        <v>15217463</v>
      </c>
      <c r="E557">
        <v>1</v>
      </c>
      <c r="F557">
        <v>1</v>
      </c>
      <c r="G557">
        <v>1</v>
      </c>
      <c r="H557">
        <v>3</v>
      </c>
      <c r="I557" t="s">
        <v>1455</v>
      </c>
      <c r="J557" t="s">
        <v>1456</v>
      </c>
      <c r="K557" t="s">
        <v>1457</v>
      </c>
      <c r="L557">
        <v>1358</v>
      </c>
      <c r="N557">
        <v>1010</v>
      </c>
      <c r="O557" t="s">
        <v>615</v>
      </c>
      <c r="P557" t="s">
        <v>615</v>
      </c>
      <c r="Q557">
        <v>10</v>
      </c>
      <c r="W557">
        <v>0</v>
      </c>
      <c r="X557">
        <v>1386890308</v>
      </c>
      <c r="Y557">
        <v>0.1</v>
      </c>
      <c r="AA557">
        <v>255.84</v>
      </c>
      <c r="AB557">
        <v>0</v>
      </c>
      <c r="AC557">
        <v>0</v>
      </c>
      <c r="AD557">
        <v>0</v>
      </c>
      <c r="AE557">
        <v>39</v>
      </c>
      <c r="AF557">
        <v>0</v>
      </c>
      <c r="AG557">
        <v>0</v>
      </c>
      <c r="AH557">
        <v>0</v>
      </c>
      <c r="AI557">
        <v>6.56</v>
      </c>
      <c r="AJ557">
        <v>1</v>
      </c>
      <c r="AK557">
        <v>1</v>
      </c>
      <c r="AL557">
        <v>1</v>
      </c>
      <c r="AN557">
        <v>0</v>
      </c>
      <c r="AO557">
        <v>1</v>
      </c>
      <c r="AP557">
        <v>0</v>
      </c>
      <c r="AQ557">
        <v>0</v>
      </c>
      <c r="AR557">
        <v>0</v>
      </c>
      <c r="AS557" t="s">
        <v>6</v>
      </c>
      <c r="AT557">
        <v>0.1</v>
      </c>
      <c r="AU557" t="s">
        <v>6</v>
      </c>
      <c r="AV557">
        <v>0</v>
      </c>
      <c r="AW557">
        <v>2</v>
      </c>
      <c r="AX557">
        <v>16751348</v>
      </c>
      <c r="AY557">
        <v>1</v>
      </c>
      <c r="AZ557">
        <v>0</v>
      </c>
      <c r="BA557">
        <v>517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0</v>
      </c>
      <c r="BO557">
        <v>0</v>
      </c>
      <c r="BP557">
        <v>0</v>
      </c>
      <c r="BQ557">
        <v>0</v>
      </c>
      <c r="BR557">
        <v>0</v>
      </c>
      <c r="BS557">
        <v>0</v>
      </c>
      <c r="BT557">
        <v>0</v>
      </c>
      <c r="BU557">
        <v>0</v>
      </c>
      <c r="BV557">
        <v>0</v>
      </c>
      <c r="BW557">
        <v>0</v>
      </c>
      <c r="CX557">
        <f>Y557*Source!I371</f>
        <v>0.30000000000000004</v>
      </c>
      <c r="CY557">
        <f t="shared" si="92"/>
        <v>255.84</v>
      </c>
      <c r="CZ557">
        <f t="shared" si="93"/>
        <v>39</v>
      </c>
      <c r="DA557">
        <f t="shared" si="94"/>
        <v>6.56</v>
      </c>
      <c r="DB557">
        <f t="shared" si="90"/>
        <v>3.9</v>
      </c>
      <c r="DC557">
        <f t="shared" si="91"/>
        <v>0</v>
      </c>
    </row>
    <row r="558" spans="1:107" x14ac:dyDescent="0.2">
      <c r="A558">
        <f>ROW(Source!A371)</f>
        <v>371</v>
      </c>
      <c r="B558">
        <v>16748969</v>
      </c>
      <c r="C558">
        <v>16751327</v>
      </c>
      <c r="D558">
        <v>15217585</v>
      </c>
      <c r="E558">
        <v>1</v>
      </c>
      <c r="F558">
        <v>1</v>
      </c>
      <c r="G558">
        <v>1</v>
      </c>
      <c r="H558">
        <v>3</v>
      </c>
      <c r="I558" t="s">
        <v>1428</v>
      </c>
      <c r="J558" t="s">
        <v>1429</v>
      </c>
      <c r="K558" t="s">
        <v>1430</v>
      </c>
      <c r="L558">
        <v>1356</v>
      </c>
      <c r="N558">
        <v>1010</v>
      </c>
      <c r="O558" t="s">
        <v>288</v>
      </c>
      <c r="P558" t="s">
        <v>288</v>
      </c>
      <c r="Q558">
        <v>1000</v>
      </c>
      <c r="W558">
        <v>0</v>
      </c>
      <c r="X558">
        <v>40709342</v>
      </c>
      <c r="Y558">
        <v>2.1000000000000001E-2</v>
      </c>
      <c r="AA558">
        <v>1771.2</v>
      </c>
      <c r="AB558">
        <v>0</v>
      </c>
      <c r="AC558">
        <v>0</v>
      </c>
      <c r="AD558">
        <v>0</v>
      </c>
      <c r="AE558">
        <v>270</v>
      </c>
      <c r="AF558">
        <v>0</v>
      </c>
      <c r="AG558">
        <v>0</v>
      </c>
      <c r="AH558">
        <v>0</v>
      </c>
      <c r="AI558">
        <v>6.56</v>
      </c>
      <c r="AJ558">
        <v>1</v>
      </c>
      <c r="AK558">
        <v>1</v>
      </c>
      <c r="AL558">
        <v>1</v>
      </c>
      <c r="AN558">
        <v>0</v>
      </c>
      <c r="AO558">
        <v>1</v>
      </c>
      <c r="AP558">
        <v>0</v>
      </c>
      <c r="AQ558">
        <v>0</v>
      </c>
      <c r="AR558">
        <v>0</v>
      </c>
      <c r="AS558" t="s">
        <v>6</v>
      </c>
      <c r="AT558">
        <v>2.1000000000000001E-2</v>
      </c>
      <c r="AU558" t="s">
        <v>6</v>
      </c>
      <c r="AV558">
        <v>0</v>
      </c>
      <c r="AW558">
        <v>2</v>
      </c>
      <c r="AX558">
        <v>16751349</v>
      </c>
      <c r="AY558">
        <v>1</v>
      </c>
      <c r="AZ558">
        <v>0</v>
      </c>
      <c r="BA558">
        <v>518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0</v>
      </c>
      <c r="BJ558">
        <v>0</v>
      </c>
      <c r="BK558">
        <v>0</v>
      </c>
      <c r="BL558">
        <v>0</v>
      </c>
      <c r="BM558">
        <v>0</v>
      </c>
      <c r="BN558">
        <v>0</v>
      </c>
      <c r="BO558">
        <v>0</v>
      </c>
      <c r="BP558">
        <v>0</v>
      </c>
      <c r="BQ558">
        <v>0</v>
      </c>
      <c r="BR558">
        <v>0</v>
      </c>
      <c r="BS558">
        <v>0</v>
      </c>
      <c r="BT558">
        <v>0</v>
      </c>
      <c r="BU558">
        <v>0</v>
      </c>
      <c r="BV558">
        <v>0</v>
      </c>
      <c r="BW558">
        <v>0</v>
      </c>
      <c r="CX558">
        <f>Y558*Source!I371</f>
        <v>6.3E-2</v>
      </c>
      <c r="CY558">
        <f t="shared" si="92"/>
        <v>1771.2</v>
      </c>
      <c r="CZ558">
        <f t="shared" si="93"/>
        <v>270</v>
      </c>
      <c r="DA558">
        <f t="shared" si="94"/>
        <v>6.56</v>
      </c>
      <c r="DB558">
        <f t="shared" si="90"/>
        <v>5.67</v>
      </c>
      <c r="DC558">
        <f t="shared" si="91"/>
        <v>0</v>
      </c>
    </row>
    <row r="559" spans="1:107" x14ac:dyDescent="0.2">
      <c r="A559">
        <f>ROW(Source!A371)</f>
        <v>371</v>
      </c>
      <c r="B559">
        <v>16748969</v>
      </c>
      <c r="C559">
        <v>16751327</v>
      </c>
      <c r="D559">
        <v>15221284</v>
      </c>
      <c r="E559">
        <v>1</v>
      </c>
      <c r="F559">
        <v>1</v>
      </c>
      <c r="G559">
        <v>1</v>
      </c>
      <c r="H559">
        <v>3</v>
      </c>
      <c r="I559" t="s">
        <v>1491</v>
      </c>
      <c r="J559" t="s">
        <v>1492</v>
      </c>
      <c r="K559" t="s">
        <v>1493</v>
      </c>
      <c r="L559">
        <v>1355</v>
      </c>
      <c r="N559">
        <v>1010</v>
      </c>
      <c r="O559" t="s">
        <v>724</v>
      </c>
      <c r="P559" t="s">
        <v>724</v>
      </c>
      <c r="Q559">
        <v>100</v>
      </c>
      <c r="W559">
        <v>0</v>
      </c>
      <c r="X559">
        <v>-552597123</v>
      </c>
      <c r="Y559">
        <v>4.1000000000000002E-2</v>
      </c>
      <c r="AA559">
        <v>3463.68</v>
      </c>
      <c r="AB559">
        <v>0</v>
      </c>
      <c r="AC559">
        <v>0</v>
      </c>
      <c r="AD559">
        <v>0</v>
      </c>
      <c r="AE559">
        <v>528</v>
      </c>
      <c r="AF559">
        <v>0</v>
      </c>
      <c r="AG559">
        <v>0</v>
      </c>
      <c r="AH559">
        <v>0</v>
      </c>
      <c r="AI559">
        <v>6.56</v>
      </c>
      <c r="AJ559">
        <v>1</v>
      </c>
      <c r="AK559">
        <v>1</v>
      </c>
      <c r="AL559">
        <v>1</v>
      </c>
      <c r="AN559">
        <v>0</v>
      </c>
      <c r="AO559">
        <v>1</v>
      </c>
      <c r="AP559">
        <v>0</v>
      </c>
      <c r="AQ559">
        <v>0</v>
      </c>
      <c r="AR559">
        <v>0</v>
      </c>
      <c r="AS559" t="s">
        <v>6</v>
      </c>
      <c r="AT559">
        <v>4.1000000000000002E-2</v>
      </c>
      <c r="AU559" t="s">
        <v>6</v>
      </c>
      <c r="AV559">
        <v>0</v>
      </c>
      <c r="AW559">
        <v>2</v>
      </c>
      <c r="AX559">
        <v>16751350</v>
      </c>
      <c r="AY559">
        <v>1</v>
      </c>
      <c r="AZ559">
        <v>0</v>
      </c>
      <c r="BA559">
        <v>519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0</v>
      </c>
      <c r="BH559">
        <v>0</v>
      </c>
      <c r="BI559">
        <v>0</v>
      </c>
      <c r="BJ559">
        <v>0</v>
      </c>
      <c r="BK559">
        <v>0</v>
      </c>
      <c r="BL559">
        <v>0</v>
      </c>
      <c r="BM559">
        <v>0</v>
      </c>
      <c r="BN559">
        <v>0</v>
      </c>
      <c r="BO559">
        <v>0</v>
      </c>
      <c r="BP559">
        <v>0</v>
      </c>
      <c r="BQ559">
        <v>0</v>
      </c>
      <c r="BR559">
        <v>0</v>
      </c>
      <c r="BS559">
        <v>0</v>
      </c>
      <c r="BT559">
        <v>0</v>
      </c>
      <c r="BU559">
        <v>0</v>
      </c>
      <c r="BV559">
        <v>0</v>
      </c>
      <c r="BW559">
        <v>0</v>
      </c>
      <c r="CX559">
        <f>Y559*Source!I371</f>
        <v>0.123</v>
      </c>
      <c r="CY559">
        <f t="shared" si="92"/>
        <v>3463.68</v>
      </c>
      <c r="CZ559">
        <f t="shared" si="93"/>
        <v>528</v>
      </c>
      <c r="DA559">
        <f t="shared" si="94"/>
        <v>6.56</v>
      </c>
      <c r="DB559">
        <f t="shared" si="90"/>
        <v>21.65</v>
      </c>
      <c r="DC559">
        <f t="shared" si="91"/>
        <v>0</v>
      </c>
    </row>
    <row r="560" spans="1:107" x14ac:dyDescent="0.2">
      <c r="A560">
        <f>ROW(Source!A371)</f>
        <v>371</v>
      </c>
      <c r="B560">
        <v>16748969</v>
      </c>
      <c r="C560">
        <v>16751327</v>
      </c>
      <c r="D560">
        <v>15225615</v>
      </c>
      <c r="E560">
        <v>1</v>
      </c>
      <c r="F560">
        <v>1</v>
      </c>
      <c r="G560">
        <v>1</v>
      </c>
      <c r="H560">
        <v>3</v>
      </c>
      <c r="I560" t="s">
        <v>776</v>
      </c>
      <c r="J560" t="s">
        <v>778</v>
      </c>
      <c r="K560" t="s">
        <v>777</v>
      </c>
      <c r="L560">
        <v>1354</v>
      </c>
      <c r="N560">
        <v>1010</v>
      </c>
      <c r="O560" t="s">
        <v>53</v>
      </c>
      <c r="P560" t="s">
        <v>53</v>
      </c>
      <c r="Q560">
        <v>1</v>
      </c>
      <c r="W560">
        <v>0</v>
      </c>
      <c r="X560">
        <v>-1797323191</v>
      </c>
      <c r="Y560">
        <v>1</v>
      </c>
      <c r="AA560">
        <v>1397.61</v>
      </c>
      <c r="AB560">
        <v>0</v>
      </c>
      <c r="AC560">
        <v>0</v>
      </c>
      <c r="AD560">
        <v>0</v>
      </c>
      <c r="AE560">
        <v>213.05</v>
      </c>
      <c r="AF560">
        <v>0</v>
      </c>
      <c r="AG560">
        <v>0</v>
      </c>
      <c r="AH560">
        <v>0</v>
      </c>
      <c r="AI560">
        <v>6.56</v>
      </c>
      <c r="AJ560">
        <v>1</v>
      </c>
      <c r="AK560">
        <v>1</v>
      </c>
      <c r="AL560">
        <v>1</v>
      </c>
      <c r="AN560">
        <v>0</v>
      </c>
      <c r="AO560">
        <v>0</v>
      </c>
      <c r="AP560">
        <v>0</v>
      </c>
      <c r="AQ560">
        <v>0</v>
      </c>
      <c r="AR560">
        <v>0</v>
      </c>
      <c r="AS560" t="s">
        <v>6</v>
      </c>
      <c r="AT560">
        <v>1</v>
      </c>
      <c r="AU560" t="s">
        <v>6</v>
      </c>
      <c r="AV560">
        <v>0</v>
      </c>
      <c r="AW560">
        <v>1</v>
      </c>
      <c r="AX560">
        <v>-1</v>
      </c>
      <c r="AY560">
        <v>0</v>
      </c>
      <c r="AZ560">
        <v>0</v>
      </c>
      <c r="BA560" t="s">
        <v>6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0</v>
      </c>
      <c r="BO560">
        <v>0</v>
      </c>
      <c r="BP560">
        <v>0</v>
      </c>
      <c r="BQ560">
        <v>0</v>
      </c>
      <c r="BR560">
        <v>0</v>
      </c>
      <c r="BS560">
        <v>0</v>
      </c>
      <c r="BT560">
        <v>0</v>
      </c>
      <c r="BU560">
        <v>0</v>
      </c>
      <c r="BV560">
        <v>0</v>
      </c>
      <c r="BW560">
        <v>0</v>
      </c>
      <c r="CX560">
        <f>Y560*Source!I371</f>
        <v>3</v>
      </c>
      <c r="CY560">
        <f t="shared" si="92"/>
        <v>1397.61</v>
      </c>
      <c r="CZ560">
        <f t="shared" si="93"/>
        <v>213.05</v>
      </c>
      <c r="DA560">
        <f t="shared" si="94"/>
        <v>6.56</v>
      </c>
      <c r="DB560">
        <f t="shared" si="90"/>
        <v>213.05</v>
      </c>
      <c r="DC560">
        <f t="shared" si="91"/>
        <v>0</v>
      </c>
    </row>
    <row r="561" spans="1:107" x14ac:dyDescent="0.2">
      <c r="A561">
        <f>ROW(Source!A371)</f>
        <v>371</v>
      </c>
      <c r="B561">
        <v>16748969</v>
      </c>
      <c r="C561">
        <v>16751327</v>
      </c>
      <c r="D561">
        <v>15233312</v>
      </c>
      <c r="E561">
        <v>1</v>
      </c>
      <c r="F561">
        <v>1</v>
      </c>
      <c r="G561">
        <v>1</v>
      </c>
      <c r="H561">
        <v>3</v>
      </c>
      <c r="I561" t="s">
        <v>1494</v>
      </c>
      <c r="J561" t="s">
        <v>1495</v>
      </c>
      <c r="K561" t="s">
        <v>1496</v>
      </c>
      <c r="L561">
        <v>1346</v>
      </c>
      <c r="N561">
        <v>1009</v>
      </c>
      <c r="O561" t="s">
        <v>323</v>
      </c>
      <c r="P561" t="s">
        <v>323</v>
      </c>
      <c r="Q561">
        <v>1</v>
      </c>
      <c r="W561">
        <v>0</v>
      </c>
      <c r="X561">
        <v>1584075688</v>
      </c>
      <c r="Y561">
        <v>0.124</v>
      </c>
      <c r="AA561">
        <v>234.19</v>
      </c>
      <c r="AB561">
        <v>0</v>
      </c>
      <c r="AC561">
        <v>0</v>
      </c>
      <c r="AD561">
        <v>0</v>
      </c>
      <c r="AE561">
        <v>35.700000000000003</v>
      </c>
      <c r="AF561">
        <v>0</v>
      </c>
      <c r="AG561">
        <v>0</v>
      </c>
      <c r="AH561">
        <v>0</v>
      </c>
      <c r="AI561">
        <v>6.56</v>
      </c>
      <c r="AJ561">
        <v>1</v>
      </c>
      <c r="AK561">
        <v>1</v>
      </c>
      <c r="AL561">
        <v>1</v>
      </c>
      <c r="AN561">
        <v>0</v>
      </c>
      <c r="AO561">
        <v>1</v>
      </c>
      <c r="AP561">
        <v>0</v>
      </c>
      <c r="AQ561">
        <v>0</v>
      </c>
      <c r="AR561">
        <v>0</v>
      </c>
      <c r="AS561" t="s">
        <v>6</v>
      </c>
      <c r="AT561">
        <v>0.124</v>
      </c>
      <c r="AU561" t="s">
        <v>6</v>
      </c>
      <c r="AV561">
        <v>0</v>
      </c>
      <c r="AW561">
        <v>2</v>
      </c>
      <c r="AX561">
        <v>16751351</v>
      </c>
      <c r="AY561">
        <v>1</v>
      </c>
      <c r="AZ561">
        <v>0</v>
      </c>
      <c r="BA561">
        <v>520</v>
      </c>
      <c r="BB561">
        <v>0</v>
      </c>
      <c r="BC561">
        <v>0</v>
      </c>
      <c r="BD561">
        <v>0</v>
      </c>
      <c r="BE561">
        <v>0</v>
      </c>
      <c r="BF561">
        <v>0</v>
      </c>
      <c r="BG561">
        <v>0</v>
      </c>
      <c r="BH561">
        <v>0</v>
      </c>
      <c r="BI561">
        <v>0</v>
      </c>
      <c r="BJ561">
        <v>0</v>
      </c>
      <c r="BK561">
        <v>0</v>
      </c>
      <c r="BL561">
        <v>0</v>
      </c>
      <c r="BM561">
        <v>0</v>
      </c>
      <c r="BN561">
        <v>0</v>
      </c>
      <c r="BO561">
        <v>0</v>
      </c>
      <c r="BP561">
        <v>0</v>
      </c>
      <c r="BQ561">
        <v>0</v>
      </c>
      <c r="BR561">
        <v>0</v>
      </c>
      <c r="BS561">
        <v>0</v>
      </c>
      <c r="BT561">
        <v>0</v>
      </c>
      <c r="BU561">
        <v>0</v>
      </c>
      <c r="BV561">
        <v>0</v>
      </c>
      <c r="BW561">
        <v>0</v>
      </c>
      <c r="CX561">
        <f>Y561*Source!I371</f>
        <v>0.372</v>
      </c>
      <c r="CY561">
        <f t="shared" si="92"/>
        <v>234.19</v>
      </c>
      <c r="CZ561">
        <f t="shared" si="93"/>
        <v>35.700000000000003</v>
      </c>
      <c r="DA561">
        <f t="shared" si="94"/>
        <v>6.56</v>
      </c>
      <c r="DB561">
        <f t="shared" si="90"/>
        <v>4.43</v>
      </c>
      <c r="DC561">
        <f t="shared" si="91"/>
        <v>0</v>
      </c>
    </row>
    <row r="562" spans="1:107" x14ac:dyDescent="0.2">
      <c r="A562">
        <f>ROW(Source!A371)</f>
        <v>371</v>
      </c>
      <c r="B562">
        <v>16748969</v>
      </c>
      <c r="C562">
        <v>16751327</v>
      </c>
      <c r="D562">
        <v>15164559</v>
      </c>
      <c r="E562">
        <v>17</v>
      </c>
      <c r="F562">
        <v>1</v>
      </c>
      <c r="G562">
        <v>1</v>
      </c>
      <c r="H562">
        <v>3</v>
      </c>
      <c r="I562" t="s">
        <v>1383</v>
      </c>
      <c r="J562" t="s">
        <v>6</v>
      </c>
      <c r="K562" t="s">
        <v>1384</v>
      </c>
      <c r="L562">
        <v>1374</v>
      </c>
      <c r="N562">
        <v>1013</v>
      </c>
      <c r="O562" t="s">
        <v>1385</v>
      </c>
      <c r="P562" t="s">
        <v>1385</v>
      </c>
      <c r="Q562">
        <v>1</v>
      </c>
      <c r="W562">
        <v>0</v>
      </c>
      <c r="X562">
        <v>-1731369543</v>
      </c>
      <c r="Y562">
        <v>0.51</v>
      </c>
      <c r="AA562">
        <v>1</v>
      </c>
      <c r="AB562">
        <v>0</v>
      </c>
      <c r="AC562">
        <v>0</v>
      </c>
      <c r="AD562">
        <v>0</v>
      </c>
      <c r="AE562">
        <v>1</v>
      </c>
      <c r="AF562">
        <v>0</v>
      </c>
      <c r="AG562">
        <v>0</v>
      </c>
      <c r="AH562">
        <v>0</v>
      </c>
      <c r="AI562">
        <v>1</v>
      </c>
      <c r="AJ562">
        <v>1</v>
      </c>
      <c r="AK562">
        <v>1</v>
      </c>
      <c r="AL562">
        <v>1</v>
      </c>
      <c r="AN562">
        <v>0</v>
      </c>
      <c r="AO562">
        <v>1</v>
      </c>
      <c r="AP562">
        <v>0</v>
      </c>
      <c r="AQ562">
        <v>0</v>
      </c>
      <c r="AR562">
        <v>0</v>
      </c>
      <c r="AS562" t="s">
        <v>6</v>
      </c>
      <c r="AT562">
        <v>0.51</v>
      </c>
      <c r="AU562" t="s">
        <v>6</v>
      </c>
      <c r="AV562">
        <v>0</v>
      </c>
      <c r="AW562">
        <v>2</v>
      </c>
      <c r="AX562">
        <v>16751352</v>
      </c>
      <c r="AY562">
        <v>1</v>
      </c>
      <c r="AZ562">
        <v>0</v>
      </c>
      <c r="BA562">
        <v>521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0</v>
      </c>
      <c r="BJ562">
        <v>0</v>
      </c>
      <c r="BK562">
        <v>0</v>
      </c>
      <c r="BL562">
        <v>0</v>
      </c>
      <c r="BM562">
        <v>0</v>
      </c>
      <c r="BN562">
        <v>0</v>
      </c>
      <c r="BO562">
        <v>0</v>
      </c>
      <c r="BP562">
        <v>0</v>
      </c>
      <c r="BQ562">
        <v>0</v>
      </c>
      <c r="BR562">
        <v>0</v>
      </c>
      <c r="BS562">
        <v>0</v>
      </c>
      <c r="BT562">
        <v>0</v>
      </c>
      <c r="BU562">
        <v>0</v>
      </c>
      <c r="BV562">
        <v>0</v>
      </c>
      <c r="BW562">
        <v>0</v>
      </c>
      <c r="CX562">
        <f>Y562*Source!I371</f>
        <v>1.53</v>
      </c>
      <c r="CY562">
        <f t="shared" si="92"/>
        <v>1</v>
      </c>
      <c r="CZ562">
        <f t="shared" si="93"/>
        <v>1</v>
      </c>
      <c r="DA562">
        <f t="shared" si="94"/>
        <v>1</v>
      </c>
      <c r="DB562">
        <f t="shared" si="90"/>
        <v>0.51</v>
      </c>
      <c r="DC562">
        <f t="shared" si="91"/>
        <v>0</v>
      </c>
    </row>
    <row r="563" spans="1:107" x14ac:dyDescent="0.2">
      <c r="A563">
        <f>ROW(Source!A373)</f>
        <v>373</v>
      </c>
      <c r="B563">
        <v>16748969</v>
      </c>
      <c r="C563">
        <v>16751354</v>
      </c>
      <c r="D563">
        <v>15442878</v>
      </c>
      <c r="E563">
        <v>1</v>
      </c>
      <c r="F563">
        <v>1</v>
      </c>
      <c r="G563">
        <v>1</v>
      </c>
      <c r="H563">
        <v>1</v>
      </c>
      <c r="I563" t="s">
        <v>1386</v>
      </c>
      <c r="J563" t="s">
        <v>6</v>
      </c>
      <c r="K563" t="s">
        <v>1387</v>
      </c>
      <c r="L563">
        <v>1191</v>
      </c>
      <c r="N563">
        <v>1013</v>
      </c>
      <c r="O563" t="s">
        <v>1072</v>
      </c>
      <c r="P563" t="s">
        <v>1072</v>
      </c>
      <c r="Q563">
        <v>1</v>
      </c>
      <c r="W563">
        <v>0</v>
      </c>
      <c r="X563">
        <v>-362667798</v>
      </c>
      <c r="Y563">
        <v>0.9</v>
      </c>
      <c r="AA563">
        <v>0</v>
      </c>
      <c r="AB563">
        <v>0</v>
      </c>
      <c r="AC563">
        <v>0</v>
      </c>
      <c r="AD563">
        <v>68.88</v>
      </c>
      <c r="AE563">
        <v>0</v>
      </c>
      <c r="AF563">
        <v>0</v>
      </c>
      <c r="AG563">
        <v>0</v>
      </c>
      <c r="AH563">
        <v>10.5</v>
      </c>
      <c r="AI563">
        <v>1</v>
      </c>
      <c r="AJ563">
        <v>1</v>
      </c>
      <c r="AK563">
        <v>1</v>
      </c>
      <c r="AL563">
        <v>6.56</v>
      </c>
      <c r="AN563">
        <v>0</v>
      </c>
      <c r="AO563">
        <v>1</v>
      </c>
      <c r="AP563">
        <v>0</v>
      </c>
      <c r="AQ563">
        <v>0</v>
      </c>
      <c r="AR563">
        <v>0</v>
      </c>
      <c r="AS563" t="s">
        <v>6</v>
      </c>
      <c r="AT563">
        <v>0.9</v>
      </c>
      <c r="AU563" t="s">
        <v>6</v>
      </c>
      <c r="AV563">
        <v>1</v>
      </c>
      <c r="AW563">
        <v>2</v>
      </c>
      <c r="AX563">
        <v>16751364</v>
      </c>
      <c r="AY563">
        <v>1</v>
      </c>
      <c r="AZ563">
        <v>0</v>
      </c>
      <c r="BA563">
        <v>522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0</v>
      </c>
      <c r="BO563">
        <v>0</v>
      </c>
      <c r="BP563">
        <v>0</v>
      </c>
      <c r="BQ563">
        <v>0</v>
      </c>
      <c r="BR563">
        <v>0</v>
      </c>
      <c r="BS563">
        <v>0</v>
      </c>
      <c r="BT563">
        <v>0</v>
      </c>
      <c r="BU563">
        <v>0</v>
      </c>
      <c r="BV563">
        <v>0</v>
      </c>
      <c r="BW563">
        <v>0</v>
      </c>
      <c r="CX563">
        <f>Y563*Source!I373</f>
        <v>0.9</v>
      </c>
      <c r="CY563">
        <f>AD563</f>
        <v>68.88</v>
      </c>
      <c r="CZ563">
        <f>AH563</f>
        <v>10.5</v>
      </c>
      <c r="DA563">
        <f>AL563</f>
        <v>6.56</v>
      </c>
      <c r="DB563">
        <f t="shared" si="90"/>
        <v>9.4499999999999993</v>
      </c>
      <c r="DC563">
        <f t="shared" si="91"/>
        <v>0</v>
      </c>
    </row>
    <row r="564" spans="1:107" x14ac:dyDescent="0.2">
      <c r="A564">
        <f>ROW(Source!A373)</f>
        <v>373</v>
      </c>
      <c r="B564">
        <v>16748969</v>
      </c>
      <c r="C564">
        <v>16751354</v>
      </c>
      <c r="D564">
        <v>15430395</v>
      </c>
      <c r="E564">
        <v>1</v>
      </c>
      <c r="F564">
        <v>1</v>
      </c>
      <c r="G564">
        <v>1</v>
      </c>
      <c r="H564">
        <v>1</v>
      </c>
      <c r="I564" t="s">
        <v>1073</v>
      </c>
      <c r="J564" t="s">
        <v>6</v>
      </c>
      <c r="K564" t="s">
        <v>1074</v>
      </c>
      <c r="L564">
        <v>1191</v>
      </c>
      <c r="N564">
        <v>1013</v>
      </c>
      <c r="O564" t="s">
        <v>1072</v>
      </c>
      <c r="P564" t="s">
        <v>1072</v>
      </c>
      <c r="Q564">
        <v>1</v>
      </c>
      <c r="W564">
        <v>0</v>
      </c>
      <c r="X564">
        <v>-1417349443</v>
      </c>
      <c r="Y564">
        <v>0.2</v>
      </c>
      <c r="AA564">
        <v>0</v>
      </c>
      <c r="AB564">
        <v>0</v>
      </c>
      <c r="AC564">
        <v>0</v>
      </c>
      <c r="AD564">
        <v>0</v>
      </c>
      <c r="AE564">
        <v>0</v>
      </c>
      <c r="AF564">
        <v>0</v>
      </c>
      <c r="AG564">
        <v>0</v>
      </c>
      <c r="AH564">
        <v>0</v>
      </c>
      <c r="AI564">
        <v>1</v>
      </c>
      <c r="AJ564">
        <v>1</v>
      </c>
      <c r="AK564">
        <v>6.56</v>
      </c>
      <c r="AL564">
        <v>1</v>
      </c>
      <c r="AN564">
        <v>0</v>
      </c>
      <c r="AO564">
        <v>1</v>
      </c>
      <c r="AP564">
        <v>0</v>
      </c>
      <c r="AQ564">
        <v>0</v>
      </c>
      <c r="AR564">
        <v>0</v>
      </c>
      <c r="AS564" t="s">
        <v>6</v>
      </c>
      <c r="AT564">
        <v>0.2</v>
      </c>
      <c r="AU564" t="s">
        <v>6</v>
      </c>
      <c r="AV564">
        <v>2</v>
      </c>
      <c r="AW564">
        <v>2</v>
      </c>
      <c r="AX564">
        <v>16751365</v>
      </c>
      <c r="AY564">
        <v>1</v>
      </c>
      <c r="AZ564">
        <v>0</v>
      </c>
      <c r="BA564">
        <v>523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0</v>
      </c>
      <c r="BH564">
        <v>0</v>
      </c>
      <c r="BI564">
        <v>0</v>
      </c>
      <c r="BJ564">
        <v>0</v>
      </c>
      <c r="BK564">
        <v>0</v>
      </c>
      <c r="BL564">
        <v>0</v>
      </c>
      <c r="BM564">
        <v>0</v>
      </c>
      <c r="BN564">
        <v>0</v>
      </c>
      <c r="BO564">
        <v>0</v>
      </c>
      <c r="BP564">
        <v>0</v>
      </c>
      <c r="BQ564">
        <v>0</v>
      </c>
      <c r="BR564">
        <v>0</v>
      </c>
      <c r="BS564">
        <v>0</v>
      </c>
      <c r="BT564">
        <v>0</v>
      </c>
      <c r="BU564">
        <v>0</v>
      </c>
      <c r="BV564">
        <v>0</v>
      </c>
      <c r="BW564">
        <v>0</v>
      </c>
      <c r="CX564">
        <f>Y564*Source!I373</f>
        <v>0.2</v>
      </c>
      <c r="CY564">
        <f>AD564</f>
        <v>0</v>
      </c>
      <c r="CZ564">
        <f>AH564</f>
        <v>0</v>
      </c>
      <c r="DA564">
        <f>AL564</f>
        <v>1</v>
      </c>
      <c r="DB564">
        <f t="shared" si="90"/>
        <v>0</v>
      </c>
      <c r="DC564">
        <f t="shared" si="91"/>
        <v>0</v>
      </c>
    </row>
    <row r="565" spans="1:107" x14ac:dyDescent="0.2">
      <c r="A565">
        <f>ROW(Source!A373)</f>
        <v>373</v>
      </c>
      <c r="B565">
        <v>16748969</v>
      </c>
      <c r="C565">
        <v>16751354</v>
      </c>
      <c r="D565">
        <v>15247680</v>
      </c>
      <c r="E565">
        <v>1</v>
      </c>
      <c r="F565">
        <v>1</v>
      </c>
      <c r="G565">
        <v>1</v>
      </c>
      <c r="H565">
        <v>2</v>
      </c>
      <c r="I565" t="s">
        <v>1211</v>
      </c>
      <c r="J565" t="s">
        <v>1212</v>
      </c>
      <c r="K565" t="s">
        <v>1213</v>
      </c>
      <c r="L565">
        <v>1368</v>
      </c>
      <c r="N565">
        <v>1011</v>
      </c>
      <c r="O565" t="s">
        <v>1078</v>
      </c>
      <c r="P565" t="s">
        <v>1078</v>
      </c>
      <c r="Q565">
        <v>1</v>
      </c>
      <c r="W565">
        <v>0</v>
      </c>
      <c r="X565">
        <v>-1718674368</v>
      </c>
      <c r="Y565">
        <v>0.1</v>
      </c>
      <c r="AA565">
        <v>0</v>
      </c>
      <c r="AB565">
        <v>734.65</v>
      </c>
      <c r="AC565">
        <v>13.5</v>
      </c>
      <c r="AD565">
        <v>0</v>
      </c>
      <c r="AE565">
        <v>0</v>
      </c>
      <c r="AF565">
        <v>111.99</v>
      </c>
      <c r="AG565">
        <v>13.5</v>
      </c>
      <c r="AH565">
        <v>0</v>
      </c>
      <c r="AI565">
        <v>1</v>
      </c>
      <c r="AJ565">
        <v>6.56</v>
      </c>
      <c r="AK565">
        <v>1</v>
      </c>
      <c r="AL565">
        <v>1</v>
      </c>
      <c r="AN565">
        <v>0</v>
      </c>
      <c r="AO565">
        <v>1</v>
      </c>
      <c r="AP565">
        <v>0</v>
      </c>
      <c r="AQ565">
        <v>0</v>
      </c>
      <c r="AR565">
        <v>0</v>
      </c>
      <c r="AS565" t="s">
        <v>6</v>
      </c>
      <c r="AT565">
        <v>0.1</v>
      </c>
      <c r="AU565" t="s">
        <v>6</v>
      </c>
      <c r="AV565">
        <v>0</v>
      </c>
      <c r="AW565">
        <v>2</v>
      </c>
      <c r="AX565">
        <v>16751366</v>
      </c>
      <c r="AY565">
        <v>1</v>
      </c>
      <c r="AZ565">
        <v>0</v>
      </c>
      <c r="BA565">
        <v>524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>
        <v>0</v>
      </c>
      <c r="BL565">
        <v>0</v>
      </c>
      <c r="BM565">
        <v>0</v>
      </c>
      <c r="BN565">
        <v>0</v>
      </c>
      <c r="BO565">
        <v>0</v>
      </c>
      <c r="BP565">
        <v>0</v>
      </c>
      <c r="BQ565">
        <v>0</v>
      </c>
      <c r="BR565">
        <v>0</v>
      </c>
      <c r="BS565">
        <v>0</v>
      </c>
      <c r="BT565">
        <v>0</v>
      </c>
      <c r="BU565">
        <v>0</v>
      </c>
      <c r="BV565">
        <v>0</v>
      </c>
      <c r="BW565">
        <v>0</v>
      </c>
      <c r="CX565">
        <f>Y565*Source!I373</f>
        <v>0.1</v>
      </c>
      <c r="CY565">
        <f>AB565</f>
        <v>734.65</v>
      </c>
      <c r="CZ565">
        <f>AF565</f>
        <v>111.99</v>
      </c>
      <c r="DA565">
        <f>AJ565</f>
        <v>6.56</v>
      </c>
      <c r="DB565">
        <f t="shared" si="90"/>
        <v>11.2</v>
      </c>
      <c r="DC565">
        <f t="shared" si="91"/>
        <v>1.35</v>
      </c>
    </row>
    <row r="566" spans="1:107" x14ac:dyDescent="0.2">
      <c r="A566">
        <f>ROW(Source!A373)</f>
        <v>373</v>
      </c>
      <c r="B566">
        <v>16748969</v>
      </c>
      <c r="C566">
        <v>16751354</v>
      </c>
      <c r="D566">
        <v>15249073</v>
      </c>
      <c r="E566">
        <v>1</v>
      </c>
      <c r="F566">
        <v>1</v>
      </c>
      <c r="G566">
        <v>1</v>
      </c>
      <c r="H566">
        <v>2</v>
      </c>
      <c r="I566" t="s">
        <v>1097</v>
      </c>
      <c r="J566" t="s">
        <v>1098</v>
      </c>
      <c r="K566" t="s">
        <v>1099</v>
      </c>
      <c r="L566">
        <v>1368</v>
      </c>
      <c r="N566">
        <v>1011</v>
      </c>
      <c r="O566" t="s">
        <v>1078</v>
      </c>
      <c r="P566" t="s">
        <v>1078</v>
      </c>
      <c r="Q566">
        <v>1</v>
      </c>
      <c r="W566">
        <v>0</v>
      </c>
      <c r="X566">
        <v>1372534845</v>
      </c>
      <c r="Y566">
        <v>0.1</v>
      </c>
      <c r="AA566">
        <v>0</v>
      </c>
      <c r="AB566">
        <v>431.06</v>
      </c>
      <c r="AC566">
        <v>11.6</v>
      </c>
      <c r="AD566">
        <v>0</v>
      </c>
      <c r="AE566">
        <v>0</v>
      </c>
      <c r="AF566">
        <v>65.709999999999994</v>
      </c>
      <c r="AG566">
        <v>11.6</v>
      </c>
      <c r="AH566">
        <v>0</v>
      </c>
      <c r="AI566">
        <v>1</v>
      </c>
      <c r="AJ566">
        <v>6.56</v>
      </c>
      <c r="AK566">
        <v>1</v>
      </c>
      <c r="AL566">
        <v>1</v>
      </c>
      <c r="AN566">
        <v>0</v>
      </c>
      <c r="AO566">
        <v>1</v>
      </c>
      <c r="AP566">
        <v>0</v>
      </c>
      <c r="AQ566">
        <v>0</v>
      </c>
      <c r="AR566">
        <v>0</v>
      </c>
      <c r="AS566" t="s">
        <v>6</v>
      </c>
      <c r="AT566">
        <v>0.1</v>
      </c>
      <c r="AU566" t="s">
        <v>6</v>
      </c>
      <c r="AV566">
        <v>0</v>
      </c>
      <c r="AW566">
        <v>2</v>
      </c>
      <c r="AX566">
        <v>16751367</v>
      </c>
      <c r="AY566">
        <v>1</v>
      </c>
      <c r="AZ566">
        <v>0</v>
      </c>
      <c r="BA566">
        <v>525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0</v>
      </c>
      <c r="BH566">
        <v>0</v>
      </c>
      <c r="BI566">
        <v>0</v>
      </c>
      <c r="BJ566">
        <v>0</v>
      </c>
      <c r="BK566">
        <v>0</v>
      </c>
      <c r="BL566">
        <v>0</v>
      </c>
      <c r="BM566">
        <v>0</v>
      </c>
      <c r="BN566">
        <v>0</v>
      </c>
      <c r="BO566">
        <v>0</v>
      </c>
      <c r="BP566">
        <v>0</v>
      </c>
      <c r="BQ566">
        <v>0</v>
      </c>
      <c r="BR566">
        <v>0</v>
      </c>
      <c r="BS566">
        <v>0</v>
      </c>
      <c r="BT566">
        <v>0</v>
      </c>
      <c r="BU566">
        <v>0</v>
      </c>
      <c r="BV566">
        <v>0</v>
      </c>
      <c r="BW566">
        <v>0</v>
      </c>
      <c r="CX566">
        <f>Y566*Source!I373</f>
        <v>0.1</v>
      </c>
      <c r="CY566">
        <f>AB566</f>
        <v>431.06</v>
      </c>
      <c r="CZ566">
        <f>AF566</f>
        <v>65.709999999999994</v>
      </c>
      <c r="DA566">
        <f>AJ566</f>
        <v>6.56</v>
      </c>
      <c r="DB566">
        <f t="shared" si="90"/>
        <v>6.57</v>
      </c>
      <c r="DC566">
        <f t="shared" si="91"/>
        <v>1.1599999999999999</v>
      </c>
    </row>
    <row r="567" spans="1:107" x14ac:dyDescent="0.2">
      <c r="A567">
        <f>ROW(Source!A373)</f>
        <v>373</v>
      </c>
      <c r="B567">
        <v>16748969</v>
      </c>
      <c r="C567">
        <v>16751354</v>
      </c>
      <c r="D567">
        <v>15167588</v>
      </c>
      <c r="E567">
        <v>1</v>
      </c>
      <c r="F567">
        <v>1</v>
      </c>
      <c r="G567">
        <v>1</v>
      </c>
      <c r="H567">
        <v>3</v>
      </c>
      <c r="I567" t="s">
        <v>1388</v>
      </c>
      <c r="J567" t="s">
        <v>1389</v>
      </c>
      <c r="K567" t="s">
        <v>1390</v>
      </c>
      <c r="L567">
        <v>1346</v>
      </c>
      <c r="N567">
        <v>1009</v>
      </c>
      <c r="O567" t="s">
        <v>323</v>
      </c>
      <c r="P567" t="s">
        <v>323</v>
      </c>
      <c r="Q567">
        <v>1</v>
      </c>
      <c r="W567">
        <v>0</v>
      </c>
      <c r="X567">
        <v>-1088866022</v>
      </c>
      <c r="Y567">
        <v>0.01</v>
      </c>
      <c r="AA567">
        <v>199.42</v>
      </c>
      <c r="AB567">
        <v>0</v>
      </c>
      <c r="AC567">
        <v>0</v>
      </c>
      <c r="AD567">
        <v>0</v>
      </c>
      <c r="AE567">
        <v>30.4</v>
      </c>
      <c r="AF567">
        <v>0</v>
      </c>
      <c r="AG567">
        <v>0</v>
      </c>
      <c r="AH567">
        <v>0</v>
      </c>
      <c r="AI567">
        <v>6.56</v>
      </c>
      <c r="AJ567">
        <v>1</v>
      </c>
      <c r="AK567">
        <v>1</v>
      </c>
      <c r="AL567">
        <v>1</v>
      </c>
      <c r="AN567">
        <v>0</v>
      </c>
      <c r="AO567">
        <v>1</v>
      </c>
      <c r="AP567">
        <v>0</v>
      </c>
      <c r="AQ567">
        <v>0</v>
      </c>
      <c r="AR567">
        <v>0</v>
      </c>
      <c r="AS567" t="s">
        <v>6</v>
      </c>
      <c r="AT567">
        <v>0.01</v>
      </c>
      <c r="AU567" t="s">
        <v>6</v>
      </c>
      <c r="AV567">
        <v>0</v>
      </c>
      <c r="AW567">
        <v>2</v>
      </c>
      <c r="AX567">
        <v>16751368</v>
      </c>
      <c r="AY567">
        <v>1</v>
      </c>
      <c r="AZ567">
        <v>0</v>
      </c>
      <c r="BA567">
        <v>526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0</v>
      </c>
      <c r="BJ567">
        <v>0</v>
      </c>
      <c r="BK567">
        <v>0</v>
      </c>
      <c r="BL567">
        <v>0</v>
      </c>
      <c r="BM567">
        <v>0</v>
      </c>
      <c r="BN567">
        <v>0</v>
      </c>
      <c r="BO567">
        <v>0</v>
      </c>
      <c r="BP567">
        <v>0</v>
      </c>
      <c r="BQ567">
        <v>0</v>
      </c>
      <c r="BR567">
        <v>0</v>
      </c>
      <c r="BS567">
        <v>0</v>
      </c>
      <c r="BT567">
        <v>0</v>
      </c>
      <c r="BU567">
        <v>0</v>
      </c>
      <c r="BV567">
        <v>0</v>
      </c>
      <c r="BW567">
        <v>0</v>
      </c>
      <c r="CX567">
        <f>Y567*Source!I373</f>
        <v>0.01</v>
      </c>
      <c r="CY567">
        <f>AA567</f>
        <v>199.42</v>
      </c>
      <c r="CZ567">
        <f>AE567</f>
        <v>30.4</v>
      </c>
      <c r="DA567">
        <f>AI567</f>
        <v>6.56</v>
      </c>
      <c r="DB567">
        <f t="shared" si="90"/>
        <v>0.3</v>
      </c>
      <c r="DC567">
        <f t="shared" si="91"/>
        <v>0</v>
      </c>
    </row>
    <row r="568" spans="1:107" x14ac:dyDescent="0.2">
      <c r="A568">
        <f>ROW(Source!A373)</f>
        <v>373</v>
      </c>
      <c r="B568">
        <v>16748969</v>
      </c>
      <c r="C568">
        <v>16751354</v>
      </c>
      <c r="D568">
        <v>15169942</v>
      </c>
      <c r="E568">
        <v>1</v>
      </c>
      <c r="F568">
        <v>1</v>
      </c>
      <c r="G568">
        <v>1</v>
      </c>
      <c r="H568">
        <v>3</v>
      </c>
      <c r="I568" t="s">
        <v>1391</v>
      </c>
      <c r="J568" t="s">
        <v>1392</v>
      </c>
      <c r="K568" t="s">
        <v>1291</v>
      </c>
      <c r="L568">
        <v>1346</v>
      </c>
      <c r="N568">
        <v>1009</v>
      </c>
      <c r="O568" t="s">
        <v>323</v>
      </c>
      <c r="P568" t="s">
        <v>323</v>
      </c>
      <c r="Q568">
        <v>1</v>
      </c>
      <c r="W568">
        <v>0</v>
      </c>
      <c r="X568">
        <v>103900845</v>
      </c>
      <c r="Y568">
        <v>0.3</v>
      </c>
      <c r="AA568">
        <v>59.3</v>
      </c>
      <c r="AB568">
        <v>0</v>
      </c>
      <c r="AC568">
        <v>0</v>
      </c>
      <c r="AD568">
        <v>0</v>
      </c>
      <c r="AE568">
        <v>9.0399999999999991</v>
      </c>
      <c r="AF568">
        <v>0</v>
      </c>
      <c r="AG568">
        <v>0</v>
      </c>
      <c r="AH568">
        <v>0</v>
      </c>
      <c r="AI568">
        <v>6.56</v>
      </c>
      <c r="AJ568">
        <v>1</v>
      </c>
      <c r="AK568">
        <v>1</v>
      </c>
      <c r="AL568">
        <v>1</v>
      </c>
      <c r="AN568">
        <v>0</v>
      </c>
      <c r="AO568">
        <v>1</v>
      </c>
      <c r="AP568">
        <v>0</v>
      </c>
      <c r="AQ568">
        <v>0</v>
      </c>
      <c r="AR568">
        <v>0</v>
      </c>
      <c r="AS568" t="s">
        <v>6</v>
      </c>
      <c r="AT568">
        <v>0.3</v>
      </c>
      <c r="AU568" t="s">
        <v>6</v>
      </c>
      <c r="AV568">
        <v>0</v>
      </c>
      <c r="AW568">
        <v>2</v>
      </c>
      <c r="AX568">
        <v>16751369</v>
      </c>
      <c r="AY568">
        <v>1</v>
      </c>
      <c r="AZ568">
        <v>0</v>
      </c>
      <c r="BA568">
        <v>527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0</v>
      </c>
      <c r="BP568">
        <v>0</v>
      </c>
      <c r="BQ568">
        <v>0</v>
      </c>
      <c r="BR568">
        <v>0</v>
      </c>
      <c r="BS568">
        <v>0</v>
      </c>
      <c r="BT568">
        <v>0</v>
      </c>
      <c r="BU568">
        <v>0</v>
      </c>
      <c r="BV568">
        <v>0</v>
      </c>
      <c r="BW568">
        <v>0</v>
      </c>
      <c r="CX568">
        <f>Y568*Source!I373</f>
        <v>0.3</v>
      </c>
      <c r="CY568">
        <f>AA568</f>
        <v>59.3</v>
      </c>
      <c r="CZ568">
        <f>AE568</f>
        <v>9.0399999999999991</v>
      </c>
      <c r="DA568">
        <f>AI568</f>
        <v>6.56</v>
      </c>
      <c r="DB568">
        <f t="shared" si="90"/>
        <v>2.71</v>
      </c>
      <c r="DC568">
        <f t="shared" si="91"/>
        <v>0</v>
      </c>
    </row>
    <row r="569" spans="1:107" x14ac:dyDescent="0.2">
      <c r="A569">
        <f>ROW(Source!A373)</f>
        <v>373</v>
      </c>
      <c r="B569">
        <v>16748969</v>
      </c>
      <c r="C569">
        <v>16751354</v>
      </c>
      <c r="D569">
        <v>15191488</v>
      </c>
      <c r="E569">
        <v>1</v>
      </c>
      <c r="F569">
        <v>1</v>
      </c>
      <c r="G569">
        <v>1</v>
      </c>
      <c r="H569">
        <v>3</v>
      </c>
      <c r="I569" t="s">
        <v>1393</v>
      </c>
      <c r="J569" t="s">
        <v>1394</v>
      </c>
      <c r="K569" t="s">
        <v>1395</v>
      </c>
      <c r="L569">
        <v>1348</v>
      </c>
      <c r="N569">
        <v>1009</v>
      </c>
      <c r="O569" t="s">
        <v>71</v>
      </c>
      <c r="P569" t="s">
        <v>71</v>
      </c>
      <c r="Q569">
        <v>1000</v>
      </c>
      <c r="W569">
        <v>0</v>
      </c>
      <c r="X569">
        <v>-1598896989</v>
      </c>
      <c r="Y569">
        <v>5.9999999999999995E-4</v>
      </c>
      <c r="AA569">
        <v>32800</v>
      </c>
      <c r="AB569">
        <v>0</v>
      </c>
      <c r="AC569">
        <v>0</v>
      </c>
      <c r="AD569">
        <v>0</v>
      </c>
      <c r="AE569">
        <v>5000</v>
      </c>
      <c r="AF569">
        <v>0</v>
      </c>
      <c r="AG569">
        <v>0</v>
      </c>
      <c r="AH569">
        <v>0</v>
      </c>
      <c r="AI569">
        <v>6.56</v>
      </c>
      <c r="AJ569">
        <v>1</v>
      </c>
      <c r="AK569">
        <v>1</v>
      </c>
      <c r="AL569">
        <v>1</v>
      </c>
      <c r="AN569">
        <v>0</v>
      </c>
      <c r="AO569">
        <v>1</v>
      </c>
      <c r="AP569">
        <v>0</v>
      </c>
      <c r="AQ569">
        <v>0</v>
      </c>
      <c r="AR569">
        <v>0</v>
      </c>
      <c r="AS569" t="s">
        <v>6</v>
      </c>
      <c r="AT569">
        <v>5.9999999999999995E-4</v>
      </c>
      <c r="AU569" t="s">
        <v>6</v>
      </c>
      <c r="AV569">
        <v>0</v>
      </c>
      <c r="AW569">
        <v>2</v>
      </c>
      <c r="AX569">
        <v>16751370</v>
      </c>
      <c r="AY569">
        <v>1</v>
      </c>
      <c r="AZ569">
        <v>0</v>
      </c>
      <c r="BA569">
        <v>528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0</v>
      </c>
      <c r="BO569">
        <v>0</v>
      </c>
      <c r="BP569">
        <v>0</v>
      </c>
      <c r="BQ569">
        <v>0</v>
      </c>
      <c r="BR569">
        <v>0</v>
      </c>
      <c r="BS569">
        <v>0</v>
      </c>
      <c r="BT569">
        <v>0</v>
      </c>
      <c r="BU569">
        <v>0</v>
      </c>
      <c r="BV569">
        <v>0</v>
      </c>
      <c r="BW569">
        <v>0</v>
      </c>
      <c r="CX569">
        <f>Y569*Source!I373</f>
        <v>5.9999999999999995E-4</v>
      </c>
      <c r="CY569">
        <f>AA569</f>
        <v>32800</v>
      </c>
      <c r="CZ569">
        <f>AE569</f>
        <v>5000</v>
      </c>
      <c r="DA569">
        <f>AI569</f>
        <v>6.56</v>
      </c>
      <c r="DB569">
        <f t="shared" si="90"/>
        <v>3</v>
      </c>
      <c r="DC569">
        <f t="shared" si="91"/>
        <v>0</v>
      </c>
    </row>
    <row r="570" spans="1:107" x14ac:dyDescent="0.2">
      <c r="A570">
        <f>ROW(Source!A373)</f>
        <v>373</v>
      </c>
      <c r="B570">
        <v>16748969</v>
      </c>
      <c r="C570">
        <v>16751354</v>
      </c>
      <c r="D570">
        <v>15240001</v>
      </c>
      <c r="E570">
        <v>1</v>
      </c>
      <c r="F570">
        <v>1</v>
      </c>
      <c r="G570">
        <v>1</v>
      </c>
      <c r="H570">
        <v>3</v>
      </c>
      <c r="I570" t="s">
        <v>669</v>
      </c>
      <c r="J570" t="s">
        <v>671</v>
      </c>
      <c r="K570" t="s">
        <v>670</v>
      </c>
      <c r="L570">
        <v>1354</v>
      </c>
      <c r="N570">
        <v>1010</v>
      </c>
      <c r="O570" t="s">
        <v>53</v>
      </c>
      <c r="P570" t="s">
        <v>53</v>
      </c>
      <c r="Q570">
        <v>1</v>
      </c>
      <c r="W570">
        <v>0</v>
      </c>
      <c r="X570">
        <v>487973268</v>
      </c>
      <c r="Y570">
        <v>1</v>
      </c>
      <c r="AA570">
        <v>9805.69</v>
      </c>
      <c r="AB570">
        <v>0</v>
      </c>
      <c r="AC570">
        <v>0</v>
      </c>
      <c r="AD570">
        <v>0</v>
      </c>
      <c r="AE570">
        <v>1494.77</v>
      </c>
      <c r="AF570">
        <v>0</v>
      </c>
      <c r="AG570">
        <v>0</v>
      </c>
      <c r="AH570">
        <v>0</v>
      </c>
      <c r="AI570">
        <v>6.56</v>
      </c>
      <c r="AJ570">
        <v>1</v>
      </c>
      <c r="AK570">
        <v>1</v>
      </c>
      <c r="AL570">
        <v>1</v>
      </c>
      <c r="AN570">
        <v>0</v>
      </c>
      <c r="AO570">
        <v>0</v>
      </c>
      <c r="AP570">
        <v>0</v>
      </c>
      <c r="AQ570">
        <v>0</v>
      </c>
      <c r="AR570">
        <v>0</v>
      </c>
      <c r="AS570" t="s">
        <v>6</v>
      </c>
      <c r="AT570">
        <v>1</v>
      </c>
      <c r="AU570" t="s">
        <v>6</v>
      </c>
      <c r="AV570">
        <v>0</v>
      </c>
      <c r="AW570">
        <v>1</v>
      </c>
      <c r="AX570">
        <v>-1</v>
      </c>
      <c r="AY570">
        <v>0</v>
      </c>
      <c r="AZ570">
        <v>0</v>
      </c>
      <c r="BA570" t="s">
        <v>6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0</v>
      </c>
      <c r="BO570">
        <v>0</v>
      </c>
      <c r="BP570">
        <v>0</v>
      </c>
      <c r="BQ570">
        <v>0</v>
      </c>
      <c r="BR570">
        <v>0</v>
      </c>
      <c r="BS570">
        <v>0</v>
      </c>
      <c r="BT570">
        <v>0</v>
      </c>
      <c r="BU570">
        <v>0</v>
      </c>
      <c r="BV570">
        <v>0</v>
      </c>
      <c r="BW570">
        <v>0</v>
      </c>
      <c r="CX570">
        <f>Y570*Source!I373</f>
        <v>1</v>
      </c>
      <c r="CY570">
        <f>AA570</f>
        <v>9805.69</v>
      </c>
      <c r="CZ570">
        <f>AE570</f>
        <v>1494.77</v>
      </c>
      <c r="DA570">
        <f>AI570</f>
        <v>6.56</v>
      </c>
      <c r="DB570">
        <f t="shared" si="90"/>
        <v>1494.77</v>
      </c>
      <c r="DC570">
        <f t="shared" si="91"/>
        <v>0</v>
      </c>
    </row>
    <row r="571" spans="1:107" x14ac:dyDescent="0.2">
      <c r="A571">
        <f>ROW(Source!A373)</f>
        <v>373</v>
      </c>
      <c r="B571">
        <v>16748969</v>
      </c>
      <c r="C571">
        <v>16751354</v>
      </c>
      <c r="D571">
        <v>15164559</v>
      </c>
      <c r="E571">
        <v>17</v>
      </c>
      <c r="F571">
        <v>1</v>
      </c>
      <c r="G571">
        <v>1</v>
      </c>
      <c r="H571">
        <v>3</v>
      </c>
      <c r="I571" t="s">
        <v>1383</v>
      </c>
      <c r="J571" t="s">
        <v>6</v>
      </c>
      <c r="K571" t="s">
        <v>1384</v>
      </c>
      <c r="L571">
        <v>1374</v>
      </c>
      <c r="N571">
        <v>1013</v>
      </c>
      <c r="O571" t="s">
        <v>1385</v>
      </c>
      <c r="P571" t="s">
        <v>1385</v>
      </c>
      <c r="Q571">
        <v>1</v>
      </c>
      <c r="W571">
        <v>0</v>
      </c>
      <c r="X571">
        <v>-1731369543</v>
      </c>
      <c r="Y571">
        <v>0.19</v>
      </c>
      <c r="AA571">
        <v>1</v>
      </c>
      <c r="AB571">
        <v>0</v>
      </c>
      <c r="AC571">
        <v>0</v>
      </c>
      <c r="AD571">
        <v>0</v>
      </c>
      <c r="AE571">
        <v>1</v>
      </c>
      <c r="AF571">
        <v>0</v>
      </c>
      <c r="AG571">
        <v>0</v>
      </c>
      <c r="AH571">
        <v>0</v>
      </c>
      <c r="AI571">
        <v>1</v>
      </c>
      <c r="AJ571">
        <v>1</v>
      </c>
      <c r="AK571">
        <v>1</v>
      </c>
      <c r="AL571">
        <v>1</v>
      </c>
      <c r="AN571">
        <v>0</v>
      </c>
      <c r="AO571">
        <v>1</v>
      </c>
      <c r="AP571">
        <v>0</v>
      </c>
      <c r="AQ571">
        <v>0</v>
      </c>
      <c r="AR571">
        <v>0</v>
      </c>
      <c r="AS571" t="s">
        <v>6</v>
      </c>
      <c r="AT571">
        <v>0.19</v>
      </c>
      <c r="AU571" t="s">
        <v>6</v>
      </c>
      <c r="AV571">
        <v>0</v>
      </c>
      <c r="AW571">
        <v>2</v>
      </c>
      <c r="AX571">
        <v>16751371</v>
      </c>
      <c r="AY571">
        <v>1</v>
      </c>
      <c r="AZ571">
        <v>0</v>
      </c>
      <c r="BA571">
        <v>529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0</v>
      </c>
      <c r="BK571">
        <v>0</v>
      </c>
      <c r="BL571">
        <v>0</v>
      </c>
      <c r="BM571">
        <v>0</v>
      </c>
      <c r="BN571">
        <v>0</v>
      </c>
      <c r="BO571">
        <v>0</v>
      </c>
      <c r="BP571">
        <v>0</v>
      </c>
      <c r="BQ571">
        <v>0</v>
      </c>
      <c r="BR571">
        <v>0</v>
      </c>
      <c r="BS571">
        <v>0</v>
      </c>
      <c r="BT571">
        <v>0</v>
      </c>
      <c r="BU571">
        <v>0</v>
      </c>
      <c r="BV571">
        <v>0</v>
      </c>
      <c r="BW571">
        <v>0</v>
      </c>
      <c r="CX571">
        <f>Y571*Source!I373</f>
        <v>0.19</v>
      </c>
      <c r="CY571">
        <f>AA571</f>
        <v>1</v>
      </c>
      <c r="CZ571">
        <f>AE571</f>
        <v>1</v>
      </c>
      <c r="DA571">
        <f>AI571</f>
        <v>1</v>
      </c>
      <c r="DB571">
        <f t="shared" si="90"/>
        <v>0.19</v>
      </c>
      <c r="DC571">
        <f t="shared" si="91"/>
        <v>0</v>
      </c>
    </row>
    <row r="572" spans="1:107" x14ac:dyDescent="0.2">
      <c r="A572">
        <f>ROW(Source!A375)</f>
        <v>375</v>
      </c>
      <c r="B572">
        <v>16748969</v>
      </c>
      <c r="C572">
        <v>16751373</v>
      </c>
      <c r="D572">
        <v>15435721</v>
      </c>
      <c r="E572">
        <v>1</v>
      </c>
      <c r="F572">
        <v>1</v>
      </c>
      <c r="G572">
        <v>1</v>
      </c>
      <c r="H572">
        <v>1</v>
      </c>
      <c r="I572" t="s">
        <v>1353</v>
      </c>
      <c r="J572" t="s">
        <v>6</v>
      </c>
      <c r="K572" t="s">
        <v>1354</v>
      </c>
      <c r="L572">
        <v>1191</v>
      </c>
      <c r="N572">
        <v>1013</v>
      </c>
      <c r="O572" t="s">
        <v>1072</v>
      </c>
      <c r="P572" t="s">
        <v>1072</v>
      </c>
      <c r="Q572">
        <v>1</v>
      </c>
      <c r="W572">
        <v>0</v>
      </c>
      <c r="X572">
        <v>1983201532</v>
      </c>
      <c r="Y572">
        <v>1.56</v>
      </c>
      <c r="AA572">
        <v>0</v>
      </c>
      <c r="AB572">
        <v>0</v>
      </c>
      <c r="AC572">
        <v>0</v>
      </c>
      <c r="AD572">
        <v>62.39</v>
      </c>
      <c r="AE572">
        <v>0</v>
      </c>
      <c r="AF572">
        <v>0</v>
      </c>
      <c r="AG572">
        <v>0</v>
      </c>
      <c r="AH572">
        <v>9.51</v>
      </c>
      <c r="AI572">
        <v>1</v>
      </c>
      <c r="AJ572">
        <v>1</v>
      </c>
      <c r="AK572">
        <v>1</v>
      </c>
      <c r="AL572">
        <v>6.56</v>
      </c>
      <c r="AN572">
        <v>0</v>
      </c>
      <c r="AO572">
        <v>1</v>
      </c>
      <c r="AP572">
        <v>0</v>
      </c>
      <c r="AQ572">
        <v>0</v>
      </c>
      <c r="AR572">
        <v>0</v>
      </c>
      <c r="AS572" t="s">
        <v>6</v>
      </c>
      <c r="AT572">
        <v>1.56</v>
      </c>
      <c r="AU572" t="s">
        <v>6</v>
      </c>
      <c r="AV572">
        <v>1</v>
      </c>
      <c r="AW572">
        <v>2</v>
      </c>
      <c r="AX572">
        <v>16751393</v>
      </c>
      <c r="AY572">
        <v>1</v>
      </c>
      <c r="AZ572">
        <v>0</v>
      </c>
      <c r="BA572">
        <v>530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0</v>
      </c>
      <c r="BP572">
        <v>0</v>
      </c>
      <c r="BQ572">
        <v>0</v>
      </c>
      <c r="BR572">
        <v>0</v>
      </c>
      <c r="BS572">
        <v>0</v>
      </c>
      <c r="BT572">
        <v>0</v>
      </c>
      <c r="BU572">
        <v>0</v>
      </c>
      <c r="BV572">
        <v>0</v>
      </c>
      <c r="BW572">
        <v>0</v>
      </c>
      <c r="CX572">
        <f>Y572*Source!I375</f>
        <v>49.92</v>
      </c>
      <c r="CY572">
        <f>AD572</f>
        <v>62.39</v>
      </c>
      <c r="CZ572">
        <f>AH572</f>
        <v>9.51</v>
      </c>
      <c r="DA572">
        <f>AL572</f>
        <v>6.56</v>
      </c>
      <c r="DB572">
        <f t="shared" si="90"/>
        <v>14.84</v>
      </c>
      <c r="DC572">
        <f t="shared" si="91"/>
        <v>0</v>
      </c>
    </row>
    <row r="573" spans="1:107" x14ac:dyDescent="0.2">
      <c r="A573">
        <f>ROW(Source!A375)</f>
        <v>375</v>
      </c>
      <c r="B573">
        <v>16748969</v>
      </c>
      <c r="C573">
        <v>16751373</v>
      </c>
      <c r="D573">
        <v>15249377</v>
      </c>
      <c r="E573">
        <v>1</v>
      </c>
      <c r="F573">
        <v>1</v>
      </c>
      <c r="G573">
        <v>1</v>
      </c>
      <c r="H573">
        <v>2</v>
      </c>
      <c r="I573" t="s">
        <v>1100</v>
      </c>
      <c r="J573" t="s">
        <v>1101</v>
      </c>
      <c r="K573" t="s">
        <v>1102</v>
      </c>
      <c r="L573">
        <v>1368</v>
      </c>
      <c r="N573">
        <v>1011</v>
      </c>
      <c r="O573" t="s">
        <v>1078</v>
      </c>
      <c r="P573" t="s">
        <v>1078</v>
      </c>
      <c r="Q573">
        <v>1</v>
      </c>
      <c r="W573">
        <v>0</v>
      </c>
      <c r="X573">
        <v>-353815937</v>
      </c>
      <c r="Y573">
        <v>0.13</v>
      </c>
      <c r="AA573">
        <v>0</v>
      </c>
      <c r="AB573">
        <v>53.14</v>
      </c>
      <c r="AC573">
        <v>0</v>
      </c>
      <c r="AD573">
        <v>0</v>
      </c>
      <c r="AE573">
        <v>0</v>
      </c>
      <c r="AF573">
        <v>8.1</v>
      </c>
      <c r="AG573">
        <v>0</v>
      </c>
      <c r="AH573">
        <v>0</v>
      </c>
      <c r="AI573">
        <v>1</v>
      </c>
      <c r="AJ573">
        <v>6.56</v>
      </c>
      <c r="AK573">
        <v>1</v>
      </c>
      <c r="AL573">
        <v>1</v>
      </c>
      <c r="AN573">
        <v>0</v>
      </c>
      <c r="AO573">
        <v>1</v>
      </c>
      <c r="AP573">
        <v>0</v>
      </c>
      <c r="AQ573">
        <v>0</v>
      </c>
      <c r="AR573">
        <v>0</v>
      </c>
      <c r="AS573" t="s">
        <v>6</v>
      </c>
      <c r="AT573">
        <v>0.13</v>
      </c>
      <c r="AU573" t="s">
        <v>6</v>
      </c>
      <c r="AV573">
        <v>0</v>
      </c>
      <c r="AW573">
        <v>2</v>
      </c>
      <c r="AX573">
        <v>16751394</v>
      </c>
      <c r="AY573">
        <v>1</v>
      </c>
      <c r="AZ573">
        <v>0</v>
      </c>
      <c r="BA573">
        <v>531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0</v>
      </c>
      <c r="BP573">
        <v>0</v>
      </c>
      <c r="BQ573">
        <v>0</v>
      </c>
      <c r="BR573">
        <v>0</v>
      </c>
      <c r="BS573">
        <v>0</v>
      </c>
      <c r="BT573">
        <v>0</v>
      </c>
      <c r="BU573">
        <v>0</v>
      </c>
      <c r="BV573">
        <v>0</v>
      </c>
      <c r="BW573">
        <v>0</v>
      </c>
      <c r="CX573">
        <f>Y573*Source!I375</f>
        <v>4.16</v>
      </c>
      <c r="CY573">
        <f>AB573</f>
        <v>53.14</v>
      </c>
      <c r="CZ573">
        <f>AF573</f>
        <v>8.1</v>
      </c>
      <c r="DA573">
        <f>AJ573</f>
        <v>6.56</v>
      </c>
      <c r="DB573">
        <f t="shared" si="90"/>
        <v>1.05</v>
      </c>
      <c r="DC573">
        <f t="shared" si="91"/>
        <v>0</v>
      </c>
    </row>
    <row r="574" spans="1:107" x14ac:dyDescent="0.2">
      <c r="A574">
        <f>ROW(Source!A375)</f>
        <v>375</v>
      </c>
      <c r="B574">
        <v>16748969</v>
      </c>
      <c r="C574">
        <v>16751373</v>
      </c>
      <c r="D574">
        <v>15165537</v>
      </c>
      <c r="E574">
        <v>1</v>
      </c>
      <c r="F574">
        <v>1</v>
      </c>
      <c r="G574">
        <v>1</v>
      </c>
      <c r="H574">
        <v>3</v>
      </c>
      <c r="I574" t="s">
        <v>1437</v>
      </c>
      <c r="J574" t="s">
        <v>1438</v>
      </c>
      <c r="K574" t="s">
        <v>1439</v>
      </c>
      <c r="L574">
        <v>1346</v>
      </c>
      <c r="N574">
        <v>1009</v>
      </c>
      <c r="O574" t="s">
        <v>323</v>
      </c>
      <c r="P574" t="s">
        <v>323</v>
      </c>
      <c r="Q574">
        <v>1</v>
      </c>
      <c r="W574">
        <v>0</v>
      </c>
      <c r="X574">
        <v>618806536</v>
      </c>
      <c r="Y574">
        <v>6.0000000000000001E-3</v>
      </c>
      <c r="AA574">
        <v>295</v>
      </c>
      <c r="AB574">
        <v>0</v>
      </c>
      <c r="AC574">
        <v>0</v>
      </c>
      <c r="AD574">
        <v>0</v>
      </c>
      <c r="AE574">
        <v>44.97</v>
      </c>
      <c r="AF574">
        <v>0</v>
      </c>
      <c r="AG574">
        <v>0</v>
      </c>
      <c r="AH574">
        <v>0</v>
      </c>
      <c r="AI574">
        <v>6.56</v>
      </c>
      <c r="AJ574">
        <v>1</v>
      </c>
      <c r="AK574">
        <v>1</v>
      </c>
      <c r="AL574">
        <v>1</v>
      </c>
      <c r="AN574">
        <v>0</v>
      </c>
      <c r="AO574">
        <v>1</v>
      </c>
      <c r="AP574">
        <v>0</v>
      </c>
      <c r="AQ574">
        <v>0</v>
      </c>
      <c r="AR574">
        <v>0</v>
      </c>
      <c r="AS574" t="s">
        <v>6</v>
      </c>
      <c r="AT574">
        <v>6.0000000000000001E-3</v>
      </c>
      <c r="AU574" t="s">
        <v>6</v>
      </c>
      <c r="AV574">
        <v>0</v>
      </c>
      <c r="AW574">
        <v>2</v>
      </c>
      <c r="AX574">
        <v>16751395</v>
      </c>
      <c r="AY574">
        <v>1</v>
      </c>
      <c r="AZ574">
        <v>0</v>
      </c>
      <c r="BA574">
        <v>532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0</v>
      </c>
      <c r="BK574">
        <v>0</v>
      </c>
      <c r="BL574">
        <v>0</v>
      </c>
      <c r="BM574">
        <v>0</v>
      </c>
      <c r="BN574">
        <v>0</v>
      </c>
      <c r="BO574">
        <v>0</v>
      </c>
      <c r="BP574">
        <v>0</v>
      </c>
      <c r="BQ574">
        <v>0</v>
      </c>
      <c r="BR574">
        <v>0</v>
      </c>
      <c r="BS574">
        <v>0</v>
      </c>
      <c r="BT574">
        <v>0</v>
      </c>
      <c r="BU574">
        <v>0</v>
      </c>
      <c r="BV574">
        <v>0</v>
      </c>
      <c r="BW574">
        <v>0</v>
      </c>
      <c r="CX574">
        <f>Y574*Source!I375</f>
        <v>0.192</v>
      </c>
      <c r="CY574">
        <f t="shared" ref="CY574:CY589" si="95">AA574</f>
        <v>295</v>
      </c>
      <c r="CZ574">
        <f t="shared" ref="CZ574:CZ589" si="96">AE574</f>
        <v>44.97</v>
      </c>
      <c r="DA574">
        <f t="shared" ref="DA574:DA589" si="97">AI574</f>
        <v>6.56</v>
      </c>
      <c r="DB574">
        <f t="shared" si="90"/>
        <v>0.27</v>
      </c>
      <c r="DC574">
        <f t="shared" si="91"/>
        <v>0</v>
      </c>
    </row>
    <row r="575" spans="1:107" x14ac:dyDescent="0.2">
      <c r="A575">
        <f>ROW(Source!A375)</f>
        <v>375</v>
      </c>
      <c r="B575">
        <v>16748969</v>
      </c>
      <c r="C575">
        <v>16751373</v>
      </c>
      <c r="D575">
        <v>15167269</v>
      </c>
      <c r="E575">
        <v>1</v>
      </c>
      <c r="F575">
        <v>1</v>
      </c>
      <c r="G575">
        <v>1</v>
      </c>
      <c r="H575">
        <v>3</v>
      </c>
      <c r="I575" t="s">
        <v>1440</v>
      </c>
      <c r="J575" t="s">
        <v>1441</v>
      </c>
      <c r="K575" t="s">
        <v>1442</v>
      </c>
      <c r="L575">
        <v>1346</v>
      </c>
      <c r="N575">
        <v>1009</v>
      </c>
      <c r="O575" t="s">
        <v>323</v>
      </c>
      <c r="P575" t="s">
        <v>323</v>
      </c>
      <c r="Q575">
        <v>1</v>
      </c>
      <c r="W575">
        <v>0</v>
      </c>
      <c r="X575">
        <v>56922527</v>
      </c>
      <c r="Y575">
        <v>1E-3</v>
      </c>
      <c r="AA575">
        <v>75.44</v>
      </c>
      <c r="AB575">
        <v>0</v>
      </c>
      <c r="AC575">
        <v>0</v>
      </c>
      <c r="AD575">
        <v>0</v>
      </c>
      <c r="AE575">
        <v>11.5</v>
      </c>
      <c r="AF575">
        <v>0</v>
      </c>
      <c r="AG575">
        <v>0</v>
      </c>
      <c r="AH575">
        <v>0</v>
      </c>
      <c r="AI575">
        <v>6.56</v>
      </c>
      <c r="AJ575">
        <v>1</v>
      </c>
      <c r="AK575">
        <v>1</v>
      </c>
      <c r="AL575">
        <v>1</v>
      </c>
      <c r="AN575">
        <v>0</v>
      </c>
      <c r="AO575">
        <v>1</v>
      </c>
      <c r="AP575">
        <v>0</v>
      </c>
      <c r="AQ575">
        <v>0</v>
      </c>
      <c r="AR575">
        <v>0</v>
      </c>
      <c r="AS575" t="s">
        <v>6</v>
      </c>
      <c r="AT575">
        <v>1E-3</v>
      </c>
      <c r="AU575" t="s">
        <v>6</v>
      </c>
      <c r="AV575">
        <v>0</v>
      </c>
      <c r="AW575">
        <v>2</v>
      </c>
      <c r="AX575">
        <v>16751396</v>
      </c>
      <c r="AY575">
        <v>1</v>
      </c>
      <c r="AZ575">
        <v>0</v>
      </c>
      <c r="BA575">
        <v>533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0</v>
      </c>
      <c r="BJ575">
        <v>0</v>
      </c>
      <c r="BK575">
        <v>0</v>
      </c>
      <c r="BL575">
        <v>0</v>
      </c>
      <c r="BM575">
        <v>0</v>
      </c>
      <c r="BN575">
        <v>0</v>
      </c>
      <c r="BO575">
        <v>0</v>
      </c>
      <c r="BP575">
        <v>0</v>
      </c>
      <c r="BQ575">
        <v>0</v>
      </c>
      <c r="BR575">
        <v>0</v>
      </c>
      <c r="BS575">
        <v>0</v>
      </c>
      <c r="BT575">
        <v>0</v>
      </c>
      <c r="BU575">
        <v>0</v>
      </c>
      <c r="BV575">
        <v>0</v>
      </c>
      <c r="BW575">
        <v>0</v>
      </c>
      <c r="CX575">
        <f>Y575*Source!I375</f>
        <v>3.2000000000000001E-2</v>
      </c>
      <c r="CY575">
        <f t="shared" si="95"/>
        <v>75.44</v>
      </c>
      <c r="CZ575">
        <f t="shared" si="96"/>
        <v>11.5</v>
      </c>
      <c r="DA575">
        <f t="shared" si="97"/>
        <v>6.56</v>
      </c>
      <c r="DB575">
        <f t="shared" si="90"/>
        <v>0.01</v>
      </c>
      <c r="DC575">
        <f t="shared" si="91"/>
        <v>0</v>
      </c>
    </row>
    <row r="576" spans="1:107" x14ac:dyDescent="0.2">
      <c r="A576">
        <f>ROW(Source!A375)</f>
        <v>375</v>
      </c>
      <c r="B576">
        <v>16748969</v>
      </c>
      <c r="C576">
        <v>16751373</v>
      </c>
      <c r="D576">
        <v>15167588</v>
      </c>
      <c r="E576">
        <v>1</v>
      </c>
      <c r="F576">
        <v>1</v>
      </c>
      <c r="G576">
        <v>1</v>
      </c>
      <c r="H576">
        <v>3</v>
      </c>
      <c r="I576" t="s">
        <v>1388</v>
      </c>
      <c r="J576" t="s">
        <v>1389</v>
      </c>
      <c r="K576" t="s">
        <v>1390</v>
      </c>
      <c r="L576">
        <v>1346</v>
      </c>
      <c r="N576">
        <v>1009</v>
      </c>
      <c r="O576" t="s">
        <v>323</v>
      </c>
      <c r="P576" t="s">
        <v>323</v>
      </c>
      <c r="Q576">
        <v>1</v>
      </c>
      <c r="W576">
        <v>0</v>
      </c>
      <c r="X576">
        <v>-1088866022</v>
      </c>
      <c r="Y576">
        <v>1.2E-2</v>
      </c>
      <c r="AA576">
        <v>199.42</v>
      </c>
      <c r="AB576">
        <v>0</v>
      </c>
      <c r="AC576">
        <v>0</v>
      </c>
      <c r="AD576">
        <v>0</v>
      </c>
      <c r="AE576">
        <v>30.4</v>
      </c>
      <c r="AF576">
        <v>0</v>
      </c>
      <c r="AG576">
        <v>0</v>
      </c>
      <c r="AH576">
        <v>0</v>
      </c>
      <c r="AI576">
        <v>6.56</v>
      </c>
      <c r="AJ576">
        <v>1</v>
      </c>
      <c r="AK576">
        <v>1</v>
      </c>
      <c r="AL576">
        <v>1</v>
      </c>
      <c r="AN576">
        <v>0</v>
      </c>
      <c r="AO576">
        <v>1</v>
      </c>
      <c r="AP576">
        <v>0</v>
      </c>
      <c r="AQ576">
        <v>0</v>
      </c>
      <c r="AR576">
        <v>0</v>
      </c>
      <c r="AS576" t="s">
        <v>6</v>
      </c>
      <c r="AT576">
        <v>1.2E-2</v>
      </c>
      <c r="AU576" t="s">
        <v>6</v>
      </c>
      <c r="AV576">
        <v>0</v>
      </c>
      <c r="AW576">
        <v>2</v>
      </c>
      <c r="AX576">
        <v>16751397</v>
      </c>
      <c r="AY576">
        <v>1</v>
      </c>
      <c r="AZ576">
        <v>0</v>
      </c>
      <c r="BA576">
        <v>534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0</v>
      </c>
      <c r="BH576">
        <v>0</v>
      </c>
      <c r="BI576">
        <v>0</v>
      </c>
      <c r="BJ576">
        <v>0</v>
      </c>
      <c r="BK576">
        <v>0</v>
      </c>
      <c r="BL576">
        <v>0</v>
      </c>
      <c r="BM576">
        <v>0</v>
      </c>
      <c r="BN576">
        <v>0</v>
      </c>
      <c r="BO576">
        <v>0</v>
      </c>
      <c r="BP576">
        <v>0</v>
      </c>
      <c r="BQ576">
        <v>0</v>
      </c>
      <c r="BR576">
        <v>0</v>
      </c>
      <c r="BS576">
        <v>0</v>
      </c>
      <c r="BT576">
        <v>0</v>
      </c>
      <c r="BU576">
        <v>0</v>
      </c>
      <c r="BV576">
        <v>0</v>
      </c>
      <c r="BW576">
        <v>0</v>
      </c>
      <c r="CX576">
        <f>Y576*Source!I375</f>
        <v>0.38400000000000001</v>
      </c>
      <c r="CY576">
        <f t="shared" si="95"/>
        <v>199.42</v>
      </c>
      <c r="CZ576">
        <f t="shared" si="96"/>
        <v>30.4</v>
      </c>
      <c r="DA576">
        <f t="shared" si="97"/>
        <v>6.56</v>
      </c>
      <c r="DB576">
        <f t="shared" si="90"/>
        <v>0.36</v>
      </c>
      <c r="DC576">
        <f t="shared" si="91"/>
        <v>0</v>
      </c>
    </row>
    <row r="577" spans="1:107" x14ac:dyDescent="0.2">
      <c r="A577">
        <f>ROW(Source!A375)</f>
        <v>375</v>
      </c>
      <c r="B577">
        <v>16748969</v>
      </c>
      <c r="C577">
        <v>16751373</v>
      </c>
      <c r="D577">
        <v>15168752</v>
      </c>
      <c r="E577">
        <v>1</v>
      </c>
      <c r="F577">
        <v>1</v>
      </c>
      <c r="G577">
        <v>1</v>
      </c>
      <c r="H577">
        <v>3</v>
      </c>
      <c r="I577" t="s">
        <v>1443</v>
      </c>
      <c r="J577" t="s">
        <v>1444</v>
      </c>
      <c r="K577" t="s">
        <v>1445</v>
      </c>
      <c r="L577">
        <v>1346</v>
      </c>
      <c r="N577">
        <v>1009</v>
      </c>
      <c r="O577" t="s">
        <v>323</v>
      </c>
      <c r="P577" t="s">
        <v>323</v>
      </c>
      <c r="Q577">
        <v>1</v>
      </c>
      <c r="W577">
        <v>0</v>
      </c>
      <c r="X577">
        <v>586013393</v>
      </c>
      <c r="Y577">
        <v>7.0000000000000007E-2</v>
      </c>
      <c r="AA577">
        <v>69.34</v>
      </c>
      <c r="AB577">
        <v>0</v>
      </c>
      <c r="AC577">
        <v>0</v>
      </c>
      <c r="AD577">
        <v>0</v>
      </c>
      <c r="AE577">
        <v>10.57</v>
      </c>
      <c r="AF577">
        <v>0</v>
      </c>
      <c r="AG577">
        <v>0</v>
      </c>
      <c r="AH577">
        <v>0</v>
      </c>
      <c r="AI577">
        <v>6.56</v>
      </c>
      <c r="AJ577">
        <v>1</v>
      </c>
      <c r="AK577">
        <v>1</v>
      </c>
      <c r="AL577">
        <v>1</v>
      </c>
      <c r="AN577">
        <v>0</v>
      </c>
      <c r="AO577">
        <v>1</v>
      </c>
      <c r="AP577">
        <v>0</v>
      </c>
      <c r="AQ577">
        <v>0</v>
      </c>
      <c r="AR577">
        <v>0</v>
      </c>
      <c r="AS577" t="s">
        <v>6</v>
      </c>
      <c r="AT577">
        <v>7.0000000000000007E-2</v>
      </c>
      <c r="AU577" t="s">
        <v>6</v>
      </c>
      <c r="AV577">
        <v>0</v>
      </c>
      <c r="AW577">
        <v>2</v>
      </c>
      <c r="AX577">
        <v>16751398</v>
      </c>
      <c r="AY577">
        <v>1</v>
      </c>
      <c r="AZ577">
        <v>0</v>
      </c>
      <c r="BA577">
        <v>535</v>
      </c>
      <c r="BB577">
        <v>0</v>
      </c>
      <c r="BC577">
        <v>0</v>
      </c>
      <c r="BD577">
        <v>0</v>
      </c>
      <c r="BE577">
        <v>0</v>
      </c>
      <c r="BF577">
        <v>0</v>
      </c>
      <c r="BG577">
        <v>0</v>
      </c>
      <c r="BH577">
        <v>0</v>
      </c>
      <c r="BI577">
        <v>0</v>
      </c>
      <c r="BJ577">
        <v>0</v>
      </c>
      <c r="BK577">
        <v>0</v>
      </c>
      <c r="BL577">
        <v>0</v>
      </c>
      <c r="BM577">
        <v>0</v>
      </c>
      <c r="BN577">
        <v>0</v>
      </c>
      <c r="BO577">
        <v>0</v>
      </c>
      <c r="BP577">
        <v>0</v>
      </c>
      <c r="BQ577">
        <v>0</v>
      </c>
      <c r="BR577">
        <v>0</v>
      </c>
      <c r="BS577">
        <v>0</v>
      </c>
      <c r="BT577">
        <v>0</v>
      </c>
      <c r="BU577">
        <v>0</v>
      </c>
      <c r="BV577">
        <v>0</v>
      </c>
      <c r="BW577">
        <v>0</v>
      </c>
      <c r="CX577">
        <f>Y577*Source!I375</f>
        <v>2.2400000000000002</v>
      </c>
      <c r="CY577">
        <f t="shared" si="95"/>
        <v>69.34</v>
      </c>
      <c r="CZ577">
        <f t="shared" si="96"/>
        <v>10.57</v>
      </c>
      <c r="DA577">
        <f t="shared" si="97"/>
        <v>6.56</v>
      </c>
      <c r="DB577">
        <f t="shared" si="90"/>
        <v>0.74</v>
      </c>
      <c r="DC577">
        <f t="shared" si="91"/>
        <v>0</v>
      </c>
    </row>
    <row r="578" spans="1:107" x14ac:dyDescent="0.2">
      <c r="A578">
        <f>ROW(Source!A375)</f>
        <v>375</v>
      </c>
      <c r="B578">
        <v>16748969</v>
      </c>
      <c r="C578">
        <v>16751373</v>
      </c>
      <c r="D578">
        <v>15169942</v>
      </c>
      <c r="E578">
        <v>1</v>
      </c>
      <c r="F578">
        <v>1</v>
      </c>
      <c r="G578">
        <v>1</v>
      </c>
      <c r="H578">
        <v>3</v>
      </c>
      <c r="I578" t="s">
        <v>1391</v>
      </c>
      <c r="J578" t="s">
        <v>1392</v>
      </c>
      <c r="K578" t="s">
        <v>1291</v>
      </c>
      <c r="L578">
        <v>1346</v>
      </c>
      <c r="N578">
        <v>1009</v>
      </c>
      <c r="O578" t="s">
        <v>323</v>
      </c>
      <c r="P578" t="s">
        <v>323</v>
      </c>
      <c r="Q578">
        <v>1</v>
      </c>
      <c r="W578">
        <v>0</v>
      </c>
      <c r="X578">
        <v>103900845</v>
      </c>
      <c r="Y578">
        <v>4.9000000000000002E-2</v>
      </c>
      <c r="AA578">
        <v>59.3</v>
      </c>
      <c r="AB578">
        <v>0</v>
      </c>
      <c r="AC578">
        <v>0</v>
      </c>
      <c r="AD578">
        <v>0</v>
      </c>
      <c r="AE578">
        <v>9.0399999999999991</v>
      </c>
      <c r="AF578">
        <v>0</v>
      </c>
      <c r="AG578">
        <v>0</v>
      </c>
      <c r="AH578">
        <v>0</v>
      </c>
      <c r="AI578">
        <v>6.56</v>
      </c>
      <c r="AJ578">
        <v>1</v>
      </c>
      <c r="AK578">
        <v>1</v>
      </c>
      <c r="AL578">
        <v>1</v>
      </c>
      <c r="AN578">
        <v>0</v>
      </c>
      <c r="AO578">
        <v>1</v>
      </c>
      <c r="AP578">
        <v>0</v>
      </c>
      <c r="AQ578">
        <v>0</v>
      </c>
      <c r="AR578">
        <v>0</v>
      </c>
      <c r="AS578" t="s">
        <v>6</v>
      </c>
      <c r="AT578">
        <v>4.9000000000000002E-2</v>
      </c>
      <c r="AU578" t="s">
        <v>6</v>
      </c>
      <c r="AV578">
        <v>0</v>
      </c>
      <c r="AW578">
        <v>2</v>
      </c>
      <c r="AX578">
        <v>16751399</v>
      </c>
      <c r="AY578">
        <v>1</v>
      </c>
      <c r="AZ578">
        <v>0</v>
      </c>
      <c r="BA578">
        <v>536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0</v>
      </c>
      <c r="BH578">
        <v>0</v>
      </c>
      <c r="BI578">
        <v>0</v>
      </c>
      <c r="BJ578">
        <v>0</v>
      </c>
      <c r="BK578">
        <v>0</v>
      </c>
      <c r="BL578">
        <v>0</v>
      </c>
      <c r="BM578">
        <v>0</v>
      </c>
      <c r="BN578">
        <v>0</v>
      </c>
      <c r="BO578">
        <v>0</v>
      </c>
      <c r="BP578">
        <v>0</v>
      </c>
      <c r="BQ578">
        <v>0</v>
      </c>
      <c r="BR578">
        <v>0</v>
      </c>
      <c r="BS578">
        <v>0</v>
      </c>
      <c r="BT578">
        <v>0</v>
      </c>
      <c r="BU578">
        <v>0</v>
      </c>
      <c r="BV578">
        <v>0</v>
      </c>
      <c r="BW578">
        <v>0</v>
      </c>
      <c r="CX578">
        <f>Y578*Source!I375</f>
        <v>1.5680000000000001</v>
      </c>
      <c r="CY578">
        <f t="shared" si="95"/>
        <v>59.3</v>
      </c>
      <c r="CZ578">
        <f t="shared" si="96"/>
        <v>9.0399999999999991</v>
      </c>
      <c r="DA578">
        <f t="shared" si="97"/>
        <v>6.56</v>
      </c>
      <c r="DB578">
        <f t="shared" si="90"/>
        <v>0.44</v>
      </c>
      <c r="DC578">
        <f t="shared" si="91"/>
        <v>0</v>
      </c>
    </row>
    <row r="579" spans="1:107" x14ac:dyDescent="0.2">
      <c r="A579">
        <f>ROW(Source!A375)</f>
        <v>375</v>
      </c>
      <c r="B579">
        <v>16748969</v>
      </c>
      <c r="C579">
        <v>16751373</v>
      </c>
      <c r="D579">
        <v>15170074</v>
      </c>
      <c r="E579">
        <v>1</v>
      </c>
      <c r="F579">
        <v>1</v>
      </c>
      <c r="G579">
        <v>1</v>
      </c>
      <c r="H579">
        <v>3</v>
      </c>
      <c r="I579" t="s">
        <v>1399</v>
      </c>
      <c r="J579" t="s">
        <v>1400</v>
      </c>
      <c r="K579" t="s">
        <v>1401</v>
      </c>
      <c r="L579">
        <v>1355</v>
      </c>
      <c r="N579">
        <v>1010</v>
      </c>
      <c r="O579" t="s">
        <v>724</v>
      </c>
      <c r="P579" t="s">
        <v>724</v>
      </c>
      <c r="Q579">
        <v>100</v>
      </c>
      <c r="W579">
        <v>0</v>
      </c>
      <c r="X579">
        <v>1794244060</v>
      </c>
      <c r="Y579">
        <v>1.4E-2</v>
      </c>
      <c r="AA579">
        <v>564.16</v>
      </c>
      <c r="AB579">
        <v>0</v>
      </c>
      <c r="AC579">
        <v>0</v>
      </c>
      <c r="AD579">
        <v>0</v>
      </c>
      <c r="AE579">
        <v>86</v>
      </c>
      <c r="AF579">
        <v>0</v>
      </c>
      <c r="AG579">
        <v>0</v>
      </c>
      <c r="AH579">
        <v>0</v>
      </c>
      <c r="AI579">
        <v>6.56</v>
      </c>
      <c r="AJ579">
        <v>1</v>
      </c>
      <c r="AK579">
        <v>1</v>
      </c>
      <c r="AL579">
        <v>1</v>
      </c>
      <c r="AN579">
        <v>0</v>
      </c>
      <c r="AO579">
        <v>1</v>
      </c>
      <c r="AP579">
        <v>0</v>
      </c>
      <c r="AQ579">
        <v>0</v>
      </c>
      <c r="AR579">
        <v>0</v>
      </c>
      <c r="AS579" t="s">
        <v>6</v>
      </c>
      <c r="AT579">
        <v>1.4E-2</v>
      </c>
      <c r="AU579" t="s">
        <v>6</v>
      </c>
      <c r="AV579">
        <v>0</v>
      </c>
      <c r="AW579">
        <v>2</v>
      </c>
      <c r="AX579">
        <v>16751400</v>
      </c>
      <c r="AY579">
        <v>1</v>
      </c>
      <c r="AZ579">
        <v>0</v>
      </c>
      <c r="BA579">
        <v>537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0</v>
      </c>
      <c r="BJ579">
        <v>0</v>
      </c>
      <c r="BK579">
        <v>0</v>
      </c>
      <c r="BL579">
        <v>0</v>
      </c>
      <c r="BM579">
        <v>0</v>
      </c>
      <c r="BN579">
        <v>0</v>
      </c>
      <c r="BO579">
        <v>0</v>
      </c>
      <c r="BP579">
        <v>0</v>
      </c>
      <c r="BQ579">
        <v>0</v>
      </c>
      <c r="BR579">
        <v>0</v>
      </c>
      <c r="BS579">
        <v>0</v>
      </c>
      <c r="BT579">
        <v>0</v>
      </c>
      <c r="BU579">
        <v>0</v>
      </c>
      <c r="BV579">
        <v>0</v>
      </c>
      <c r="BW579">
        <v>0</v>
      </c>
      <c r="CX579">
        <f>Y579*Source!I375</f>
        <v>0.44800000000000001</v>
      </c>
      <c r="CY579">
        <f t="shared" si="95"/>
        <v>564.16</v>
      </c>
      <c r="CZ579">
        <f t="shared" si="96"/>
        <v>86</v>
      </c>
      <c r="DA579">
        <f t="shared" si="97"/>
        <v>6.56</v>
      </c>
      <c r="DB579">
        <f t="shared" si="90"/>
        <v>1.2</v>
      </c>
      <c r="DC579">
        <f t="shared" si="91"/>
        <v>0</v>
      </c>
    </row>
    <row r="580" spans="1:107" x14ac:dyDescent="0.2">
      <c r="A580">
        <f>ROW(Source!A375)</f>
        <v>375</v>
      </c>
      <c r="B580">
        <v>16748969</v>
      </c>
      <c r="C580">
        <v>16751373</v>
      </c>
      <c r="D580">
        <v>15170994</v>
      </c>
      <c r="E580">
        <v>1</v>
      </c>
      <c r="F580">
        <v>1</v>
      </c>
      <c r="G580">
        <v>1</v>
      </c>
      <c r="H580">
        <v>3</v>
      </c>
      <c r="I580" t="s">
        <v>1446</v>
      </c>
      <c r="J580" t="s">
        <v>1447</v>
      </c>
      <c r="K580" t="s">
        <v>1448</v>
      </c>
      <c r="L580">
        <v>1346</v>
      </c>
      <c r="N580">
        <v>1009</v>
      </c>
      <c r="O580" t="s">
        <v>323</v>
      </c>
      <c r="P580" t="s">
        <v>323</v>
      </c>
      <c r="Q580">
        <v>1</v>
      </c>
      <c r="W580">
        <v>0</v>
      </c>
      <c r="X580">
        <v>-856710481</v>
      </c>
      <c r="Y580">
        <v>1E-3</v>
      </c>
      <c r="AA580">
        <v>872.81</v>
      </c>
      <c r="AB580">
        <v>0</v>
      </c>
      <c r="AC580">
        <v>0</v>
      </c>
      <c r="AD580">
        <v>0</v>
      </c>
      <c r="AE580">
        <v>133.05000000000001</v>
      </c>
      <c r="AF580">
        <v>0</v>
      </c>
      <c r="AG580">
        <v>0</v>
      </c>
      <c r="AH580">
        <v>0</v>
      </c>
      <c r="AI580">
        <v>6.56</v>
      </c>
      <c r="AJ580">
        <v>1</v>
      </c>
      <c r="AK580">
        <v>1</v>
      </c>
      <c r="AL580">
        <v>1</v>
      </c>
      <c r="AN580">
        <v>0</v>
      </c>
      <c r="AO580">
        <v>1</v>
      </c>
      <c r="AP580">
        <v>0</v>
      </c>
      <c r="AQ580">
        <v>0</v>
      </c>
      <c r="AR580">
        <v>0</v>
      </c>
      <c r="AS580" t="s">
        <v>6</v>
      </c>
      <c r="AT580">
        <v>1E-3</v>
      </c>
      <c r="AU580" t="s">
        <v>6</v>
      </c>
      <c r="AV580">
        <v>0</v>
      </c>
      <c r="AW580">
        <v>2</v>
      </c>
      <c r="AX580">
        <v>16751401</v>
      </c>
      <c r="AY580">
        <v>1</v>
      </c>
      <c r="AZ580">
        <v>0</v>
      </c>
      <c r="BA580">
        <v>538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0</v>
      </c>
      <c r="BK580">
        <v>0</v>
      </c>
      <c r="BL580">
        <v>0</v>
      </c>
      <c r="BM580">
        <v>0</v>
      </c>
      <c r="BN580">
        <v>0</v>
      </c>
      <c r="BO580">
        <v>0</v>
      </c>
      <c r="BP580">
        <v>0</v>
      </c>
      <c r="BQ580">
        <v>0</v>
      </c>
      <c r="BR580">
        <v>0</v>
      </c>
      <c r="BS580">
        <v>0</v>
      </c>
      <c r="BT580">
        <v>0</v>
      </c>
      <c r="BU580">
        <v>0</v>
      </c>
      <c r="BV580">
        <v>0</v>
      </c>
      <c r="BW580">
        <v>0</v>
      </c>
      <c r="CX580">
        <f>Y580*Source!I375</f>
        <v>3.2000000000000001E-2</v>
      </c>
      <c r="CY580">
        <f t="shared" si="95"/>
        <v>872.81</v>
      </c>
      <c r="CZ580">
        <f t="shared" si="96"/>
        <v>133.05000000000001</v>
      </c>
      <c r="DA580">
        <f t="shared" si="97"/>
        <v>6.56</v>
      </c>
      <c r="DB580">
        <f t="shared" si="90"/>
        <v>0.13</v>
      </c>
      <c r="DC580">
        <f t="shared" si="91"/>
        <v>0</v>
      </c>
    </row>
    <row r="581" spans="1:107" x14ac:dyDescent="0.2">
      <c r="A581">
        <f>ROW(Source!A375)</f>
        <v>375</v>
      </c>
      <c r="B581">
        <v>16748969</v>
      </c>
      <c r="C581">
        <v>16751373</v>
      </c>
      <c r="D581">
        <v>15188647</v>
      </c>
      <c r="E581">
        <v>1</v>
      </c>
      <c r="F581">
        <v>1</v>
      </c>
      <c r="G581">
        <v>1</v>
      </c>
      <c r="H581">
        <v>3</v>
      </c>
      <c r="I581" t="s">
        <v>1449</v>
      </c>
      <c r="J581" t="s">
        <v>1450</v>
      </c>
      <c r="K581" t="s">
        <v>1451</v>
      </c>
      <c r="L581">
        <v>1348</v>
      </c>
      <c r="N581">
        <v>1009</v>
      </c>
      <c r="O581" t="s">
        <v>71</v>
      </c>
      <c r="P581" t="s">
        <v>71</v>
      </c>
      <c r="Q581">
        <v>1000</v>
      </c>
      <c r="W581">
        <v>0</v>
      </c>
      <c r="X581">
        <v>426000481</v>
      </c>
      <c r="Y581">
        <v>1E-3</v>
      </c>
      <c r="AA581">
        <v>75440</v>
      </c>
      <c r="AB581">
        <v>0</v>
      </c>
      <c r="AC581">
        <v>0</v>
      </c>
      <c r="AD581">
        <v>0</v>
      </c>
      <c r="AE581">
        <v>11500</v>
      </c>
      <c r="AF581">
        <v>0</v>
      </c>
      <c r="AG581">
        <v>0</v>
      </c>
      <c r="AH581">
        <v>0</v>
      </c>
      <c r="AI581">
        <v>6.56</v>
      </c>
      <c r="AJ581">
        <v>1</v>
      </c>
      <c r="AK581">
        <v>1</v>
      </c>
      <c r="AL581">
        <v>1</v>
      </c>
      <c r="AN581">
        <v>0</v>
      </c>
      <c r="AO581">
        <v>1</v>
      </c>
      <c r="AP581">
        <v>0</v>
      </c>
      <c r="AQ581">
        <v>0</v>
      </c>
      <c r="AR581">
        <v>0</v>
      </c>
      <c r="AS581" t="s">
        <v>6</v>
      </c>
      <c r="AT581">
        <v>1E-3</v>
      </c>
      <c r="AU581" t="s">
        <v>6</v>
      </c>
      <c r="AV581">
        <v>0</v>
      </c>
      <c r="AW581">
        <v>2</v>
      </c>
      <c r="AX581">
        <v>16751402</v>
      </c>
      <c r="AY581">
        <v>1</v>
      </c>
      <c r="AZ581">
        <v>0</v>
      </c>
      <c r="BA581">
        <v>539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0</v>
      </c>
      <c r="BH581">
        <v>0</v>
      </c>
      <c r="BI581">
        <v>0</v>
      </c>
      <c r="BJ581">
        <v>0</v>
      </c>
      <c r="BK581">
        <v>0</v>
      </c>
      <c r="BL581">
        <v>0</v>
      </c>
      <c r="BM581">
        <v>0</v>
      </c>
      <c r="BN581">
        <v>0</v>
      </c>
      <c r="BO581">
        <v>0</v>
      </c>
      <c r="BP581">
        <v>0</v>
      </c>
      <c r="BQ581">
        <v>0</v>
      </c>
      <c r="BR581">
        <v>0</v>
      </c>
      <c r="BS581">
        <v>0</v>
      </c>
      <c r="BT581">
        <v>0</v>
      </c>
      <c r="BU581">
        <v>0</v>
      </c>
      <c r="BV581">
        <v>0</v>
      </c>
      <c r="BW581">
        <v>0</v>
      </c>
      <c r="CX581">
        <f>Y581*Source!I375</f>
        <v>3.2000000000000001E-2</v>
      </c>
      <c r="CY581">
        <f t="shared" si="95"/>
        <v>75440</v>
      </c>
      <c r="CZ581">
        <f t="shared" si="96"/>
        <v>11500</v>
      </c>
      <c r="DA581">
        <f t="shared" si="97"/>
        <v>6.56</v>
      </c>
      <c r="DB581">
        <f t="shared" si="90"/>
        <v>11.5</v>
      </c>
      <c r="DC581">
        <f t="shared" si="91"/>
        <v>0</v>
      </c>
    </row>
    <row r="582" spans="1:107" x14ac:dyDescent="0.2">
      <c r="A582">
        <f>ROW(Source!A375)</f>
        <v>375</v>
      </c>
      <c r="B582">
        <v>16748969</v>
      </c>
      <c r="C582">
        <v>16751373</v>
      </c>
      <c r="D582">
        <v>15203834</v>
      </c>
      <c r="E582">
        <v>1</v>
      </c>
      <c r="F582">
        <v>1</v>
      </c>
      <c r="G582">
        <v>1</v>
      </c>
      <c r="H582">
        <v>3</v>
      </c>
      <c r="I582" t="s">
        <v>1411</v>
      </c>
      <c r="J582" t="s">
        <v>1412</v>
      </c>
      <c r="K582" t="s">
        <v>374</v>
      </c>
      <c r="L582">
        <v>1346</v>
      </c>
      <c r="N582">
        <v>1009</v>
      </c>
      <c r="O582" t="s">
        <v>323</v>
      </c>
      <c r="P582" t="s">
        <v>323</v>
      </c>
      <c r="Q582">
        <v>1</v>
      </c>
      <c r="W582">
        <v>0</v>
      </c>
      <c r="X582">
        <v>210558753</v>
      </c>
      <c r="Y582">
        <v>3.5999999999999997E-2</v>
      </c>
      <c r="AA582">
        <v>187.62</v>
      </c>
      <c r="AB582">
        <v>0</v>
      </c>
      <c r="AC582">
        <v>0</v>
      </c>
      <c r="AD582">
        <v>0</v>
      </c>
      <c r="AE582">
        <v>28.6</v>
      </c>
      <c r="AF582">
        <v>0</v>
      </c>
      <c r="AG582">
        <v>0</v>
      </c>
      <c r="AH582">
        <v>0</v>
      </c>
      <c r="AI582">
        <v>6.56</v>
      </c>
      <c r="AJ582">
        <v>1</v>
      </c>
      <c r="AK582">
        <v>1</v>
      </c>
      <c r="AL582">
        <v>1</v>
      </c>
      <c r="AN582">
        <v>0</v>
      </c>
      <c r="AO582">
        <v>1</v>
      </c>
      <c r="AP582">
        <v>0</v>
      </c>
      <c r="AQ582">
        <v>0</v>
      </c>
      <c r="AR582">
        <v>0</v>
      </c>
      <c r="AS582" t="s">
        <v>6</v>
      </c>
      <c r="AT582">
        <v>3.5999999999999997E-2</v>
      </c>
      <c r="AU582" t="s">
        <v>6</v>
      </c>
      <c r="AV582">
        <v>0</v>
      </c>
      <c r="AW582">
        <v>2</v>
      </c>
      <c r="AX582">
        <v>16751403</v>
      </c>
      <c r="AY582">
        <v>1</v>
      </c>
      <c r="AZ582">
        <v>0</v>
      </c>
      <c r="BA582">
        <v>540</v>
      </c>
      <c r="BB582">
        <v>0</v>
      </c>
      <c r="BC582">
        <v>0</v>
      </c>
      <c r="BD582">
        <v>0</v>
      </c>
      <c r="BE582">
        <v>0</v>
      </c>
      <c r="BF582">
        <v>0</v>
      </c>
      <c r="BG582">
        <v>0</v>
      </c>
      <c r="BH582">
        <v>0</v>
      </c>
      <c r="BI582">
        <v>0</v>
      </c>
      <c r="BJ582">
        <v>0</v>
      </c>
      <c r="BK582">
        <v>0</v>
      </c>
      <c r="BL582">
        <v>0</v>
      </c>
      <c r="BM582">
        <v>0</v>
      </c>
      <c r="BN582">
        <v>0</v>
      </c>
      <c r="BO582">
        <v>0</v>
      </c>
      <c r="BP582">
        <v>0</v>
      </c>
      <c r="BQ582">
        <v>0</v>
      </c>
      <c r="BR582">
        <v>0</v>
      </c>
      <c r="BS582">
        <v>0</v>
      </c>
      <c r="BT582">
        <v>0</v>
      </c>
      <c r="BU582">
        <v>0</v>
      </c>
      <c r="BV582">
        <v>0</v>
      </c>
      <c r="BW582">
        <v>0</v>
      </c>
      <c r="CX582">
        <f>Y582*Source!I375</f>
        <v>1.1519999999999999</v>
      </c>
      <c r="CY582">
        <f t="shared" si="95"/>
        <v>187.62</v>
      </c>
      <c r="CZ582">
        <f t="shared" si="96"/>
        <v>28.6</v>
      </c>
      <c r="DA582">
        <f t="shared" si="97"/>
        <v>6.56</v>
      </c>
      <c r="DB582">
        <f t="shared" si="90"/>
        <v>1.03</v>
      </c>
      <c r="DC582">
        <f t="shared" si="91"/>
        <v>0</v>
      </c>
    </row>
    <row r="583" spans="1:107" x14ac:dyDescent="0.2">
      <c r="A583">
        <f>ROW(Source!A375)</f>
        <v>375</v>
      </c>
      <c r="B583">
        <v>16748969</v>
      </c>
      <c r="C583">
        <v>16751373</v>
      </c>
      <c r="D583">
        <v>15203987</v>
      </c>
      <c r="E583">
        <v>1</v>
      </c>
      <c r="F583">
        <v>1</v>
      </c>
      <c r="G583">
        <v>1</v>
      </c>
      <c r="H583">
        <v>3</v>
      </c>
      <c r="I583" t="s">
        <v>1452</v>
      </c>
      <c r="J583" t="s">
        <v>1453</v>
      </c>
      <c r="K583" t="s">
        <v>1454</v>
      </c>
      <c r="L583">
        <v>1346</v>
      </c>
      <c r="N583">
        <v>1009</v>
      </c>
      <c r="O583" t="s">
        <v>323</v>
      </c>
      <c r="P583" t="s">
        <v>323</v>
      </c>
      <c r="Q583">
        <v>1</v>
      </c>
      <c r="W583">
        <v>0</v>
      </c>
      <c r="X583">
        <v>-1274984028</v>
      </c>
      <c r="Y583">
        <v>6.0000000000000001E-3</v>
      </c>
      <c r="AA583">
        <v>233.73</v>
      </c>
      <c r="AB583">
        <v>0</v>
      </c>
      <c r="AC583">
        <v>0</v>
      </c>
      <c r="AD583">
        <v>0</v>
      </c>
      <c r="AE583">
        <v>35.630000000000003</v>
      </c>
      <c r="AF583">
        <v>0</v>
      </c>
      <c r="AG583">
        <v>0</v>
      </c>
      <c r="AH583">
        <v>0</v>
      </c>
      <c r="AI583">
        <v>6.56</v>
      </c>
      <c r="AJ583">
        <v>1</v>
      </c>
      <c r="AK583">
        <v>1</v>
      </c>
      <c r="AL583">
        <v>1</v>
      </c>
      <c r="AN583">
        <v>0</v>
      </c>
      <c r="AO583">
        <v>1</v>
      </c>
      <c r="AP583">
        <v>0</v>
      </c>
      <c r="AQ583">
        <v>0</v>
      </c>
      <c r="AR583">
        <v>0</v>
      </c>
      <c r="AS583" t="s">
        <v>6</v>
      </c>
      <c r="AT583">
        <v>6.0000000000000001E-3</v>
      </c>
      <c r="AU583" t="s">
        <v>6</v>
      </c>
      <c r="AV583">
        <v>0</v>
      </c>
      <c r="AW583">
        <v>2</v>
      </c>
      <c r="AX583">
        <v>16751404</v>
      </c>
      <c r="AY583">
        <v>1</v>
      </c>
      <c r="AZ583">
        <v>0</v>
      </c>
      <c r="BA583">
        <v>541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0</v>
      </c>
      <c r="BI583">
        <v>0</v>
      </c>
      <c r="BJ583">
        <v>0</v>
      </c>
      <c r="BK583">
        <v>0</v>
      </c>
      <c r="BL583">
        <v>0</v>
      </c>
      <c r="BM583">
        <v>0</v>
      </c>
      <c r="BN583">
        <v>0</v>
      </c>
      <c r="BO583">
        <v>0</v>
      </c>
      <c r="BP583">
        <v>0</v>
      </c>
      <c r="BQ583">
        <v>0</v>
      </c>
      <c r="BR583">
        <v>0</v>
      </c>
      <c r="BS583">
        <v>0</v>
      </c>
      <c r="BT583">
        <v>0</v>
      </c>
      <c r="BU583">
        <v>0</v>
      </c>
      <c r="BV583">
        <v>0</v>
      </c>
      <c r="BW583">
        <v>0</v>
      </c>
      <c r="CX583">
        <f>Y583*Source!I375</f>
        <v>0.192</v>
      </c>
      <c r="CY583">
        <f t="shared" si="95"/>
        <v>233.73</v>
      </c>
      <c r="CZ583">
        <f t="shared" si="96"/>
        <v>35.630000000000003</v>
      </c>
      <c r="DA583">
        <f t="shared" si="97"/>
        <v>6.56</v>
      </c>
      <c r="DB583">
        <f t="shared" si="90"/>
        <v>0.21</v>
      </c>
      <c r="DC583">
        <f t="shared" si="91"/>
        <v>0</v>
      </c>
    </row>
    <row r="584" spans="1:107" x14ac:dyDescent="0.2">
      <c r="A584">
        <f>ROW(Source!A375)</f>
        <v>375</v>
      </c>
      <c r="B584">
        <v>16748969</v>
      </c>
      <c r="C584">
        <v>16751373</v>
      </c>
      <c r="D584">
        <v>15217463</v>
      </c>
      <c r="E584">
        <v>1</v>
      </c>
      <c r="F584">
        <v>1</v>
      </c>
      <c r="G584">
        <v>1</v>
      </c>
      <c r="H584">
        <v>3</v>
      </c>
      <c r="I584" t="s">
        <v>1455</v>
      </c>
      <c r="J584" t="s">
        <v>1456</v>
      </c>
      <c r="K584" t="s">
        <v>1457</v>
      </c>
      <c r="L584">
        <v>1358</v>
      </c>
      <c r="N584">
        <v>1010</v>
      </c>
      <c r="O584" t="s">
        <v>615</v>
      </c>
      <c r="P584" t="s">
        <v>615</v>
      </c>
      <c r="Q584">
        <v>10</v>
      </c>
      <c r="W584">
        <v>0</v>
      </c>
      <c r="X584">
        <v>1386890308</v>
      </c>
      <c r="Y584">
        <v>0.1</v>
      </c>
      <c r="AA584">
        <v>255.84</v>
      </c>
      <c r="AB584">
        <v>0</v>
      </c>
      <c r="AC584">
        <v>0</v>
      </c>
      <c r="AD584">
        <v>0</v>
      </c>
      <c r="AE584">
        <v>39</v>
      </c>
      <c r="AF584">
        <v>0</v>
      </c>
      <c r="AG584">
        <v>0</v>
      </c>
      <c r="AH584">
        <v>0</v>
      </c>
      <c r="AI584">
        <v>6.56</v>
      </c>
      <c r="AJ584">
        <v>1</v>
      </c>
      <c r="AK584">
        <v>1</v>
      </c>
      <c r="AL584">
        <v>1</v>
      </c>
      <c r="AN584">
        <v>0</v>
      </c>
      <c r="AO584">
        <v>1</v>
      </c>
      <c r="AP584">
        <v>0</v>
      </c>
      <c r="AQ584">
        <v>0</v>
      </c>
      <c r="AR584">
        <v>0</v>
      </c>
      <c r="AS584" t="s">
        <v>6</v>
      </c>
      <c r="AT584">
        <v>0.1</v>
      </c>
      <c r="AU584" t="s">
        <v>6</v>
      </c>
      <c r="AV584">
        <v>0</v>
      </c>
      <c r="AW584">
        <v>2</v>
      </c>
      <c r="AX584">
        <v>16751405</v>
      </c>
      <c r="AY584">
        <v>1</v>
      </c>
      <c r="AZ584">
        <v>0</v>
      </c>
      <c r="BA584">
        <v>542</v>
      </c>
      <c r="BB584">
        <v>0</v>
      </c>
      <c r="BC584">
        <v>0</v>
      </c>
      <c r="BD584">
        <v>0</v>
      </c>
      <c r="BE584">
        <v>0</v>
      </c>
      <c r="BF584">
        <v>0</v>
      </c>
      <c r="BG584">
        <v>0</v>
      </c>
      <c r="BH584">
        <v>0</v>
      </c>
      <c r="BI584">
        <v>0</v>
      </c>
      <c r="BJ584">
        <v>0</v>
      </c>
      <c r="BK584">
        <v>0</v>
      </c>
      <c r="BL584">
        <v>0</v>
      </c>
      <c r="BM584">
        <v>0</v>
      </c>
      <c r="BN584">
        <v>0</v>
      </c>
      <c r="BO584">
        <v>0</v>
      </c>
      <c r="BP584">
        <v>0</v>
      </c>
      <c r="BQ584">
        <v>0</v>
      </c>
      <c r="BR584">
        <v>0</v>
      </c>
      <c r="BS584">
        <v>0</v>
      </c>
      <c r="BT584">
        <v>0</v>
      </c>
      <c r="BU584">
        <v>0</v>
      </c>
      <c r="BV584">
        <v>0</v>
      </c>
      <c r="BW584">
        <v>0</v>
      </c>
      <c r="CX584">
        <f>Y584*Source!I375</f>
        <v>3.2</v>
      </c>
      <c r="CY584">
        <f t="shared" si="95"/>
        <v>255.84</v>
      </c>
      <c r="CZ584">
        <f t="shared" si="96"/>
        <v>39</v>
      </c>
      <c r="DA584">
        <f t="shared" si="97"/>
        <v>6.56</v>
      </c>
      <c r="DB584">
        <f t="shared" si="90"/>
        <v>3.9</v>
      </c>
      <c r="DC584">
        <f t="shared" si="91"/>
        <v>0</v>
      </c>
    </row>
    <row r="585" spans="1:107" x14ac:dyDescent="0.2">
      <c r="A585">
        <f>ROW(Source!A375)</f>
        <v>375</v>
      </c>
      <c r="B585">
        <v>16748969</v>
      </c>
      <c r="C585">
        <v>16751373</v>
      </c>
      <c r="D585">
        <v>15238768</v>
      </c>
      <c r="E585">
        <v>1</v>
      </c>
      <c r="F585">
        <v>1</v>
      </c>
      <c r="G585">
        <v>1</v>
      </c>
      <c r="H585">
        <v>3</v>
      </c>
      <c r="I585" t="s">
        <v>786</v>
      </c>
      <c r="J585" t="s">
        <v>788</v>
      </c>
      <c r="K585" t="s">
        <v>787</v>
      </c>
      <c r="L585">
        <v>1354</v>
      </c>
      <c r="N585">
        <v>1010</v>
      </c>
      <c r="O585" t="s">
        <v>53</v>
      </c>
      <c r="P585" t="s">
        <v>53</v>
      </c>
      <c r="Q585">
        <v>1</v>
      </c>
      <c r="W585">
        <v>0</v>
      </c>
      <c r="X585">
        <v>1936732059</v>
      </c>
      <c r="Y585">
        <v>3.125E-2</v>
      </c>
      <c r="AA585">
        <v>1618.29</v>
      </c>
      <c r="AB585">
        <v>0</v>
      </c>
      <c r="AC585">
        <v>0</v>
      </c>
      <c r="AD585">
        <v>0</v>
      </c>
      <c r="AE585">
        <v>246.69</v>
      </c>
      <c r="AF585">
        <v>0</v>
      </c>
      <c r="AG585">
        <v>0</v>
      </c>
      <c r="AH585">
        <v>0</v>
      </c>
      <c r="AI585">
        <v>6.56</v>
      </c>
      <c r="AJ585">
        <v>1</v>
      </c>
      <c r="AK585">
        <v>1</v>
      </c>
      <c r="AL585">
        <v>1</v>
      </c>
      <c r="AN585">
        <v>0</v>
      </c>
      <c r="AO585">
        <v>0</v>
      </c>
      <c r="AP585">
        <v>0</v>
      </c>
      <c r="AQ585">
        <v>0</v>
      </c>
      <c r="AR585">
        <v>0</v>
      </c>
      <c r="AS585" t="s">
        <v>6</v>
      </c>
      <c r="AT585">
        <v>3.125E-2</v>
      </c>
      <c r="AU585" t="s">
        <v>6</v>
      </c>
      <c r="AV585">
        <v>0</v>
      </c>
      <c r="AW585">
        <v>1</v>
      </c>
      <c r="AX585">
        <v>-1</v>
      </c>
      <c r="AY585">
        <v>0</v>
      </c>
      <c r="AZ585">
        <v>0</v>
      </c>
      <c r="BA585" t="s">
        <v>6</v>
      </c>
      <c r="BB585">
        <v>0</v>
      </c>
      <c r="BC585">
        <v>0</v>
      </c>
      <c r="BD585">
        <v>0</v>
      </c>
      <c r="BE585">
        <v>0</v>
      </c>
      <c r="BF585">
        <v>0</v>
      </c>
      <c r="BG585">
        <v>0</v>
      </c>
      <c r="BH585">
        <v>0</v>
      </c>
      <c r="BI585">
        <v>0</v>
      </c>
      <c r="BJ585">
        <v>0</v>
      </c>
      <c r="BK585">
        <v>0</v>
      </c>
      <c r="BL585">
        <v>0</v>
      </c>
      <c r="BM585">
        <v>0</v>
      </c>
      <c r="BN585">
        <v>0</v>
      </c>
      <c r="BO585">
        <v>0</v>
      </c>
      <c r="BP585">
        <v>0</v>
      </c>
      <c r="BQ585">
        <v>0</v>
      </c>
      <c r="BR585">
        <v>0</v>
      </c>
      <c r="BS585">
        <v>0</v>
      </c>
      <c r="BT585">
        <v>0</v>
      </c>
      <c r="BU585">
        <v>0</v>
      </c>
      <c r="BV585">
        <v>0</v>
      </c>
      <c r="BW585">
        <v>0</v>
      </c>
      <c r="CX585">
        <f>Y585*Source!I375</f>
        <v>1</v>
      </c>
      <c r="CY585">
        <f t="shared" si="95"/>
        <v>1618.29</v>
      </c>
      <c r="CZ585">
        <f t="shared" si="96"/>
        <v>246.69</v>
      </c>
      <c r="DA585">
        <f t="shared" si="97"/>
        <v>6.56</v>
      </c>
      <c r="DB585">
        <f t="shared" si="90"/>
        <v>7.71</v>
      </c>
      <c r="DC585">
        <f t="shared" si="91"/>
        <v>0</v>
      </c>
    </row>
    <row r="586" spans="1:107" x14ac:dyDescent="0.2">
      <c r="A586">
        <f>ROW(Source!A375)</f>
        <v>375</v>
      </c>
      <c r="B586">
        <v>16748969</v>
      </c>
      <c r="C586">
        <v>16751373</v>
      </c>
      <c r="D586">
        <v>15238947</v>
      </c>
      <c r="E586">
        <v>1</v>
      </c>
      <c r="F586">
        <v>1</v>
      </c>
      <c r="G586">
        <v>1</v>
      </c>
      <c r="H586">
        <v>3</v>
      </c>
      <c r="I586" t="s">
        <v>790</v>
      </c>
      <c r="J586" t="s">
        <v>792</v>
      </c>
      <c r="K586" t="s">
        <v>791</v>
      </c>
      <c r="L586">
        <v>1354</v>
      </c>
      <c r="N586">
        <v>1010</v>
      </c>
      <c r="O586" t="s">
        <v>53</v>
      </c>
      <c r="P586" t="s">
        <v>53</v>
      </c>
      <c r="Q586">
        <v>1</v>
      </c>
      <c r="W586">
        <v>0</v>
      </c>
      <c r="X586">
        <v>1644612973</v>
      </c>
      <c r="Y586">
        <v>0.875</v>
      </c>
      <c r="AA586">
        <v>436.11</v>
      </c>
      <c r="AB586">
        <v>0</v>
      </c>
      <c r="AC586">
        <v>0</v>
      </c>
      <c r="AD586">
        <v>0</v>
      </c>
      <c r="AE586">
        <v>66.48</v>
      </c>
      <c r="AF586">
        <v>0</v>
      </c>
      <c r="AG586">
        <v>0</v>
      </c>
      <c r="AH586">
        <v>0</v>
      </c>
      <c r="AI586">
        <v>6.56</v>
      </c>
      <c r="AJ586">
        <v>1</v>
      </c>
      <c r="AK586">
        <v>1</v>
      </c>
      <c r="AL586">
        <v>1</v>
      </c>
      <c r="AN586">
        <v>0</v>
      </c>
      <c r="AO586">
        <v>0</v>
      </c>
      <c r="AP586">
        <v>0</v>
      </c>
      <c r="AQ586">
        <v>0</v>
      </c>
      <c r="AR586">
        <v>0</v>
      </c>
      <c r="AS586" t="s">
        <v>6</v>
      </c>
      <c r="AT586">
        <v>0.875</v>
      </c>
      <c r="AU586" t="s">
        <v>6</v>
      </c>
      <c r="AV586">
        <v>0</v>
      </c>
      <c r="AW586">
        <v>1</v>
      </c>
      <c r="AX586">
        <v>-1</v>
      </c>
      <c r="AY586">
        <v>0</v>
      </c>
      <c r="AZ586">
        <v>0</v>
      </c>
      <c r="BA586" t="s">
        <v>6</v>
      </c>
      <c r="BB586">
        <v>0</v>
      </c>
      <c r="BC586">
        <v>0</v>
      </c>
      <c r="BD586">
        <v>0</v>
      </c>
      <c r="BE586">
        <v>0</v>
      </c>
      <c r="BF586">
        <v>0</v>
      </c>
      <c r="BG586">
        <v>0</v>
      </c>
      <c r="BH586">
        <v>0</v>
      </c>
      <c r="BI586">
        <v>0</v>
      </c>
      <c r="BJ586">
        <v>0</v>
      </c>
      <c r="BK586">
        <v>0</v>
      </c>
      <c r="BL586">
        <v>0</v>
      </c>
      <c r="BM586">
        <v>0</v>
      </c>
      <c r="BN586">
        <v>0</v>
      </c>
      <c r="BO586">
        <v>0</v>
      </c>
      <c r="BP586">
        <v>0</v>
      </c>
      <c r="BQ586">
        <v>0</v>
      </c>
      <c r="BR586">
        <v>0</v>
      </c>
      <c r="BS586">
        <v>0</v>
      </c>
      <c r="BT586">
        <v>0</v>
      </c>
      <c r="BU586">
        <v>0</v>
      </c>
      <c r="BV586">
        <v>0</v>
      </c>
      <c r="BW586">
        <v>0</v>
      </c>
      <c r="CX586">
        <f>Y586*Source!I375</f>
        <v>28</v>
      </c>
      <c r="CY586">
        <f t="shared" si="95"/>
        <v>436.11</v>
      </c>
      <c r="CZ586">
        <f t="shared" si="96"/>
        <v>66.48</v>
      </c>
      <c r="DA586">
        <f t="shared" si="97"/>
        <v>6.56</v>
      </c>
      <c r="DB586">
        <f t="shared" si="90"/>
        <v>58.17</v>
      </c>
      <c r="DC586">
        <f t="shared" si="91"/>
        <v>0</v>
      </c>
    </row>
    <row r="587" spans="1:107" x14ac:dyDescent="0.2">
      <c r="A587">
        <f>ROW(Source!A375)</f>
        <v>375</v>
      </c>
      <c r="B587">
        <v>16748969</v>
      </c>
      <c r="C587">
        <v>16751373</v>
      </c>
      <c r="D587">
        <v>15238962</v>
      </c>
      <c r="E587">
        <v>1</v>
      </c>
      <c r="F587">
        <v>1</v>
      </c>
      <c r="G587">
        <v>1</v>
      </c>
      <c r="H587">
        <v>3</v>
      </c>
      <c r="I587" t="s">
        <v>798</v>
      </c>
      <c r="J587" t="s">
        <v>800</v>
      </c>
      <c r="K587" t="s">
        <v>799</v>
      </c>
      <c r="L587">
        <v>1354</v>
      </c>
      <c r="N587">
        <v>1010</v>
      </c>
      <c r="O587" t="s">
        <v>53</v>
      </c>
      <c r="P587" t="s">
        <v>53</v>
      </c>
      <c r="Q587">
        <v>1</v>
      </c>
      <c r="W587">
        <v>0</v>
      </c>
      <c r="X587">
        <v>92773317</v>
      </c>
      <c r="Y587">
        <v>3.125E-2</v>
      </c>
      <c r="AA587">
        <v>1517.33</v>
      </c>
      <c r="AB587">
        <v>0</v>
      </c>
      <c r="AC587">
        <v>0</v>
      </c>
      <c r="AD587">
        <v>0</v>
      </c>
      <c r="AE587">
        <v>231.3</v>
      </c>
      <c r="AF587">
        <v>0</v>
      </c>
      <c r="AG587">
        <v>0</v>
      </c>
      <c r="AH587">
        <v>0</v>
      </c>
      <c r="AI587">
        <v>6.56</v>
      </c>
      <c r="AJ587">
        <v>1</v>
      </c>
      <c r="AK587">
        <v>1</v>
      </c>
      <c r="AL587">
        <v>1</v>
      </c>
      <c r="AN587">
        <v>0</v>
      </c>
      <c r="AO587">
        <v>0</v>
      </c>
      <c r="AP587">
        <v>0</v>
      </c>
      <c r="AQ587">
        <v>0</v>
      </c>
      <c r="AR587">
        <v>0</v>
      </c>
      <c r="AS587" t="s">
        <v>6</v>
      </c>
      <c r="AT587">
        <v>3.125E-2</v>
      </c>
      <c r="AU587" t="s">
        <v>6</v>
      </c>
      <c r="AV587">
        <v>0</v>
      </c>
      <c r="AW587">
        <v>1</v>
      </c>
      <c r="AX587">
        <v>-1</v>
      </c>
      <c r="AY587">
        <v>0</v>
      </c>
      <c r="AZ587">
        <v>0</v>
      </c>
      <c r="BA587" t="s">
        <v>6</v>
      </c>
      <c r="BB587">
        <v>0</v>
      </c>
      <c r="BC587">
        <v>0</v>
      </c>
      <c r="BD587">
        <v>0</v>
      </c>
      <c r="BE587">
        <v>0</v>
      </c>
      <c r="BF587">
        <v>0</v>
      </c>
      <c r="BG587">
        <v>0</v>
      </c>
      <c r="BH587">
        <v>0</v>
      </c>
      <c r="BI587">
        <v>0</v>
      </c>
      <c r="BJ587">
        <v>0</v>
      </c>
      <c r="BK587">
        <v>0</v>
      </c>
      <c r="BL587">
        <v>0</v>
      </c>
      <c r="BM587">
        <v>0</v>
      </c>
      <c r="BN587">
        <v>0</v>
      </c>
      <c r="BO587">
        <v>0</v>
      </c>
      <c r="BP587">
        <v>0</v>
      </c>
      <c r="BQ587">
        <v>0</v>
      </c>
      <c r="BR587">
        <v>0</v>
      </c>
      <c r="BS587">
        <v>0</v>
      </c>
      <c r="BT587">
        <v>0</v>
      </c>
      <c r="BU587">
        <v>0</v>
      </c>
      <c r="BV587">
        <v>0</v>
      </c>
      <c r="BW587">
        <v>0</v>
      </c>
      <c r="CX587">
        <f>Y587*Source!I375</f>
        <v>1</v>
      </c>
      <c r="CY587">
        <f t="shared" si="95"/>
        <v>1517.33</v>
      </c>
      <c r="CZ587">
        <f t="shared" si="96"/>
        <v>231.3</v>
      </c>
      <c r="DA587">
        <f t="shared" si="97"/>
        <v>6.56</v>
      </c>
      <c r="DB587">
        <f t="shared" si="90"/>
        <v>7.23</v>
      </c>
      <c r="DC587">
        <f t="shared" si="91"/>
        <v>0</v>
      </c>
    </row>
    <row r="588" spans="1:107" x14ac:dyDescent="0.2">
      <c r="A588">
        <f>ROW(Source!A375)</f>
        <v>375</v>
      </c>
      <c r="B588">
        <v>16748969</v>
      </c>
      <c r="C588">
        <v>16751373</v>
      </c>
      <c r="D588">
        <v>15238963</v>
      </c>
      <c r="E588">
        <v>1</v>
      </c>
      <c r="F588">
        <v>1</v>
      </c>
      <c r="G588">
        <v>1</v>
      </c>
      <c r="H588">
        <v>3</v>
      </c>
      <c r="I588" t="s">
        <v>794</v>
      </c>
      <c r="J588" t="s">
        <v>796</v>
      </c>
      <c r="K588" t="s">
        <v>795</v>
      </c>
      <c r="L588">
        <v>1354</v>
      </c>
      <c r="N588">
        <v>1010</v>
      </c>
      <c r="O588" t="s">
        <v>53</v>
      </c>
      <c r="P588" t="s">
        <v>53</v>
      </c>
      <c r="Q588">
        <v>1</v>
      </c>
      <c r="W588">
        <v>0</v>
      </c>
      <c r="X588">
        <v>1666631692</v>
      </c>
      <c r="Y588">
        <v>6.25E-2</v>
      </c>
      <c r="AA588">
        <v>1517.33</v>
      </c>
      <c r="AB588">
        <v>0</v>
      </c>
      <c r="AC588">
        <v>0</v>
      </c>
      <c r="AD588">
        <v>0</v>
      </c>
      <c r="AE588">
        <v>231.3</v>
      </c>
      <c r="AF588">
        <v>0</v>
      </c>
      <c r="AG588">
        <v>0</v>
      </c>
      <c r="AH588">
        <v>0</v>
      </c>
      <c r="AI588">
        <v>6.56</v>
      </c>
      <c r="AJ588">
        <v>1</v>
      </c>
      <c r="AK588">
        <v>1</v>
      </c>
      <c r="AL588">
        <v>1</v>
      </c>
      <c r="AN588">
        <v>0</v>
      </c>
      <c r="AO588">
        <v>0</v>
      </c>
      <c r="AP588">
        <v>0</v>
      </c>
      <c r="AQ588">
        <v>0</v>
      </c>
      <c r="AR588">
        <v>0</v>
      </c>
      <c r="AS588" t="s">
        <v>6</v>
      </c>
      <c r="AT588">
        <v>6.25E-2</v>
      </c>
      <c r="AU588" t="s">
        <v>6</v>
      </c>
      <c r="AV588">
        <v>0</v>
      </c>
      <c r="AW588">
        <v>1</v>
      </c>
      <c r="AX588">
        <v>-1</v>
      </c>
      <c r="AY588">
        <v>0</v>
      </c>
      <c r="AZ588">
        <v>0</v>
      </c>
      <c r="BA588" t="s">
        <v>6</v>
      </c>
      <c r="BB588">
        <v>0</v>
      </c>
      <c r="BC588">
        <v>0</v>
      </c>
      <c r="BD588">
        <v>0</v>
      </c>
      <c r="BE588">
        <v>0</v>
      </c>
      <c r="BF588">
        <v>0</v>
      </c>
      <c r="BG588">
        <v>0</v>
      </c>
      <c r="BH588">
        <v>0</v>
      </c>
      <c r="BI588">
        <v>0</v>
      </c>
      <c r="BJ588">
        <v>0</v>
      </c>
      <c r="BK588">
        <v>0</v>
      </c>
      <c r="BL588">
        <v>0</v>
      </c>
      <c r="BM588">
        <v>0</v>
      </c>
      <c r="BN588">
        <v>0</v>
      </c>
      <c r="BO588">
        <v>0</v>
      </c>
      <c r="BP588">
        <v>0</v>
      </c>
      <c r="BQ588">
        <v>0</v>
      </c>
      <c r="BR588">
        <v>0</v>
      </c>
      <c r="BS588">
        <v>0</v>
      </c>
      <c r="BT588">
        <v>0</v>
      </c>
      <c r="BU588">
        <v>0</v>
      </c>
      <c r="BV588">
        <v>0</v>
      </c>
      <c r="BW588">
        <v>0</v>
      </c>
      <c r="CX588">
        <f>Y588*Source!I375</f>
        <v>2</v>
      </c>
      <c r="CY588">
        <f t="shared" si="95"/>
        <v>1517.33</v>
      </c>
      <c r="CZ588">
        <f t="shared" si="96"/>
        <v>231.3</v>
      </c>
      <c r="DA588">
        <f t="shared" si="97"/>
        <v>6.56</v>
      </c>
      <c r="DB588">
        <f t="shared" si="90"/>
        <v>14.46</v>
      </c>
      <c r="DC588">
        <f t="shared" si="91"/>
        <v>0</v>
      </c>
    </row>
    <row r="589" spans="1:107" x14ac:dyDescent="0.2">
      <c r="A589">
        <f>ROW(Source!A375)</f>
        <v>375</v>
      </c>
      <c r="B589">
        <v>16748969</v>
      </c>
      <c r="C589">
        <v>16751373</v>
      </c>
      <c r="D589">
        <v>15164559</v>
      </c>
      <c r="E589">
        <v>17</v>
      </c>
      <c r="F589">
        <v>1</v>
      </c>
      <c r="G589">
        <v>1</v>
      </c>
      <c r="H589">
        <v>3</v>
      </c>
      <c r="I589" t="s">
        <v>1383</v>
      </c>
      <c r="J589" t="s">
        <v>6</v>
      </c>
      <c r="K589" t="s">
        <v>1384</v>
      </c>
      <c r="L589">
        <v>1374</v>
      </c>
      <c r="N589">
        <v>1013</v>
      </c>
      <c r="O589" t="s">
        <v>1385</v>
      </c>
      <c r="P589" t="s">
        <v>1385</v>
      </c>
      <c r="Q589">
        <v>1</v>
      </c>
      <c r="W589">
        <v>0</v>
      </c>
      <c r="X589">
        <v>-1731369543</v>
      </c>
      <c r="Y589">
        <v>0.3</v>
      </c>
      <c r="AA589">
        <v>1</v>
      </c>
      <c r="AB589">
        <v>0</v>
      </c>
      <c r="AC589">
        <v>0</v>
      </c>
      <c r="AD589">
        <v>0</v>
      </c>
      <c r="AE589">
        <v>1</v>
      </c>
      <c r="AF589">
        <v>0</v>
      </c>
      <c r="AG589">
        <v>0</v>
      </c>
      <c r="AH589">
        <v>0</v>
      </c>
      <c r="AI589">
        <v>1</v>
      </c>
      <c r="AJ589">
        <v>1</v>
      </c>
      <c r="AK589">
        <v>1</v>
      </c>
      <c r="AL589">
        <v>1</v>
      </c>
      <c r="AN589">
        <v>0</v>
      </c>
      <c r="AO589">
        <v>1</v>
      </c>
      <c r="AP589">
        <v>0</v>
      </c>
      <c r="AQ589">
        <v>0</v>
      </c>
      <c r="AR589">
        <v>0</v>
      </c>
      <c r="AS589" t="s">
        <v>6</v>
      </c>
      <c r="AT589">
        <v>0.3</v>
      </c>
      <c r="AU589" t="s">
        <v>6</v>
      </c>
      <c r="AV589">
        <v>0</v>
      </c>
      <c r="AW589">
        <v>2</v>
      </c>
      <c r="AX589">
        <v>16751406</v>
      </c>
      <c r="AY589">
        <v>1</v>
      </c>
      <c r="AZ589">
        <v>0</v>
      </c>
      <c r="BA589">
        <v>543</v>
      </c>
      <c r="BB589">
        <v>0</v>
      </c>
      <c r="BC589">
        <v>0</v>
      </c>
      <c r="BD589">
        <v>0</v>
      </c>
      <c r="BE589">
        <v>0</v>
      </c>
      <c r="BF589">
        <v>0</v>
      </c>
      <c r="BG589">
        <v>0</v>
      </c>
      <c r="BH589">
        <v>0</v>
      </c>
      <c r="BI589">
        <v>0</v>
      </c>
      <c r="BJ589">
        <v>0</v>
      </c>
      <c r="BK589">
        <v>0</v>
      </c>
      <c r="BL589">
        <v>0</v>
      </c>
      <c r="BM589">
        <v>0</v>
      </c>
      <c r="BN589">
        <v>0</v>
      </c>
      <c r="BO589">
        <v>0</v>
      </c>
      <c r="BP589">
        <v>0</v>
      </c>
      <c r="BQ589">
        <v>0</v>
      </c>
      <c r="BR589">
        <v>0</v>
      </c>
      <c r="BS589">
        <v>0</v>
      </c>
      <c r="BT589">
        <v>0</v>
      </c>
      <c r="BU589">
        <v>0</v>
      </c>
      <c r="BV589">
        <v>0</v>
      </c>
      <c r="BW589">
        <v>0</v>
      </c>
      <c r="CX589">
        <f>Y589*Source!I375</f>
        <v>9.6</v>
      </c>
      <c r="CY589">
        <f t="shared" si="95"/>
        <v>1</v>
      </c>
      <c r="CZ589">
        <f t="shared" si="96"/>
        <v>1</v>
      </c>
      <c r="DA589">
        <f t="shared" si="97"/>
        <v>1</v>
      </c>
      <c r="DB589">
        <f t="shared" si="90"/>
        <v>0.3</v>
      </c>
      <c r="DC589">
        <f t="shared" si="91"/>
        <v>0</v>
      </c>
    </row>
    <row r="590" spans="1:107" x14ac:dyDescent="0.2">
      <c r="A590">
        <f>ROW(Source!A380)</f>
        <v>380</v>
      </c>
      <c r="B590">
        <v>16748969</v>
      </c>
      <c r="C590">
        <v>16751412</v>
      </c>
      <c r="D590">
        <v>15446300</v>
      </c>
      <c r="E590">
        <v>1</v>
      </c>
      <c r="F590">
        <v>1</v>
      </c>
      <c r="G590">
        <v>1</v>
      </c>
      <c r="H590">
        <v>1</v>
      </c>
      <c r="I590" t="s">
        <v>1095</v>
      </c>
      <c r="J590" t="s">
        <v>6</v>
      </c>
      <c r="K590" t="s">
        <v>1096</v>
      </c>
      <c r="L590">
        <v>1191</v>
      </c>
      <c r="N590">
        <v>1013</v>
      </c>
      <c r="O590" t="s">
        <v>1072</v>
      </c>
      <c r="P590" t="s">
        <v>1072</v>
      </c>
      <c r="Q590">
        <v>1</v>
      </c>
      <c r="W590">
        <v>0</v>
      </c>
      <c r="X590">
        <v>912892513</v>
      </c>
      <c r="Y590">
        <v>1.1200000000000001</v>
      </c>
      <c r="AA590">
        <v>0</v>
      </c>
      <c r="AB590">
        <v>0</v>
      </c>
      <c r="AC590">
        <v>0</v>
      </c>
      <c r="AD590">
        <v>65.08</v>
      </c>
      <c r="AE590">
        <v>0</v>
      </c>
      <c r="AF590">
        <v>0</v>
      </c>
      <c r="AG590">
        <v>0</v>
      </c>
      <c r="AH590">
        <v>9.92</v>
      </c>
      <c r="AI590">
        <v>1</v>
      </c>
      <c r="AJ590">
        <v>1</v>
      </c>
      <c r="AK590">
        <v>1</v>
      </c>
      <c r="AL590">
        <v>6.56</v>
      </c>
      <c r="AN590">
        <v>0</v>
      </c>
      <c r="AO590">
        <v>1</v>
      </c>
      <c r="AP590">
        <v>0</v>
      </c>
      <c r="AQ590">
        <v>0</v>
      </c>
      <c r="AR590">
        <v>0</v>
      </c>
      <c r="AS590" t="s">
        <v>6</v>
      </c>
      <c r="AT590">
        <v>1.1200000000000001</v>
      </c>
      <c r="AU590" t="s">
        <v>6</v>
      </c>
      <c r="AV590">
        <v>1</v>
      </c>
      <c r="AW590">
        <v>2</v>
      </c>
      <c r="AX590">
        <v>16751419</v>
      </c>
      <c r="AY590">
        <v>1</v>
      </c>
      <c r="AZ590">
        <v>0</v>
      </c>
      <c r="BA590">
        <v>544</v>
      </c>
      <c r="BB590">
        <v>0</v>
      </c>
      <c r="BC590">
        <v>0</v>
      </c>
      <c r="BD590">
        <v>0</v>
      </c>
      <c r="BE590">
        <v>0</v>
      </c>
      <c r="BF590">
        <v>0</v>
      </c>
      <c r="BG590">
        <v>0</v>
      </c>
      <c r="BH590">
        <v>0</v>
      </c>
      <c r="BI590">
        <v>0</v>
      </c>
      <c r="BJ590">
        <v>0</v>
      </c>
      <c r="BK590">
        <v>0</v>
      </c>
      <c r="BL590">
        <v>0</v>
      </c>
      <c r="BM590">
        <v>0</v>
      </c>
      <c r="BN590">
        <v>0</v>
      </c>
      <c r="BO590">
        <v>0</v>
      </c>
      <c r="BP590">
        <v>0</v>
      </c>
      <c r="BQ590">
        <v>0</v>
      </c>
      <c r="BR590">
        <v>0</v>
      </c>
      <c r="BS590">
        <v>0</v>
      </c>
      <c r="BT590">
        <v>0</v>
      </c>
      <c r="BU590">
        <v>0</v>
      </c>
      <c r="BV590">
        <v>0</v>
      </c>
      <c r="BW590">
        <v>0</v>
      </c>
      <c r="CX590">
        <f>Y590*Source!I380</f>
        <v>5.6000000000000005</v>
      </c>
      <c r="CY590">
        <f>AD590</f>
        <v>65.08</v>
      </c>
      <c r="CZ590">
        <f>AH590</f>
        <v>9.92</v>
      </c>
      <c r="DA590">
        <f>AL590</f>
        <v>6.56</v>
      </c>
      <c r="DB590">
        <f t="shared" si="90"/>
        <v>11.11</v>
      </c>
      <c r="DC590">
        <f t="shared" si="91"/>
        <v>0</v>
      </c>
    </row>
    <row r="591" spans="1:107" x14ac:dyDescent="0.2">
      <c r="A591">
        <f>ROW(Source!A380)</f>
        <v>380</v>
      </c>
      <c r="B591">
        <v>16748969</v>
      </c>
      <c r="C591">
        <v>16751412</v>
      </c>
      <c r="D591">
        <v>15169942</v>
      </c>
      <c r="E591">
        <v>1</v>
      </c>
      <c r="F591">
        <v>1</v>
      </c>
      <c r="G591">
        <v>1</v>
      </c>
      <c r="H591">
        <v>3</v>
      </c>
      <c r="I591" t="s">
        <v>1391</v>
      </c>
      <c r="J591" t="s">
        <v>1392</v>
      </c>
      <c r="K591" t="s">
        <v>1291</v>
      </c>
      <c r="L591">
        <v>1346</v>
      </c>
      <c r="N591">
        <v>1009</v>
      </c>
      <c r="O591" t="s">
        <v>323</v>
      </c>
      <c r="P591" t="s">
        <v>323</v>
      </c>
      <c r="Q591">
        <v>1</v>
      </c>
      <c r="W591">
        <v>0</v>
      </c>
      <c r="X591">
        <v>103900845</v>
      </c>
      <c r="Y591">
        <v>0.02</v>
      </c>
      <c r="AA591">
        <v>59.3</v>
      </c>
      <c r="AB591">
        <v>0</v>
      </c>
      <c r="AC591">
        <v>0</v>
      </c>
      <c r="AD591">
        <v>0</v>
      </c>
      <c r="AE591">
        <v>9.0399999999999991</v>
      </c>
      <c r="AF591">
        <v>0</v>
      </c>
      <c r="AG591">
        <v>0</v>
      </c>
      <c r="AH591">
        <v>0</v>
      </c>
      <c r="AI591">
        <v>6.56</v>
      </c>
      <c r="AJ591">
        <v>1</v>
      </c>
      <c r="AK591">
        <v>1</v>
      </c>
      <c r="AL591">
        <v>1</v>
      </c>
      <c r="AN591">
        <v>0</v>
      </c>
      <c r="AO591">
        <v>1</v>
      </c>
      <c r="AP591">
        <v>0</v>
      </c>
      <c r="AQ591">
        <v>0</v>
      </c>
      <c r="AR591">
        <v>0</v>
      </c>
      <c r="AS591" t="s">
        <v>6</v>
      </c>
      <c r="AT591">
        <v>0.02</v>
      </c>
      <c r="AU591" t="s">
        <v>6</v>
      </c>
      <c r="AV591">
        <v>0</v>
      </c>
      <c r="AW591">
        <v>2</v>
      </c>
      <c r="AX591">
        <v>16751420</v>
      </c>
      <c r="AY591">
        <v>1</v>
      </c>
      <c r="AZ591">
        <v>0</v>
      </c>
      <c r="BA591">
        <v>545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  <c r="BH591">
        <v>0</v>
      </c>
      <c r="BI591">
        <v>0</v>
      </c>
      <c r="BJ591">
        <v>0</v>
      </c>
      <c r="BK591">
        <v>0</v>
      </c>
      <c r="BL591">
        <v>0</v>
      </c>
      <c r="BM591">
        <v>0</v>
      </c>
      <c r="BN591">
        <v>0</v>
      </c>
      <c r="BO591">
        <v>0</v>
      </c>
      <c r="BP591">
        <v>0</v>
      </c>
      <c r="BQ591">
        <v>0</v>
      </c>
      <c r="BR591">
        <v>0</v>
      </c>
      <c r="BS591">
        <v>0</v>
      </c>
      <c r="BT591">
        <v>0</v>
      </c>
      <c r="BU591">
        <v>0</v>
      </c>
      <c r="BV591">
        <v>0</v>
      </c>
      <c r="BW591">
        <v>0</v>
      </c>
      <c r="CX591">
        <f>Y591*Source!I380</f>
        <v>0.1</v>
      </c>
      <c r="CY591">
        <f>AA591</f>
        <v>59.3</v>
      </c>
      <c r="CZ591">
        <f>AE591</f>
        <v>9.0399999999999991</v>
      </c>
      <c r="DA591">
        <f>AI591</f>
        <v>6.56</v>
      </c>
      <c r="DB591">
        <f t="shared" si="90"/>
        <v>0.18</v>
      </c>
      <c r="DC591">
        <f t="shared" si="91"/>
        <v>0</v>
      </c>
    </row>
    <row r="592" spans="1:107" x14ac:dyDescent="0.2">
      <c r="A592">
        <f>ROW(Source!A380)</f>
        <v>380</v>
      </c>
      <c r="B592">
        <v>16748969</v>
      </c>
      <c r="C592">
        <v>16751412</v>
      </c>
      <c r="D592">
        <v>15238965</v>
      </c>
      <c r="E592">
        <v>1</v>
      </c>
      <c r="F592">
        <v>1</v>
      </c>
      <c r="G592">
        <v>1</v>
      </c>
      <c r="H592">
        <v>3</v>
      </c>
      <c r="I592" t="s">
        <v>803</v>
      </c>
      <c r="J592" t="s">
        <v>805</v>
      </c>
      <c r="K592" t="s">
        <v>804</v>
      </c>
      <c r="L592">
        <v>1354</v>
      </c>
      <c r="N592">
        <v>1010</v>
      </c>
      <c r="O592" t="s">
        <v>53</v>
      </c>
      <c r="P592" t="s">
        <v>53</v>
      </c>
      <c r="Q592">
        <v>1</v>
      </c>
      <c r="W592">
        <v>0</v>
      </c>
      <c r="X592">
        <v>-900248447</v>
      </c>
      <c r="Y592">
        <v>0.4</v>
      </c>
      <c r="AA592">
        <v>2279.5300000000002</v>
      </c>
      <c r="AB592">
        <v>0</v>
      </c>
      <c r="AC592">
        <v>0</v>
      </c>
      <c r="AD592">
        <v>0</v>
      </c>
      <c r="AE592">
        <v>347.49</v>
      </c>
      <c r="AF592">
        <v>0</v>
      </c>
      <c r="AG592">
        <v>0</v>
      </c>
      <c r="AH592">
        <v>0</v>
      </c>
      <c r="AI592">
        <v>6.56</v>
      </c>
      <c r="AJ592">
        <v>1</v>
      </c>
      <c r="AK592">
        <v>1</v>
      </c>
      <c r="AL592">
        <v>1</v>
      </c>
      <c r="AN592">
        <v>0</v>
      </c>
      <c r="AO592">
        <v>0</v>
      </c>
      <c r="AP592">
        <v>0</v>
      </c>
      <c r="AQ592">
        <v>0</v>
      </c>
      <c r="AR592">
        <v>0</v>
      </c>
      <c r="AS592" t="s">
        <v>6</v>
      </c>
      <c r="AT592">
        <v>0.4</v>
      </c>
      <c r="AU592" t="s">
        <v>6</v>
      </c>
      <c r="AV592">
        <v>0</v>
      </c>
      <c r="AW592">
        <v>1</v>
      </c>
      <c r="AX592">
        <v>-1</v>
      </c>
      <c r="AY592">
        <v>0</v>
      </c>
      <c r="AZ592">
        <v>0</v>
      </c>
      <c r="BA592" t="s">
        <v>6</v>
      </c>
      <c r="BB592">
        <v>0</v>
      </c>
      <c r="BC592">
        <v>0</v>
      </c>
      <c r="BD592">
        <v>0</v>
      </c>
      <c r="BE592">
        <v>0</v>
      </c>
      <c r="BF592">
        <v>0</v>
      </c>
      <c r="BG592">
        <v>0</v>
      </c>
      <c r="BH592">
        <v>0</v>
      </c>
      <c r="BI592">
        <v>0</v>
      </c>
      <c r="BJ592">
        <v>0</v>
      </c>
      <c r="BK592">
        <v>0</v>
      </c>
      <c r="BL592">
        <v>0</v>
      </c>
      <c r="BM592">
        <v>0</v>
      </c>
      <c r="BN592">
        <v>0</v>
      </c>
      <c r="BO592">
        <v>0</v>
      </c>
      <c r="BP592">
        <v>0</v>
      </c>
      <c r="BQ592">
        <v>0</v>
      </c>
      <c r="BR592">
        <v>0</v>
      </c>
      <c r="BS592">
        <v>0</v>
      </c>
      <c r="BT592">
        <v>0</v>
      </c>
      <c r="BU592">
        <v>0</v>
      </c>
      <c r="BV592">
        <v>0</v>
      </c>
      <c r="BW592">
        <v>0</v>
      </c>
      <c r="CX592">
        <f>Y592*Source!I380</f>
        <v>2</v>
      </c>
      <c r="CY592">
        <f>AA592</f>
        <v>2279.5300000000002</v>
      </c>
      <c r="CZ592">
        <f>AE592</f>
        <v>347.49</v>
      </c>
      <c r="DA592">
        <f>AI592</f>
        <v>6.56</v>
      </c>
      <c r="DB592">
        <f t="shared" si="90"/>
        <v>139</v>
      </c>
      <c r="DC592">
        <f t="shared" si="91"/>
        <v>0</v>
      </c>
    </row>
    <row r="593" spans="1:107" x14ac:dyDescent="0.2">
      <c r="A593">
        <f>ROW(Source!A380)</f>
        <v>380</v>
      </c>
      <c r="B593">
        <v>16748969</v>
      </c>
      <c r="C593">
        <v>16751412</v>
      </c>
      <c r="D593">
        <v>15238967</v>
      </c>
      <c r="E593">
        <v>1</v>
      </c>
      <c r="F593">
        <v>1</v>
      </c>
      <c r="G593">
        <v>1</v>
      </c>
      <c r="H593">
        <v>3</v>
      </c>
      <c r="I593" t="s">
        <v>685</v>
      </c>
      <c r="J593" t="s">
        <v>687</v>
      </c>
      <c r="K593" t="s">
        <v>807</v>
      </c>
      <c r="L593">
        <v>1354</v>
      </c>
      <c r="N593">
        <v>1010</v>
      </c>
      <c r="O593" t="s">
        <v>53</v>
      </c>
      <c r="P593" t="s">
        <v>53</v>
      </c>
      <c r="Q593">
        <v>1</v>
      </c>
      <c r="W593">
        <v>0</v>
      </c>
      <c r="X593">
        <v>-179021244</v>
      </c>
      <c r="Y593">
        <v>0.4</v>
      </c>
      <c r="AA593">
        <v>2810.3</v>
      </c>
      <c r="AB593">
        <v>0</v>
      </c>
      <c r="AC593">
        <v>0</v>
      </c>
      <c r="AD593">
        <v>0</v>
      </c>
      <c r="AE593">
        <v>428.4</v>
      </c>
      <c r="AF593">
        <v>0</v>
      </c>
      <c r="AG593">
        <v>0</v>
      </c>
      <c r="AH593">
        <v>0</v>
      </c>
      <c r="AI593">
        <v>6.56</v>
      </c>
      <c r="AJ593">
        <v>1</v>
      </c>
      <c r="AK593">
        <v>1</v>
      </c>
      <c r="AL593">
        <v>1</v>
      </c>
      <c r="AN593">
        <v>0</v>
      </c>
      <c r="AO593">
        <v>0</v>
      </c>
      <c r="AP593">
        <v>0</v>
      </c>
      <c r="AQ593">
        <v>0</v>
      </c>
      <c r="AR593">
        <v>0</v>
      </c>
      <c r="AS593" t="s">
        <v>6</v>
      </c>
      <c r="AT593">
        <v>0.4</v>
      </c>
      <c r="AU593" t="s">
        <v>6</v>
      </c>
      <c r="AV593">
        <v>0</v>
      </c>
      <c r="AW593">
        <v>1</v>
      </c>
      <c r="AX593">
        <v>-1</v>
      </c>
      <c r="AY593">
        <v>0</v>
      </c>
      <c r="AZ593">
        <v>0</v>
      </c>
      <c r="BA593" t="s">
        <v>6</v>
      </c>
      <c r="BB593">
        <v>0</v>
      </c>
      <c r="BC593">
        <v>0</v>
      </c>
      <c r="BD593">
        <v>0</v>
      </c>
      <c r="BE593">
        <v>0</v>
      </c>
      <c r="BF593">
        <v>0</v>
      </c>
      <c r="BG593">
        <v>0</v>
      </c>
      <c r="BH593">
        <v>0</v>
      </c>
      <c r="BI593">
        <v>0</v>
      </c>
      <c r="BJ593">
        <v>0</v>
      </c>
      <c r="BK593">
        <v>0</v>
      </c>
      <c r="BL593">
        <v>0</v>
      </c>
      <c r="BM593">
        <v>0</v>
      </c>
      <c r="BN593">
        <v>0</v>
      </c>
      <c r="BO593">
        <v>0</v>
      </c>
      <c r="BP593">
        <v>0</v>
      </c>
      <c r="BQ593">
        <v>0</v>
      </c>
      <c r="BR593">
        <v>0</v>
      </c>
      <c r="BS593">
        <v>0</v>
      </c>
      <c r="BT593">
        <v>0</v>
      </c>
      <c r="BU593">
        <v>0</v>
      </c>
      <c r="BV593">
        <v>0</v>
      </c>
      <c r="BW593">
        <v>0</v>
      </c>
      <c r="CX593">
        <f>Y593*Source!I380</f>
        <v>2</v>
      </c>
      <c r="CY593">
        <f>AA593</f>
        <v>2810.3</v>
      </c>
      <c r="CZ593">
        <f>AE593</f>
        <v>428.4</v>
      </c>
      <c r="DA593">
        <f>AI593</f>
        <v>6.56</v>
      </c>
      <c r="DB593">
        <f t="shared" si="90"/>
        <v>171.36</v>
      </c>
      <c r="DC593">
        <f t="shared" si="91"/>
        <v>0</v>
      </c>
    </row>
    <row r="594" spans="1:107" x14ac:dyDescent="0.2">
      <c r="A594">
        <f>ROW(Source!A380)</f>
        <v>380</v>
      </c>
      <c r="B594">
        <v>16748969</v>
      </c>
      <c r="C594">
        <v>16751412</v>
      </c>
      <c r="D594">
        <v>15238999</v>
      </c>
      <c r="E594">
        <v>1</v>
      </c>
      <c r="F594">
        <v>1</v>
      </c>
      <c r="G594">
        <v>1</v>
      </c>
      <c r="H594">
        <v>3</v>
      </c>
      <c r="I594" t="s">
        <v>809</v>
      </c>
      <c r="J594" t="s">
        <v>811</v>
      </c>
      <c r="K594" t="s">
        <v>810</v>
      </c>
      <c r="L594">
        <v>1354</v>
      </c>
      <c r="N594">
        <v>1010</v>
      </c>
      <c r="O594" t="s">
        <v>53</v>
      </c>
      <c r="P594" t="s">
        <v>53</v>
      </c>
      <c r="Q594">
        <v>1</v>
      </c>
      <c r="W594">
        <v>0</v>
      </c>
      <c r="X594">
        <v>-1059448058</v>
      </c>
      <c r="Y594">
        <v>0.2</v>
      </c>
      <c r="AA594">
        <v>6887.93</v>
      </c>
      <c r="AB594">
        <v>0</v>
      </c>
      <c r="AC594">
        <v>0</v>
      </c>
      <c r="AD594">
        <v>0</v>
      </c>
      <c r="AE594">
        <v>1049.99</v>
      </c>
      <c r="AF594">
        <v>0</v>
      </c>
      <c r="AG594">
        <v>0</v>
      </c>
      <c r="AH594">
        <v>0</v>
      </c>
      <c r="AI594">
        <v>6.56</v>
      </c>
      <c r="AJ594">
        <v>1</v>
      </c>
      <c r="AK594">
        <v>1</v>
      </c>
      <c r="AL594">
        <v>1</v>
      </c>
      <c r="AN594">
        <v>0</v>
      </c>
      <c r="AO594">
        <v>0</v>
      </c>
      <c r="AP594">
        <v>0</v>
      </c>
      <c r="AQ594">
        <v>0</v>
      </c>
      <c r="AR594">
        <v>0</v>
      </c>
      <c r="AS594" t="s">
        <v>6</v>
      </c>
      <c r="AT594">
        <v>0.2</v>
      </c>
      <c r="AU594" t="s">
        <v>6</v>
      </c>
      <c r="AV594">
        <v>0</v>
      </c>
      <c r="AW594">
        <v>1</v>
      </c>
      <c r="AX594">
        <v>-1</v>
      </c>
      <c r="AY594">
        <v>0</v>
      </c>
      <c r="AZ594">
        <v>0</v>
      </c>
      <c r="BA594" t="s">
        <v>6</v>
      </c>
      <c r="BB594">
        <v>0</v>
      </c>
      <c r="BC594">
        <v>0</v>
      </c>
      <c r="BD594">
        <v>0</v>
      </c>
      <c r="BE594">
        <v>0</v>
      </c>
      <c r="BF594">
        <v>0</v>
      </c>
      <c r="BG594">
        <v>0</v>
      </c>
      <c r="BH594">
        <v>0</v>
      </c>
      <c r="BI594">
        <v>0</v>
      </c>
      <c r="BJ594">
        <v>0</v>
      </c>
      <c r="BK594">
        <v>0</v>
      </c>
      <c r="BL594">
        <v>0</v>
      </c>
      <c r="BM594">
        <v>0</v>
      </c>
      <c r="BN594">
        <v>0</v>
      </c>
      <c r="BO594">
        <v>0</v>
      </c>
      <c r="BP594">
        <v>0</v>
      </c>
      <c r="BQ594">
        <v>0</v>
      </c>
      <c r="BR594">
        <v>0</v>
      </c>
      <c r="BS594">
        <v>0</v>
      </c>
      <c r="BT594">
        <v>0</v>
      </c>
      <c r="BU594">
        <v>0</v>
      </c>
      <c r="BV594">
        <v>0</v>
      </c>
      <c r="BW594">
        <v>0</v>
      </c>
      <c r="CX594">
        <f>Y594*Source!I380</f>
        <v>1</v>
      </c>
      <c r="CY594">
        <f>AA594</f>
        <v>6887.93</v>
      </c>
      <c r="CZ594">
        <f>AE594</f>
        <v>1049.99</v>
      </c>
      <c r="DA594">
        <f>AI594</f>
        <v>6.56</v>
      </c>
      <c r="DB594">
        <f t="shared" si="90"/>
        <v>210</v>
      </c>
      <c r="DC594">
        <f t="shared" si="91"/>
        <v>0</v>
      </c>
    </row>
    <row r="595" spans="1:107" x14ac:dyDescent="0.2">
      <c r="A595">
        <f>ROW(Source!A380)</f>
        <v>380</v>
      </c>
      <c r="B595">
        <v>16748969</v>
      </c>
      <c r="C595">
        <v>16751412</v>
      </c>
      <c r="D595">
        <v>15164559</v>
      </c>
      <c r="E595">
        <v>17</v>
      </c>
      <c r="F595">
        <v>1</v>
      </c>
      <c r="G595">
        <v>1</v>
      </c>
      <c r="H595">
        <v>3</v>
      </c>
      <c r="I595" t="s">
        <v>1383</v>
      </c>
      <c r="J595" t="s">
        <v>6</v>
      </c>
      <c r="K595" t="s">
        <v>1384</v>
      </c>
      <c r="L595">
        <v>1374</v>
      </c>
      <c r="N595">
        <v>1013</v>
      </c>
      <c r="O595" t="s">
        <v>1385</v>
      </c>
      <c r="P595" t="s">
        <v>1385</v>
      </c>
      <c r="Q595">
        <v>1</v>
      </c>
      <c r="W595">
        <v>0</v>
      </c>
      <c r="X595">
        <v>-1731369543</v>
      </c>
      <c r="Y595">
        <v>0.22</v>
      </c>
      <c r="AA595">
        <v>1</v>
      </c>
      <c r="AB595">
        <v>0</v>
      </c>
      <c r="AC595">
        <v>0</v>
      </c>
      <c r="AD595">
        <v>0</v>
      </c>
      <c r="AE595">
        <v>1</v>
      </c>
      <c r="AF595">
        <v>0</v>
      </c>
      <c r="AG595">
        <v>0</v>
      </c>
      <c r="AH595">
        <v>0</v>
      </c>
      <c r="AI595">
        <v>1</v>
      </c>
      <c r="AJ595">
        <v>1</v>
      </c>
      <c r="AK595">
        <v>1</v>
      </c>
      <c r="AL595">
        <v>1</v>
      </c>
      <c r="AN595">
        <v>0</v>
      </c>
      <c r="AO595">
        <v>1</v>
      </c>
      <c r="AP595">
        <v>0</v>
      </c>
      <c r="AQ595">
        <v>0</v>
      </c>
      <c r="AR595">
        <v>0</v>
      </c>
      <c r="AS595" t="s">
        <v>6</v>
      </c>
      <c r="AT595">
        <v>0.22</v>
      </c>
      <c r="AU595" t="s">
        <v>6</v>
      </c>
      <c r="AV595">
        <v>0</v>
      </c>
      <c r="AW595">
        <v>2</v>
      </c>
      <c r="AX595">
        <v>16751421</v>
      </c>
      <c r="AY595">
        <v>1</v>
      </c>
      <c r="AZ595">
        <v>0</v>
      </c>
      <c r="BA595">
        <v>546</v>
      </c>
      <c r="BB595">
        <v>0</v>
      </c>
      <c r="BC595">
        <v>0</v>
      </c>
      <c r="BD595">
        <v>0</v>
      </c>
      <c r="BE595">
        <v>0</v>
      </c>
      <c r="BF595">
        <v>0</v>
      </c>
      <c r="BG595">
        <v>0</v>
      </c>
      <c r="BH595">
        <v>0</v>
      </c>
      <c r="BI595">
        <v>0</v>
      </c>
      <c r="BJ595">
        <v>0</v>
      </c>
      <c r="BK595">
        <v>0</v>
      </c>
      <c r="BL595">
        <v>0</v>
      </c>
      <c r="BM595">
        <v>0</v>
      </c>
      <c r="BN595">
        <v>0</v>
      </c>
      <c r="BO595">
        <v>0</v>
      </c>
      <c r="BP595">
        <v>0</v>
      </c>
      <c r="BQ595">
        <v>0</v>
      </c>
      <c r="BR595">
        <v>0</v>
      </c>
      <c r="BS595">
        <v>0</v>
      </c>
      <c r="BT595">
        <v>0</v>
      </c>
      <c r="BU595">
        <v>0</v>
      </c>
      <c r="BV595">
        <v>0</v>
      </c>
      <c r="BW595">
        <v>0</v>
      </c>
      <c r="CX595">
        <f>Y595*Source!I380</f>
        <v>1.1000000000000001</v>
      </c>
      <c r="CY595">
        <f>AA595</f>
        <v>1</v>
      </c>
      <c r="CZ595">
        <f>AE595</f>
        <v>1</v>
      </c>
      <c r="DA595">
        <f>AI595</f>
        <v>1</v>
      </c>
      <c r="DB595">
        <f t="shared" si="90"/>
        <v>0.22</v>
      </c>
      <c r="DC595">
        <f t="shared" si="91"/>
        <v>0</v>
      </c>
    </row>
    <row r="596" spans="1:107" x14ac:dyDescent="0.2">
      <c r="A596">
        <f>ROW(Source!A384)</f>
        <v>384</v>
      </c>
      <c r="B596">
        <v>16748969</v>
      </c>
      <c r="C596">
        <v>16751425</v>
      </c>
      <c r="D596">
        <v>15430767</v>
      </c>
      <c r="E596">
        <v>1</v>
      </c>
      <c r="F596">
        <v>1</v>
      </c>
      <c r="G596">
        <v>1</v>
      </c>
      <c r="H596">
        <v>1</v>
      </c>
      <c r="I596" t="s">
        <v>1070</v>
      </c>
      <c r="J596" t="s">
        <v>6</v>
      </c>
      <c r="K596" t="s">
        <v>1071</v>
      </c>
      <c r="L596">
        <v>1191</v>
      </c>
      <c r="N596">
        <v>1013</v>
      </c>
      <c r="O596" t="s">
        <v>1072</v>
      </c>
      <c r="P596" t="s">
        <v>1072</v>
      </c>
      <c r="Q596">
        <v>1</v>
      </c>
      <c r="W596">
        <v>0</v>
      </c>
      <c r="X596">
        <v>-400197608</v>
      </c>
      <c r="Y596">
        <v>5.49</v>
      </c>
      <c r="AA596">
        <v>0</v>
      </c>
      <c r="AB596">
        <v>0</v>
      </c>
      <c r="AC596">
        <v>0</v>
      </c>
      <c r="AD596">
        <v>55.96</v>
      </c>
      <c r="AE596">
        <v>0</v>
      </c>
      <c r="AF596">
        <v>0</v>
      </c>
      <c r="AG596">
        <v>0</v>
      </c>
      <c r="AH596">
        <v>8.5299999999999994</v>
      </c>
      <c r="AI596">
        <v>1</v>
      </c>
      <c r="AJ596">
        <v>1</v>
      </c>
      <c r="AK596">
        <v>1</v>
      </c>
      <c r="AL596">
        <v>6.56</v>
      </c>
      <c r="AN596">
        <v>0</v>
      </c>
      <c r="AO596">
        <v>1</v>
      </c>
      <c r="AP596">
        <v>0</v>
      </c>
      <c r="AQ596">
        <v>0</v>
      </c>
      <c r="AR596">
        <v>0</v>
      </c>
      <c r="AS596" t="s">
        <v>6</v>
      </c>
      <c r="AT596">
        <v>5.49</v>
      </c>
      <c r="AU596" t="s">
        <v>6</v>
      </c>
      <c r="AV596">
        <v>1</v>
      </c>
      <c r="AW596">
        <v>2</v>
      </c>
      <c r="AX596">
        <v>16751427</v>
      </c>
      <c r="AY596">
        <v>1</v>
      </c>
      <c r="AZ596">
        <v>0</v>
      </c>
      <c r="BA596">
        <v>547</v>
      </c>
      <c r="BB596">
        <v>0</v>
      </c>
      <c r="BC596">
        <v>0</v>
      </c>
      <c r="BD596">
        <v>0</v>
      </c>
      <c r="BE596">
        <v>0</v>
      </c>
      <c r="BF596">
        <v>0</v>
      </c>
      <c r="BG596">
        <v>0</v>
      </c>
      <c r="BH596">
        <v>0</v>
      </c>
      <c r="BI596">
        <v>0</v>
      </c>
      <c r="BJ596">
        <v>0</v>
      </c>
      <c r="BK596">
        <v>0</v>
      </c>
      <c r="BL596">
        <v>0</v>
      </c>
      <c r="BM596">
        <v>0</v>
      </c>
      <c r="BN596">
        <v>0</v>
      </c>
      <c r="BO596">
        <v>0</v>
      </c>
      <c r="BP596">
        <v>0</v>
      </c>
      <c r="BQ596">
        <v>0</v>
      </c>
      <c r="BR596">
        <v>0</v>
      </c>
      <c r="BS596">
        <v>0</v>
      </c>
      <c r="BT596">
        <v>0</v>
      </c>
      <c r="BU596">
        <v>0</v>
      </c>
      <c r="BV596">
        <v>0</v>
      </c>
      <c r="BW596">
        <v>0</v>
      </c>
      <c r="CX596">
        <f>Y596*Source!I384</f>
        <v>0.38430000000000003</v>
      </c>
      <c r="CY596">
        <f>AD596</f>
        <v>55.96</v>
      </c>
      <c r="CZ596">
        <f>AH596</f>
        <v>8.5299999999999994</v>
      </c>
      <c r="DA596">
        <f>AL596</f>
        <v>6.56</v>
      </c>
      <c r="DB596">
        <f t="shared" si="90"/>
        <v>46.83</v>
      </c>
      <c r="DC596">
        <f t="shared" si="91"/>
        <v>0</v>
      </c>
    </row>
    <row r="597" spans="1:107" x14ac:dyDescent="0.2">
      <c r="A597">
        <f>ROW(Source!A385)</f>
        <v>385</v>
      </c>
      <c r="B597">
        <v>16748969</v>
      </c>
      <c r="C597">
        <v>16751429</v>
      </c>
      <c r="D597">
        <v>15430397</v>
      </c>
      <c r="E597">
        <v>1</v>
      </c>
      <c r="F597">
        <v>1</v>
      </c>
      <c r="G597">
        <v>1</v>
      </c>
      <c r="H597">
        <v>1</v>
      </c>
      <c r="I597" t="s">
        <v>1234</v>
      </c>
      <c r="J597" t="s">
        <v>6</v>
      </c>
      <c r="K597" t="s">
        <v>1235</v>
      </c>
      <c r="L597">
        <v>1191</v>
      </c>
      <c r="N597">
        <v>1013</v>
      </c>
      <c r="O597" t="s">
        <v>1072</v>
      </c>
      <c r="P597" t="s">
        <v>1072</v>
      </c>
      <c r="Q597">
        <v>1</v>
      </c>
      <c r="W597">
        <v>0</v>
      </c>
      <c r="X597">
        <v>-1081351934</v>
      </c>
      <c r="Y597">
        <v>15.28</v>
      </c>
      <c r="AA597">
        <v>0</v>
      </c>
      <c r="AB597">
        <v>0</v>
      </c>
      <c r="AC597">
        <v>0</v>
      </c>
      <c r="AD597">
        <v>61.66</v>
      </c>
      <c r="AE597">
        <v>0</v>
      </c>
      <c r="AF597">
        <v>0</v>
      </c>
      <c r="AG597">
        <v>0</v>
      </c>
      <c r="AH597">
        <v>9.4</v>
      </c>
      <c r="AI597">
        <v>1</v>
      </c>
      <c r="AJ597">
        <v>1</v>
      </c>
      <c r="AK597">
        <v>1</v>
      </c>
      <c r="AL597">
        <v>6.56</v>
      </c>
      <c r="AN597">
        <v>0</v>
      </c>
      <c r="AO597">
        <v>1</v>
      </c>
      <c r="AP597">
        <v>0</v>
      </c>
      <c r="AQ597">
        <v>0</v>
      </c>
      <c r="AR597">
        <v>0</v>
      </c>
      <c r="AS597" t="s">
        <v>6</v>
      </c>
      <c r="AT597">
        <v>15.28</v>
      </c>
      <c r="AU597" t="s">
        <v>6</v>
      </c>
      <c r="AV597">
        <v>1</v>
      </c>
      <c r="AW597">
        <v>2</v>
      </c>
      <c r="AX597">
        <v>16751441</v>
      </c>
      <c r="AY597">
        <v>1</v>
      </c>
      <c r="AZ597">
        <v>0</v>
      </c>
      <c r="BA597">
        <v>549</v>
      </c>
      <c r="BB597">
        <v>0</v>
      </c>
      <c r="BC597">
        <v>0</v>
      </c>
      <c r="BD597">
        <v>0</v>
      </c>
      <c r="BE597">
        <v>0</v>
      </c>
      <c r="BF597">
        <v>0</v>
      </c>
      <c r="BG597">
        <v>0</v>
      </c>
      <c r="BH597">
        <v>0</v>
      </c>
      <c r="BI597">
        <v>0</v>
      </c>
      <c r="BJ597">
        <v>0</v>
      </c>
      <c r="BK597">
        <v>0</v>
      </c>
      <c r="BL597">
        <v>0</v>
      </c>
      <c r="BM597">
        <v>0</v>
      </c>
      <c r="BN597">
        <v>0</v>
      </c>
      <c r="BO597">
        <v>0</v>
      </c>
      <c r="BP597">
        <v>0</v>
      </c>
      <c r="BQ597">
        <v>0</v>
      </c>
      <c r="BR597">
        <v>0</v>
      </c>
      <c r="BS597">
        <v>0</v>
      </c>
      <c r="BT597">
        <v>0</v>
      </c>
      <c r="BU597">
        <v>0</v>
      </c>
      <c r="BV597">
        <v>0</v>
      </c>
      <c r="BW597">
        <v>0</v>
      </c>
      <c r="CX597">
        <f>Y597*Source!I385</f>
        <v>0.64176</v>
      </c>
      <c r="CY597">
        <f>AD597</f>
        <v>61.66</v>
      </c>
      <c r="CZ597">
        <f>AH597</f>
        <v>9.4</v>
      </c>
      <c r="DA597">
        <f>AL597</f>
        <v>6.56</v>
      </c>
      <c r="DB597">
        <f t="shared" si="90"/>
        <v>143.63</v>
      </c>
      <c r="DC597">
        <f t="shared" si="91"/>
        <v>0</v>
      </c>
    </row>
    <row r="598" spans="1:107" x14ac:dyDescent="0.2">
      <c r="A598">
        <f>ROW(Source!A385)</f>
        <v>385</v>
      </c>
      <c r="B598">
        <v>16748969</v>
      </c>
      <c r="C598">
        <v>16751429</v>
      </c>
      <c r="D598">
        <v>15430395</v>
      </c>
      <c r="E598">
        <v>1</v>
      </c>
      <c r="F598">
        <v>1</v>
      </c>
      <c r="G598">
        <v>1</v>
      </c>
      <c r="H598">
        <v>1</v>
      </c>
      <c r="I598" t="s">
        <v>1073</v>
      </c>
      <c r="J598" t="s">
        <v>6</v>
      </c>
      <c r="K598" t="s">
        <v>1074</v>
      </c>
      <c r="L598">
        <v>1191</v>
      </c>
      <c r="N598">
        <v>1013</v>
      </c>
      <c r="O598" t="s">
        <v>1072</v>
      </c>
      <c r="P598" t="s">
        <v>1072</v>
      </c>
      <c r="Q598">
        <v>1</v>
      </c>
      <c r="W598">
        <v>0</v>
      </c>
      <c r="X598">
        <v>-1417349443</v>
      </c>
      <c r="Y598">
        <v>0.22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0</v>
      </c>
      <c r="AG598">
        <v>0</v>
      </c>
      <c r="AH598">
        <v>0</v>
      </c>
      <c r="AI598">
        <v>1</v>
      </c>
      <c r="AJ598">
        <v>1</v>
      </c>
      <c r="AK598">
        <v>6.56</v>
      </c>
      <c r="AL598">
        <v>1</v>
      </c>
      <c r="AN598">
        <v>0</v>
      </c>
      <c r="AO598">
        <v>1</v>
      </c>
      <c r="AP598">
        <v>0</v>
      </c>
      <c r="AQ598">
        <v>0</v>
      </c>
      <c r="AR598">
        <v>0</v>
      </c>
      <c r="AS598" t="s">
        <v>6</v>
      </c>
      <c r="AT598">
        <v>0.22</v>
      </c>
      <c r="AU598" t="s">
        <v>6</v>
      </c>
      <c r="AV598">
        <v>2</v>
      </c>
      <c r="AW598">
        <v>2</v>
      </c>
      <c r="AX598">
        <v>16751442</v>
      </c>
      <c r="AY598">
        <v>1</v>
      </c>
      <c r="AZ598">
        <v>0</v>
      </c>
      <c r="BA598">
        <v>550</v>
      </c>
      <c r="BB598">
        <v>0</v>
      </c>
      <c r="BC598">
        <v>0</v>
      </c>
      <c r="BD598">
        <v>0</v>
      </c>
      <c r="BE598">
        <v>0</v>
      </c>
      <c r="BF598">
        <v>0</v>
      </c>
      <c r="BG598">
        <v>0</v>
      </c>
      <c r="BH598">
        <v>0</v>
      </c>
      <c r="BI598">
        <v>0</v>
      </c>
      <c r="BJ598">
        <v>0</v>
      </c>
      <c r="BK598">
        <v>0</v>
      </c>
      <c r="BL598">
        <v>0</v>
      </c>
      <c r="BM598">
        <v>0</v>
      </c>
      <c r="BN598">
        <v>0</v>
      </c>
      <c r="BO598">
        <v>0</v>
      </c>
      <c r="BP598">
        <v>0</v>
      </c>
      <c r="BQ598">
        <v>0</v>
      </c>
      <c r="BR598">
        <v>0</v>
      </c>
      <c r="BS598">
        <v>0</v>
      </c>
      <c r="BT598">
        <v>0</v>
      </c>
      <c r="BU598">
        <v>0</v>
      </c>
      <c r="BV598">
        <v>0</v>
      </c>
      <c r="BW598">
        <v>0</v>
      </c>
      <c r="CX598">
        <f>Y598*Source!I385</f>
        <v>9.2399999999999999E-3</v>
      </c>
      <c r="CY598">
        <f>AD598</f>
        <v>0</v>
      </c>
      <c r="CZ598">
        <f>AH598</f>
        <v>0</v>
      </c>
      <c r="DA598">
        <f>AL598</f>
        <v>1</v>
      </c>
      <c r="DB598">
        <f t="shared" si="90"/>
        <v>0</v>
      </c>
      <c r="DC598">
        <f t="shared" si="91"/>
        <v>0</v>
      </c>
    </row>
    <row r="599" spans="1:107" x14ac:dyDescent="0.2">
      <c r="A599">
        <f>ROW(Source!A385)</f>
        <v>385</v>
      </c>
      <c r="B599">
        <v>16748969</v>
      </c>
      <c r="C599">
        <v>16751429</v>
      </c>
      <c r="D599">
        <v>15247680</v>
      </c>
      <c r="E599">
        <v>1</v>
      </c>
      <c r="F599">
        <v>1</v>
      </c>
      <c r="G599">
        <v>1</v>
      </c>
      <c r="H599">
        <v>2</v>
      </c>
      <c r="I599" t="s">
        <v>1211</v>
      </c>
      <c r="J599" t="s">
        <v>1212</v>
      </c>
      <c r="K599" t="s">
        <v>1213</v>
      </c>
      <c r="L599">
        <v>1368</v>
      </c>
      <c r="N599">
        <v>1011</v>
      </c>
      <c r="O599" t="s">
        <v>1078</v>
      </c>
      <c r="P599" t="s">
        <v>1078</v>
      </c>
      <c r="Q599">
        <v>1</v>
      </c>
      <c r="W599">
        <v>0</v>
      </c>
      <c r="X599">
        <v>-1718674368</v>
      </c>
      <c r="Y599">
        <v>0.11</v>
      </c>
      <c r="AA599">
        <v>0</v>
      </c>
      <c r="AB599">
        <v>734.65</v>
      </c>
      <c r="AC599">
        <v>13.5</v>
      </c>
      <c r="AD599">
        <v>0</v>
      </c>
      <c r="AE599">
        <v>0</v>
      </c>
      <c r="AF599">
        <v>111.99</v>
      </c>
      <c r="AG599">
        <v>13.5</v>
      </c>
      <c r="AH599">
        <v>0</v>
      </c>
      <c r="AI599">
        <v>1</v>
      </c>
      <c r="AJ599">
        <v>6.56</v>
      </c>
      <c r="AK599">
        <v>1</v>
      </c>
      <c r="AL599">
        <v>1</v>
      </c>
      <c r="AN599">
        <v>0</v>
      </c>
      <c r="AO599">
        <v>1</v>
      </c>
      <c r="AP599">
        <v>0</v>
      </c>
      <c r="AQ599">
        <v>0</v>
      </c>
      <c r="AR599">
        <v>0</v>
      </c>
      <c r="AS599" t="s">
        <v>6</v>
      </c>
      <c r="AT599">
        <v>0.11</v>
      </c>
      <c r="AU599" t="s">
        <v>6</v>
      </c>
      <c r="AV599">
        <v>0</v>
      </c>
      <c r="AW599">
        <v>2</v>
      </c>
      <c r="AX599">
        <v>16751443</v>
      </c>
      <c r="AY599">
        <v>1</v>
      </c>
      <c r="AZ599">
        <v>0</v>
      </c>
      <c r="BA599">
        <v>551</v>
      </c>
      <c r="BB599">
        <v>0</v>
      </c>
      <c r="BC599">
        <v>0</v>
      </c>
      <c r="BD599">
        <v>0</v>
      </c>
      <c r="BE599">
        <v>0</v>
      </c>
      <c r="BF599">
        <v>0</v>
      </c>
      <c r="BG599">
        <v>0</v>
      </c>
      <c r="BH599">
        <v>0</v>
      </c>
      <c r="BI599">
        <v>0</v>
      </c>
      <c r="BJ599">
        <v>0</v>
      </c>
      <c r="BK599">
        <v>0</v>
      </c>
      <c r="BL599">
        <v>0</v>
      </c>
      <c r="BM599">
        <v>0</v>
      </c>
      <c r="BN599">
        <v>0</v>
      </c>
      <c r="BO599">
        <v>0</v>
      </c>
      <c r="BP599">
        <v>0</v>
      </c>
      <c r="BQ599">
        <v>0</v>
      </c>
      <c r="BR599">
        <v>0</v>
      </c>
      <c r="BS599">
        <v>0</v>
      </c>
      <c r="BT599">
        <v>0</v>
      </c>
      <c r="BU599">
        <v>0</v>
      </c>
      <c r="BV599">
        <v>0</v>
      </c>
      <c r="BW599">
        <v>0</v>
      </c>
      <c r="CX599">
        <f>Y599*Source!I385</f>
        <v>4.62E-3</v>
      </c>
      <c r="CY599">
        <f>AB599</f>
        <v>734.65</v>
      </c>
      <c r="CZ599">
        <f>AF599</f>
        <v>111.99</v>
      </c>
      <c r="DA599">
        <f>AJ599</f>
        <v>6.56</v>
      </c>
      <c r="DB599">
        <f t="shared" si="90"/>
        <v>12.32</v>
      </c>
      <c r="DC599">
        <f t="shared" si="91"/>
        <v>1.49</v>
      </c>
    </row>
    <row r="600" spans="1:107" x14ac:dyDescent="0.2">
      <c r="A600">
        <f>ROW(Source!A385)</f>
        <v>385</v>
      </c>
      <c r="B600">
        <v>16748969</v>
      </c>
      <c r="C600">
        <v>16751429</v>
      </c>
      <c r="D600">
        <v>15249073</v>
      </c>
      <c r="E600">
        <v>1</v>
      </c>
      <c r="F600">
        <v>1</v>
      </c>
      <c r="G600">
        <v>1</v>
      </c>
      <c r="H600">
        <v>2</v>
      </c>
      <c r="I600" t="s">
        <v>1097</v>
      </c>
      <c r="J600" t="s">
        <v>1098</v>
      </c>
      <c r="K600" t="s">
        <v>1099</v>
      </c>
      <c r="L600">
        <v>1368</v>
      </c>
      <c r="N600">
        <v>1011</v>
      </c>
      <c r="O600" t="s">
        <v>1078</v>
      </c>
      <c r="P600" t="s">
        <v>1078</v>
      </c>
      <c r="Q600">
        <v>1</v>
      </c>
      <c r="W600">
        <v>0</v>
      </c>
      <c r="X600">
        <v>1372534845</v>
      </c>
      <c r="Y600">
        <v>0.11</v>
      </c>
      <c r="AA600">
        <v>0</v>
      </c>
      <c r="AB600">
        <v>431.06</v>
      </c>
      <c r="AC600">
        <v>11.6</v>
      </c>
      <c r="AD600">
        <v>0</v>
      </c>
      <c r="AE600">
        <v>0</v>
      </c>
      <c r="AF600">
        <v>65.709999999999994</v>
      </c>
      <c r="AG600">
        <v>11.6</v>
      </c>
      <c r="AH600">
        <v>0</v>
      </c>
      <c r="AI600">
        <v>1</v>
      </c>
      <c r="AJ600">
        <v>6.56</v>
      </c>
      <c r="AK600">
        <v>1</v>
      </c>
      <c r="AL600">
        <v>1</v>
      </c>
      <c r="AN600">
        <v>0</v>
      </c>
      <c r="AO600">
        <v>1</v>
      </c>
      <c r="AP600">
        <v>0</v>
      </c>
      <c r="AQ600">
        <v>0</v>
      </c>
      <c r="AR600">
        <v>0</v>
      </c>
      <c r="AS600" t="s">
        <v>6</v>
      </c>
      <c r="AT600">
        <v>0.11</v>
      </c>
      <c r="AU600" t="s">
        <v>6</v>
      </c>
      <c r="AV600">
        <v>0</v>
      </c>
      <c r="AW600">
        <v>2</v>
      </c>
      <c r="AX600">
        <v>16751444</v>
      </c>
      <c r="AY600">
        <v>1</v>
      </c>
      <c r="AZ600">
        <v>0</v>
      </c>
      <c r="BA600">
        <v>552</v>
      </c>
      <c r="BB600">
        <v>0</v>
      </c>
      <c r="BC600">
        <v>0</v>
      </c>
      <c r="BD600">
        <v>0</v>
      </c>
      <c r="BE600">
        <v>0</v>
      </c>
      <c r="BF600">
        <v>0</v>
      </c>
      <c r="BG600">
        <v>0</v>
      </c>
      <c r="BH600">
        <v>0</v>
      </c>
      <c r="BI600">
        <v>0</v>
      </c>
      <c r="BJ600">
        <v>0</v>
      </c>
      <c r="BK600">
        <v>0</v>
      </c>
      <c r="BL600">
        <v>0</v>
      </c>
      <c r="BM600">
        <v>0</v>
      </c>
      <c r="BN600">
        <v>0</v>
      </c>
      <c r="BO600">
        <v>0</v>
      </c>
      <c r="BP600">
        <v>0</v>
      </c>
      <c r="BQ600">
        <v>0</v>
      </c>
      <c r="BR600">
        <v>0</v>
      </c>
      <c r="BS600">
        <v>0</v>
      </c>
      <c r="BT600">
        <v>0</v>
      </c>
      <c r="BU600">
        <v>0</v>
      </c>
      <c r="BV600">
        <v>0</v>
      </c>
      <c r="BW600">
        <v>0</v>
      </c>
      <c r="CX600">
        <f>Y600*Source!I385</f>
        <v>4.62E-3</v>
      </c>
      <c r="CY600">
        <f>AB600</f>
        <v>431.06</v>
      </c>
      <c r="CZ600">
        <f>AF600</f>
        <v>65.709999999999994</v>
      </c>
      <c r="DA600">
        <f>AJ600</f>
        <v>6.56</v>
      </c>
      <c r="DB600">
        <f t="shared" si="90"/>
        <v>7.23</v>
      </c>
      <c r="DC600">
        <f t="shared" si="91"/>
        <v>1.28</v>
      </c>
    </row>
    <row r="601" spans="1:107" x14ac:dyDescent="0.2">
      <c r="A601">
        <f>ROW(Source!A385)</f>
        <v>385</v>
      </c>
      <c r="B601">
        <v>16748969</v>
      </c>
      <c r="C601">
        <v>16751429</v>
      </c>
      <c r="D601">
        <v>15172838</v>
      </c>
      <c r="E601">
        <v>1</v>
      </c>
      <c r="F601">
        <v>1</v>
      </c>
      <c r="G601">
        <v>1</v>
      </c>
      <c r="H601">
        <v>3</v>
      </c>
      <c r="I601" t="s">
        <v>1422</v>
      </c>
      <c r="J601" t="s">
        <v>1423</v>
      </c>
      <c r="K601" t="s">
        <v>1424</v>
      </c>
      <c r="L601">
        <v>1339</v>
      </c>
      <c r="N601">
        <v>1007</v>
      </c>
      <c r="O601" t="s">
        <v>283</v>
      </c>
      <c r="P601" t="s">
        <v>283</v>
      </c>
      <c r="Q601">
        <v>1</v>
      </c>
      <c r="W601">
        <v>0</v>
      </c>
      <c r="X601">
        <v>536744769</v>
      </c>
      <c r="Y601">
        <v>2.1000000000000001E-2</v>
      </c>
      <c r="AA601">
        <v>3936</v>
      </c>
      <c r="AB601">
        <v>0</v>
      </c>
      <c r="AC601">
        <v>0</v>
      </c>
      <c r="AD601">
        <v>0</v>
      </c>
      <c r="AE601">
        <v>600</v>
      </c>
      <c r="AF601">
        <v>0</v>
      </c>
      <c r="AG601">
        <v>0</v>
      </c>
      <c r="AH601">
        <v>0</v>
      </c>
      <c r="AI601">
        <v>6.56</v>
      </c>
      <c r="AJ601">
        <v>1</v>
      </c>
      <c r="AK601">
        <v>1</v>
      </c>
      <c r="AL601">
        <v>1</v>
      </c>
      <c r="AN601">
        <v>0</v>
      </c>
      <c r="AO601">
        <v>1</v>
      </c>
      <c r="AP601">
        <v>0</v>
      </c>
      <c r="AQ601">
        <v>0</v>
      </c>
      <c r="AR601">
        <v>0</v>
      </c>
      <c r="AS601" t="s">
        <v>6</v>
      </c>
      <c r="AT601">
        <v>2.1000000000000001E-2</v>
      </c>
      <c r="AU601" t="s">
        <v>6</v>
      </c>
      <c r="AV601">
        <v>0</v>
      </c>
      <c r="AW601">
        <v>2</v>
      </c>
      <c r="AX601">
        <v>16751445</v>
      </c>
      <c r="AY601">
        <v>1</v>
      </c>
      <c r="AZ601">
        <v>0</v>
      </c>
      <c r="BA601">
        <v>553</v>
      </c>
      <c r="BB601">
        <v>0</v>
      </c>
      <c r="BC601">
        <v>0</v>
      </c>
      <c r="BD601">
        <v>0</v>
      </c>
      <c r="BE601">
        <v>0</v>
      </c>
      <c r="BF601">
        <v>0</v>
      </c>
      <c r="BG601">
        <v>0</v>
      </c>
      <c r="BH601">
        <v>0</v>
      </c>
      <c r="BI601">
        <v>0</v>
      </c>
      <c r="BJ601">
        <v>0</v>
      </c>
      <c r="BK601">
        <v>0</v>
      </c>
      <c r="BL601">
        <v>0</v>
      </c>
      <c r="BM601">
        <v>0</v>
      </c>
      <c r="BN601">
        <v>0</v>
      </c>
      <c r="BO601">
        <v>0</v>
      </c>
      <c r="BP601">
        <v>0</v>
      </c>
      <c r="BQ601">
        <v>0</v>
      </c>
      <c r="BR601">
        <v>0</v>
      </c>
      <c r="BS601">
        <v>0</v>
      </c>
      <c r="BT601">
        <v>0</v>
      </c>
      <c r="BU601">
        <v>0</v>
      </c>
      <c r="BV601">
        <v>0</v>
      </c>
      <c r="BW601">
        <v>0</v>
      </c>
      <c r="CX601">
        <f>Y601*Source!I385</f>
        <v>8.8200000000000008E-4</v>
      </c>
      <c r="CY601">
        <f t="shared" ref="CY601:CY607" si="98">AA601</f>
        <v>3936</v>
      </c>
      <c r="CZ601">
        <f t="shared" ref="CZ601:CZ607" si="99">AE601</f>
        <v>600</v>
      </c>
      <c r="DA601">
        <f t="shared" ref="DA601:DA607" si="100">AI601</f>
        <v>6.56</v>
      </c>
      <c r="DB601">
        <f t="shared" si="90"/>
        <v>12.6</v>
      </c>
      <c r="DC601">
        <f t="shared" si="91"/>
        <v>0</v>
      </c>
    </row>
    <row r="602" spans="1:107" x14ac:dyDescent="0.2">
      <c r="A602">
        <f>ROW(Source!A385)</f>
        <v>385</v>
      </c>
      <c r="B602">
        <v>16748969</v>
      </c>
      <c r="C602">
        <v>16751429</v>
      </c>
      <c r="D602">
        <v>15202442</v>
      </c>
      <c r="E602">
        <v>1</v>
      </c>
      <c r="F602">
        <v>1</v>
      </c>
      <c r="G602">
        <v>1</v>
      </c>
      <c r="H602">
        <v>3</v>
      </c>
      <c r="I602" t="s">
        <v>1425</v>
      </c>
      <c r="J602" t="s">
        <v>1426</v>
      </c>
      <c r="K602" t="s">
        <v>1427</v>
      </c>
      <c r="L602">
        <v>1346</v>
      </c>
      <c r="N602">
        <v>1009</v>
      </c>
      <c r="O602" t="s">
        <v>323</v>
      </c>
      <c r="P602" t="s">
        <v>323</v>
      </c>
      <c r="Q602">
        <v>1</v>
      </c>
      <c r="W602">
        <v>0</v>
      </c>
      <c r="X602">
        <v>505519491</v>
      </c>
      <c r="Y602">
        <v>0.4</v>
      </c>
      <c r="AA602">
        <v>169.25</v>
      </c>
      <c r="AB602">
        <v>0</v>
      </c>
      <c r="AC602">
        <v>0</v>
      </c>
      <c r="AD602">
        <v>0</v>
      </c>
      <c r="AE602">
        <v>25.8</v>
      </c>
      <c r="AF602">
        <v>0</v>
      </c>
      <c r="AG602">
        <v>0</v>
      </c>
      <c r="AH602">
        <v>0</v>
      </c>
      <c r="AI602">
        <v>6.56</v>
      </c>
      <c r="AJ602">
        <v>1</v>
      </c>
      <c r="AK602">
        <v>1</v>
      </c>
      <c r="AL602">
        <v>1</v>
      </c>
      <c r="AN602">
        <v>0</v>
      </c>
      <c r="AO602">
        <v>1</v>
      </c>
      <c r="AP602">
        <v>0</v>
      </c>
      <c r="AQ602">
        <v>0</v>
      </c>
      <c r="AR602">
        <v>0</v>
      </c>
      <c r="AS602" t="s">
        <v>6</v>
      </c>
      <c r="AT602">
        <v>0.4</v>
      </c>
      <c r="AU602" t="s">
        <v>6</v>
      </c>
      <c r="AV602">
        <v>0</v>
      </c>
      <c r="AW602">
        <v>2</v>
      </c>
      <c r="AX602">
        <v>16751446</v>
      </c>
      <c r="AY602">
        <v>1</v>
      </c>
      <c r="AZ602">
        <v>0</v>
      </c>
      <c r="BA602">
        <v>554</v>
      </c>
      <c r="BB602">
        <v>0</v>
      </c>
      <c r="BC602">
        <v>0</v>
      </c>
      <c r="BD602">
        <v>0</v>
      </c>
      <c r="BE602">
        <v>0</v>
      </c>
      <c r="BF602">
        <v>0</v>
      </c>
      <c r="BG602">
        <v>0</v>
      </c>
      <c r="BH602">
        <v>0</v>
      </c>
      <c r="BI602">
        <v>0</v>
      </c>
      <c r="BJ602">
        <v>0</v>
      </c>
      <c r="BK602">
        <v>0</v>
      </c>
      <c r="BL602">
        <v>0</v>
      </c>
      <c r="BM602">
        <v>0</v>
      </c>
      <c r="BN602">
        <v>0</v>
      </c>
      <c r="BO602">
        <v>0</v>
      </c>
      <c r="BP602">
        <v>0</v>
      </c>
      <c r="BQ602">
        <v>0</v>
      </c>
      <c r="BR602">
        <v>0</v>
      </c>
      <c r="BS602">
        <v>0</v>
      </c>
      <c r="BT602">
        <v>0</v>
      </c>
      <c r="BU602">
        <v>0</v>
      </c>
      <c r="BV602">
        <v>0</v>
      </c>
      <c r="BW602">
        <v>0</v>
      </c>
      <c r="CX602">
        <f>Y602*Source!I385</f>
        <v>1.6800000000000002E-2</v>
      </c>
      <c r="CY602">
        <f t="shared" si="98"/>
        <v>169.25</v>
      </c>
      <c r="CZ602">
        <f t="shared" si="99"/>
        <v>25.8</v>
      </c>
      <c r="DA602">
        <f t="shared" si="100"/>
        <v>6.56</v>
      </c>
      <c r="DB602">
        <f t="shared" si="90"/>
        <v>10.32</v>
      </c>
      <c r="DC602">
        <f t="shared" si="91"/>
        <v>0</v>
      </c>
    </row>
    <row r="603" spans="1:107" x14ac:dyDescent="0.2">
      <c r="A603">
        <f>ROW(Source!A385)</f>
        <v>385</v>
      </c>
      <c r="B603">
        <v>16748969</v>
      </c>
      <c r="C603">
        <v>16751429</v>
      </c>
      <c r="D603">
        <v>15217585</v>
      </c>
      <c r="E603">
        <v>1</v>
      </c>
      <c r="F603">
        <v>1</v>
      </c>
      <c r="G603">
        <v>1</v>
      </c>
      <c r="H603">
        <v>3</v>
      </c>
      <c r="I603" t="s">
        <v>1428</v>
      </c>
      <c r="J603" t="s">
        <v>1429</v>
      </c>
      <c r="K603" t="s">
        <v>1430</v>
      </c>
      <c r="L603">
        <v>1356</v>
      </c>
      <c r="N603">
        <v>1010</v>
      </c>
      <c r="O603" t="s">
        <v>288</v>
      </c>
      <c r="P603" t="s">
        <v>288</v>
      </c>
      <c r="Q603">
        <v>1000</v>
      </c>
      <c r="W603">
        <v>0</v>
      </c>
      <c r="X603">
        <v>40709342</v>
      </c>
      <c r="Y603">
        <v>3.2000000000000001E-2</v>
      </c>
      <c r="AA603">
        <v>1771.2</v>
      </c>
      <c r="AB603">
        <v>0</v>
      </c>
      <c r="AC603">
        <v>0</v>
      </c>
      <c r="AD603">
        <v>0</v>
      </c>
      <c r="AE603">
        <v>270</v>
      </c>
      <c r="AF603">
        <v>0</v>
      </c>
      <c r="AG603">
        <v>0</v>
      </c>
      <c r="AH603">
        <v>0</v>
      </c>
      <c r="AI603">
        <v>6.56</v>
      </c>
      <c r="AJ603">
        <v>1</v>
      </c>
      <c r="AK603">
        <v>1</v>
      </c>
      <c r="AL603">
        <v>1</v>
      </c>
      <c r="AN603">
        <v>0</v>
      </c>
      <c r="AO603">
        <v>1</v>
      </c>
      <c r="AP603">
        <v>0</v>
      </c>
      <c r="AQ603">
        <v>0</v>
      </c>
      <c r="AR603">
        <v>0</v>
      </c>
      <c r="AS603" t="s">
        <v>6</v>
      </c>
      <c r="AT603">
        <v>3.2000000000000001E-2</v>
      </c>
      <c r="AU603" t="s">
        <v>6</v>
      </c>
      <c r="AV603">
        <v>0</v>
      </c>
      <c r="AW603">
        <v>2</v>
      </c>
      <c r="AX603">
        <v>16751447</v>
      </c>
      <c r="AY603">
        <v>1</v>
      </c>
      <c r="AZ603">
        <v>0</v>
      </c>
      <c r="BA603">
        <v>555</v>
      </c>
      <c r="BB603">
        <v>0</v>
      </c>
      <c r="BC603">
        <v>0</v>
      </c>
      <c r="BD603">
        <v>0</v>
      </c>
      <c r="BE603">
        <v>0</v>
      </c>
      <c r="BF603">
        <v>0</v>
      </c>
      <c r="BG603">
        <v>0</v>
      </c>
      <c r="BH603">
        <v>0</v>
      </c>
      <c r="BI603">
        <v>0</v>
      </c>
      <c r="BJ603">
        <v>0</v>
      </c>
      <c r="BK603">
        <v>0</v>
      </c>
      <c r="BL603">
        <v>0</v>
      </c>
      <c r="BM603">
        <v>0</v>
      </c>
      <c r="BN603">
        <v>0</v>
      </c>
      <c r="BO603">
        <v>0</v>
      </c>
      <c r="BP603">
        <v>0</v>
      </c>
      <c r="BQ603">
        <v>0</v>
      </c>
      <c r="BR603">
        <v>0</v>
      </c>
      <c r="BS603">
        <v>0</v>
      </c>
      <c r="BT603">
        <v>0</v>
      </c>
      <c r="BU603">
        <v>0</v>
      </c>
      <c r="BV603">
        <v>0</v>
      </c>
      <c r="BW603">
        <v>0</v>
      </c>
      <c r="CX603">
        <f>Y603*Source!I385</f>
        <v>1.3440000000000001E-3</v>
      </c>
      <c r="CY603">
        <f t="shared" si="98"/>
        <v>1771.2</v>
      </c>
      <c r="CZ603">
        <f t="shared" si="99"/>
        <v>270</v>
      </c>
      <c r="DA603">
        <f t="shared" si="100"/>
        <v>6.56</v>
      </c>
      <c r="DB603">
        <f t="shared" si="90"/>
        <v>8.64</v>
      </c>
      <c r="DC603">
        <f t="shared" si="91"/>
        <v>0</v>
      </c>
    </row>
    <row r="604" spans="1:107" x14ac:dyDescent="0.2">
      <c r="A604">
        <f>ROW(Source!A385)</f>
        <v>385</v>
      </c>
      <c r="B604">
        <v>16748969</v>
      </c>
      <c r="C604">
        <v>16751429</v>
      </c>
      <c r="D604">
        <v>15217593</v>
      </c>
      <c r="E604">
        <v>1</v>
      </c>
      <c r="F604">
        <v>1</v>
      </c>
      <c r="G604">
        <v>1</v>
      </c>
      <c r="H604">
        <v>3</v>
      </c>
      <c r="I604" t="s">
        <v>1431</v>
      </c>
      <c r="J604" t="s">
        <v>1432</v>
      </c>
      <c r="K604" t="s">
        <v>1433</v>
      </c>
      <c r="L604">
        <v>1358</v>
      </c>
      <c r="N604">
        <v>1010</v>
      </c>
      <c r="O604" t="s">
        <v>615</v>
      </c>
      <c r="P604" t="s">
        <v>615</v>
      </c>
      <c r="Q604">
        <v>10</v>
      </c>
      <c r="W604">
        <v>0</v>
      </c>
      <c r="X604">
        <v>-1110089157</v>
      </c>
      <c r="Y604">
        <v>1</v>
      </c>
      <c r="AA604">
        <v>130.54</v>
      </c>
      <c r="AB604">
        <v>0</v>
      </c>
      <c r="AC604">
        <v>0</v>
      </c>
      <c r="AD604">
        <v>0</v>
      </c>
      <c r="AE604">
        <v>19.899999999999999</v>
      </c>
      <c r="AF604">
        <v>0</v>
      </c>
      <c r="AG604">
        <v>0</v>
      </c>
      <c r="AH604">
        <v>0</v>
      </c>
      <c r="AI604">
        <v>6.56</v>
      </c>
      <c r="AJ604">
        <v>1</v>
      </c>
      <c r="AK604">
        <v>1</v>
      </c>
      <c r="AL604">
        <v>1</v>
      </c>
      <c r="AN604">
        <v>0</v>
      </c>
      <c r="AO604">
        <v>1</v>
      </c>
      <c r="AP604">
        <v>0</v>
      </c>
      <c r="AQ604">
        <v>0</v>
      </c>
      <c r="AR604">
        <v>0</v>
      </c>
      <c r="AS604" t="s">
        <v>6</v>
      </c>
      <c r="AT604">
        <v>1</v>
      </c>
      <c r="AU604" t="s">
        <v>6</v>
      </c>
      <c r="AV604">
        <v>0</v>
      </c>
      <c r="AW604">
        <v>2</v>
      </c>
      <c r="AX604">
        <v>16751448</v>
      </c>
      <c r="AY604">
        <v>1</v>
      </c>
      <c r="AZ604">
        <v>0</v>
      </c>
      <c r="BA604">
        <v>556</v>
      </c>
      <c r="BB604">
        <v>0</v>
      </c>
      <c r="BC604">
        <v>0</v>
      </c>
      <c r="BD604">
        <v>0</v>
      </c>
      <c r="BE604">
        <v>0</v>
      </c>
      <c r="BF604">
        <v>0</v>
      </c>
      <c r="BG604">
        <v>0</v>
      </c>
      <c r="BH604">
        <v>0</v>
      </c>
      <c r="BI604">
        <v>0</v>
      </c>
      <c r="BJ604">
        <v>0</v>
      </c>
      <c r="BK604">
        <v>0</v>
      </c>
      <c r="BL604">
        <v>0</v>
      </c>
      <c r="BM604">
        <v>0</v>
      </c>
      <c r="BN604">
        <v>0</v>
      </c>
      <c r="BO604">
        <v>0</v>
      </c>
      <c r="BP604">
        <v>0</v>
      </c>
      <c r="BQ604">
        <v>0</v>
      </c>
      <c r="BR604">
        <v>0</v>
      </c>
      <c r="BS604">
        <v>0</v>
      </c>
      <c r="BT604">
        <v>0</v>
      </c>
      <c r="BU604">
        <v>0</v>
      </c>
      <c r="BV604">
        <v>0</v>
      </c>
      <c r="BW604">
        <v>0</v>
      </c>
      <c r="CX604">
        <f>Y604*Source!I385</f>
        <v>4.2000000000000003E-2</v>
      </c>
      <c r="CY604">
        <f t="shared" si="98"/>
        <v>130.54</v>
      </c>
      <c r="CZ604">
        <f t="shared" si="99"/>
        <v>19.899999999999999</v>
      </c>
      <c r="DA604">
        <f t="shared" si="100"/>
        <v>6.56</v>
      </c>
      <c r="DB604">
        <f t="shared" si="90"/>
        <v>19.899999999999999</v>
      </c>
      <c r="DC604">
        <f t="shared" si="91"/>
        <v>0</v>
      </c>
    </row>
    <row r="605" spans="1:107" x14ac:dyDescent="0.2">
      <c r="A605">
        <f>ROW(Source!A385)</f>
        <v>385</v>
      </c>
      <c r="B605">
        <v>16748969</v>
      </c>
      <c r="C605">
        <v>16751429</v>
      </c>
      <c r="D605">
        <v>15218939</v>
      </c>
      <c r="E605">
        <v>1</v>
      </c>
      <c r="F605">
        <v>1</v>
      </c>
      <c r="G605">
        <v>1</v>
      </c>
      <c r="H605">
        <v>3</v>
      </c>
      <c r="I605" t="s">
        <v>1434</v>
      </c>
      <c r="J605" t="s">
        <v>1435</v>
      </c>
      <c r="K605" t="s">
        <v>1436</v>
      </c>
      <c r="L605">
        <v>1354</v>
      </c>
      <c r="N605">
        <v>1010</v>
      </c>
      <c r="O605" t="s">
        <v>53</v>
      </c>
      <c r="P605" t="s">
        <v>53</v>
      </c>
      <c r="Q605">
        <v>1</v>
      </c>
      <c r="W605">
        <v>0</v>
      </c>
      <c r="X605">
        <v>-1308137011</v>
      </c>
      <c r="Y605">
        <v>0.5</v>
      </c>
      <c r="AA605">
        <v>438.34</v>
      </c>
      <c r="AB605">
        <v>0</v>
      </c>
      <c r="AC605">
        <v>0</v>
      </c>
      <c r="AD605">
        <v>0</v>
      </c>
      <c r="AE605">
        <v>66.819999999999993</v>
      </c>
      <c r="AF605">
        <v>0</v>
      </c>
      <c r="AG605">
        <v>0</v>
      </c>
      <c r="AH605">
        <v>0</v>
      </c>
      <c r="AI605">
        <v>6.56</v>
      </c>
      <c r="AJ605">
        <v>1</v>
      </c>
      <c r="AK605">
        <v>1</v>
      </c>
      <c r="AL605">
        <v>1</v>
      </c>
      <c r="AN605">
        <v>0</v>
      </c>
      <c r="AO605">
        <v>1</v>
      </c>
      <c r="AP605">
        <v>0</v>
      </c>
      <c r="AQ605">
        <v>0</v>
      </c>
      <c r="AR605">
        <v>0</v>
      </c>
      <c r="AS605" t="s">
        <v>6</v>
      </c>
      <c r="AT605">
        <v>0.5</v>
      </c>
      <c r="AU605" t="s">
        <v>6</v>
      </c>
      <c r="AV605">
        <v>0</v>
      </c>
      <c r="AW605">
        <v>2</v>
      </c>
      <c r="AX605">
        <v>16751449</v>
      </c>
      <c r="AY605">
        <v>1</v>
      </c>
      <c r="AZ605">
        <v>0</v>
      </c>
      <c r="BA605">
        <v>557</v>
      </c>
      <c r="BB605">
        <v>0</v>
      </c>
      <c r="BC605">
        <v>0</v>
      </c>
      <c r="BD605">
        <v>0</v>
      </c>
      <c r="BE605">
        <v>0</v>
      </c>
      <c r="BF605">
        <v>0</v>
      </c>
      <c r="BG605">
        <v>0</v>
      </c>
      <c r="BH605">
        <v>0</v>
      </c>
      <c r="BI605">
        <v>0</v>
      </c>
      <c r="BJ605">
        <v>0</v>
      </c>
      <c r="BK605">
        <v>0</v>
      </c>
      <c r="BL605">
        <v>0</v>
      </c>
      <c r="BM605">
        <v>0</v>
      </c>
      <c r="BN605">
        <v>0</v>
      </c>
      <c r="BO605">
        <v>0</v>
      </c>
      <c r="BP605">
        <v>0</v>
      </c>
      <c r="BQ605">
        <v>0</v>
      </c>
      <c r="BR605">
        <v>0</v>
      </c>
      <c r="BS605">
        <v>0</v>
      </c>
      <c r="BT605">
        <v>0</v>
      </c>
      <c r="BU605">
        <v>0</v>
      </c>
      <c r="BV605">
        <v>0</v>
      </c>
      <c r="BW605">
        <v>0</v>
      </c>
      <c r="CX605">
        <f>Y605*Source!I385</f>
        <v>2.1000000000000001E-2</v>
      </c>
      <c r="CY605">
        <f t="shared" si="98"/>
        <v>438.34</v>
      </c>
      <c r="CZ605">
        <f t="shared" si="99"/>
        <v>66.819999999999993</v>
      </c>
      <c r="DA605">
        <f t="shared" si="100"/>
        <v>6.56</v>
      </c>
      <c r="DB605">
        <f t="shared" si="90"/>
        <v>33.409999999999997</v>
      </c>
      <c r="DC605">
        <f t="shared" si="91"/>
        <v>0</v>
      </c>
    </row>
    <row r="606" spans="1:107" x14ac:dyDescent="0.2">
      <c r="A606">
        <f>ROW(Source!A385)</f>
        <v>385</v>
      </c>
      <c r="B606">
        <v>16748969</v>
      </c>
      <c r="C606">
        <v>16751429</v>
      </c>
      <c r="D606">
        <v>15233361</v>
      </c>
      <c r="E606">
        <v>1</v>
      </c>
      <c r="F606">
        <v>1</v>
      </c>
      <c r="G606">
        <v>1</v>
      </c>
      <c r="H606">
        <v>3</v>
      </c>
      <c r="I606" t="s">
        <v>663</v>
      </c>
      <c r="J606" t="s">
        <v>665</v>
      </c>
      <c r="K606" t="s">
        <v>664</v>
      </c>
      <c r="L606">
        <v>1302</v>
      </c>
      <c r="N606">
        <v>1003</v>
      </c>
      <c r="O606" t="s">
        <v>632</v>
      </c>
      <c r="P606" t="s">
        <v>632</v>
      </c>
      <c r="Q606">
        <v>10</v>
      </c>
      <c r="W606">
        <v>0</v>
      </c>
      <c r="X606">
        <v>1974421767</v>
      </c>
      <c r="Y606">
        <v>10</v>
      </c>
      <c r="AA606">
        <v>521.32000000000005</v>
      </c>
      <c r="AB606">
        <v>0</v>
      </c>
      <c r="AC606">
        <v>0</v>
      </c>
      <c r="AD606">
        <v>0</v>
      </c>
      <c r="AE606">
        <v>79.47</v>
      </c>
      <c r="AF606">
        <v>0</v>
      </c>
      <c r="AG606">
        <v>0</v>
      </c>
      <c r="AH606">
        <v>0</v>
      </c>
      <c r="AI606">
        <v>6.56</v>
      </c>
      <c r="AJ606">
        <v>1</v>
      </c>
      <c r="AK606">
        <v>1</v>
      </c>
      <c r="AL606">
        <v>1</v>
      </c>
      <c r="AN606">
        <v>0</v>
      </c>
      <c r="AO606">
        <v>0</v>
      </c>
      <c r="AP606">
        <v>0</v>
      </c>
      <c r="AQ606">
        <v>0</v>
      </c>
      <c r="AR606">
        <v>0</v>
      </c>
      <c r="AS606" t="s">
        <v>6</v>
      </c>
      <c r="AT606">
        <v>10</v>
      </c>
      <c r="AU606" t="s">
        <v>6</v>
      </c>
      <c r="AV606">
        <v>0</v>
      </c>
      <c r="AW606">
        <v>1</v>
      </c>
      <c r="AX606">
        <v>-1</v>
      </c>
      <c r="AY606">
        <v>0</v>
      </c>
      <c r="AZ606">
        <v>0</v>
      </c>
      <c r="BA606" t="s">
        <v>6</v>
      </c>
      <c r="BB606">
        <v>0</v>
      </c>
      <c r="BC606">
        <v>0</v>
      </c>
      <c r="BD606">
        <v>0</v>
      </c>
      <c r="BE606">
        <v>0</v>
      </c>
      <c r="BF606">
        <v>0</v>
      </c>
      <c r="BG606">
        <v>0</v>
      </c>
      <c r="BH606">
        <v>0</v>
      </c>
      <c r="BI606">
        <v>0</v>
      </c>
      <c r="BJ606">
        <v>0</v>
      </c>
      <c r="BK606">
        <v>0</v>
      </c>
      <c r="BL606">
        <v>0</v>
      </c>
      <c r="BM606">
        <v>0</v>
      </c>
      <c r="BN606">
        <v>0</v>
      </c>
      <c r="BO606">
        <v>0</v>
      </c>
      <c r="BP606">
        <v>0</v>
      </c>
      <c r="BQ606">
        <v>0</v>
      </c>
      <c r="BR606">
        <v>0</v>
      </c>
      <c r="BS606">
        <v>0</v>
      </c>
      <c r="BT606">
        <v>0</v>
      </c>
      <c r="BU606">
        <v>0</v>
      </c>
      <c r="BV606">
        <v>0</v>
      </c>
      <c r="BW606">
        <v>0</v>
      </c>
      <c r="CX606">
        <f>Y606*Source!I385</f>
        <v>0.42000000000000004</v>
      </c>
      <c r="CY606">
        <f t="shared" si="98"/>
        <v>521.32000000000005</v>
      </c>
      <c r="CZ606">
        <f t="shared" si="99"/>
        <v>79.47</v>
      </c>
      <c r="DA606">
        <f t="shared" si="100"/>
        <v>6.56</v>
      </c>
      <c r="DB606">
        <f t="shared" si="90"/>
        <v>794.7</v>
      </c>
      <c r="DC606">
        <f t="shared" si="91"/>
        <v>0</v>
      </c>
    </row>
    <row r="607" spans="1:107" x14ac:dyDescent="0.2">
      <c r="A607">
        <f>ROW(Source!A385)</f>
        <v>385</v>
      </c>
      <c r="B607">
        <v>16748969</v>
      </c>
      <c r="C607">
        <v>16751429</v>
      </c>
      <c r="D607">
        <v>15164559</v>
      </c>
      <c r="E607">
        <v>17</v>
      </c>
      <c r="F607">
        <v>1</v>
      </c>
      <c r="G607">
        <v>1</v>
      </c>
      <c r="H607">
        <v>3</v>
      </c>
      <c r="I607" t="s">
        <v>1383</v>
      </c>
      <c r="J607" t="s">
        <v>6</v>
      </c>
      <c r="K607" t="s">
        <v>1384</v>
      </c>
      <c r="L607">
        <v>1374</v>
      </c>
      <c r="N607">
        <v>1013</v>
      </c>
      <c r="O607" t="s">
        <v>1385</v>
      </c>
      <c r="P607" t="s">
        <v>1385</v>
      </c>
      <c r="Q607">
        <v>1</v>
      </c>
      <c r="W607">
        <v>0</v>
      </c>
      <c r="X607">
        <v>-1731369543</v>
      </c>
      <c r="Y607">
        <v>2.87</v>
      </c>
      <c r="AA607">
        <v>1</v>
      </c>
      <c r="AB607">
        <v>0</v>
      </c>
      <c r="AC607">
        <v>0</v>
      </c>
      <c r="AD607">
        <v>0</v>
      </c>
      <c r="AE607">
        <v>1</v>
      </c>
      <c r="AF607">
        <v>0</v>
      </c>
      <c r="AG607">
        <v>0</v>
      </c>
      <c r="AH607">
        <v>0</v>
      </c>
      <c r="AI607">
        <v>1</v>
      </c>
      <c r="AJ607">
        <v>1</v>
      </c>
      <c r="AK607">
        <v>1</v>
      </c>
      <c r="AL607">
        <v>1</v>
      </c>
      <c r="AN607">
        <v>0</v>
      </c>
      <c r="AO607">
        <v>1</v>
      </c>
      <c r="AP607">
        <v>0</v>
      </c>
      <c r="AQ607">
        <v>0</v>
      </c>
      <c r="AR607">
        <v>0</v>
      </c>
      <c r="AS607" t="s">
        <v>6</v>
      </c>
      <c r="AT607">
        <v>2.87</v>
      </c>
      <c r="AU607" t="s">
        <v>6</v>
      </c>
      <c r="AV607">
        <v>0</v>
      </c>
      <c r="AW607">
        <v>2</v>
      </c>
      <c r="AX607">
        <v>16751450</v>
      </c>
      <c r="AY607">
        <v>1</v>
      </c>
      <c r="AZ607">
        <v>0</v>
      </c>
      <c r="BA607">
        <v>558</v>
      </c>
      <c r="BB607">
        <v>0</v>
      </c>
      <c r="BC607">
        <v>0</v>
      </c>
      <c r="BD607">
        <v>0</v>
      </c>
      <c r="BE607">
        <v>0</v>
      </c>
      <c r="BF607">
        <v>0</v>
      </c>
      <c r="BG607">
        <v>0</v>
      </c>
      <c r="BH607">
        <v>0</v>
      </c>
      <c r="BI607">
        <v>0</v>
      </c>
      <c r="BJ607">
        <v>0</v>
      </c>
      <c r="BK607">
        <v>0</v>
      </c>
      <c r="BL607">
        <v>0</v>
      </c>
      <c r="BM607">
        <v>0</v>
      </c>
      <c r="BN607">
        <v>0</v>
      </c>
      <c r="BO607">
        <v>0</v>
      </c>
      <c r="BP607">
        <v>0</v>
      </c>
      <c r="BQ607">
        <v>0</v>
      </c>
      <c r="BR607">
        <v>0</v>
      </c>
      <c r="BS607">
        <v>0</v>
      </c>
      <c r="BT607">
        <v>0</v>
      </c>
      <c r="BU607">
        <v>0</v>
      </c>
      <c r="BV607">
        <v>0</v>
      </c>
      <c r="BW607">
        <v>0</v>
      </c>
      <c r="CX607">
        <f>Y607*Source!I385</f>
        <v>0.12054000000000001</v>
      </c>
      <c r="CY607">
        <f t="shared" si="98"/>
        <v>1</v>
      </c>
      <c r="CZ607">
        <f t="shared" si="99"/>
        <v>1</v>
      </c>
      <c r="DA607">
        <f t="shared" si="100"/>
        <v>1</v>
      </c>
      <c r="DB607">
        <f t="shared" si="90"/>
        <v>2.87</v>
      </c>
      <c r="DC607">
        <f t="shared" si="91"/>
        <v>0</v>
      </c>
    </row>
    <row r="608" spans="1:107" x14ac:dyDescent="0.2">
      <c r="A608">
        <f>ROW(Source!A387)</f>
        <v>387</v>
      </c>
      <c r="B608">
        <v>16748969</v>
      </c>
      <c r="C608">
        <v>16751452</v>
      </c>
      <c r="D608">
        <v>15436556</v>
      </c>
      <c r="E608">
        <v>1</v>
      </c>
      <c r="F608">
        <v>1</v>
      </c>
      <c r="G608">
        <v>1</v>
      </c>
      <c r="H608">
        <v>1</v>
      </c>
      <c r="I608" t="s">
        <v>1265</v>
      </c>
      <c r="J608" t="s">
        <v>6</v>
      </c>
      <c r="K608" t="s">
        <v>1266</v>
      </c>
      <c r="L608">
        <v>1191</v>
      </c>
      <c r="N608">
        <v>1013</v>
      </c>
      <c r="O608" t="s">
        <v>1072</v>
      </c>
      <c r="P608" t="s">
        <v>1072</v>
      </c>
      <c r="Q608">
        <v>1</v>
      </c>
      <c r="W608">
        <v>0</v>
      </c>
      <c r="X608">
        <v>1069510174</v>
      </c>
      <c r="Y608">
        <v>1.68</v>
      </c>
      <c r="AA608">
        <v>0</v>
      </c>
      <c r="AB608">
        <v>0</v>
      </c>
      <c r="AC608">
        <v>0</v>
      </c>
      <c r="AD608">
        <v>63.11</v>
      </c>
      <c r="AE608">
        <v>0</v>
      </c>
      <c r="AF608">
        <v>0</v>
      </c>
      <c r="AG608">
        <v>0</v>
      </c>
      <c r="AH608">
        <v>9.6199999999999992</v>
      </c>
      <c r="AI608">
        <v>1</v>
      </c>
      <c r="AJ608">
        <v>1</v>
      </c>
      <c r="AK608">
        <v>1</v>
      </c>
      <c r="AL608">
        <v>6.56</v>
      </c>
      <c r="AN608">
        <v>0</v>
      </c>
      <c r="AO608">
        <v>1</v>
      </c>
      <c r="AP608">
        <v>0</v>
      </c>
      <c r="AQ608">
        <v>0</v>
      </c>
      <c r="AR608">
        <v>0</v>
      </c>
      <c r="AS608" t="s">
        <v>6</v>
      </c>
      <c r="AT608">
        <v>1.68</v>
      </c>
      <c r="AU608" t="s">
        <v>6</v>
      </c>
      <c r="AV608">
        <v>1</v>
      </c>
      <c r="AW608">
        <v>2</v>
      </c>
      <c r="AX608">
        <v>16751460</v>
      </c>
      <c r="AY608">
        <v>1</v>
      </c>
      <c r="AZ608">
        <v>0</v>
      </c>
      <c r="BA608">
        <v>559</v>
      </c>
      <c r="BB608">
        <v>0</v>
      </c>
      <c r="BC608">
        <v>0</v>
      </c>
      <c r="BD608">
        <v>0</v>
      </c>
      <c r="BE608">
        <v>0</v>
      </c>
      <c r="BF608">
        <v>0</v>
      </c>
      <c r="BG608">
        <v>0</v>
      </c>
      <c r="BH608">
        <v>0</v>
      </c>
      <c r="BI608">
        <v>0</v>
      </c>
      <c r="BJ608">
        <v>0</v>
      </c>
      <c r="BK608">
        <v>0</v>
      </c>
      <c r="BL608">
        <v>0</v>
      </c>
      <c r="BM608">
        <v>0</v>
      </c>
      <c r="BN608">
        <v>0</v>
      </c>
      <c r="BO608">
        <v>0</v>
      </c>
      <c r="BP608">
        <v>0</v>
      </c>
      <c r="BQ608">
        <v>0</v>
      </c>
      <c r="BR608">
        <v>0</v>
      </c>
      <c r="BS608">
        <v>0</v>
      </c>
      <c r="BT608">
        <v>0</v>
      </c>
      <c r="BU608">
        <v>0</v>
      </c>
      <c r="BV608">
        <v>0</v>
      </c>
      <c r="BW608">
        <v>0</v>
      </c>
      <c r="CX608">
        <f>Y608*Source!I387</f>
        <v>6.72</v>
      </c>
      <c r="CY608">
        <f>AD608</f>
        <v>63.11</v>
      </c>
      <c r="CZ608">
        <f>AH608</f>
        <v>9.6199999999999992</v>
      </c>
      <c r="DA608">
        <f>AL608</f>
        <v>6.56</v>
      </c>
      <c r="DB608">
        <f t="shared" si="90"/>
        <v>16.16</v>
      </c>
      <c r="DC608">
        <f t="shared" si="91"/>
        <v>0</v>
      </c>
    </row>
    <row r="609" spans="1:107" x14ac:dyDescent="0.2">
      <c r="A609">
        <f>ROW(Source!A387)</f>
        <v>387</v>
      </c>
      <c r="B609">
        <v>16748969</v>
      </c>
      <c r="C609">
        <v>16751452</v>
      </c>
      <c r="D609">
        <v>15165524</v>
      </c>
      <c r="E609">
        <v>1</v>
      </c>
      <c r="F609">
        <v>1</v>
      </c>
      <c r="G609">
        <v>1</v>
      </c>
      <c r="H609">
        <v>3</v>
      </c>
      <c r="I609" t="s">
        <v>1497</v>
      </c>
      <c r="J609" t="s">
        <v>1498</v>
      </c>
      <c r="K609" t="s">
        <v>1499</v>
      </c>
      <c r="L609">
        <v>1348</v>
      </c>
      <c r="N609">
        <v>1009</v>
      </c>
      <c r="O609" t="s">
        <v>71</v>
      </c>
      <c r="P609" t="s">
        <v>71</v>
      </c>
      <c r="Q609">
        <v>1000</v>
      </c>
      <c r="W609">
        <v>0</v>
      </c>
      <c r="X609">
        <v>-168273048</v>
      </c>
      <c r="Y609">
        <v>8.0000000000000004E-4</v>
      </c>
      <c r="AA609">
        <v>29443.9</v>
      </c>
      <c r="AB609">
        <v>0</v>
      </c>
      <c r="AC609">
        <v>0</v>
      </c>
      <c r="AD609">
        <v>0</v>
      </c>
      <c r="AE609">
        <v>4488.3999999999996</v>
      </c>
      <c r="AF609">
        <v>0</v>
      </c>
      <c r="AG609">
        <v>0</v>
      </c>
      <c r="AH609">
        <v>0</v>
      </c>
      <c r="AI609">
        <v>6.56</v>
      </c>
      <c r="AJ609">
        <v>1</v>
      </c>
      <c r="AK609">
        <v>1</v>
      </c>
      <c r="AL609">
        <v>1</v>
      </c>
      <c r="AN609">
        <v>0</v>
      </c>
      <c r="AO609">
        <v>1</v>
      </c>
      <c r="AP609">
        <v>0</v>
      </c>
      <c r="AQ609">
        <v>0</v>
      </c>
      <c r="AR609">
        <v>0</v>
      </c>
      <c r="AS609" t="s">
        <v>6</v>
      </c>
      <c r="AT609">
        <v>8.0000000000000004E-4</v>
      </c>
      <c r="AU609" t="s">
        <v>6</v>
      </c>
      <c r="AV609">
        <v>0</v>
      </c>
      <c r="AW609">
        <v>2</v>
      </c>
      <c r="AX609">
        <v>16751461</v>
      </c>
      <c r="AY609">
        <v>1</v>
      </c>
      <c r="AZ609">
        <v>0</v>
      </c>
      <c r="BA609">
        <v>560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0</v>
      </c>
      <c r="BH609">
        <v>0</v>
      </c>
      <c r="BI609">
        <v>0</v>
      </c>
      <c r="BJ609">
        <v>0</v>
      </c>
      <c r="BK609">
        <v>0</v>
      </c>
      <c r="BL609">
        <v>0</v>
      </c>
      <c r="BM609">
        <v>0</v>
      </c>
      <c r="BN609">
        <v>0</v>
      </c>
      <c r="BO609">
        <v>0</v>
      </c>
      <c r="BP609">
        <v>0</v>
      </c>
      <c r="BQ609">
        <v>0</v>
      </c>
      <c r="BR609">
        <v>0</v>
      </c>
      <c r="BS609">
        <v>0</v>
      </c>
      <c r="BT609">
        <v>0</v>
      </c>
      <c r="BU609">
        <v>0</v>
      </c>
      <c r="BV609">
        <v>0</v>
      </c>
      <c r="BW609">
        <v>0</v>
      </c>
      <c r="CX609">
        <f>Y609*Source!I387</f>
        <v>3.2000000000000002E-3</v>
      </c>
      <c r="CY609">
        <f t="shared" ref="CY609:CY614" si="101">AA609</f>
        <v>29443.9</v>
      </c>
      <c r="CZ609">
        <f t="shared" ref="CZ609:CZ614" si="102">AE609</f>
        <v>4488.3999999999996</v>
      </c>
      <c r="DA609">
        <f t="shared" ref="DA609:DA614" si="103">AI609</f>
        <v>6.56</v>
      </c>
      <c r="DB609">
        <f t="shared" ref="DB609:DB614" si="104">ROUND(ROUND(AT609*CZ609,2),2)</f>
        <v>3.59</v>
      </c>
      <c r="DC609">
        <f t="shared" ref="DC609:DC614" si="105">ROUND(ROUND(AT609*AG609,2),2)</f>
        <v>0</v>
      </c>
    </row>
    <row r="610" spans="1:107" x14ac:dyDescent="0.2">
      <c r="A610">
        <f>ROW(Source!A387)</f>
        <v>387</v>
      </c>
      <c r="B610">
        <v>16748969</v>
      </c>
      <c r="C610">
        <v>16751452</v>
      </c>
      <c r="D610">
        <v>15165560</v>
      </c>
      <c r="E610">
        <v>1</v>
      </c>
      <c r="F610">
        <v>1</v>
      </c>
      <c r="G610">
        <v>1</v>
      </c>
      <c r="H610">
        <v>3</v>
      </c>
      <c r="I610" t="s">
        <v>1500</v>
      </c>
      <c r="J610" t="s">
        <v>1501</v>
      </c>
      <c r="K610" t="s">
        <v>1502</v>
      </c>
      <c r="L610">
        <v>1348</v>
      </c>
      <c r="N610">
        <v>1009</v>
      </c>
      <c r="O610" t="s">
        <v>71</v>
      </c>
      <c r="P610" t="s">
        <v>71</v>
      </c>
      <c r="Q610">
        <v>1000</v>
      </c>
      <c r="W610">
        <v>0</v>
      </c>
      <c r="X610">
        <v>-1449423263</v>
      </c>
      <c r="Y610">
        <v>1.0000000000000001E-5</v>
      </c>
      <c r="AA610">
        <v>53173.46</v>
      </c>
      <c r="AB610">
        <v>0</v>
      </c>
      <c r="AC610">
        <v>0</v>
      </c>
      <c r="AD610">
        <v>0</v>
      </c>
      <c r="AE610">
        <v>8105.71</v>
      </c>
      <c r="AF610">
        <v>0</v>
      </c>
      <c r="AG610">
        <v>0</v>
      </c>
      <c r="AH610">
        <v>0</v>
      </c>
      <c r="AI610">
        <v>6.56</v>
      </c>
      <c r="AJ610">
        <v>1</v>
      </c>
      <c r="AK610">
        <v>1</v>
      </c>
      <c r="AL610">
        <v>1</v>
      </c>
      <c r="AN610">
        <v>0</v>
      </c>
      <c r="AO610">
        <v>1</v>
      </c>
      <c r="AP610">
        <v>0</v>
      </c>
      <c r="AQ610">
        <v>0</v>
      </c>
      <c r="AR610">
        <v>0</v>
      </c>
      <c r="AS610" t="s">
        <v>6</v>
      </c>
      <c r="AT610">
        <v>1.0000000000000001E-5</v>
      </c>
      <c r="AU610" t="s">
        <v>6</v>
      </c>
      <c r="AV610">
        <v>0</v>
      </c>
      <c r="AW610">
        <v>2</v>
      </c>
      <c r="AX610">
        <v>16751462</v>
      </c>
      <c r="AY610">
        <v>1</v>
      </c>
      <c r="AZ610">
        <v>0</v>
      </c>
      <c r="BA610">
        <v>561</v>
      </c>
      <c r="BB610">
        <v>0</v>
      </c>
      <c r="BC610">
        <v>0</v>
      </c>
      <c r="BD610">
        <v>0</v>
      </c>
      <c r="BE610">
        <v>0</v>
      </c>
      <c r="BF610">
        <v>0</v>
      </c>
      <c r="BG610">
        <v>0</v>
      </c>
      <c r="BH610">
        <v>0</v>
      </c>
      <c r="BI610">
        <v>0</v>
      </c>
      <c r="BJ610">
        <v>0</v>
      </c>
      <c r="BK610">
        <v>0</v>
      </c>
      <c r="BL610">
        <v>0</v>
      </c>
      <c r="BM610">
        <v>0</v>
      </c>
      <c r="BN610">
        <v>0</v>
      </c>
      <c r="BO610">
        <v>0</v>
      </c>
      <c r="BP610">
        <v>0</v>
      </c>
      <c r="BQ610">
        <v>0</v>
      </c>
      <c r="BR610">
        <v>0</v>
      </c>
      <c r="BS610">
        <v>0</v>
      </c>
      <c r="BT610">
        <v>0</v>
      </c>
      <c r="BU610">
        <v>0</v>
      </c>
      <c r="BV610">
        <v>0</v>
      </c>
      <c r="BW610">
        <v>0</v>
      </c>
      <c r="CX610">
        <f>Y610*Source!I387</f>
        <v>4.0000000000000003E-5</v>
      </c>
      <c r="CY610">
        <f t="shared" si="101"/>
        <v>53173.46</v>
      </c>
      <c r="CZ610">
        <f t="shared" si="102"/>
        <v>8105.71</v>
      </c>
      <c r="DA610">
        <f t="shared" si="103"/>
        <v>6.56</v>
      </c>
      <c r="DB610">
        <f t="shared" si="104"/>
        <v>0.08</v>
      </c>
      <c r="DC610">
        <f t="shared" si="105"/>
        <v>0</v>
      </c>
    </row>
    <row r="611" spans="1:107" x14ac:dyDescent="0.2">
      <c r="A611">
        <f>ROW(Source!A387)</f>
        <v>387</v>
      </c>
      <c r="B611">
        <v>16748969</v>
      </c>
      <c r="C611">
        <v>16751452</v>
      </c>
      <c r="D611">
        <v>15165660</v>
      </c>
      <c r="E611">
        <v>1</v>
      </c>
      <c r="F611">
        <v>1</v>
      </c>
      <c r="G611">
        <v>1</v>
      </c>
      <c r="H611">
        <v>3</v>
      </c>
      <c r="I611" t="s">
        <v>1503</v>
      </c>
      <c r="J611" t="s">
        <v>1504</v>
      </c>
      <c r="K611" t="s">
        <v>1505</v>
      </c>
      <c r="L611">
        <v>1346</v>
      </c>
      <c r="N611">
        <v>1009</v>
      </c>
      <c r="O611" t="s">
        <v>323</v>
      </c>
      <c r="P611" t="s">
        <v>323</v>
      </c>
      <c r="Q611">
        <v>1</v>
      </c>
      <c r="W611">
        <v>0</v>
      </c>
      <c r="X611">
        <v>1721895514</v>
      </c>
      <c r="Y611">
        <v>0.15</v>
      </c>
      <c r="AA611">
        <v>39.950000000000003</v>
      </c>
      <c r="AB611">
        <v>0</v>
      </c>
      <c r="AC611">
        <v>0</v>
      </c>
      <c r="AD611">
        <v>0</v>
      </c>
      <c r="AE611">
        <v>6.09</v>
      </c>
      <c r="AF611">
        <v>0</v>
      </c>
      <c r="AG611">
        <v>0</v>
      </c>
      <c r="AH611">
        <v>0</v>
      </c>
      <c r="AI611">
        <v>6.56</v>
      </c>
      <c r="AJ611">
        <v>1</v>
      </c>
      <c r="AK611">
        <v>1</v>
      </c>
      <c r="AL611">
        <v>1</v>
      </c>
      <c r="AN611">
        <v>0</v>
      </c>
      <c r="AO611">
        <v>1</v>
      </c>
      <c r="AP611">
        <v>0</v>
      </c>
      <c r="AQ611">
        <v>0</v>
      </c>
      <c r="AR611">
        <v>0</v>
      </c>
      <c r="AS611" t="s">
        <v>6</v>
      </c>
      <c r="AT611">
        <v>0.15</v>
      </c>
      <c r="AU611" t="s">
        <v>6</v>
      </c>
      <c r="AV611">
        <v>0</v>
      </c>
      <c r="AW611">
        <v>2</v>
      </c>
      <c r="AX611">
        <v>16751463</v>
      </c>
      <c r="AY611">
        <v>1</v>
      </c>
      <c r="AZ611">
        <v>0</v>
      </c>
      <c r="BA611">
        <v>562</v>
      </c>
      <c r="BB611">
        <v>0</v>
      </c>
      <c r="BC611">
        <v>0</v>
      </c>
      <c r="BD611">
        <v>0</v>
      </c>
      <c r="BE611">
        <v>0</v>
      </c>
      <c r="BF611">
        <v>0</v>
      </c>
      <c r="BG611">
        <v>0</v>
      </c>
      <c r="BH611">
        <v>0</v>
      </c>
      <c r="BI611">
        <v>0</v>
      </c>
      <c r="BJ611">
        <v>0</v>
      </c>
      <c r="BK611">
        <v>0</v>
      </c>
      <c r="BL611">
        <v>0</v>
      </c>
      <c r="BM611">
        <v>0</v>
      </c>
      <c r="BN611">
        <v>0</v>
      </c>
      <c r="BO611">
        <v>0</v>
      </c>
      <c r="BP611">
        <v>0</v>
      </c>
      <c r="BQ611">
        <v>0</v>
      </c>
      <c r="BR611">
        <v>0</v>
      </c>
      <c r="BS611">
        <v>0</v>
      </c>
      <c r="BT611">
        <v>0</v>
      </c>
      <c r="BU611">
        <v>0</v>
      </c>
      <c r="BV611">
        <v>0</v>
      </c>
      <c r="BW611">
        <v>0</v>
      </c>
      <c r="CX611">
        <f>Y611*Source!I387</f>
        <v>0.6</v>
      </c>
      <c r="CY611">
        <f t="shared" si="101"/>
        <v>39.950000000000003</v>
      </c>
      <c r="CZ611">
        <f t="shared" si="102"/>
        <v>6.09</v>
      </c>
      <c r="DA611">
        <f t="shared" si="103"/>
        <v>6.56</v>
      </c>
      <c r="DB611">
        <f t="shared" si="104"/>
        <v>0.91</v>
      </c>
      <c r="DC611">
        <f t="shared" si="105"/>
        <v>0</v>
      </c>
    </row>
    <row r="612" spans="1:107" x14ac:dyDescent="0.2">
      <c r="A612">
        <f>ROW(Source!A387)</f>
        <v>387</v>
      </c>
      <c r="B612">
        <v>16748969</v>
      </c>
      <c r="C612">
        <v>16751452</v>
      </c>
      <c r="D612">
        <v>15167600</v>
      </c>
      <c r="E612">
        <v>1</v>
      </c>
      <c r="F612">
        <v>1</v>
      </c>
      <c r="G612">
        <v>1</v>
      </c>
      <c r="H612">
        <v>3</v>
      </c>
      <c r="I612" t="s">
        <v>1476</v>
      </c>
      <c r="J612" t="s">
        <v>1477</v>
      </c>
      <c r="K612" t="s">
        <v>1478</v>
      </c>
      <c r="L612">
        <v>1308</v>
      </c>
      <c r="N612">
        <v>1003</v>
      </c>
      <c r="O612" t="s">
        <v>34</v>
      </c>
      <c r="P612" t="s">
        <v>34</v>
      </c>
      <c r="Q612">
        <v>100</v>
      </c>
      <c r="W612">
        <v>0</v>
      </c>
      <c r="X612">
        <v>568244124</v>
      </c>
      <c r="Y612">
        <v>2.3999999999999998E-3</v>
      </c>
      <c r="AA612">
        <v>787.2</v>
      </c>
      <c r="AB612">
        <v>0</v>
      </c>
      <c r="AC612">
        <v>0</v>
      </c>
      <c r="AD612">
        <v>0</v>
      </c>
      <c r="AE612">
        <v>120</v>
      </c>
      <c r="AF612">
        <v>0</v>
      </c>
      <c r="AG612">
        <v>0</v>
      </c>
      <c r="AH612">
        <v>0</v>
      </c>
      <c r="AI612">
        <v>6.56</v>
      </c>
      <c r="AJ612">
        <v>1</v>
      </c>
      <c r="AK612">
        <v>1</v>
      </c>
      <c r="AL612">
        <v>1</v>
      </c>
      <c r="AN612">
        <v>0</v>
      </c>
      <c r="AO612">
        <v>1</v>
      </c>
      <c r="AP612">
        <v>0</v>
      </c>
      <c r="AQ612">
        <v>0</v>
      </c>
      <c r="AR612">
        <v>0</v>
      </c>
      <c r="AS612" t="s">
        <v>6</v>
      </c>
      <c r="AT612">
        <v>2.3999999999999998E-3</v>
      </c>
      <c r="AU612" t="s">
        <v>6</v>
      </c>
      <c r="AV612">
        <v>0</v>
      </c>
      <c r="AW612">
        <v>2</v>
      </c>
      <c r="AX612">
        <v>16751464</v>
      </c>
      <c r="AY612">
        <v>1</v>
      </c>
      <c r="AZ612">
        <v>0</v>
      </c>
      <c r="BA612">
        <v>563</v>
      </c>
      <c r="BB612">
        <v>0</v>
      </c>
      <c r="BC612">
        <v>0</v>
      </c>
      <c r="BD612">
        <v>0</v>
      </c>
      <c r="BE612">
        <v>0</v>
      </c>
      <c r="BF612">
        <v>0</v>
      </c>
      <c r="BG612">
        <v>0</v>
      </c>
      <c r="BH612">
        <v>0</v>
      </c>
      <c r="BI612">
        <v>0</v>
      </c>
      <c r="BJ612">
        <v>0</v>
      </c>
      <c r="BK612">
        <v>0</v>
      </c>
      <c r="BL612">
        <v>0</v>
      </c>
      <c r="BM612">
        <v>0</v>
      </c>
      <c r="BN612">
        <v>0</v>
      </c>
      <c r="BO612">
        <v>0</v>
      </c>
      <c r="BP612">
        <v>0</v>
      </c>
      <c r="BQ612">
        <v>0</v>
      </c>
      <c r="BR612">
        <v>0</v>
      </c>
      <c r="BS612">
        <v>0</v>
      </c>
      <c r="BT612">
        <v>0</v>
      </c>
      <c r="BU612">
        <v>0</v>
      </c>
      <c r="BV612">
        <v>0</v>
      </c>
      <c r="BW612">
        <v>0</v>
      </c>
      <c r="CX612">
        <f>Y612*Source!I387</f>
        <v>9.5999999999999992E-3</v>
      </c>
      <c r="CY612">
        <f t="shared" si="101"/>
        <v>787.2</v>
      </c>
      <c r="CZ612">
        <f t="shared" si="102"/>
        <v>120</v>
      </c>
      <c r="DA612">
        <f t="shared" si="103"/>
        <v>6.56</v>
      </c>
      <c r="DB612">
        <f t="shared" si="104"/>
        <v>0.28999999999999998</v>
      </c>
      <c r="DC612">
        <f t="shared" si="105"/>
        <v>0</v>
      </c>
    </row>
    <row r="613" spans="1:107" x14ac:dyDescent="0.2">
      <c r="A613">
        <f>ROW(Source!A387)</f>
        <v>387</v>
      </c>
      <c r="B613">
        <v>16748969</v>
      </c>
      <c r="C613">
        <v>16751452</v>
      </c>
      <c r="D613">
        <v>15217658</v>
      </c>
      <c r="E613">
        <v>1</v>
      </c>
      <c r="F613">
        <v>1</v>
      </c>
      <c r="G613">
        <v>1</v>
      </c>
      <c r="H613">
        <v>3</v>
      </c>
      <c r="I613" t="s">
        <v>820</v>
      </c>
      <c r="J613" t="s">
        <v>822</v>
      </c>
      <c r="K613" t="s">
        <v>821</v>
      </c>
      <c r="L613">
        <v>1354</v>
      </c>
      <c r="N613">
        <v>1010</v>
      </c>
      <c r="O613" t="s">
        <v>53</v>
      </c>
      <c r="P613" t="s">
        <v>53</v>
      </c>
      <c r="Q613">
        <v>1</v>
      </c>
      <c r="W613">
        <v>0</v>
      </c>
      <c r="X613">
        <v>-11282944</v>
      </c>
      <c r="Y613">
        <v>1</v>
      </c>
      <c r="AA613">
        <v>249.28</v>
      </c>
      <c r="AB613">
        <v>0</v>
      </c>
      <c r="AC613">
        <v>0</v>
      </c>
      <c r="AD613">
        <v>0</v>
      </c>
      <c r="AE613">
        <v>38</v>
      </c>
      <c r="AF613">
        <v>0</v>
      </c>
      <c r="AG613">
        <v>0</v>
      </c>
      <c r="AH613">
        <v>0</v>
      </c>
      <c r="AI613">
        <v>6.56</v>
      </c>
      <c r="AJ613">
        <v>1</v>
      </c>
      <c r="AK613">
        <v>1</v>
      </c>
      <c r="AL613">
        <v>1</v>
      </c>
      <c r="AN613">
        <v>0</v>
      </c>
      <c r="AO613">
        <v>0</v>
      </c>
      <c r="AP613">
        <v>0</v>
      </c>
      <c r="AQ613">
        <v>0</v>
      </c>
      <c r="AR613">
        <v>0</v>
      </c>
      <c r="AS613" t="s">
        <v>6</v>
      </c>
      <c r="AT613">
        <v>1</v>
      </c>
      <c r="AU613" t="s">
        <v>6</v>
      </c>
      <c r="AV613">
        <v>0</v>
      </c>
      <c r="AW613">
        <v>1</v>
      </c>
      <c r="AX613">
        <v>-1</v>
      </c>
      <c r="AY613">
        <v>0</v>
      </c>
      <c r="AZ613">
        <v>0</v>
      </c>
      <c r="BA613" t="s">
        <v>6</v>
      </c>
      <c r="BB613">
        <v>0</v>
      </c>
      <c r="BC613">
        <v>0</v>
      </c>
      <c r="BD613">
        <v>0</v>
      </c>
      <c r="BE613">
        <v>0</v>
      </c>
      <c r="BF613">
        <v>0</v>
      </c>
      <c r="BG613">
        <v>0</v>
      </c>
      <c r="BH613">
        <v>0</v>
      </c>
      <c r="BI613">
        <v>0</v>
      </c>
      <c r="BJ613">
        <v>0</v>
      </c>
      <c r="BK613">
        <v>0</v>
      </c>
      <c r="BL613">
        <v>0</v>
      </c>
      <c r="BM613">
        <v>0</v>
      </c>
      <c r="BN613">
        <v>0</v>
      </c>
      <c r="BO613">
        <v>0</v>
      </c>
      <c r="BP613">
        <v>0</v>
      </c>
      <c r="BQ613">
        <v>0</v>
      </c>
      <c r="BR613">
        <v>0</v>
      </c>
      <c r="BS613">
        <v>0</v>
      </c>
      <c r="BT613">
        <v>0</v>
      </c>
      <c r="BU613">
        <v>0</v>
      </c>
      <c r="BV613">
        <v>0</v>
      </c>
      <c r="BW613">
        <v>0</v>
      </c>
      <c r="CX613">
        <f>Y613*Source!I387</f>
        <v>4</v>
      </c>
      <c r="CY613">
        <f t="shared" si="101"/>
        <v>249.28</v>
      </c>
      <c r="CZ613">
        <f t="shared" si="102"/>
        <v>38</v>
      </c>
      <c r="DA613">
        <f t="shared" si="103"/>
        <v>6.56</v>
      </c>
      <c r="DB613">
        <f t="shared" si="104"/>
        <v>38</v>
      </c>
      <c r="DC613">
        <f t="shared" si="105"/>
        <v>0</v>
      </c>
    </row>
    <row r="614" spans="1:107" x14ac:dyDescent="0.2">
      <c r="A614">
        <f>ROW(Source!A387)</f>
        <v>387</v>
      </c>
      <c r="B614">
        <v>16748969</v>
      </c>
      <c r="C614">
        <v>16751452</v>
      </c>
      <c r="D614">
        <v>15164559</v>
      </c>
      <c r="E614">
        <v>17</v>
      </c>
      <c r="F614">
        <v>1</v>
      </c>
      <c r="G614">
        <v>1</v>
      </c>
      <c r="H614">
        <v>3</v>
      </c>
      <c r="I614" t="s">
        <v>1383</v>
      </c>
      <c r="J614" t="s">
        <v>6</v>
      </c>
      <c r="K614" t="s">
        <v>1384</v>
      </c>
      <c r="L614">
        <v>1374</v>
      </c>
      <c r="N614">
        <v>1013</v>
      </c>
      <c r="O614" t="s">
        <v>1385</v>
      </c>
      <c r="P614" t="s">
        <v>1385</v>
      </c>
      <c r="Q614">
        <v>1</v>
      </c>
      <c r="W614">
        <v>0</v>
      </c>
      <c r="X614">
        <v>-1731369543</v>
      </c>
      <c r="Y614">
        <v>0.32</v>
      </c>
      <c r="AA614">
        <v>1</v>
      </c>
      <c r="AB614">
        <v>0</v>
      </c>
      <c r="AC614">
        <v>0</v>
      </c>
      <c r="AD614">
        <v>0</v>
      </c>
      <c r="AE614">
        <v>1</v>
      </c>
      <c r="AF614">
        <v>0</v>
      </c>
      <c r="AG614">
        <v>0</v>
      </c>
      <c r="AH614">
        <v>0</v>
      </c>
      <c r="AI614">
        <v>1</v>
      </c>
      <c r="AJ614">
        <v>1</v>
      </c>
      <c r="AK614">
        <v>1</v>
      </c>
      <c r="AL614">
        <v>1</v>
      </c>
      <c r="AN614">
        <v>0</v>
      </c>
      <c r="AO614">
        <v>1</v>
      </c>
      <c r="AP614">
        <v>0</v>
      </c>
      <c r="AQ614">
        <v>0</v>
      </c>
      <c r="AR614">
        <v>0</v>
      </c>
      <c r="AS614" t="s">
        <v>6</v>
      </c>
      <c r="AT614">
        <v>0.32</v>
      </c>
      <c r="AU614" t="s">
        <v>6</v>
      </c>
      <c r="AV614">
        <v>0</v>
      </c>
      <c r="AW614">
        <v>2</v>
      </c>
      <c r="AX614">
        <v>16751465</v>
      </c>
      <c r="AY614">
        <v>1</v>
      </c>
      <c r="AZ614">
        <v>0</v>
      </c>
      <c r="BA614">
        <v>564</v>
      </c>
      <c r="BB614">
        <v>0</v>
      </c>
      <c r="BC614">
        <v>0</v>
      </c>
      <c r="BD614">
        <v>0</v>
      </c>
      <c r="BE614">
        <v>0</v>
      </c>
      <c r="BF614">
        <v>0</v>
      </c>
      <c r="BG614">
        <v>0</v>
      </c>
      <c r="BH614">
        <v>0</v>
      </c>
      <c r="BI614">
        <v>0</v>
      </c>
      <c r="BJ614">
        <v>0</v>
      </c>
      <c r="BK614">
        <v>0</v>
      </c>
      <c r="BL614">
        <v>0</v>
      </c>
      <c r="BM614">
        <v>0</v>
      </c>
      <c r="BN614">
        <v>0</v>
      </c>
      <c r="BO614">
        <v>0</v>
      </c>
      <c r="BP614">
        <v>0</v>
      </c>
      <c r="BQ614">
        <v>0</v>
      </c>
      <c r="BR614">
        <v>0</v>
      </c>
      <c r="BS614">
        <v>0</v>
      </c>
      <c r="BT614">
        <v>0</v>
      </c>
      <c r="BU614">
        <v>0</v>
      </c>
      <c r="BV614">
        <v>0</v>
      </c>
      <c r="BW614">
        <v>0</v>
      </c>
      <c r="CX614">
        <f>Y614*Source!I387</f>
        <v>1.28</v>
      </c>
      <c r="CY614">
        <f t="shared" si="101"/>
        <v>1</v>
      </c>
      <c r="CZ614">
        <f t="shared" si="102"/>
        <v>1</v>
      </c>
      <c r="DA614">
        <f t="shared" si="103"/>
        <v>1</v>
      </c>
      <c r="DB614">
        <f t="shared" si="104"/>
        <v>0.32</v>
      </c>
      <c r="DC614">
        <f t="shared" si="105"/>
        <v>0</v>
      </c>
    </row>
    <row r="615" spans="1:107" x14ac:dyDescent="0.2">
      <c r="A615">
        <f>ROW(Source!A452)</f>
        <v>452</v>
      </c>
      <c r="B615">
        <v>16748969</v>
      </c>
      <c r="C615">
        <v>16751467</v>
      </c>
      <c r="D615">
        <v>15885198</v>
      </c>
      <c r="E615">
        <v>1</v>
      </c>
      <c r="F615">
        <v>1</v>
      </c>
      <c r="G615">
        <v>1</v>
      </c>
      <c r="H615">
        <v>1</v>
      </c>
      <c r="I615" t="s">
        <v>1506</v>
      </c>
      <c r="J615" t="s">
        <v>6</v>
      </c>
      <c r="K615" t="s">
        <v>1507</v>
      </c>
      <c r="L615">
        <v>1191</v>
      </c>
      <c r="N615">
        <v>1013</v>
      </c>
      <c r="O615" t="s">
        <v>1072</v>
      </c>
      <c r="P615" t="s">
        <v>1072</v>
      </c>
      <c r="Q615">
        <v>1</v>
      </c>
      <c r="W615">
        <v>0</v>
      </c>
      <c r="X615">
        <v>-1166887252</v>
      </c>
      <c r="Y615">
        <v>0.128</v>
      </c>
      <c r="AA615">
        <v>0</v>
      </c>
      <c r="AB615">
        <v>0</v>
      </c>
      <c r="AC615">
        <v>0</v>
      </c>
      <c r="AD615">
        <v>84.76</v>
      </c>
      <c r="AE615">
        <v>0</v>
      </c>
      <c r="AF615">
        <v>0</v>
      </c>
      <c r="AG615">
        <v>0</v>
      </c>
      <c r="AH615">
        <v>12.92</v>
      </c>
      <c r="AI615">
        <v>1</v>
      </c>
      <c r="AJ615">
        <v>1</v>
      </c>
      <c r="AK615">
        <v>1</v>
      </c>
      <c r="AL615">
        <v>6.56</v>
      </c>
      <c r="AN615">
        <v>0</v>
      </c>
      <c r="AO615">
        <v>1</v>
      </c>
      <c r="AP615">
        <v>1</v>
      </c>
      <c r="AQ615">
        <v>0</v>
      </c>
      <c r="AR615">
        <v>0</v>
      </c>
      <c r="AS615" t="s">
        <v>6</v>
      </c>
      <c r="AT615">
        <v>0.16</v>
      </c>
      <c r="AU615" t="s">
        <v>829</v>
      </c>
      <c r="AV615">
        <v>1</v>
      </c>
      <c r="AW615">
        <v>2</v>
      </c>
      <c r="AX615">
        <v>16751470</v>
      </c>
      <c r="AY615">
        <v>1</v>
      </c>
      <c r="AZ615">
        <v>0</v>
      </c>
      <c r="BA615">
        <v>565</v>
      </c>
      <c r="BB615">
        <v>0</v>
      </c>
      <c r="BC615">
        <v>0</v>
      </c>
      <c r="BD615">
        <v>0</v>
      </c>
      <c r="BE615">
        <v>0</v>
      </c>
      <c r="BF615">
        <v>0</v>
      </c>
      <c r="BG615">
        <v>0</v>
      </c>
      <c r="BH615">
        <v>0</v>
      </c>
      <c r="BI615">
        <v>0</v>
      </c>
      <c r="BJ615">
        <v>0</v>
      </c>
      <c r="BK615">
        <v>0</v>
      </c>
      <c r="BL615">
        <v>0</v>
      </c>
      <c r="BM615">
        <v>0</v>
      </c>
      <c r="BN615">
        <v>0</v>
      </c>
      <c r="BO615">
        <v>0</v>
      </c>
      <c r="BP615">
        <v>0</v>
      </c>
      <c r="BQ615">
        <v>0</v>
      </c>
      <c r="BR615">
        <v>0</v>
      </c>
      <c r="BS615">
        <v>0</v>
      </c>
      <c r="BT615">
        <v>0</v>
      </c>
      <c r="BU615">
        <v>0</v>
      </c>
      <c r="BV615">
        <v>0</v>
      </c>
      <c r="BW615">
        <v>0</v>
      </c>
      <c r="CX615">
        <f>Y615*Source!I452</f>
        <v>6.2720000000000002</v>
      </c>
      <c r="CY615">
        <f t="shared" ref="CY615:CY623" si="106">AD615</f>
        <v>84.76</v>
      </c>
      <c r="CZ615">
        <f t="shared" ref="CZ615:CZ623" si="107">AH615</f>
        <v>12.92</v>
      </c>
      <c r="DA615">
        <f t="shared" ref="DA615:DA623" si="108">AL615</f>
        <v>6.56</v>
      </c>
      <c r="DB615">
        <f t="shared" ref="DB615:DB622" si="109">ROUND((ROUND(AT615*CZ615,2)*0.8),2)</f>
        <v>1.66</v>
      </c>
      <c r="DC615">
        <f t="shared" ref="DC615:DC622" si="110">ROUND((ROUND(AT615*AG615,2)*0.8),2)</f>
        <v>0</v>
      </c>
    </row>
    <row r="616" spans="1:107" x14ac:dyDescent="0.2">
      <c r="A616">
        <f>ROW(Source!A452)</f>
        <v>452</v>
      </c>
      <c r="B616">
        <v>16748969</v>
      </c>
      <c r="C616">
        <v>16751467</v>
      </c>
      <c r="D616">
        <v>15884235</v>
      </c>
      <c r="E616">
        <v>1</v>
      </c>
      <c r="F616">
        <v>1</v>
      </c>
      <c r="G616">
        <v>1</v>
      </c>
      <c r="H616">
        <v>1</v>
      </c>
      <c r="I616" t="s">
        <v>1508</v>
      </c>
      <c r="J616" t="s">
        <v>6</v>
      </c>
      <c r="K616" t="s">
        <v>1509</v>
      </c>
      <c r="L616">
        <v>1191</v>
      </c>
      <c r="N616">
        <v>1013</v>
      </c>
      <c r="O616" t="s">
        <v>1072</v>
      </c>
      <c r="P616" t="s">
        <v>1072</v>
      </c>
      <c r="Q616">
        <v>1</v>
      </c>
      <c r="W616">
        <v>0</v>
      </c>
      <c r="X616">
        <v>1776637054</v>
      </c>
      <c r="Y616">
        <v>0.128</v>
      </c>
      <c r="AA616">
        <v>0</v>
      </c>
      <c r="AB616">
        <v>0</v>
      </c>
      <c r="AC616">
        <v>0</v>
      </c>
      <c r="AD616">
        <v>83.25</v>
      </c>
      <c r="AE616">
        <v>0</v>
      </c>
      <c r="AF616">
        <v>0</v>
      </c>
      <c r="AG616">
        <v>0</v>
      </c>
      <c r="AH616">
        <v>12.69</v>
      </c>
      <c r="AI616">
        <v>1</v>
      </c>
      <c r="AJ616">
        <v>1</v>
      </c>
      <c r="AK616">
        <v>1</v>
      </c>
      <c r="AL616">
        <v>6.56</v>
      </c>
      <c r="AN616">
        <v>0</v>
      </c>
      <c r="AO616">
        <v>1</v>
      </c>
      <c r="AP616">
        <v>1</v>
      </c>
      <c r="AQ616">
        <v>0</v>
      </c>
      <c r="AR616">
        <v>0</v>
      </c>
      <c r="AS616" t="s">
        <v>6</v>
      </c>
      <c r="AT616">
        <v>0.16</v>
      </c>
      <c r="AU616" t="s">
        <v>829</v>
      </c>
      <c r="AV616">
        <v>1</v>
      </c>
      <c r="AW616">
        <v>2</v>
      </c>
      <c r="AX616">
        <v>16751471</v>
      </c>
      <c r="AY616">
        <v>1</v>
      </c>
      <c r="AZ616">
        <v>0</v>
      </c>
      <c r="BA616">
        <v>566</v>
      </c>
      <c r="BB616">
        <v>0</v>
      </c>
      <c r="BC616">
        <v>0</v>
      </c>
      <c r="BD616">
        <v>0</v>
      </c>
      <c r="BE616">
        <v>0</v>
      </c>
      <c r="BF616">
        <v>0</v>
      </c>
      <c r="BG616">
        <v>0</v>
      </c>
      <c r="BH616">
        <v>0</v>
      </c>
      <c r="BI616">
        <v>0</v>
      </c>
      <c r="BJ616">
        <v>0</v>
      </c>
      <c r="BK616">
        <v>0</v>
      </c>
      <c r="BL616">
        <v>0</v>
      </c>
      <c r="BM616">
        <v>0</v>
      </c>
      <c r="BN616">
        <v>0</v>
      </c>
      <c r="BO616">
        <v>0</v>
      </c>
      <c r="BP616">
        <v>0</v>
      </c>
      <c r="BQ616">
        <v>0</v>
      </c>
      <c r="BR616">
        <v>0</v>
      </c>
      <c r="BS616">
        <v>0</v>
      </c>
      <c r="BT616">
        <v>0</v>
      </c>
      <c r="BU616">
        <v>0</v>
      </c>
      <c r="BV616">
        <v>0</v>
      </c>
      <c r="BW616">
        <v>0</v>
      </c>
      <c r="CX616">
        <f>Y616*Source!I452</f>
        <v>6.2720000000000002</v>
      </c>
      <c r="CY616">
        <f t="shared" si="106"/>
        <v>83.25</v>
      </c>
      <c r="CZ616">
        <f t="shared" si="107"/>
        <v>12.69</v>
      </c>
      <c r="DA616">
        <f t="shared" si="108"/>
        <v>6.56</v>
      </c>
      <c r="DB616">
        <f t="shared" si="109"/>
        <v>1.62</v>
      </c>
      <c r="DC616">
        <f t="shared" si="110"/>
        <v>0</v>
      </c>
    </row>
    <row r="617" spans="1:107" x14ac:dyDescent="0.2">
      <c r="A617">
        <f>ROW(Source!A453)</f>
        <v>453</v>
      </c>
      <c r="B617">
        <v>16748969</v>
      </c>
      <c r="C617">
        <v>16751472</v>
      </c>
      <c r="D617">
        <v>15885198</v>
      </c>
      <c r="E617">
        <v>1</v>
      </c>
      <c r="F617">
        <v>1</v>
      </c>
      <c r="G617">
        <v>1</v>
      </c>
      <c r="H617">
        <v>1</v>
      </c>
      <c r="I617" t="s">
        <v>1506</v>
      </c>
      <c r="J617" t="s">
        <v>6</v>
      </c>
      <c r="K617" t="s">
        <v>1507</v>
      </c>
      <c r="L617">
        <v>1191</v>
      </c>
      <c r="N617">
        <v>1013</v>
      </c>
      <c r="O617" t="s">
        <v>1072</v>
      </c>
      <c r="P617" t="s">
        <v>1072</v>
      </c>
      <c r="Q617">
        <v>1</v>
      </c>
      <c r="W617">
        <v>0</v>
      </c>
      <c r="X617">
        <v>-1166887252</v>
      </c>
      <c r="Y617">
        <v>0.48799999999999999</v>
      </c>
      <c r="AA617">
        <v>0</v>
      </c>
      <c r="AB617">
        <v>0</v>
      </c>
      <c r="AC617">
        <v>0</v>
      </c>
      <c r="AD617">
        <v>84.76</v>
      </c>
      <c r="AE617">
        <v>0</v>
      </c>
      <c r="AF617">
        <v>0</v>
      </c>
      <c r="AG617">
        <v>0</v>
      </c>
      <c r="AH617">
        <v>12.92</v>
      </c>
      <c r="AI617">
        <v>1</v>
      </c>
      <c r="AJ617">
        <v>1</v>
      </c>
      <c r="AK617">
        <v>1</v>
      </c>
      <c r="AL617">
        <v>6.56</v>
      </c>
      <c r="AN617">
        <v>0</v>
      </c>
      <c r="AO617">
        <v>1</v>
      </c>
      <c r="AP617">
        <v>1</v>
      </c>
      <c r="AQ617">
        <v>0</v>
      </c>
      <c r="AR617">
        <v>0</v>
      </c>
      <c r="AS617" t="s">
        <v>6</v>
      </c>
      <c r="AT617">
        <v>0.61</v>
      </c>
      <c r="AU617" t="s">
        <v>829</v>
      </c>
      <c r="AV617">
        <v>1</v>
      </c>
      <c r="AW617">
        <v>2</v>
      </c>
      <c r="AX617">
        <v>16751475</v>
      </c>
      <c r="AY617">
        <v>1</v>
      </c>
      <c r="AZ617">
        <v>0</v>
      </c>
      <c r="BA617">
        <v>567</v>
      </c>
      <c r="BB617">
        <v>0</v>
      </c>
      <c r="BC617">
        <v>0</v>
      </c>
      <c r="BD617">
        <v>0</v>
      </c>
      <c r="BE617">
        <v>0</v>
      </c>
      <c r="BF617">
        <v>0</v>
      </c>
      <c r="BG617">
        <v>0</v>
      </c>
      <c r="BH617">
        <v>0</v>
      </c>
      <c r="BI617">
        <v>0</v>
      </c>
      <c r="BJ617">
        <v>0</v>
      </c>
      <c r="BK617">
        <v>0</v>
      </c>
      <c r="BL617">
        <v>0</v>
      </c>
      <c r="BM617">
        <v>0</v>
      </c>
      <c r="BN617">
        <v>0</v>
      </c>
      <c r="BO617">
        <v>0</v>
      </c>
      <c r="BP617">
        <v>0</v>
      </c>
      <c r="BQ617">
        <v>0</v>
      </c>
      <c r="BR617">
        <v>0</v>
      </c>
      <c r="BS617">
        <v>0</v>
      </c>
      <c r="BT617">
        <v>0</v>
      </c>
      <c r="BU617">
        <v>0</v>
      </c>
      <c r="BV617">
        <v>0</v>
      </c>
      <c r="BW617">
        <v>0</v>
      </c>
      <c r="CX617">
        <f>Y617*Source!I453</f>
        <v>55.143999999999998</v>
      </c>
      <c r="CY617">
        <f t="shared" si="106"/>
        <v>84.76</v>
      </c>
      <c r="CZ617">
        <f t="shared" si="107"/>
        <v>12.92</v>
      </c>
      <c r="DA617">
        <f t="shared" si="108"/>
        <v>6.56</v>
      </c>
      <c r="DB617">
        <f t="shared" si="109"/>
        <v>6.3</v>
      </c>
      <c r="DC617">
        <f t="shared" si="110"/>
        <v>0</v>
      </c>
    </row>
    <row r="618" spans="1:107" x14ac:dyDescent="0.2">
      <c r="A618">
        <f>ROW(Source!A453)</f>
        <v>453</v>
      </c>
      <c r="B618">
        <v>16748969</v>
      </c>
      <c r="C618">
        <v>16751472</v>
      </c>
      <c r="D618">
        <v>15884235</v>
      </c>
      <c r="E618">
        <v>1</v>
      </c>
      <c r="F618">
        <v>1</v>
      </c>
      <c r="G618">
        <v>1</v>
      </c>
      <c r="H618">
        <v>1</v>
      </c>
      <c r="I618" t="s">
        <v>1508</v>
      </c>
      <c r="J618" t="s">
        <v>6</v>
      </c>
      <c r="K618" t="s">
        <v>1509</v>
      </c>
      <c r="L618">
        <v>1191</v>
      </c>
      <c r="N618">
        <v>1013</v>
      </c>
      <c r="O618" t="s">
        <v>1072</v>
      </c>
      <c r="P618" t="s">
        <v>1072</v>
      </c>
      <c r="Q618">
        <v>1</v>
      </c>
      <c r="W618">
        <v>0</v>
      </c>
      <c r="X618">
        <v>1776637054</v>
      </c>
      <c r="Y618">
        <v>0.48799999999999999</v>
      </c>
      <c r="AA618">
        <v>0</v>
      </c>
      <c r="AB618">
        <v>0</v>
      </c>
      <c r="AC618">
        <v>0</v>
      </c>
      <c r="AD618">
        <v>83.25</v>
      </c>
      <c r="AE618">
        <v>0</v>
      </c>
      <c r="AF618">
        <v>0</v>
      </c>
      <c r="AG618">
        <v>0</v>
      </c>
      <c r="AH618">
        <v>12.69</v>
      </c>
      <c r="AI618">
        <v>1</v>
      </c>
      <c r="AJ618">
        <v>1</v>
      </c>
      <c r="AK618">
        <v>1</v>
      </c>
      <c r="AL618">
        <v>6.56</v>
      </c>
      <c r="AN618">
        <v>0</v>
      </c>
      <c r="AO618">
        <v>1</v>
      </c>
      <c r="AP618">
        <v>1</v>
      </c>
      <c r="AQ618">
        <v>0</v>
      </c>
      <c r="AR618">
        <v>0</v>
      </c>
      <c r="AS618" t="s">
        <v>6</v>
      </c>
      <c r="AT618">
        <v>0.61</v>
      </c>
      <c r="AU618" t="s">
        <v>829</v>
      </c>
      <c r="AV618">
        <v>1</v>
      </c>
      <c r="AW618">
        <v>2</v>
      </c>
      <c r="AX618">
        <v>16751476</v>
      </c>
      <c r="AY618">
        <v>1</v>
      </c>
      <c r="AZ618">
        <v>0</v>
      </c>
      <c r="BA618">
        <v>568</v>
      </c>
      <c r="BB618">
        <v>0</v>
      </c>
      <c r="BC618">
        <v>0</v>
      </c>
      <c r="BD618">
        <v>0</v>
      </c>
      <c r="BE618">
        <v>0</v>
      </c>
      <c r="BF618">
        <v>0</v>
      </c>
      <c r="BG618">
        <v>0</v>
      </c>
      <c r="BH618">
        <v>0</v>
      </c>
      <c r="BI618">
        <v>0</v>
      </c>
      <c r="BJ618">
        <v>0</v>
      </c>
      <c r="BK618">
        <v>0</v>
      </c>
      <c r="BL618">
        <v>0</v>
      </c>
      <c r="BM618">
        <v>0</v>
      </c>
      <c r="BN618">
        <v>0</v>
      </c>
      <c r="BO618">
        <v>0</v>
      </c>
      <c r="BP618">
        <v>0</v>
      </c>
      <c r="BQ618">
        <v>0</v>
      </c>
      <c r="BR618">
        <v>0</v>
      </c>
      <c r="BS618">
        <v>0</v>
      </c>
      <c r="BT618">
        <v>0</v>
      </c>
      <c r="BU618">
        <v>0</v>
      </c>
      <c r="BV618">
        <v>0</v>
      </c>
      <c r="BW618">
        <v>0</v>
      </c>
      <c r="CX618">
        <f>Y618*Source!I453</f>
        <v>55.143999999999998</v>
      </c>
      <c r="CY618">
        <f t="shared" si="106"/>
        <v>83.25</v>
      </c>
      <c r="CZ618">
        <f t="shared" si="107"/>
        <v>12.69</v>
      </c>
      <c r="DA618">
        <f t="shared" si="108"/>
        <v>6.56</v>
      </c>
      <c r="DB618">
        <f t="shared" si="109"/>
        <v>6.19</v>
      </c>
      <c r="DC618">
        <f t="shared" si="110"/>
        <v>0</v>
      </c>
    </row>
    <row r="619" spans="1:107" x14ac:dyDescent="0.2">
      <c r="A619">
        <f>ROW(Source!A454)</f>
        <v>454</v>
      </c>
      <c r="B619">
        <v>16748969</v>
      </c>
      <c r="C619">
        <v>16751477</v>
      </c>
      <c r="D619">
        <v>15885198</v>
      </c>
      <c r="E619">
        <v>1</v>
      </c>
      <c r="F619">
        <v>1</v>
      </c>
      <c r="G619">
        <v>1</v>
      </c>
      <c r="H619">
        <v>1</v>
      </c>
      <c r="I619" t="s">
        <v>1506</v>
      </c>
      <c r="J619" t="s">
        <v>6</v>
      </c>
      <c r="K619" t="s">
        <v>1507</v>
      </c>
      <c r="L619">
        <v>1191</v>
      </c>
      <c r="N619">
        <v>1013</v>
      </c>
      <c r="O619" t="s">
        <v>1072</v>
      </c>
      <c r="P619" t="s">
        <v>1072</v>
      </c>
      <c r="Q619">
        <v>1</v>
      </c>
      <c r="W619">
        <v>0</v>
      </c>
      <c r="X619">
        <v>-1166887252</v>
      </c>
      <c r="Y619">
        <v>5.1840000000000011</v>
      </c>
      <c r="AA619">
        <v>0</v>
      </c>
      <c r="AB619">
        <v>0</v>
      </c>
      <c r="AC619">
        <v>0</v>
      </c>
      <c r="AD619">
        <v>84.76</v>
      </c>
      <c r="AE619">
        <v>0</v>
      </c>
      <c r="AF619">
        <v>0</v>
      </c>
      <c r="AG619">
        <v>0</v>
      </c>
      <c r="AH619">
        <v>12.92</v>
      </c>
      <c r="AI619">
        <v>1</v>
      </c>
      <c r="AJ619">
        <v>1</v>
      </c>
      <c r="AK619">
        <v>1</v>
      </c>
      <c r="AL619">
        <v>6.56</v>
      </c>
      <c r="AN619">
        <v>0</v>
      </c>
      <c r="AO619">
        <v>1</v>
      </c>
      <c r="AP619">
        <v>1</v>
      </c>
      <c r="AQ619">
        <v>0</v>
      </c>
      <c r="AR619">
        <v>0</v>
      </c>
      <c r="AS619" t="s">
        <v>6</v>
      </c>
      <c r="AT619">
        <v>6.48</v>
      </c>
      <c r="AU619" t="s">
        <v>829</v>
      </c>
      <c r="AV619">
        <v>1</v>
      </c>
      <c r="AW619">
        <v>2</v>
      </c>
      <c r="AX619">
        <v>16751480</v>
      </c>
      <c r="AY619">
        <v>1</v>
      </c>
      <c r="AZ619">
        <v>0</v>
      </c>
      <c r="BA619">
        <v>569</v>
      </c>
      <c r="BB619">
        <v>0</v>
      </c>
      <c r="BC619">
        <v>0</v>
      </c>
      <c r="BD619">
        <v>0</v>
      </c>
      <c r="BE619">
        <v>0</v>
      </c>
      <c r="BF619">
        <v>0</v>
      </c>
      <c r="BG619">
        <v>0</v>
      </c>
      <c r="BH619">
        <v>0</v>
      </c>
      <c r="BI619">
        <v>0</v>
      </c>
      <c r="BJ619">
        <v>0</v>
      </c>
      <c r="BK619">
        <v>0</v>
      </c>
      <c r="BL619">
        <v>0</v>
      </c>
      <c r="BM619">
        <v>0</v>
      </c>
      <c r="BN619">
        <v>0</v>
      </c>
      <c r="BO619">
        <v>0</v>
      </c>
      <c r="BP619">
        <v>0</v>
      </c>
      <c r="BQ619">
        <v>0</v>
      </c>
      <c r="BR619">
        <v>0</v>
      </c>
      <c r="BS619">
        <v>0</v>
      </c>
      <c r="BT619">
        <v>0</v>
      </c>
      <c r="BU619">
        <v>0</v>
      </c>
      <c r="BV619">
        <v>0</v>
      </c>
      <c r="BW619">
        <v>0</v>
      </c>
      <c r="CX619">
        <f>Y619*Source!I454</f>
        <v>0.25920000000000004</v>
      </c>
      <c r="CY619">
        <f t="shared" si="106"/>
        <v>84.76</v>
      </c>
      <c r="CZ619">
        <f t="shared" si="107"/>
        <v>12.92</v>
      </c>
      <c r="DA619">
        <f t="shared" si="108"/>
        <v>6.56</v>
      </c>
      <c r="DB619">
        <f t="shared" si="109"/>
        <v>66.98</v>
      </c>
      <c r="DC619">
        <f t="shared" si="110"/>
        <v>0</v>
      </c>
    </row>
    <row r="620" spans="1:107" x14ac:dyDescent="0.2">
      <c r="A620">
        <f>ROW(Source!A454)</f>
        <v>454</v>
      </c>
      <c r="B620">
        <v>16748969</v>
      </c>
      <c r="C620">
        <v>16751477</v>
      </c>
      <c r="D620">
        <v>15884235</v>
      </c>
      <c r="E620">
        <v>1</v>
      </c>
      <c r="F620">
        <v>1</v>
      </c>
      <c r="G620">
        <v>1</v>
      </c>
      <c r="H620">
        <v>1</v>
      </c>
      <c r="I620" t="s">
        <v>1508</v>
      </c>
      <c r="J620" t="s">
        <v>6</v>
      </c>
      <c r="K620" t="s">
        <v>1509</v>
      </c>
      <c r="L620">
        <v>1191</v>
      </c>
      <c r="N620">
        <v>1013</v>
      </c>
      <c r="O620" t="s">
        <v>1072</v>
      </c>
      <c r="P620" t="s">
        <v>1072</v>
      </c>
      <c r="Q620">
        <v>1</v>
      </c>
      <c r="W620">
        <v>0</v>
      </c>
      <c r="X620">
        <v>1776637054</v>
      </c>
      <c r="Y620">
        <v>5.1840000000000011</v>
      </c>
      <c r="AA620">
        <v>0</v>
      </c>
      <c r="AB620">
        <v>0</v>
      </c>
      <c r="AC620">
        <v>0</v>
      </c>
      <c r="AD620">
        <v>83.25</v>
      </c>
      <c r="AE620">
        <v>0</v>
      </c>
      <c r="AF620">
        <v>0</v>
      </c>
      <c r="AG620">
        <v>0</v>
      </c>
      <c r="AH620">
        <v>12.69</v>
      </c>
      <c r="AI620">
        <v>1</v>
      </c>
      <c r="AJ620">
        <v>1</v>
      </c>
      <c r="AK620">
        <v>1</v>
      </c>
      <c r="AL620">
        <v>6.56</v>
      </c>
      <c r="AN620">
        <v>0</v>
      </c>
      <c r="AO620">
        <v>1</v>
      </c>
      <c r="AP620">
        <v>1</v>
      </c>
      <c r="AQ620">
        <v>0</v>
      </c>
      <c r="AR620">
        <v>0</v>
      </c>
      <c r="AS620" t="s">
        <v>6</v>
      </c>
      <c r="AT620">
        <v>6.48</v>
      </c>
      <c r="AU620" t="s">
        <v>829</v>
      </c>
      <c r="AV620">
        <v>1</v>
      </c>
      <c r="AW620">
        <v>2</v>
      </c>
      <c r="AX620">
        <v>16751481</v>
      </c>
      <c r="AY620">
        <v>1</v>
      </c>
      <c r="AZ620">
        <v>0</v>
      </c>
      <c r="BA620">
        <v>570</v>
      </c>
      <c r="BB620">
        <v>0</v>
      </c>
      <c r="BC620">
        <v>0</v>
      </c>
      <c r="BD620">
        <v>0</v>
      </c>
      <c r="BE620">
        <v>0</v>
      </c>
      <c r="BF620">
        <v>0</v>
      </c>
      <c r="BG620">
        <v>0</v>
      </c>
      <c r="BH620">
        <v>0</v>
      </c>
      <c r="BI620">
        <v>0</v>
      </c>
      <c r="BJ620">
        <v>0</v>
      </c>
      <c r="BK620">
        <v>0</v>
      </c>
      <c r="BL620">
        <v>0</v>
      </c>
      <c r="BM620">
        <v>0</v>
      </c>
      <c r="BN620">
        <v>0</v>
      </c>
      <c r="BO620">
        <v>0</v>
      </c>
      <c r="BP620">
        <v>0</v>
      </c>
      <c r="BQ620">
        <v>0</v>
      </c>
      <c r="BR620">
        <v>0</v>
      </c>
      <c r="BS620">
        <v>0</v>
      </c>
      <c r="BT620">
        <v>0</v>
      </c>
      <c r="BU620">
        <v>0</v>
      </c>
      <c r="BV620">
        <v>0</v>
      </c>
      <c r="BW620">
        <v>0</v>
      </c>
      <c r="CX620">
        <f>Y620*Source!I454</f>
        <v>0.25920000000000004</v>
      </c>
      <c r="CY620">
        <f t="shared" si="106"/>
        <v>83.25</v>
      </c>
      <c r="CZ620">
        <f t="shared" si="107"/>
        <v>12.69</v>
      </c>
      <c r="DA620">
        <f t="shared" si="108"/>
        <v>6.56</v>
      </c>
      <c r="DB620">
        <f t="shared" si="109"/>
        <v>65.78</v>
      </c>
      <c r="DC620">
        <f t="shared" si="110"/>
        <v>0</v>
      </c>
    </row>
    <row r="621" spans="1:107" x14ac:dyDescent="0.2">
      <c r="A621">
        <f>ROW(Source!A455)</f>
        <v>455</v>
      </c>
      <c r="B621">
        <v>16748969</v>
      </c>
      <c r="C621">
        <v>16751482</v>
      </c>
      <c r="D621">
        <v>15884231</v>
      </c>
      <c r="E621">
        <v>1</v>
      </c>
      <c r="F621">
        <v>1</v>
      </c>
      <c r="G621">
        <v>1</v>
      </c>
      <c r="H621">
        <v>1</v>
      </c>
      <c r="I621" t="s">
        <v>1510</v>
      </c>
      <c r="J621" t="s">
        <v>6</v>
      </c>
      <c r="K621" t="s">
        <v>1511</v>
      </c>
      <c r="L621">
        <v>1191</v>
      </c>
      <c r="N621">
        <v>1013</v>
      </c>
      <c r="O621" t="s">
        <v>1072</v>
      </c>
      <c r="P621" t="s">
        <v>1072</v>
      </c>
      <c r="Q621">
        <v>1</v>
      </c>
      <c r="W621">
        <v>0</v>
      </c>
      <c r="X621">
        <v>-1309109184</v>
      </c>
      <c r="Y621">
        <v>0.52</v>
      </c>
      <c r="AA621">
        <v>0</v>
      </c>
      <c r="AB621">
        <v>0</v>
      </c>
      <c r="AC621">
        <v>0</v>
      </c>
      <c r="AD621">
        <v>60.16</v>
      </c>
      <c r="AE621">
        <v>0</v>
      </c>
      <c r="AF621">
        <v>0</v>
      </c>
      <c r="AG621">
        <v>0</v>
      </c>
      <c r="AH621">
        <v>9.17</v>
      </c>
      <c r="AI621">
        <v>1</v>
      </c>
      <c r="AJ621">
        <v>1</v>
      </c>
      <c r="AK621">
        <v>1</v>
      </c>
      <c r="AL621">
        <v>6.56</v>
      </c>
      <c r="AN621">
        <v>0</v>
      </c>
      <c r="AO621">
        <v>1</v>
      </c>
      <c r="AP621">
        <v>1</v>
      </c>
      <c r="AQ621">
        <v>0</v>
      </c>
      <c r="AR621">
        <v>0</v>
      </c>
      <c r="AS621" t="s">
        <v>6</v>
      </c>
      <c r="AT621">
        <v>0.65</v>
      </c>
      <c r="AU621" t="s">
        <v>829</v>
      </c>
      <c r="AV621">
        <v>1</v>
      </c>
      <c r="AW621">
        <v>2</v>
      </c>
      <c r="AX621">
        <v>16751485</v>
      </c>
      <c r="AY621">
        <v>1</v>
      </c>
      <c r="AZ621">
        <v>0</v>
      </c>
      <c r="BA621">
        <v>571</v>
      </c>
      <c r="BB621">
        <v>0</v>
      </c>
      <c r="BC621">
        <v>0</v>
      </c>
      <c r="BD621">
        <v>0</v>
      </c>
      <c r="BE621">
        <v>0</v>
      </c>
      <c r="BF621">
        <v>0</v>
      </c>
      <c r="BG621">
        <v>0</v>
      </c>
      <c r="BH621">
        <v>0</v>
      </c>
      <c r="BI621">
        <v>0</v>
      </c>
      <c r="BJ621">
        <v>0</v>
      </c>
      <c r="BK621">
        <v>0</v>
      </c>
      <c r="BL621">
        <v>0</v>
      </c>
      <c r="BM621">
        <v>0</v>
      </c>
      <c r="BN621">
        <v>0</v>
      </c>
      <c r="BO621">
        <v>0</v>
      </c>
      <c r="BP621">
        <v>0</v>
      </c>
      <c r="BQ621">
        <v>0</v>
      </c>
      <c r="BR621">
        <v>0</v>
      </c>
      <c r="BS621">
        <v>0</v>
      </c>
      <c r="BT621">
        <v>0</v>
      </c>
      <c r="BU621">
        <v>0</v>
      </c>
      <c r="BV621">
        <v>0</v>
      </c>
      <c r="BW621">
        <v>0</v>
      </c>
      <c r="CX621">
        <f>Y621*Source!I455</f>
        <v>23.92</v>
      </c>
      <c r="CY621">
        <f t="shared" si="106"/>
        <v>60.16</v>
      </c>
      <c r="CZ621">
        <f t="shared" si="107"/>
        <v>9.17</v>
      </c>
      <c r="DA621">
        <f t="shared" si="108"/>
        <v>6.56</v>
      </c>
      <c r="DB621">
        <f t="shared" si="109"/>
        <v>4.7699999999999996</v>
      </c>
      <c r="DC621">
        <f t="shared" si="110"/>
        <v>0</v>
      </c>
    </row>
    <row r="622" spans="1:107" x14ac:dyDescent="0.2">
      <c r="A622">
        <f>ROW(Source!A455)</f>
        <v>455</v>
      </c>
      <c r="B622">
        <v>16748969</v>
      </c>
      <c r="C622">
        <v>16751482</v>
      </c>
      <c r="D622">
        <v>15884285</v>
      </c>
      <c r="E622">
        <v>1</v>
      </c>
      <c r="F622">
        <v>1</v>
      </c>
      <c r="G622">
        <v>1</v>
      </c>
      <c r="H622">
        <v>1</v>
      </c>
      <c r="I622" t="s">
        <v>1512</v>
      </c>
      <c r="J622" t="s">
        <v>6</v>
      </c>
      <c r="K622" t="s">
        <v>1513</v>
      </c>
      <c r="L622">
        <v>1191</v>
      </c>
      <c r="N622">
        <v>1013</v>
      </c>
      <c r="O622" t="s">
        <v>1072</v>
      </c>
      <c r="P622" t="s">
        <v>1072</v>
      </c>
      <c r="Q622">
        <v>1</v>
      </c>
      <c r="W622">
        <v>0</v>
      </c>
      <c r="X622">
        <v>1818203118</v>
      </c>
      <c r="Y622">
        <v>0.77600000000000002</v>
      </c>
      <c r="AA622">
        <v>0</v>
      </c>
      <c r="AB622">
        <v>0</v>
      </c>
      <c r="AC622">
        <v>0</v>
      </c>
      <c r="AD622">
        <v>92.43</v>
      </c>
      <c r="AE622">
        <v>0</v>
      </c>
      <c r="AF622">
        <v>0</v>
      </c>
      <c r="AG622">
        <v>0</v>
      </c>
      <c r="AH622">
        <v>14.09</v>
      </c>
      <c r="AI622">
        <v>1</v>
      </c>
      <c r="AJ622">
        <v>1</v>
      </c>
      <c r="AK622">
        <v>1</v>
      </c>
      <c r="AL622">
        <v>6.56</v>
      </c>
      <c r="AN622">
        <v>0</v>
      </c>
      <c r="AO622">
        <v>1</v>
      </c>
      <c r="AP622">
        <v>1</v>
      </c>
      <c r="AQ622">
        <v>0</v>
      </c>
      <c r="AR622">
        <v>0</v>
      </c>
      <c r="AS622" t="s">
        <v>6</v>
      </c>
      <c r="AT622">
        <v>0.97</v>
      </c>
      <c r="AU622" t="s">
        <v>829</v>
      </c>
      <c r="AV622">
        <v>1</v>
      </c>
      <c r="AW622">
        <v>2</v>
      </c>
      <c r="AX622">
        <v>16751486</v>
      </c>
      <c r="AY622">
        <v>1</v>
      </c>
      <c r="AZ622">
        <v>0</v>
      </c>
      <c r="BA622">
        <v>572</v>
      </c>
      <c r="BB622">
        <v>0</v>
      </c>
      <c r="BC622">
        <v>0</v>
      </c>
      <c r="BD622">
        <v>0</v>
      </c>
      <c r="BE622">
        <v>0</v>
      </c>
      <c r="BF622">
        <v>0</v>
      </c>
      <c r="BG622">
        <v>0</v>
      </c>
      <c r="BH622">
        <v>0</v>
      </c>
      <c r="BI622">
        <v>0</v>
      </c>
      <c r="BJ622">
        <v>0</v>
      </c>
      <c r="BK622">
        <v>0</v>
      </c>
      <c r="BL622">
        <v>0</v>
      </c>
      <c r="BM622">
        <v>0</v>
      </c>
      <c r="BN622">
        <v>0</v>
      </c>
      <c r="BO622">
        <v>0</v>
      </c>
      <c r="BP622">
        <v>0</v>
      </c>
      <c r="BQ622">
        <v>0</v>
      </c>
      <c r="BR622">
        <v>0</v>
      </c>
      <c r="BS622">
        <v>0</v>
      </c>
      <c r="BT622">
        <v>0</v>
      </c>
      <c r="BU622">
        <v>0</v>
      </c>
      <c r="BV622">
        <v>0</v>
      </c>
      <c r="BW622">
        <v>0</v>
      </c>
      <c r="CX622">
        <f>Y622*Source!I455</f>
        <v>35.695999999999998</v>
      </c>
      <c r="CY622">
        <f t="shared" si="106"/>
        <v>92.43</v>
      </c>
      <c r="CZ622">
        <f t="shared" si="107"/>
        <v>14.09</v>
      </c>
      <c r="DA622">
        <f t="shared" si="108"/>
        <v>6.56</v>
      </c>
      <c r="DB622">
        <f t="shared" si="109"/>
        <v>10.94</v>
      </c>
      <c r="DC622">
        <f t="shared" si="110"/>
        <v>0</v>
      </c>
    </row>
    <row r="623" spans="1:107" x14ac:dyDescent="0.2">
      <c r="A623">
        <f>ROW(Source!A490)</f>
        <v>490</v>
      </c>
      <c r="B623">
        <v>16748969</v>
      </c>
      <c r="C623">
        <v>16751487</v>
      </c>
      <c r="D623">
        <v>15436556</v>
      </c>
      <c r="E623">
        <v>1</v>
      </c>
      <c r="F623">
        <v>1</v>
      </c>
      <c r="G623">
        <v>1</v>
      </c>
      <c r="H623">
        <v>1</v>
      </c>
      <c r="I623" t="s">
        <v>1265</v>
      </c>
      <c r="J623" t="s">
        <v>6</v>
      </c>
      <c r="K623" t="s">
        <v>1266</v>
      </c>
      <c r="L623">
        <v>1191</v>
      </c>
      <c r="N623">
        <v>1013</v>
      </c>
      <c r="O623" t="s">
        <v>1072</v>
      </c>
      <c r="P623" t="s">
        <v>1072</v>
      </c>
      <c r="Q623">
        <v>1</v>
      </c>
      <c r="W623">
        <v>0</v>
      </c>
      <c r="X623">
        <v>1069510174</v>
      </c>
      <c r="Y623">
        <v>1.68</v>
      </c>
      <c r="AA623">
        <v>0</v>
      </c>
      <c r="AB623">
        <v>0</v>
      </c>
      <c r="AC623">
        <v>0</v>
      </c>
      <c r="AD623">
        <v>63.11</v>
      </c>
      <c r="AE623">
        <v>0</v>
      </c>
      <c r="AF623">
        <v>0</v>
      </c>
      <c r="AG623">
        <v>0</v>
      </c>
      <c r="AH623">
        <v>9.6199999999999992</v>
      </c>
      <c r="AI623">
        <v>1</v>
      </c>
      <c r="AJ623">
        <v>1</v>
      </c>
      <c r="AK623">
        <v>1</v>
      </c>
      <c r="AL623">
        <v>6.56</v>
      </c>
      <c r="AN623">
        <v>0</v>
      </c>
      <c r="AO623">
        <v>1</v>
      </c>
      <c r="AP623">
        <v>0</v>
      </c>
      <c r="AQ623">
        <v>0</v>
      </c>
      <c r="AR623">
        <v>0</v>
      </c>
      <c r="AS623" t="s">
        <v>6</v>
      </c>
      <c r="AT623">
        <v>1.68</v>
      </c>
      <c r="AU623" t="s">
        <v>6</v>
      </c>
      <c r="AV623">
        <v>1</v>
      </c>
      <c r="AW623">
        <v>2</v>
      </c>
      <c r="AX623">
        <v>16751495</v>
      </c>
      <c r="AY623">
        <v>1</v>
      </c>
      <c r="AZ623">
        <v>0</v>
      </c>
      <c r="BA623">
        <v>573</v>
      </c>
      <c r="BB623">
        <v>0</v>
      </c>
      <c r="BC623">
        <v>0</v>
      </c>
      <c r="BD623">
        <v>0</v>
      </c>
      <c r="BE623">
        <v>0</v>
      </c>
      <c r="BF623">
        <v>0</v>
      </c>
      <c r="BG623">
        <v>0</v>
      </c>
      <c r="BH623">
        <v>0</v>
      </c>
      <c r="BI623">
        <v>0</v>
      </c>
      <c r="BJ623">
        <v>0</v>
      </c>
      <c r="BK623">
        <v>0</v>
      </c>
      <c r="BL623">
        <v>0</v>
      </c>
      <c r="BM623">
        <v>0</v>
      </c>
      <c r="BN623">
        <v>0</v>
      </c>
      <c r="BO623">
        <v>0</v>
      </c>
      <c r="BP623">
        <v>0</v>
      </c>
      <c r="BQ623">
        <v>0</v>
      </c>
      <c r="BR623">
        <v>0</v>
      </c>
      <c r="BS623">
        <v>0</v>
      </c>
      <c r="BT623">
        <v>0</v>
      </c>
      <c r="BU623">
        <v>0</v>
      </c>
      <c r="BV623">
        <v>0</v>
      </c>
      <c r="BW623">
        <v>0</v>
      </c>
      <c r="CX623">
        <f>Y623*Source!I490</f>
        <v>11.76</v>
      </c>
      <c r="CY623">
        <f t="shared" si="106"/>
        <v>63.11</v>
      </c>
      <c r="CZ623">
        <f t="shared" si="107"/>
        <v>9.6199999999999992</v>
      </c>
      <c r="DA623">
        <f t="shared" si="108"/>
        <v>6.56</v>
      </c>
      <c r="DB623">
        <f t="shared" ref="DB623:DB654" si="111">ROUND(ROUND(AT623*CZ623,2),2)</f>
        <v>16.16</v>
      </c>
      <c r="DC623">
        <f t="shared" ref="DC623:DC654" si="112">ROUND(ROUND(AT623*AG623,2),2)</f>
        <v>0</v>
      </c>
    </row>
    <row r="624" spans="1:107" x14ac:dyDescent="0.2">
      <c r="A624">
        <f>ROW(Source!A490)</f>
        <v>490</v>
      </c>
      <c r="B624">
        <v>16748969</v>
      </c>
      <c r="C624">
        <v>16751487</v>
      </c>
      <c r="D624">
        <v>15165918</v>
      </c>
      <c r="E624">
        <v>1</v>
      </c>
      <c r="F624">
        <v>1</v>
      </c>
      <c r="G624">
        <v>1</v>
      </c>
      <c r="H624">
        <v>3</v>
      </c>
      <c r="I624" t="s">
        <v>1514</v>
      </c>
      <c r="J624" t="s">
        <v>1515</v>
      </c>
      <c r="K624" t="s">
        <v>1516</v>
      </c>
      <c r="L624">
        <v>1346</v>
      </c>
      <c r="N624">
        <v>1009</v>
      </c>
      <c r="O624" t="s">
        <v>323</v>
      </c>
      <c r="P624" t="s">
        <v>323</v>
      </c>
      <c r="Q624">
        <v>1</v>
      </c>
      <c r="W624">
        <v>0</v>
      </c>
      <c r="X624">
        <v>1559187994</v>
      </c>
      <c r="Y624">
        <v>5.0000000000000001E-4</v>
      </c>
      <c r="AA624">
        <v>181.97</v>
      </c>
      <c r="AB624">
        <v>0</v>
      </c>
      <c r="AC624">
        <v>0</v>
      </c>
      <c r="AD624">
        <v>0</v>
      </c>
      <c r="AE624">
        <v>27.74</v>
      </c>
      <c r="AF624">
        <v>0</v>
      </c>
      <c r="AG624">
        <v>0</v>
      </c>
      <c r="AH624">
        <v>0</v>
      </c>
      <c r="AI624">
        <v>6.56</v>
      </c>
      <c r="AJ624">
        <v>1</v>
      </c>
      <c r="AK624">
        <v>1</v>
      </c>
      <c r="AL624">
        <v>1</v>
      </c>
      <c r="AN624">
        <v>0</v>
      </c>
      <c r="AO624">
        <v>1</v>
      </c>
      <c r="AP624">
        <v>0</v>
      </c>
      <c r="AQ624">
        <v>0</v>
      </c>
      <c r="AR624">
        <v>0</v>
      </c>
      <c r="AS624" t="s">
        <v>6</v>
      </c>
      <c r="AT624">
        <v>5.0000000000000001E-4</v>
      </c>
      <c r="AU624" t="s">
        <v>6</v>
      </c>
      <c r="AV624">
        <v>0</v>
      </c>
      <c r="AW624">
        <v>2</v>
      </c>
      <c r="AX624">
        <v>16751496</v>
      </c>
      <c r="AY624">
        <v>1</v>
      </c>
      <c r="AZ624">
        <v>0</v>
      </c>
      <c r="BA624">
        <v>574</v>
      </c>
      <c r="BB624">
        <v>0</v>
      </c>
      <c r="BC624">
        <v>0</v>
      </c>
      <c r="BD624">
        <v>0</v>
      </c>
      <c r="BE624">
        <v>0</v>
      </c>
      <c r="BF624">
        <v>0</v>
      </c>
      <c r="BG624">
        <v>0</v>
      </c>
      <c r="BH624">
        <v>0</v>
      </c>
      <c r="BI624">
        <v>0</v>
      </c>
      <c r="BJ624">
        <v>0</v>
      </c>
      <c r="BK624">
        <v>0</v>
      </c>
      <c r="BL624">
        <v>0</v>
      </c>
      <c r="BM624">
        <v>0</v>
      </c>
      <c r="BN624">
        <v>0</v>
      </c>
      <c r="BO624">
        <v>0</v>
      </c>
      <c r="BP624">
        <v>0</v>
      </c>
      <c r="BQ624">
        <v>0</v>
      </c>
      <c r="BR624">
        <v>0</v>
      </c>
      <c r="BS624">
        <v>0</v>
      </c>
      <c r="BT624">
        <v>0</v>
      </c>
      <c r="BU624">
        <v>0</v>
      </c>
      <c r="BV624">
        <v>0</v>
      </c>
      <c r="BW624">
        <v>0</v>
      </c>
      <c r="CX624">
        <f>Y624*Source!I490</f>
        <v>3.5000000000000001E-3</v>
      </c>
      <c r="CY624">
        <f t="shared" ref="CY624:CY629" si="113">AA624</f>
        <v>181.97</v>
      </c>
      <c r="CZ624">
        <f t="shared" ref="CZ624:CZ629" si="114">AE624</f>
        <v>27.74</v>
      </c>
      <c r="DA624">
        <f t="shared" ref="DA624:DA629" si="115">AI624</f>
        <v>6.56</v>
      </c>
      <c r="DB624">
        <f t="shared" si="111"/>
        <v>0.01</v>
      </c>
      <c r="DC624">
        <f t="shared" si="112"/>
        <v>0</v>
      </c>
    </row>
    <row r="625" spans="1:107" x14ac:dyDescent="0.2">
      <c r="A625">
        <f>ROW(Source!A490)</f>
        <v>490</v>
      </c>
      <c r="B625">
        <v>16748969</v>
      </c>
      <c r="C625">
        <v>16751487</v>
      </c>
      <c r="D625">
        <v>15170072</v>
      </c>
      <c r="E625">
        <v>1</v>
      </c>
      <c r="F625">
        <v>1</v>
      </c>
      <c r="G625">
        <v>1</v>
      </c>
      <c r="H625">
        <v>3</v>
      </c>
      <c r="I625" t="s">
        <v>1517</v>
      </c>
      <c r="J625" t="s">
        <v>1518</v>
      </c>
      <c r="K625" t="s">
        <v>1519</v>
      </c>
      <c r="L625">
        <v>1355</v>
      </c>
      <c r="N625">
        <v>1010</v>
      </c>
      <c r="O625" t="s">
        <v>724</v>
      </c>
      <c r="P625" t="s">
        <v>724</v>
      </c>
      <c r="Q625">
        <v>100</v>
      </c>
      <c r="W625">
        <v>0</v>
      </c>
      <c r="X625">
        <v>-66531260</v>
      </c>
      <c r="Y625">
        <v>2.5000000000000001E-2</v>
      </c>
      <c r="AA625">
        <v>544.48</v>
      </c>
      <c r="AB625">
        <v>0</v>
      </c>
      <c r="AC625">
        <v>0</v>
      </c>
      <c r="AD625">
        <v>0</v>
      </c>
      <c r="AE625">
        <v>83</v>
      </c>
      <c r="AF625">
        <v>0</v>
      </c>
      <c r="AG625">
        <v>0</v>
      </c>
      <c r="AH625">
        <v>0</v>
      </c>
      <c r="AI625">
        <v>6.56</v>
      </c>
      <c r="AJ625">
        <v>1</v>
      </c>
      <c r="AK625">
        <v>1</v>
      </c>
      <c r="AL625">
        <v>1</v>
      </c>
      <c r="AN625">
        <v>0</v>
      </c>
      <c r="AO625">
        <v>1</v>
      </c>
      <c r="AP625">
        <v>0</v>
      </c>
      <c r="AQ625">
        <v>0</v>
      </c>
      <c r="AR625">
        <v>0</v>
      </c>
      <c r="AS625" t="s">
        <v>6</v>
      </c>
      <c r="AT625">
        <v>2.5000000000000001E-2</v>
      </c>
      <c r="AU625" t="s">
        <v>6</v>
      </c>
      <c r="AV625">
        <v>0</v>
      </c>
      <c r="AW625">
        <v>2</v>
      </c>
      <c r="AX625">
        <v>16751497</v>
      </c>
      <c r="AY625">
        <v>1</v>
      </c>
      <c r="AZ625">
        <v>0</v>
      </c>
      <c r="BA625">
        <v>575</v>
      </c>
      <c r="BB625">
        <v>0</v>
      </c>
      <c r="BC625">
        <v>0</v>
      </c>
      <c r="BD625">
        <v>0</v>
      </c>
      <c r="BE625">
        <v>0</v>
      </c>
      <c r="BF625">
        <v>0</v>
      </c>
      <c r="BG625">
        <v>0</v>
      </c>
      <c r="BH625">
        <v>0</v>
      </c>
      <c r="BI625">
        <v>0</v>
      </c>
      <c r="BJ625">
        <v>0</v>
      </c>
      <c r="BK625">
        <v>0</v>
      </c>
      <c r="BL625">
        <v>0</v>
      </c>
      <c r="BM625">
        <v>0</v>
      </c>
      <c r="BN625">
        <v>0</v>
      </c>
      <c r="BO625">
        <v>0</v>
      </c>
      <c r="BP625">
        <v>0</v>
      </c>
      <c r="BQ625">
        <v>0</v>
      </c>
      <c r="BR625">
        <v>0</v>
      </c>
      <c r="BS625">
        <v>0</v>
      </c>
      <c r="BT625">
        <v>0</v>
      </c>
      <c r="BU625">
        <v>0</v>
      </c>
      <c r="BV625">
        <v>0</v>
      </c>
      <c r="BW625">
        <v>0</v>
      </c>
      <c r="CX625">
        <f>Y625*Source!I490</f>
        <v>0.17500000000000002</v>
      </c>
      <c r="CY625">
        <f t="shared" si="113"/>
        <v>544.48</v>
      </c>
      <c r="CZ625">
        <f t="shared" si="114"/>
        <v>83</v>
      </c>
      <c r="DA625">
        <f t="shared" si="115"/>
        <v>6.56</v>
      </c>
      <c r="DB625">
        <f t="shared" si="111"/>
        <v>2.08</v>
      </c>
      <c r="DC625">
        <f t="shared" si="112"/>
        <v>0</v>
      </c>
    </row>
    <row r="626" spans="1:107" x14ac:dyDescent="0.2">
      <c r="A626">
        <f>ROW(Source!A490)</f>
        <v>490</v>
      </c>
      <c r="B626">
        <v>16748969</v>
      </c>
      <c r="C626">
        <v>16751487</v>
      </c>
      <c r="D626">
        <v>15171982</v>
      </c>
      <c r="E626">
        <v>1</v>
      </c>
      <c r="F626">
        <v>1</v>
      </c>
      <c r="G626">
        <v>1</v>
      </c>
      <c r="H626">
        <v>3</v>
      </c>
      <c r="I626" t="s">
        <v>1082</v>
      </c>
      <c r="J626" t="s">
        <v>1083</v>
      </c>
      <c r="K626" t="s">
        <v>1084</v>
      </c>
      <c r="L626">
        <v>1348</v>
      </c>
      <c r="N626">
        <v>1009</v>
      </c>
      <c r="O626" t="s">
        <v>71</v>
      </c>
      <c r="P626" t="s">
        <v>71</v>
      </c>
      <c r="Q626">
        <v>1000</v>
      </c>
      <c r="W626">
        <v>0</v>
      </c>
      <c r="X626">
        <v>-1421715385</v>
      </c>
      <c r="Y626">
        <v>1.0000000000000001E-5</v>
      </c>
      <c r="AA626">
        <v>4788.67</v>
      </c>
      <c r="AB626">
        <v>0</v>
      </c>
      <c r="AC626">
        <v>0</v>
      </c>
      <c r="AD626">
        <v>0</v>
      </c>
      <c r="AE626">
        <v>729.98</v>
      </c>
      <c r="AF626">
        <v>0</v>
      </c>
      <c r="AG626">
        <v>0</v>
      </c>
      <c r="AH626">
        <v>0</v>
      </c>
      <c r="AI626">
        <v>6.56</v>
      </c>
      <c r="AJ626">
        <v>1</v>
      </c>
      <c r="AK626">
        <v>1</v>
      </c>
      <c r="AL626">
        <v>1</v>
      </c>
      <c r="AN626">
        <v>0</v>
      </c>
      <c r="AO626">
        <v>1</v>
      </c>
      <c r="AP626">
        <v>0</v>
      </c>
      <c r="AQ626">
        <v>0</v>
      </c>
      <c r="AR626">
        <v>0</v>
      </c>
      <c r="AS626" t="s">
        <v>6</v>
      </c>
      <c r="AT626">
        <v>1.0000000000000001E-5</v>
      </c>
      <c r="AU626" t="s">
        <v>6</v>
      </c>
      <c r="AV626">
        <v>0</v>
      </c>
      <c r="AW626">
        <v>2</v>
      </c>
      <c r="AX626">
        <v>16751498</v>
      </c>
      <c r="AY626">
        <v>1</v>
      </c>
      <c r="AZ626">
        <v>0</v>
      </c>
      <c r="BA626">
        <v>576</v>
      </c>
      <c r="BB626">
        <v>0</v>
      </c>
      <c r="BC626">
        <v>0</v>
      </c>
      <c r="BD626">
        <v>0</v>
      </c>
      <c r="BE626">
        <v>0</v>
      </c>
      <c r="BF626">
        <v>0</v>
      </c>
      <c r="BG626">
        <v>0</v>
      </c>
      <c r="BH626">
        <v>0</v>
      </c>
      <c r="BI626">
        <v>0</v>
      </c>
      <c r="BJ626">
        <v>0</v>
      </c>
      <c r="BK626">
        <v>0</v>
      </c>
      <c r="BL626">
        <v>0</v>
      </c>
      <c r="BM626">
        <v>0</v>
      </c>
      <c r="BN626">
        <v>0</v>
      </c>
      <c r="BO626">
        <v>0</v>
      </c>
      <c r="BP626">
        <v>0</v>
      </c>
      <c r="BQ626">
        <v>0</v>
      </c>
      <c r="BR626">
        <v>0</v>
      </c>
      <c r="BS626">
        <v>0</v>
      </c>
      <c r="BT626">
        <v>0</v>
      </c>
      <c r="BU626">
        <v>0</v>
      </c>
      <c r="BV626">
        <v>0</v>
      </c>
      <c r="BW626">
        <v>0</v>
      </c>
      <c r="CX626">
        <f>Y626*Source!I490</f>
        <v>7.0000000000000007E-5</v>
      </c>
      <c r="CY626">
        <f t="shared" si="113"/>
        <v>4788.67</v>
      </c>
      <c r="CZ626">
        <f t="shared" si="114"/>
        <v>729.98</v>
      </c>
      <c r="DA626">
        <f t="shared" si="115"/>
        <v>6.56</v>
      </c>
      <c r="DB626">
        <f t="shared" si="111"/>
        <v>0.01</v>
      </c>
      <c r="DC626">
        <f t="shared" si="112"/>
        <v>0</v>
      </c>
    </row>
    <row r="627" spans="1:107" x14ac:dyDescent="0.2">
      <c r="A627">
        <f>ROW(Source!A490)</f>
        <v>490</v>
      </c>
      <c r="B627">
        <v>16748969</v>
      </c>
      <c r="C627">
        <v>16751487</v>
      </c>
      <c r="D627">
        <v>15195043</v>
      </c>
      <c r="E627">
        <v>1</v>
      </c>
      <c r="F627">
        <v>1</v>
      </c>
      <c r="G627">
        <v>1</v>
      </c>
      <c r="H627">
        <v>3</v>
      </c>
      <c r="I627" t="s">
        <v>1520</v>
      </c>
      <c r="J627" t="s">
        <v>1521</v>
      </c>
      <c r="K627" t="s">
        <v>1522</v>
      </c>
      <c r="L627">
        <v>1346</v>
      </c>
      <c r="N627">
        <v>1009</v>
      </c>
      <c r="O627" t="s">
        <v>323</v>
      </c>
      <c r="P627" t="s">
        <v>323</v>
      </c>
      <c r="Q627">
        <v>1</v>
      </c>
      <c r="W627">
        <v>0</v>
      </c>
      <c r="X627">
        <v>-1726842289</v>
      </c>
      <c r="Y627">
        <v>5.0000000000000001E-3</v>
      </c>
      <c r="AA627">
        <v>431.32</v>
      </c>
      <c r="AB627">
        <v>0</v>
      </c>
      <c r="AC627">
        <v>0</v>
      </c>
      <c r="AD627">
        <v>0</v>
      </c>
      <c r="AE627">
        <v>65.75</v>
      </c>
      <c r="AF627">
        <v>0</v>
      </c>
      <c r="AG627">
        <v>0</v>
      </c>
      <c r="AH627">
        <v>0</v>
      </c>
      <c r="AI627">
        <v>6.56</v>
      </c>
      <c r="AJ627">
        <v>1</v>
      </c>
      <c r="AK627">
        <v>1</v>
      </c>
      <c r="AL627">
        <v>1</v>
      </c>
      <c r="AN627">
        <v>0</v>
      </c>
      <c r="AO627">
        <v>1</v>
      </c>
      <c r="AP627">
        <v>0</v>
      </c>
      <c r="AQ627">
        <v>0</v>
      </c>
      <c r="AR627">
        <v>0</v>
      </c>
      <c r="AS627" t="s">
        <v>6</v>
      </c>
      <c r="AT627">
        <v>5.0000000000000001E-3</v>
      </c>
      <c r="AU627" t="s">
        <v>6</v>
      </c>
      <c r="AV627">
        <v>0</v>
      </c>
      <c r="AW627">
        <v>2</v>
      </c>
      <c r="AX627">
        <v>16751499</v>
      </c>
      <c r="AY627">
        <v>1</v>
      </c>
      <c r="AZ627">
        <v>0</v>
      </c>
      <c r="BA627">
        <v>577</v>
      </c>
      <c r="BB627">
        <v>0</v>
      </c>
      <c r="BC627">
        <v>0</v>
      </c>
      <c r="BD627">
        <v>0</v>
      </c>
      <c r="BE627">
        <v>0</v>
      </c>
      <c r="BF627">
        <v>0</v>
      </c>
      <c r="BG627">
        <v>0</v>
      </c>
      <c r="BH627">
        <v>0</v>
      </c>
      <c r="BI627">
        <v>0</v>
      </c>
      <c r="BJ627">
        <v>0</v>
      </c>
      <c r="BK627">
        <v>0</v>
      </c>
      <c r="BL627">
        <v>0</v>
      </c>
      <c r="BM627">
        <v>0</v>
      </c>
      <c r="BN627">
        <v>0</v>
      </c>
      <c r="BO627">
        <v>0</v>
      </c>
      <c r="BP627">
        <v>0</v>
      </c>
      <c r="BQ627">
        <v>0</v>
      </c>
      <c r="BR627">
        <v>0</v>
      </c>
      <c r="BS627">
        <v>0</v>
      </c>
      <c r="BT627">
        <v>0</v>
      </c>
      <c r="BU627">
        <v>0</v>
      </c>
      <c r="BV627">
        <v>0</v>
      </c>
      <c r="BW627">
        <v>0</v>
      </c>
      <c r="CX627">
        <f>Y627*Source!I490</f>
        <v>3.5000000000000003E-2</v>
      </c>
      <c r="CY627">
        <f t="shared" si="113"/>
        <v>431.32</v>
      </c>
      <c r="CZ627">
        <f t="shared" si="114"/>
        <v>65.75</v>
      </c>
      <c r="DA627">
        <f t="shared" si="115"/>
        <v>6.56</v>
      </c>
      <c r="DB627">
        <f t="shared" si="111"/>
        <v>0.33</v>
      </c>
      <c r="DC627">
        <f t="shared" si="112"/>
        <v>0</v>
      </c>
    </row>
    <row r="628" spans="1:107" x14ac:dyDescent="0.2">
      <c r="A628">
        <f>ROW(Source!A490)</f>
        <v>490</v>
      </c>
      <c r="B628">
        <v>16748969</v>
      </c>
      <c r="C628">
        <v>16751487</v>
      </c>
      <c r="D628">
        <v>15237627</v>
      </c>
      <c r="E628">
        <v>1</v>
      </c>
      <c r="F628">
        <v>1</v>
      </c>
      <c r="G628">
        <v>1</v>
      </c>
      <c r="H628">
        <v>3</v>
      </c>
      <c r="I628" t="s">
        <v>854</v>
      </c>
      <c r="J628" t="s">
        <v>856</v>
      </c>
      <c r="K628" t="s">
        <v>855</v>
      </c>
      <c r="L628">
        <v>1358</v>
      </c>
      <c r="N628">
        <v>1010</v>
      </c>
      <c r="O628" t="s">
        <v>615</v>
      </c>
      <c r="P628" t="s">
        <v>615</v>
      </c>
      <c r="Q628">
        <v>10</v>
      </c>
      <c r="W628">
        <v>0</v>
      </c>
      <c r="X628">
        <v>-1785852769</v>
      </c>
      <c r="Y628">
        <v>0.1</v>
      </c>
      <c r="AA628">
        <v>7643.84</v>
      </c>
      <c r="AB628">
        <v>0</v>
      </c>
      <c r="AC628">
        <v>0</v>
      </c>
      <c r="AD628">
        <v>0</v>
      </c>
      <c r="AE628">
        <v>1165.22</v>
      </c>
      <c r="AF628">
        <v>0</v>
      </c>
      <c r="AG628">
        <v>0</v>
      </c>
      <c r="AH628">
        <v>0</v>
      </c>
      <c r="AI628">
        <v>6.56</v>
      </c>
      <c r="AJ628">
        <v>1</v>
      </c>
      <c r="AK628">
        <v>1</v>
      </c>
      <c r="AL628">
        <v>1</v>
      </c>
      <c r="AN628">
        <v>0</v>
      </c>
      <c r="AO628">
        <v>0</v>
      </c>
      <c r="AP628">
        <v>0</v>
      </c>
      <c r="AQ628">
        <v>0</v>
      </c>
      <c r="AR628">
        <v>0</v>
      </c>
      <c r="AS628" t="s">
        <v>6</v>
      </c>
      <c r="AT628">
        <v>0.1</v>
      </c>
      <c r="AU628" t="s">
        <v>6</v>
      </c>
      <c r="AV628">
        <v>0</v>
      </c>
      <c r="AW628">
        <v>1</v>
      </c>
      <c r="AX628">
        <v>-1</v>
      </c>
      <c r="AY628">
        <v>0</v>
      </c>
      <c r="AZ628">
        <v>0</v>
      </c>
      <c r="BA628" t="s">
        <v>6</v>
      </c>
      <c r="BB628">
        <v>0</v>
      </c>
      <c r="BC628">
        <v>0</v>
      </c>
      <c r="BD628">
        <v>0</v>
      </c>
      <c r="BE628">
        <v>0</v>
      </c>
      <c r="BF628">
        <v>0</v>
      </c>
      <c r="BG628">
        <v>0</v>
      </c>
      <c r="BH628">
        <v>0</v>
      </c>
      <c r="BI628">
        <v>0</v>
      </c>
      <c r="BJ628">
        <v>0</v>
      </c>
      <c r="BK628">
        <v>0</v>
      </c>
      <c r="BL628">
        <v>0</v>
      </c>
      <c r="BM628">
        <v>0</v>
      </c>
      <c r="BN628">
        <v>0</v>
      </c>
      <c r="BO628">
        <v>0</v>
      </c>
      <c r="BP628">
        <v>0</v>
      </c>
      <c r="BQ628">
        <v>0</v>
      </c>
      <c r="BR628">
        <v>0</v>
      </c>
      <c r="BS628">
        <v>0</v>
      </c>
      <c r="BT628">
        <v>0</v>
      </c>
      <c r="BU628">
        <v>0</v>
      </c>
      <c r="BV628">
        <v>0</v>
      </c>
      <c r="BW628">
        <v>0</v>
      </c>
      <c r="CX628">
        <f>Y628*Source!I490</f>
        <v>0.70000000000000007</v>
      </c>
      <c r="CY628">
        <f t="shared" si="113"/>
        <v>7643.84</v>
      </c>
      <c r="CZ628">
        <f t="shared" si="114"/>
        <v>1165.22</v>
      </c>
      <c r="DA628">
        <f t="shared" si="115"/>
        <v>6.56</v>
      </c>
      <c r="DB628">
        <f t="shared" si="111"/>
        <v>116.52</v>
      </c>
      <c r="DC628">
        <f t="shared" si="112"/>
        <v>0</v>
      </c>
    </row>
    <row r="629" spans="1:107" x14ac:dyDescent="0.2">
      <c r="A629">
        <f>ROW(Source!A490)</f>
        <v>490</v>
      </c>
      <c r="B629">
        <v>16748969</v>
      </c>
      <c r="C629">
        <v>16751487</v>
      </c>
      <c r="D629">
        <v>15164559</v>
      </c>
      <c r="E629">
        <v>17</v>
      </c>
      <c r="F629">
        <v>1</v>
      </c>
      <c r="G629">
        <v>1</v>
      </c>
      <c r="H629">
        <v>3</v>
      </c>
      <c r="I629" t="s">
        <v>1383</v>
      </c>
      <c r="J629" t="s">
        <v>6</v>
      </c>
      <c r="K629" t="s">
        <v>1384</v>
      </c>
      <c r="L629">
        <v>1374</v>
      </c>
      <c r="N629">
        <v>1013</v>
      </c>
      <c r="O629" t="s">
        <v>1385</v>
      </c>
      <c r="P629" t="s">
        <v>1385</v>
      </c>
      <c r="Q629">
        <v>1</v>
      </c>
      <c r="W629">
        <v>0</v>
      </c>
      <c r="X629">
        <v>-1731369543</v>
      </c>
      <c r="Y629">
        <v>0.32</v>
      </c>
      <c r="AA629">
        <v>1</v>
      </c>
      <c r="AB629">
        <v>0</v>
      </c>
      <c r="AC629">
        <v>0</v>
      </c>
      <c r="AD629">
        <v>0</v>
      </c>
      <c r="AE629">
        <v>1</v>
      </c>
      <c r="AF629">
        <v>0</v>
      </c>
      <c r="AG629">
        <v>0</v>
      </c>
      <c r="AH629">
        <v>0</v>
      </c>
      <c r="AI629">
        <v>1</v>
      </c>
      <c r="AJ629">
        <v>1</v>
      </c>
      <c r="AK629">
        <v>1</v>
      </c>
      <c r="AL629">
        <v>1</v>
      </c>
      <c r="AN629">
        <v>0</v>
      </c>
      <c r="AO629">
        <v>1</v>
      </c>
      <c r="AP629">
        <v>0</v>
      </c>
      <c r="AQ629">
        <v>0</v>
      </c>
      <c r="AR629">
        <v>0</v>
      </c>
      <c r="AS629" t="s">
        <v>6</v>
      </c>
      <c r="AT629">
        <v>0.32</v>
      </c>
      <c r="AU629" t="s">
        <v>6</v>
      </c>
      <c r="AV629">
        <v>0</v>
      </c>
      <c r="AW629">
        <v>2</v>
      </c>
      <c r="AX629">
        <v>16751500</v>
      </c>
      <c r="AY629">
        <v>1</v>
      </c>
      <c r="AZ629">
        <v>0</v>
      </c>
      <c r="BA629">
        <v>578</v>
      </c>
      <c r="BB629">
        <v>0</v>
      </c>
      <c r="BC629">
        <v>0</v>
      </c>
      <c r="BD629">
        <v>0</v>
      </c>
      <c r="BE629">
        <v>0</v>
      </c>
      <c r="BF629">
        <v>0</v>
      </c>
      <c r="BG629">
        <v>0</v>
      </c>
      <c r="BH629">
        <v>0</v>
      </c>
      <c r="BI629">
        <v>0</v>
      </c>
      <c r="BJ629">
        <v>0</v>
      </c>
      <c r="BK629">
        <v>0</v>
      </c>
      <c r="BL629">
        <v>0</v>
      </c>
      <c r="BM629">
        <v>0</v>
      </c>
      <c r="BN629">
        <v>0</v>
      </c>
      <c r="BO629">
        <v>0</v>
      </c>
      <c r="BP629">
        <v>0</v>
      </c>
      <c r="BQ629">
        <v>0</v>
      </c>
      <c r="BR629">
        <v>0</v>
      </c>
      <c r="BS629">
        <v>0</v>
      </c>
      <c r="BT629">
        <v>0</v>
      </c>
      <c r="BU629">
        <v>0</v>
      </c>
      <c r="BV629">
        <v>0</v>
      </c>
      <c r="BW629">
        <v>0</v>
      </c>
      <c r="CX629">
        <f>Y629*Source!I490</f>
        <v>2.2400000000000002</v>
      </c>
      <c r="CY629">
        <f t="shared" si="113"/>
        <v>1</v>
      </c>
      <c r="CZ629">
        <f t="shared" si="114"/>
        <v>1</v>
      </c>
      <c r="DA629">
        <f t="shared" si="115"/>
        <v>1</v>
      </c>
      <c r="DB629">
        <f t="shared" si="111"/>
        <v>0.32</v>
      </c>
      <c r="DC629">
        <f t="shared" si="112"/>
        <v>0</v>
      </c>
    </row>
    <row r="630" spans="1:107" x14ac:dyDescent="0.2">
      <c r="A630">
        <f>ROW(Source!A492)</f>
        <v>492</v>
      </c>
      <c r="B630">
        <v>16748969</v>
      </c>
      <c r="C630">
        <v>16751502</v>
      </c>
      <c r="D630">
        <v>15438286</v>
      </c>
      <c r="E630">
        <v>1</v>
      </c>
      <c r="F630">
        <v>1</v>
      </c>
      <c r="G630">
        <v>1</v>
      </c>
      <c r="H630">
        <v>1</v>
      </c>
      <c r="I630" t="s">
        <v>1177</v>
      </c>
      <c r="J630" t="s">
        <v>6</v>
      </c>
      <c r="K630" t="s">
        <v>1178</v>
      </c>
      <c r="L630">
        <v>1191</v>
      </c>
      <c r="N630">
        <v>1013</v>
      </c>
      <c r="O630" t="s">
        <v>1072</v>
      </c>
      <c r="P630" t="s">
        <v>1072</v>
      </c>
      <c r="Q630">
        <v>1</v>
      </c>
      <c r="W630">
        <v>0</v>
      </c>
      <c r="X630">
        <v>-1027537862</v>
      </c>
      <c r="Y630">
        <v>15.2</v>
      </c>
      <c r="AA630">
        <v>0</v>
      </c>
      <c r="AB630">
        <v>0</v>
      </c>
      <c r="AC630">
        <v>0</v>
      </c>
      <c r="AD630">
        <v>60.22</v>
      </c>
      <c r="AE630">
        <v>0</v>
      </c>
      <c r="AF630">
        <v>0</v>
      </c>
      <c r="AG630">
        <v>0</v>
      </c>
      <c r="AH630">
        <v>9.18</v>
      </c>
      <c r="AI630">
        <v>1</v>
      </c>
      <c r="AJ630">
        <v>1</v>
      </c>
      <c r="AK630">
        <v>1</v>
      </c>
      <c r="AL630">
        <v>6.56</v>
      </c>
      <c r="AN630">
        <v>0</v>
      </c>
      <c r="AO630">
        <v>1</v>
      </c>
      <c r="AP630">
        <v>0</v>
      </c>
      <c r="AQ630">
        <v>0</v>
      </c>
      <c r="AR630">
        <v>0</v>
      </c>
      <c r="AS630" t="s">
        <v>6</v>
      </c>
      <c r="AT630">
        <v>15.2</v>
      </c>
      <c r="AU630" t="s">
        <v>6</v>
      </c>
      <c r="AV630">
        <v>1</v>
      </c>
      <c r="AW630">
        <v>2</v>
      </c>
      <c r="AX630">
        <v>16751507</v>
      </c>
      <c r="AY630">
        <v>1</v>
      </c>
      <c r="AZ630">
        <v>0</v>
      </c>
      <c r="BA630">
        <v>579</v>
      </c>
      <c r="BB630">
        <v>0</v>
      </c>
      <c r="BC630">
        <v>0</v>
      </c>
      <c r="BD630">
        <v>0</v>
      </c>
      <c r="BE630">
        <v>0</v>
      </c>
      <c r="BF630">
        <v>0</v>
      </c>
      <c r="BG630">
        <v>0</v>
      </c>
      <c r="BH630">
        <v>0</v>
      </c>
      <c r="BI630">
        <v>0</v>
      </c>
      <c r="BJ630">
        <v>0</v>
      </c>
      <c r="BK630">
        <v>0</v>
      </c>
      <c r="BL630">
        <v>0</v>
      </c>
      <c r="BM630">
        <v>0</v>
      </c>
      <c r="BN630">
        <v>0</v>
      </c>
      <c r="BO630">
        <v>0</v>
      </c>
      <c r="BP630">
        <v>0</v>
      </c>
      <c r="BQ630">
        <v>0</v>
      </c>
      <c r="BR630">
        <v>0</v>
      </c>
      <c r="BS630">
        <v>0</v>
      </c>
      <c r="BT630">
        <v>0</v>
      </c>
      <c r="BU630">
        <v>0</v>
      </c>
      <c r="BV630">
        <v>0</v>
      </c>
      <c r="BW630">
        <v>0</v>
      </c>
      <c r="CX630">
        <f>Y630*Source!I492</f>
        <v>2.4319999999999999</v>
      </c>
      <c r="CY630">
        <f>AD630</f>
        <v>60.22</v>
      </c>
      <c r="CZ630">
        <f>AH630</f>
        <v>9.18</v>
      </c>
      <c r="DA630">
        <f>AL630</f>
        <v>6.56</v>
      </c>
      <c r="DB630">
        <f t="shared" si="111"/>
        <v>139.54</v>
      </c>
      <c r="DC630">
        <f t="shared" si="112"/>
        <v>0</v>
      </c>
    </row>
    <row r="631" spans="1:107" x14ac:dyDescent="0.2">
      <c r="A631">
        <f>ROW(Source!A492)</f>
        <v>492</v>
      </c>
      <c r="B631">
        <v>16748969</v>
      </c>
      <c r="C631">
        <v>16751502</v>
      </c>
      <c r="D631">
        <v>15170155</v>
      </c>
      <c r="E631">
        <v>1</v>
      </c>
      <c r="F631">
        <v>1</v>
      </c>
      <c r="G631">
        <v>1</v>
      </c>
      <c r="H631">
        <v>3</v>
      </c>
      <c r="I631" t="s">
        <v>1405</v>
      </c>
      <c r="J631" t="s">
        <v>1406</v>
      </c>
      <c r="K631" t="s">
        <v>1407</v>
      </c>
      <c r="L631">
        <v>1355</v>
      </c>
      <c r="N631">
        <v>1010</v>
      </c>
      <c r="O631" t="s">
        <v>724</v>
      </c>
      <c r="P631" t="s">
        <v>724</v>
      </c>
      <c r="Q631">
        <v>100</v>
      </c>
      <c r="W631">
        <v>0</v>
      </c>
      <c r="X631">
        <v>1135215184</v>
      </c>
      <c r="Y631">
        <v>1.75</v>
      </c>
      <c r="AA631">
        <v>52.48</v>
      </c>
      <c r="AB631">
        <v>0</v>
      </c>
      <c r="AC631">
        <v>0</v>
      </c>
      <c r="AD631">
        <v>0</v>
      </c>
      <c r="AE631">
        <v>8</v>
      </c>
      <c r="AF631">
        <v>0</v>
      </c>
      <c r="AG631">
        <v>0</v>
      </c>
      <c r="AH631">
        <v>0</v>
      </c>
      <c r="AI631">
        <v>6.56</v>
      </c>
      <c r="AJ631">
        <v>1</v>
      </c>
      <c r="AK631">
        <v>1</v>
      </c>
      <c r="AL631">
        <v>1</v>
      </c>
      <c r="AN631">
        <v>0</v>
      </c>
      <c r="AO631">
        <v>1</v>
      </c>
      <c r="AP631">
        <v>0</v>
      </c>
      <c r="AQ631">
        <v>0</v>
      </c>
      <c r="AR631">
        <v>0</v>
      </c>
      <c r="AS631" t="s">
        <v>6</v>
      </c>
      <c r="AT631">
        <v>1.75</v>
      </c>
      <c r="AU631" t="s">
        <v>6</v>
      </c>
      <c r="AV631">
        <v>0</v>
      </c>
      <c r="AW631">
        <v>2</v>
      </c>
      <c r="AX631">
        <v>16751508</v>
      </c>
      <c r="AY631">
        <v>1</v>
      </c>
      <c r="AZ631">
        <v>0</v>
      </c>
      <c r="BA631">
        <v>580</v>
      </c>
      <c r="BB631">
        <v>0</v>
      </c>
      <c r="BC631">
        <v>0</v>
      </c>
      <c r="BD631">
        <v>0</v>
      </c>
      <c r="BE631">
        <v>0</v>
      </c>
      <c r="BF631">
        <v>0</v>
      </c>
      <c r="BG631">
        <v>0</v>
      </c>
      <c r="BH631">
        <v>0</v>
      </c>
      <c r="BI631">
        <v>0</v>
      </c>
      <c r="BJ631">
        <v>0</v>
      </c>
      <c r="BK631">
        <v>0</v>
      </c>
      <c r="BL631">
        <v>0</v>
      </c>
      <c r="BM631">
        <v>0</v>
      </c>
      <c r="BN631">
        <v>0</v>
      </c>
      <c r="BO631">
        <v>0</v>
      </c>
      <c r="BP631">
        <v>0</v>
      </c>
      <c r="BQ631">
        <v>0</v>
      </c>
      <c r="BR631">
        <v>0</v>
      </c>
      <c r="BS631">
        <v>0</v>
      </c>
      <c r="BT631">
        <v>0</v>
      </c>
      <c r="BU631">
        <v>0</v>
      </c>
      <c r="BV631">
        <v>0</v>
      </c>
      <c r="BW631">
        <v>0</v>
      </c>
      <c r="CX631">
        <f>Y631*Source!I492</f>
        <v>0.28000000000000003</v>
      </c>
      <c r="CY631">
        <f>AA631</f>
        <v>52.48</v>
      </c>
      <c r="CZ631">
        <f>AE631</f>
        <v>8</v>
      </c>
      <c r="DA631">
        <f>AI631</f>
        <v>6.56</v>
      </c>
      <c r="DB631">
        <f t="shared" si="111"/>
        <v>14</v>
      </c>
      <c r="DC631">
        <f t="shared" si="112"/>
        <v>0</v>
      </c>
    </row>
    <row r="632" spans="1:107" x14ac:dyDescent="0.2">
      <c r="A632">
        <f>ROW(Source!A492)</f>
        <v>492</v>
      </c>
      <c r="B632">
        <v>16748969</v>
      </c>
      <c r="C632">
        <v>16751502</v>
      </c>
      <c r="D632">
        <v>15233333</v>
      </c>
      <c r="E632">
        <v>1</v>
      </c>
      <c r="F632">
        <v>1</v>
      </c>
      <c r="G632">
        <v>1</v>
      </c>
      <c r="H632">
        <v>3</v>
      </c>
      <c r="I632" t="s">
        <v>630</v>
      </c>
      <c r="J632" t="s">
        <v>633</v>
      </c>
      <c r="K632" t="s">
        <v>631</v>
      </c>
      <c r="L632">
        <v>1302</v>
      </c>
      <c r="N632">
        <v>1003</v>
      </c>
      <c r="O632" t="s">
        <v>632</v>
      </c>
      <c r="P632" t="s">
        <v>632</v>
      </c>
      <c r="Q632">
        <v>10</v>
      </c>
      <c r="W632">
        <v>0</v>
      </c>
      <c r="X632">
        <v>-819900352</v>
      </c>
      <c r="Y632">
        <v>10</v>
      </c>
      <c r="AA632">
        <v>105.68</v>
      </c>
      <c r="AB632">
        <v>0</v>
      </c>
      <c r="AC632">
        <v>0</v>
      </c>
      <c r="AD632">
        <v>0</v>
      </c>
      <c r="AE632">
        <v>16.11</v>
      </c>
      <c r="AF632">
        <v>0</v>
      </c>
      <c r="AG632">
        <v>0</v>
      </c>
      <c r="AH632">
        <v>0</v>
      </c>
      <c r="AI632">
        <v>6.56</v>
      </c>
      <c r="AJ632">
        <v>1</v>
      </c>
      <c r="AK632">
        <v>1</v>
      </c>
      <c r="AL632">
        <v>1</v>
      </c>
      <c r="AN632">
        <v>0</v>
      </c>
      <c r="AO632">
        <v>0</v>
      </c>
      <c r="AP632">
        <v>0</v>
      </c>
      <c r="AQ632">
        <v>0</v>
      </c>
      <c r="AR632">
        <v>0</v>
      </c>
      <c r="AS632" t="s">
        <v>6</v>
      </c>
      <c r="AT632">
        <v>10</v>
      </c>
      <c r="AU632" t="s">
        <v>6</v>
      </c>
      <c r="AV632">
        <v>0</v>
      </c>
      <c r="AW632">
        <v>1</v>
      </c>
      <c r="AX632">
        <v>-1</v>
      </c>
      <c r="AY632">
        <v>0</v>
      </c>
      <c r="AZ632">
        <v>0</v>
      </c>
      <c r="BA632" t="s">
        <v>6</v>
      </c>
      <c r="BB632">
        <v>0</v>
      </c>
      <c r="BC632">
        <v>0</v>
      </c>
      <c r="BD632">
        <v>0</v>
      </c>
      <c r="BE632">
        <v>0</v>
      </c>
      <c r="BF632">
        <v>0</v>
      </c>
      <c r="BG632">
        <v>0</v>
      </c>
      <c r="BH632">
        <v>0</v>
      </c>
      <c r="BI632">
        <v>0</v>
      </c>
      <c r="BJ632">
        <v>0</v>
      </c>
      <c r="BK632">
        <v>0</v>
      </c>
      <c r="BL632">
        <v>0</v>
      </c>
      <c r="BM632">
        <v>0</v>
      </c>
      <c r="BN632">
        <v>0</v>
      </c>
      <c r="BO632">
        <v>0</v>
      </c>
      <c r="BP632">
        <v>0</v>
      </c>
      <c r="BQ632">
        <v>0</v>
      </c>
      <c r="BR632">
        <v>0</v>
      </c>
      <c r="BS632">
        <v>0</v>
      </c>
      <c r="BT632">
        <v>0</v>
      </c>
      <c r="BU632">
        <v>0</v>
      </c>
      <c r="BV632">
        <v>0</v>
      </c>
      <c r="BW632">
        <v>0</v>
      </c>
      <c r="CX632">
        <f>Y632*Source!I492</f>
        <v>1.6</v>
      </c>
      <c r="CY632">
        <f>AA632</f>
        <v>105.68</v>
      </c>
      <c r="CZ632">
        <f>AE632</f>
        <v>16.11</v>
      </c>
      <c r="DA632">
        <f>AI632</f>
        <v>6.56</v>
      </c>
      <c r="DB632">
        <f t="shared" si="111"/>
        <v>161.1</v>
      </c>
      <c r="DC632">
        <f t="shared" si="112"/>
        <v>0</v>
      </c>
    </row>
    <row r="633" spans="1:107" x14ac:dyDescent="0.2">
      <c r="A633">
        <f>ROW(Source!A492)</f>
        <v>492</v>
      </c>
      <c r="B633">
        <v>16748969</v>
      </c>
      <c r="C633">
        <v>16751502</v>
      </c>
      <c r="D633">
        <v>15164559</v>
      </c>
      <c r="E633">
        <v>17</v>
      </c>
      <c r="F633">
        <v>1</v>
      </c>
      <c r="G633">
        <v>1</v>
      </c>
      <c r="H633">
        <v>3</v>
      </c>
      <c r="I633" t="s">
        <v>1383</v>
      </c>
      <c r="J633" t="s">
        <v>6</v>
      </c>
      <c r="K633" t="s">
        <v>1384</v>
      </c>
      <c r="L633">
        <v>1374</v>
      </c>
      <c r="N633">
        <v>1013</v>
      </c>
      <c r="O633" t="s">
        <v>1385</v>
      </c>
      <c r="P633" t="s">
        <v>1385</v>
      </c>
      <c r="Q633">
        <v>1</v>
      </c>
      <c r="W633">
        <v>0</v>
      </c>
      <c r="X633">
        <v>-1731369543</v>
      </c>
      <c r="Y633">
        <v>2.79</v>
      </c>
      <c r="AA633">
        <v>1</v>
      </c>
      <c r="AB633">
        <v>0</v>
      </c>
      <c r="AC633">
        <v>0</v>
      </c>
      <c r="AD633">
        <v>0</v>
      </c>
      <c r="AE633">
        <v>1</v>
      </c>
      <c r="AF633">
        <v>0</v>
      </c>
      <c r="AG633">
        <v>0</v>
      </c>
      <c r="AH633">
        <v>0</v>
      </c>
      <c r="AI633">
        <v>1</v>
      </c>
      <c r="AJ633">
        <v>1</v>
      </c>
      <c r="AK633">
        <v>1</v>
      </c>
      <c r="AL633">
        <v>1</v>
      </c>
      <c r="AN633">
        <v>0</v>
      </c>
      <c r="AO633">
        <v>1</v>
      </c>
      <c r="AP633">
        <v>0</v>
      </c>
      <c r="AQ633">
        <v>0</v>
      </c>
      <c r="AR633">
        <v>0</v>
      </c>
      <c r="AS633" t="s">
        <v>6</v>
      </c>
      <c r="AT633">
        <v>2.79</v>
      </c>
      <c r="AU633" t="s">
        <v>6</v>
      </c>
      <c r="AV633">
        <v>0</v>
      </c>
      <c r="AW633">
        <v>2</v>
      </c>
      <c r="AX633">
        <v>16751509</v>
      </c>
      <c r="AY633">
        <v>1</v>
      </c>
      <c r="AZ633">
        <v>0</v>
      </c>
      <c r="BA633">
        <v>581</v>
      </c>
      <c r="BB633">
        <v>0</v>
      </c>
      <c r="BC633">
        <v>0</v>
      </c>
      <c r="BD633">
        <v>0</v>
      </c>
      <c r="BE633">
        <v>0</v>
      </c>
      <c r="BF633">
        <v>0</v>
      </c>
      <c r="BG633">
        <v>0</v>
      </c>
      <c r="BH633">
        <v>0</v>
      </c>
      <c r="BI633">
        <v>0</v>
      </c>
      <c r="BJ633">
        <v>0</v>
      </c>
      <c r="BK633">
        <v>0</v>
      </c>
      <c r="BL633">
        <v>0</v>
      </c>
      <c r="BM633">
        <v>0</v>
      </c>
      <c r="BN633">
        <v>0</v>
      </c>
      <c r="BO633">
        <v>0</v>
      </c>
      <c r="BP633">
        <v>0</v>
      </c>
      <c r="BQ633">
        <v>0</v>
      </c>
      <c r="BR633">
        <v>0</v>
      </c>
      <c r="BS633">
        <v>0</v>
      </c>
      <c r="BT633">
        <v>0</v>
      </c>
      <c r="BU633">
        <v>0</v>
      </c>
      <c r="BV633">
        <v>0</v>
      </c>
      <c r="BW633">
        <v>0</v>
      </c>
      <c r="CX633">
        <f>Y633*Source!I492</f>
        <v>0.44640000000000002</v>
      </c>
      <c r="CY633">
        <f>AA633</f>
        <v>1</v>
      </c>
      <c r="CZ633">
        <f>AE633</f>
        <v>1</v>
      </c>
      <c r="DA633">
        <f>AI633</f>
        <v>1</v>
      </c>
      <c r="DB633">
        <f t="shared" si="111"/>
        <v>2.79</v>
      </c>
      <c r="DC633">
        <f t="shared" si="112"/>
        <v>0</v>
      </c>
    </row>
    <row r="634" spans="1:107" x14ac:dyDescent="0.2">
      <c r="A634">
        <f>ROW(Source!A494)</f>
        <v>494</v>
      </c>
      <c r="B634">
        <v>16748969</v>
      </c>
      <c r="C634">
        <v>16751511</v>
      </c>
      <c r="D634">
        <v>15430397</v>
      </c>
      <c r="E634">
        <v>1</v>
      </c>
      <c r="F634">
        <v>1</v>
      </c>
      <c r="G634">
        <v>1</v>
      </c>
      <c r="H634">
        <v>1</v>
      </c>
      <c r="I634" t="s">
        <v>1234</v>
      </c>
      <c r="J634" t="s">
        <v>6</v>
      </c>
      <c r="K634" t="s">
        <v>1235</v>
      </c>
      <c r="L634">
        <v>1191</v>
      </c>
      <c r="N634">
        <v>1013</v>
      </c>
      <c r="O634" t="s">
        <v>1072</v>
      </c>
      <c r="P634" t="s">
        <v>1072</v>
      </c>
      <c r="Q634">
        <v>1</v>
      </c>
      <c r="W634">
        <v>0</v>
      </c>
      <c r="X634">
        <v>-1081351934</v>
      </c>
      <c r="Y634">
        <v>5.39</v>
      </c>
      <c r="AA634">
        <v>0</v>
      </c>
      <c r="AB634">
        <v>0</v>
      </c>
      <c r="AC634">
        <v>0</v>
      </c>
      <c r="AD634">
        <v>61.66</v>
      </c>
      <c r="AE634">
        <v>0</v>
      </c>
      <c r="AF634">
        <v>0</v>
      </c>
      <c r="AG634">
        <v>0</v>
      </c>
      <c r="AH634">
        <v>9.4</v>
      </c>
      <c r="AI634">
        <v>1</v>
      </c>
      <c r="AJ634">
        <v>1</v>
      </c>
      <c r="AK634">
        <v>1</v>
      </c>
      <c r="AL634">
        <v>6.56</v>
      </c>
      <c r="AN634">
        <v>0</v>
      </c>
      <c r="AO634">
        <v>1</v>
      </c>
      <c r="AP634">
        <v>0</v>
      </c>
      <c r="AQ634">
        <v>0</v>
      </c>
      <c r="AR634">
        <v>0</v>
      </c>
      <c r="AS634" t="s">
        <v>6</v>
      </c>
      <c r="AT634">
        <v>5.39</v>
      </c>
      <c r="AU634" t="s">
        <v>6</v>
      </c>
      <c r="AV634">
        <v>1</v>
      </c>
      <c r="AW634">
        <v>2</v>
      </c>
      <c r="AX634">
        <v>16751523</v>
      </c>
      <c r="AY634">
        <v>1</v>
      </c>
      <c r="AZ634">
        <v>0</v>
      </c>
      <c r="BA634">
        <v>582</v>
      </c>
      <c r="BB634">
        <v>0</v>
      </c>
      <c r="BC634">
        <v>0</v>
      </c>
      <c r="BD634">
        <v>0</v>
      </c>
      <c r="BE634">
        <v>0</v>
      </c>
      <c r="BF634">
        <v>0</v>
      </c>
      <c r="BG634">
        <v>0</v>
      </c>
      <c r="BH634">
        <v>0</v>
      </c>
      <c r="BI634">
        <v>0</v>
      </c>
      <c r="BJ634">
        <v>0</v>
      </c>
      <c r="BK634">
        <v>0</v>
      </c>
      <c r="BL634">
        <v>0</v>
      </c>
      <c r="BM634">
        <v>0</v>
      </c>
      <c r="BN634">
        <v>0</v>
      </c>
      <c r="BO634">
        <v>0</v>
      </c>
      <c r="BP634">
        <v>0</v>
      </c>
      <c r="BQ634">
        <v>0</v>
      </c>
      <c r="BR634">
        <v>0</v>
      </c>
      <c r="BS634">
        <v>0</v>
      </c>
      <c r="BT634">
        <v>0</v>
      </c>
      <c r="BU634">
        <v>0</v>
      </c>
      <c r="BV634">
        <v>0</v>
      </c>
      <c r="BW634">
        <v>0</v>
      </c>
      <c r="CX634">
        <f>Y634*Source!I494</f>
        <v>1.2935999999999999</v>
      </c>
      <c r="CY634">
        <f>AD634</f>
        <v>61.66</v>
      </c>
      <c r="CZ634">
        <f>AH634</f>
        <v>9.4</v>
      </c>
      <c r="DA634">
        <f>AL634</f>
        <v>6.56</v>
      </c>
      <c r="DB634">
        <f t="shared" si="111"/>
        <v>50.67</v>
      </c>
      <c r="DC634">
        <f t="shared" si="112"/>
        <v>0</v>
      </c>
    </row>
    <row r="635" spans="1:107" x14ac:dyDescent="0.2">
      <c r="A635">
        <f>ROW(Source!A494)</f>
        <v>494</v>
      </c>
      <c r="B635">
        <v>16748969</v>
      </c>
      <c r="C635">
        <v>16751511</v>
      </c>
      <c r="D635">
        <v>15430395</v>
      </c>
      <c r="E635">
        <v>1</v>
      </c>
      <c r="F635">
        <v>1</v>
      </c>
      <c r="G635">
        <v>1</v>
      </c>
      <c r="H635">
        <v>1</v>
      </c>
      <c r="I635" t="s">
        <v>1073</v>
      </c>
      <c r="J635" t="s">
        <v>6</v>
      </c>
      <c r="K635" t="s">
        <v>1074</v>
      </c>
      <c r="L635">
        <v>1191</v>
      </c>
      <c r="N635">
        <v>1013</v>
      </c>
      <c r="O635" t="s">
        <v>1072</v>
      </c>
      <c r="P635" t="s">
        <v>1072</v>
      </c>
      <c r="Q635">
        <v>1</v>
      </c>
      <c r="W635">
        <v>0</v>
      </c>
      <c r="X635">
        <v>-1417349443</v>
      </c>
      <c r="Y635">
        <v>0.04</v>
      </c>
      <c r="AA635">
        <v>0</v>
      </c>
      <c r="AB635">
        <v>0</v>
      </c>
      <c r="AC635">
        <v>0</v>
      </c>
      <c r="AD635">
        <v>0</v>
      </c>
      <c r="AE635">
        <v>0</v>
      </c>
      <c r="AF635">
        <v>0</v>
      </c>
      <c r="AG635">
        <v>0</v>
      </c>
      <c r="AH635">
        <v>0</v>
      </c>
      <c r="AI635">
        <v>1</v>
      </c>
      <c r="AJ635">
        <v>1</v>
      </c>
      <c r="AK635">
        <v>6.56</v>
      </c>
      <c r="AL635">
        <v>1</v>
      </c>
      <c r="AN635">
        <v>0</v>
      </c>
      <c r="AO635">
        <v>1</v>
      </c>
      <c r="AP635">
        <v>0</v>
      </c>
      <c r="AQ635">
        <v>0</v>
      </c>
      <c r="AR635">
        <v>0</v>
      </c>
      <c r="AS635" t="s">
        <v>6</v>
      </c>
      <c r="AT635">
        <v>0.04</v>
      </c>
      <c r="AU635" t="s">
        <v>6</v>
      </c>
      <c r="AV635">
        <v>2</v>
      </c>
      <c r="AW635">
        <v>2</v>
      </c>
      <c r="AX635">
        <v>16751524</v>
      </c>
      <c r="AY635">
        <v>1</v>
      </c>
      <c r="AZ635">
        <v>0</v>
      </c>
      <c r="BA635">
        <v>583</v>
      </c>
      <c r="BB635">
        <v>0</v>
      </c>
      <c r="BC635">
        <v>0</v>
      </c>
      <c r="BD635">
        <v>0</v>
      </c>
      <c r="BE635">
        <v>0</v>
      </c>
      <c r="BF635">
        <v>0</v>
      </c>
      <c r="BG635">
        <v>0</v>
      </c>
      <c r="BH635">
        <v>0</v>
      </c>
      <c r="BI635">
        <v>0</v>
      </c>
      <c r="BJ635">
        <v>0</v>
      </c>
      <c r="BK635">
        <v>0</v>
      </c>
      <c r="BL635">
        <v>0</v>
      </c>
      <c r="BM635">
        <v>0</v>
      </c>
      <c r="BN635">
        <v>0</v>
      </c>
      <c r="BO635">
        <v>0</v>
      </c>
      <c r="BP635">
        <v>0</v>
      </c>
      <c r="BQ635">
        <v>0</v>
      </c>
      <c r="BR635">
        <v>0</v>
      </c>
      <c r="BS635">
        <v>0</v>
      </c>
      <c r="BT635">
        <v>0</v>
      </c>
      <c r="BU635">
        <v>0</v>
      </c>
      <c r="BV635">
        <v>0</v>
      </c>
      <c r="BW635">
        <v>0</v>
      </c>
      <c r="CX635">
        <f>Y635*Source!I494</f>
        <v>9.5999999999999992E-3</v>
      </c>
      <c r="CY635">
        <f>AD635</f>
        <v>0</v>
      </c>
      <c r="CZ635">
        <f>AH635</f>
        <v>0</v>
      </c>
      <c r="DA635">
        <f>AL635</f>
        <v>1</v>
      </c>
      <c r="DB635">
        <f t="shared" si="111"/>
        <v>0</v>
      </c>
      <c r="DC635">
        <f t="shared" si="112"/>
        <v>0</v>
      </c>
    </row>
    <row r="636" spans="1:107" x14ac:dyDescent="0.2">
      <c r="A636">
        <f>ROW(Source!A494)</f>
        <v>494</v>
      </c>
      <c r="B636">
        <v>16748969</v>
      </c>
      <c r="C636">
        <v>16751511</v>
      </c>
      <c r="D636">
        <v>15247680</v>
      </c>
      <c r="E636">
        <v>1</v>
      </c>
      <c r="F636">
        <v>1</v>
      </c>
      <c r="G636">
        <v>1</v>
      </c>
      <c r="H636">
        <v>2</v>
      </c>
      <c r="I636" t="s">
        <v>1211</v>
      </c>
      <c r="J636" t="s">
        <v>1212</v>
      </c>
      <c r="K636" t="s">
        <v>1213</v>
      </c>
      <c r="L636">
        <v>1368</v>
      </c>
      <c r="N636">
        <v>1011</v>
      </c>
      <c r="O636" t="s">
        <v>1078</v>
      </c>
      <c r="P636" t="s">
        <v>1078</v>
      </c>
      <c r="Q636">
        <v>1</v>
      </c>
      <c r="W636">
        <v>0</v>
      </c>
      <c r="X636">
        <v>-1718674368</v>
      </c>
      <c r="Y636">
        <v>0.02</v>
      </c>
      <c r="AA636">
        <v>0</v>
      </c>
      <c r="AB636">
        <v>734.65</v>
      </c>
      <c r="AC636">
        <v>13.5</v>
      </c>
      <c r="AD636">
        <v>0</v>
      </c>
      <c r="AE636">
        <v>0</v>
      </c>
      <c r="AF636">
        <v>111.99</v>
      </c>
      <c r="AG636">
        <v>13.5</v>
      </c>
      <c r="AH636">
        <v>0</v>
      </c>
      <c r="AI636">
        <v>1</v>
      </c>
      <c r="AJ636">
        <v>6.56</v>
      </c>
      <c r="AK636">
        <v>1</v>
      </c>
      <c r="AL636">
        <v>1</v>
      </c>
      <c r="AN636">
        <v>0</v>
      </c>
      <c r="AO636">
        <v>1</v>
      </c>
      <c r="AP636">
        <v>0</v>
      </c>
      <c r="AQ636">
        <v>0</v>
      </c>
      <c r="AR636">
        <v>0</v>
      </c>
      <c r="AS636" t="s">
        <v>6</v>
      </c>
      <c r="AT636">
        <v>0.02</v>
      </c>
      <c r="AU636" t="s">
        <v>6</v>
      </c>
      <c r="AV636">
        <v>0</v>
      </c>
      <c r="AW636">
        <v>2</v>
      </c>
      <c r="AX636">
        <v>16751525</v>
      </c>
      <c r="AY636">
        <v>1</v>
      </c>
      <c r="AZ636">
        <v>0</v>
      </c>
      <c r="BA636">
        <v>584</v>
      </c>
      <c r="BB636">
        <v>0</v>
      </c>
      <c r="BC636">
        <v>0</v>
      </c>
      <c r="BD636">
        <v>0</v>
      </c>
      <c r="BE636">
        <v>0</v>
      </c>
      <c r="BF636">
        <v>0</v>
      </c>
      <c r="BG636">
        <v>0</v>
      </c>
      <c r="BH636">
        <v>0</v>
      </c>
      <c r="BI636">
        <v>0</v>
      </c>
      <c r="BJ636">
        <v>0</v>
      </c>
      <c r="BK636">
        <v>0</v>
      </c>
      <c r="BL636">
        <v>0</v>
      </c>
      <c r="BM636">
        <v>0</v>
      </c>
      <c r="BN636">
        <v>0</v>
      </c>
      <c r="BO636">
        <v>0</v>
      </c>
      <c r="BP636">
        <v>0</v>
      </c>
      <c r="BQ636">
        <v>0</v>
      </c>
      <c r="BR636">
        <v>0</v>
      </c>
      <c r="BS636">
        <v>0</v>
      </c>
      <c r="BT636">
        <v>0</v>
      </c>
      <c r="BU636">
        <v>0</v>
      </c>
      <c r="BV636">
        <v>0</v>
      </c>
      <c r="BW636">
        <v>0</v>
      </c>
      <c r="CX636">
        <f>Y636*Source!I494</f>
        <v>4.7999999999999996E-3</v>
      </c>
      <c r="CY636">
        <f>AB636</f>
        <v>734.65</v>
      </c>
      <c r="CZ636">
        <f>AF636</f>
        <v>111.99</v>
      </c>
      <c r="DA636">
        <f>AJ636</f>
        <v>6.56</v>
      </c>
      <c r="DB636">
        <f t="shared" si="111"/>
        <v>2.2400000000000002</v>
      </c>
      <c r="DC636">
        <f t="shared" si="112"/>
        <v>0.27</v>
      </c>
    </row>
    <row r="637" spans="1:107" x14ac:dyDescent="0.2">
      <c r="A637">
        <f>ROW(Source!A494)</f>
        <v>494</v>
      </c>
      <c r="B637">
        <v>16748969</v>
      </c>
      <c r="C637">
        <v>16751511</v>
      </c>
      <c r="D637">
        <v>15249073</v>
      </c>
      <c r="E637">
        <v>1</v>
      </c>
      <c r="F637">
        <v>1</v>
      </c>
      <c r="G637">
        <v>1</v>
      </c>
      <c r="H637">
        <v>2</v>
      </c>
      <c r="I637" t="s">
        <v>1097</v>
      </c>
      <c r="J637" t="s">
        <v>1098</v>
      </c>
      <c r="K637" t="s">
        <v>1099</v>
      </c>
      <c r="L637">
        <v>1368</v>
      </c>
      <c r="N637">
        <v>1011</v>
      </c>
      <c r="O637" t="s">
        <v>1078</v>
      </c>
      <c r="P637" t="s">
        <v>1078</v>
      </c>
      <c r="Q637">
        <v>1</v>
      </c>
      <c r="W637">
        <v>0</v>
      </c>
      <c r="X637">
        <v>1372534845</v>
      </c>
      <c r="Y637">
        <v>0.02</v>
      </c>
      <c r="AA637">
        <v>0</v>
      </c>
      <c r="AB637">
        <v>431.06</v>
      </c>
      <c r="AC637">
        <v>11.6</v>
      </c>
      <c r="AD637">
        <v>0</v>
      </c>
      <c r="AE637">
        <v>0</v>
      </c>
      <c r="AF637">
        <v>65.709999999999994</v>
      </c>
      <c r="AG637">
        <v>11.6</v>
      </c>
      <c r="AH637">
        <v>0</v>
      </c>
      <c r="AI637">
        <v>1</v>
      </c>
      <c r="AJ637">
        <v>6.56</v>
      </c>
      <c r="AK637">
        <v>1</v>
      </c>
      <c r="AL637">
        <v>1</v>
      </c>
      <c r="AN637">
        <v>0</v>
      </c>
      <c r="AO637">
        <v>1</v>
      </c>
      <c r="AP637">
        <v>0</v>
      </c>
      <c r="AQ637">
        <v>0</v>
      </c>
      <c r="AR637">
        <v>0</v>
      </c>
      <c r="AS637" t="s">
        <v>6</v>
      </c>
      <c r="AT637">
        <v>0.02</v>
      </c>
      <c r="AU637" t="s">
        <v>6</v>
      </c>
      <c r="AV637">
        <v>0</v>
      </c>
      <c r="AW637">
        <v>2</v>
      </c>
      <c r="AX637">
        <v>16751526</v>
      </c>
      <c r="AY637">
        <v>1</v>
      </c>
      <c r="AZ637">
        <v>0</v>
      </c>
      <c r="BA637">
        <v>585</v>
      </c>
      <c r="BB637">
        <v>0</v>
      </c>
      <c r="BC637">
        <v>0</v>
      </c>
      <c r="BD637">
        <v>0</v>
      </c>
      <c r="BE637">
        <v>0</v>
      </c>
      <c r="BF637">
        <v>0</v>
      </c>
      <c r="BG637">
        <v>0</v>
      </c>
      <c r="BH637">
        <v>0</v>
      </c>
      <c r="BI637">
        <v>0</v>
      </c>
      <c r="BJ637">
        <v>0</v>
      </c>
      <c r="BK637">
        <v>0</v>
      </c>
      <c r="BL637">
        <v>0</v>
      </c>
      <c r="BM637">
        <v>0</v>
      </c>
      <c r="BN637">
        <v>0</v>
      </c>
      <c r="BO637">
        <v>0</v>
      </c>
      <c r="BP637">
        <v>0</v>
      </c>
      <c r="BQ637">
        <v>0</v>
      </c>
      <c r="BR637">
        <v>0</v>
      </c>
      <c r="BS637">
        <v>0</v>
      </c>
      <c r="BT637">
        <v>0</v>
      </c>
      <c r="BU637">
        <v>0</v>
      </c>
      <c r="BV637">
        <v>0</v>
      </c>
      <c r="BW637">
        <v>0</v>
      </c>
      <c r="CX637">
        <f>Y637*Source!I494</f>
        <v>4.7999999999999996E-3</v>
      </c>
      <c r="CY637">
        <f>AB637</f>
        <v>431.06</v>
      </c>
      <c r="CZ637">
        <f>AF637</f>
        <v>65.709999999999994</v>
      </c>
      <c r="DA637">
        <f>AJ637</f>
        <v>6.56</v>
      </c>
      <c r="DB637">
        <f t="shared" si="111"/>
        <v>1.31</v>
      </c>
      <c r="DC637">
        <f t="shared" si="112"/>
        <v>0.23</v>
      </c>
    </row>
    <row r="638" spans="1:107" x14ac:dyDescent="0.2">
      <c r="A638">
        <f>ROW(Source!A494)</f>
        <v>494</v>
      </c>
      <c r="B638">
        <v>16748969</v>
      </c>
      <c r="C638">
        <v>16751511</v>
      </c>
      <c r="D638">
        <v>15167588</v>
      </c>
      <c r="E638">
        <v>1</v>
      </c>
      <c r="F638">
        <v>1</v>
      </c>
      <c r="G638">
        <v>1</v>
      </c>
      <c r="H638">
        <v>3</v>
      </c>
      <c r="I638" t="s">
        <v>1388</v>
      </c>
      <c r="J638" t="s">
        <v>1389</v>
      </c>
      <c r="K638" t="s">
        <v>1390</v>
      </c>
      <c r="L638">
        <v>1346</v>
      </c>
      <c r="N638">
        <v>1009</v>
      </c>
      <c r="O638" t="s">
        <v>323</v>
      </c>
      <c r="P638" t="s">
        <v>323</v>
      </c>
      <c r="Q638">
        <v>1</v>
      </c>
      <c r="W638">
        <v>0</v>
      </c>
      <c r="X638">
        <v>-1088866022</v>
      </c>
      <c r="Y638">
        <v>0.16</v>
      </c>
      <c r="AA638">
        <v>199.42</v>
      </c>
      <c r="AB638">
        <v>0</v>
      </c>
      <c r="AC638">
        <v>0</v>
      </c>
      <c r="AD638">
        <v>0</v>
      </c>
      <c r="AE638">
        <v>30.4</v>
      </c>
      <c r="AF638">
        <v>0</v>
      </c>
      <c r="AG638">
        <v>0</v>
      </c>
      <c r="AH638">
        <v>0</v>
      </c>
      <c r="AI638">
        <v>6.56</v>
      </c>
      <c r="AJ638">
        <v>1</v>
      </c>
      <c r="AK638">
        <v>1</v>
      </c>
      <c r="AL638">
        <v>1</v>
      </c>
      <c r="AN638">
        <v>0</v>
      </c>
      <c r="AO638">
        <v>1</v>
      </c>
      <c r="AP638">
        <v>0</v>
      </c>
      <c r="AQ638">
        <v>0</v>
      </c>
      <c r="AR638">
        <v>0</v>
      </c>
      <c r="AS638" t="s">
        <v>6</v>
      </c>
      <c r="AT638">
        <v>0.16</v>
      </c>
      <c r="AU638" t="s">
        <v>6</v>
      </c>
      <c r="AV638">
        <v>0</v>
      </c>
      <c r="AW638">
        <v>2</v>
      </c>
      <c r="AX638">
        <v>16751527</v>
      </c>
      <c r="AY638">
        <v>1</v>
      </c>
      <c r="AZ638">
        <v>0</v>
      </c>
      <c r="BA638">
        <v>586</v>
      </c>
      <c r="BB638">
        <v>0</v>
      </c>
      <c r="BC638">
        <v>0</v>
      </c>
      <c r="BD638">
        <v>0</v>
      </c>
      <c r="BE638">
        <v>0</v>
      </c>
      <c r="BF638">
        <v>0</v>
      </c>
      <c r="BG638">
        <v>0</v>
      </c>
      <c r="BH638">
        <v>0</v>
      </c>
      <c r="BI638">
        <v>0</v>
      </c>
      <c r="BJ638">
        <v>0</v>
      </c>
      <c r="BK638">
        <v>0</v>
      </c>
      <c r="BL638">
        <v>0</v>
      </c>
      <c r="BM638">
        <v>0</v>
      </c>
      <c r="BN638">
        <v>0</v>
      </c>
      <c r="BO638">
        <v>0</v>
      </c>
      <c r="BP638">
        <v>0</v>
      </c>
      <c r="BQ638">
        <v>0</v>
      </c>
      <c r="BR638">
        <v>0</v>
      </c>
      <c r="BS638">
        <v>0</v>
      </c>
      <c r="BT638">
        <v>0</v>
      </c>
      <c r="BU638">
        <v>0</v>
      </c>
      <c r="BV638">
        <v>0</v>
      </c>
      <c r="BW638">
        <v>0</v>
      </c>
      <c r="CX638">
        <f>Y638*Source!I494</f>
        <v>3.8399999999999997E-2</v>
      </c>
      <c r="CY638">
        <f t="shared" ref="CY638:CY644" si="116">AA638</f>
        <v>199.42</v>
      </c>
      <c r="CZ638">
        <f t="shared" ref="CZ638:CZ644" si="117">AE638</f>
        <v>30.4</v>
      </c>
      <c r="DA638">
        <f t="shared" ref="DA638:DA644" si="118">AI638</f>
        <v>6.56</v>
      </c>
      <c r="DB638">
        <f t="shared" si="111"/>
        <v>4.8600000000000003</v>
      </c>
      <c r="DC638">
        <f t="shared" si="112"/>
        <v>0</v>
      </c>
    </row>
    <row r="639" spans="1:107" x14ac:dyDescent="0.2">
      <c r="A639">
        <f>ROW(Source!A494)</f>
        <v>494</v>
      </c>
      <c r="B639">
        <v>16748969</v>
      </c>
      <c r="C639">
        <v>16751511</v>
      </c>
      <c r="D639">
        <v>15167867</v>
      </c>
      <c r="E639">
        <v>1</v>
      </c>
      <c r="F639">
        <v>1</v>
      </c>
      <c r="G639">
        <v>1</v>
      </c>
      <c r="H639">
        <v>3</v>
      </c>
      <c r="I639" t="s">
        <v>1408</v>
      </c>
      <c r="J639" t="s">
        <v>1409</v>
      </c>
      <c r="K639" t="s">
        <v>1410</v>
      </c>
      <c r="L639">
        <v>1348</v>
      </c>
      <c r="N639">
        <v>1009</v>
      </c>
      <c r="O639" t="s">
        <v>71</v>
      </c>
      <c r="P639" t="s">
        <v>71</v>
      </c>
      <c r="Q639">
        <v>1000</v>
      </c>
      <c r="W639">
        <v>0</v>
      </c>
      <c r="X639">
        <v>1012095217</v>
      </c>
      <c r="Y639">
        <v>5.9999999999999995E-4</v>
      </c>
      <c r="AA639">
        <v>11939.2</v>
      </c>
      <c r="AB639">
        <v>0</v>
      </c>
      <c r="AC639">
        <v>0</v>
      </c>
      <c r="AD639">
        <v>0</v>
      </c>
      <c r="AE639">
        <v>1820</v>
      </c>
      <c r="AF639">
        <v>0</v>
      </c>
      <c r="AG639">
        <v>0</v>
      </c>
      <c r="AH639">
        <v>0</v>
      </c>
      <c r="AI639">
        <v>6.56</v>
      </c>
      <c r="AJ639">
        <v>1</v>
      </c>
      <c r="AK639">
        <v>1</v>
      </c>
      <c r="AL639">
        <v>1</v>
      </c>
      <c r="AN639">
        <v>0</v>
      </c>
      <c r="AO639">
        <v>1</v>
      </c>
      <c r="AP639">
        <v>0</v>
      </c>
      <c r="AQ639">
        <v>0</v>
      </c>
      <c r="AR639">
        <v>0</v>
      </c>
      <c r="AS639" t="s">
        <v>6</v>
      </c>
      <c r="AT639">
        <v>5.9999999999999995E-4</v>
      </c>
      <c r="AU639" t="s">
        <v>6</v>
      </c>
      <c r="AV639">
        <v>0</v>
      </c>
      <c r="AW639">
        <v>2</v>
      </c>
      <c r="AX639">
        <v>16751528</v>
      </c>
      <c r="AY639">
        <v>1</v>
      </c>
      <c r="AZ639">
        <v>0</v>
      </c>
      <c r="BA639">
        <v>587</v>
      </c>
      <c r="BB639">
        <v>0</v>
      </c>
      <c r="BC639">
        <v>0</v>
      </c>
      <c r="BD639">
        <v>0</v>
      </c>
      <c r="BE639">
        <v>0</v>
      </c>
      <c r="BF639">
        <v>0</v>
      </c>
      <c r="BG639">
        <v>0</v>
      </c>
      <c r="BH639">
        <v>0</v>
      </c>
      <c r="BI639">
        <v>0</v>
      </c>
      <c r="BJ639">
        <v>0</v>
      </c>
      <c r="BK639">
        <v>0</v>
      </c>
      <c r="BL639">
        <v>0</v>
      </c>
      <c r="BM639">
        <v>0</v>
      </c>
      <c r="BN639">
        <v>0</v>
      </c>
      <c r="BO639">
        <v>0</v>
      </c>
      <c r="BP639">
        <v>0</v>
      </c>
      <c r="BQ639">
        <v>0</v>
      </c>
      <c r="BR639">
        <v>0</v>
      </c>
      <c r="BS639">
        <v>0</v>
      </c>
      <c r="BT639">
        <v>0</v>
      </c>
      <c r="BU639">
        <v>0</v>
      </c>
      <c r="BV639">
        <v>0</v>
      </c>
      <c r="BW639">
        <v>0</v>
      </c>
      <c r="CX639">
        <f>Y639*Source!I494</f>
        <v>1.4399999999999998E-4</v>
      </c>
      <c r="CY639">
        <f t="shared" si="116"/>
        <v>11939.2</v>
      </c>
      <c r="CZ639">
        <f t="shared" si="117"/>
        <v>1820</v>
      </c>
      <c r="DA639">
        <f t="shared" si="118"/>
        <v>6.56</v>
      </c>
      <c r="DB639">
        <f t="shared" si="111"/>
        <v>1.0900000000000001</v>
      </c>
      <c r="DC639">
        <f t="shared" si="112"/>
        <v>0</v>
      </c>
    </row>
    <row r="640" spans="1:107" x14ac:dyDescent="0.2">
      <c r="A640">
        <f>ROW(Source!A494)</f>
        <v>494</v>
      </c>
      <c r="B640">
        <v>16748969</v>
      </c>
      <c r="C640">
        <v>16751511</v>
      </c>
      <c r="D640">
        <v>15203834</v>
      </c>
      <c r="E640">
        <v>1</v>
      </c>
      <c r="F640">
        <v>1</v>
      </c>
      <c r="G640">
        <v>1</v>
      </c>
      <c r="H640">
        <v>3</v>
      </c>
      <c r="I640" t="s">
        <v>1411</v>
      </c>
      <c r="J640" t="s">
        <v>1412</v>
      </c>
      <c r="K640" t="s">
        <v>374</v>
      </c>
      <c r="L640">
        <v>1346</v>
      </c>
      <c r="N640">
        <v>1009</v>
      </c>
      <c r="O640" t="s">
        <v>323</v>
      </c>
      <c r="P640" t="s">
        <v>323</v>
      </c>
      <c r="Q640">
        <v>1</v>
      </c>
      <c r="W640">
        <v>0</v>
      </c>
      <c r="X640">
        <v>210558753</v>
      </c>
      <c r="Y640">
        <v>0.02</v>
      </c>
      <c r="AA640">
        <v>187.62</v>
      </c>
      <c r="AB640">
        <v>0</v>
      </c>
      <c r="AC640">
        <v>0</v>
      </c>
      <c r="AD640">
        <v>0</v>
      </c>
      <c r="AE640">
        <v>28.6</v>
      </c>
      <c r="AF640">
        <v>0</v>
      </c>
      <c r="AG640">
        <v>0</v>
      </c>
      <c r="AH640">
        <v>0</v>
      </c>
      <c r="AI640">
        <v>6.56</v>
      </c>
      <c r="AJ640">
        <v>1</v>
      </c>
      <c r="AK640">
        <v>1</v>
      </c>
      <c r="AL640">
        <v>1</v>
      </c>
      <c r="AN640">
        <v>0</v>
      </c>
      <c r="AO640">
        <v>1</v>
      </c>
      <c r="AP640">
        <v>0</v>
      </c>
      <c r="AQ640">
        <v>0</v>
      </c>
      <c r="AR640">
        <v>0</v>
      </c>
      <c r="AS640" t="s">
        <v>6</v>
      </c>
      <c r="AT640">
        <v>0.02</v>
      </c>
      <c r="AU640" t="s">
        <v>6</v>
      </c>
      <c r="AV640">
        <v>0</v>
      </c>
      <c r="AW640">
        <v>2</v>
      </c>
      <c r="AX640">
        <v>16751529</v>
      </c>
      <c r="AY640">
        <v>1</v>
      </c>
      <c r="AZ640">
        <v>0</v>
      </c>
      <c r="BA640">
        <v>588</v>
      </c>
      <c r="BB640">
        <v>0</v>
      </c>
      <c r="BC640">
        <v>0</v>
      </c>
      <c r="BD640">
        <v>0</v>
      </c>
      <c r="BE640">
        <v>0</v>
      </c>
      <c r="BF640">
        <v>0</v>
      </c>
      <c r="BG640">
        <v>0</v>
      </c>
      <c r="BH640">
        <v>0</v>
      </c>
      <c r="BI640">
        <v>0</v>
      </c>
      <c r="BJ640">
        <v>0</v>
      </c>
      <c r="BK640">
        <v>0</v>
      </c>
      <c r="BL640">
        <v>0</v>
      </c>
      <c r="BM640">
        <v>0</v>
      </c>
      <c r="BN640">
        <v>0</v>
      </c>
      <c r="BO640">
        <v>0</v>
      </c>
      <c r="BP640">
        <v>0</v>
      </c>
      <c r="BQ640">
        <v>0</v>
      </c>
      <c r="BR640">
        <v>0</v>
      </c>
      <c r="BS640">
        <v>0</v>
      </c>
      <c r="BT640">
        <v>0</v>
      </c>
      <c r="BU640">
        <v>0</v>
      </c>
      <c r="BV640">
        <v>0</v>
      </c>
      <c r="BW640">
        <v>0</v>
      </c>
      <c r="CX640">
        <f>Y640*Source!I494</f>
        <v>4.7999999999999996E-3</v>
      </c>
      <c r="CY640">
        <f t="shared" si="116"/>
        <v>187.62</v>
      </c>
      <c r="CZ640">
        <f t="shared" si="117"/>
        <v>28.6</v>
      </c>
      <c r="DA640">
        <f t="shared" si="118"/>
        <v>6.56</v>
      </c>
      <c r="DB640">
        <f t="shared" si="111"/>
        <v>0.56999999999999995</v>
      </c>
      <c r="DC640">
        <f t="shared" si="112"/>
        <v>0</v>
      </c>
    </row>
    <row r="641" spans="1:107" x14ac:dyDescent="0.2">
      <c r="A641">
        <f>ROW(Source!A494)</f>
        <v>494</v>
      </c>
      <c r="B641">
        <v>16748969</v>
      </c>
      <c r="C641">
        <v>16751511</v>
      </c>
      <c r="D641">
        <v>15217527</v>
      </c>
      <c r="E641">
        <v>1</v>
      </c>
      <c r="F641">
        <v>1</v>
      </c>
      <c r="G641">
        <v>1</v>
      </c>
      <c r="H641">
        <v>3</v>
      </c>
      <c r="I641" t="s">
        <v>1413</v>
      </c>
      <c r="J641" t="s">
        <v>1414</v>
      </c>
      <c r="K641" t="s">
        <v>1415</v>
      </c>
      <c r="L641">
        <v>1355</v>
      </c>
      <c r="N641">
        <v>1010</v>
      </c>
      <c r="O641" t="s">
        <v>724</v>
      </c>
      <c r="P641" t="s">
        <v>724</v>
      </c>
      <c r="Q641">
        <v>100</v>
      </c>
      <c r="W641">
        <v>0</v>
      </c>
      <c r="X641">
        <v>-423136440</v>
      </c>
      <c r="Y641">
        <v>0.05</v>
      </c>
      <c r="AA641">
        <v>721.6</v>
      </c>
      <c r="AB641">
        <v>0</v>
      </c>
      <c r="AC641">
        <v>0</v>
      </c>
      <c r="AD641">
        <v>0</v>
      </c>
      <c r="AE641">
        <v>110</v>
      </c>
      <c r="AF641">
        <v>0</v>
      </c>
      <c r="AG641">
        <v>0</v>
      </c>
      <c r="AH641">
        <v>0</v>
      </c>
      <c r="AI641">
        <v>6.56</v>
      </c>
      <c r="AJ641">
        <v>1</v>
      </c>
      <c r="AK641">
        <v>1</v>
      </c>
      <c r="AL641">
        <v>1</v>
      </c>
      <c r="AN641">
        <v>0</v>
      </c>
      <c r="AO641">
        <v>1</v>
      </c>
      <c r="AP641">
        <v>0</v>
      </c>
      <c r="AQ641">
        <v>0</v>
      </c>
      <c r="AR641">
        <v>0</v>
      </c>
      <c r="AS641" t="s">
        <v>6</v>
      </c>
      <c r="AT641">
        <v>0.05</v>
      </c>
      <c r="AU641" t="s">
        <v>6</v>
      </c>
      <c r="AV641">
        <v>0</v>
      </c>
      <c r="AW641">
        <v>2</v>
      </c>
      <c r="AX641">
        <v>16751530</v>
      </c>
      <c r="AY641">
        <v>1</v>
      </c>
      <c r="AZ641">
        <v>0</v>
      </c>
      <c r="BA641">
        <v>589</v>
      </c>
      <c r="BB641">
        <v>0</v>
      </c>
      <c r="BC641">
        <v>0</v>
      </c>
      <c r="BD641">
        <v>0</v>
      </c>
      <c r="BE641">
        <v>0</v>
      </c>
      <c r="BF641">
        <v>0</v>
      </c>
      <c r="BG641">
        <v>0</v>
      </c>
      <c r="BH641">
        <v>0</v>
      </c>
      <c r="BI641">
        <v>0</v>
      </c>
      <c r="BJ641">
        <v>0</v>
      </c>
      <c r="BK641">
        <v>0</v>
      </c>
      <c r="BL641">
        <v>0</v>
      </c>
      <c r="BM641">
        <v>0</v>
      </c>
      <c r="BN641">
        <v>0</v>
      </c>
      <c r="BO641">
        <v>0</v>
      </c>
      <c r="BP641">
        <v>0</v>
      </c>
      <c r="BQ641">
        <v>0</v>
      </c>
      <c r="BR641">
        <v>0</v>
      </c>
      <c r="BS641">
        <v>0</v>
      </c>
      <c r="BT641">
        <v>0</v>
      </c>
      <c r="BU641">
        <v>0</v>
      </c>
      <c r="BV641">
        <v>0</v>
      </c>
      <c r="BW641">
        <v>0</v>
      </c>
      <c r="CX641">
        <f>Y641*Source!I494</f>
        <v>1.2E-2</v>
      </c>
      <c r="CY641">
        <f t="shared" si="116"/>
        <v>721.6</v>
      </c>
      <c r="CZ641">
        <f t="shared" si="117"/>
        <v>110</v>
      </c>
      <c r="DA641">
        <f t="shared" si="118"/>
        <v>6.56</v>
      </c>
      <c r="DB641">
        <f t="shared" si="111"/>
        <v>5.5</v>
      </c>
      <c r="DC641">
        <f t="shared" si="112"/>
        <v>0</v>
      </c>
    </row>
    <row r="642" spans="1:107" x14ac:dyDescent="0.2">
      <c r="A642">
        <f>ROW(Source!A494)</f>
        <v>494</v>
      </c>
      <c r="B642">
        <v>16748969</v>
      </c>
      <c r="C642">
        <v>16751511</v>
      </c>
      <c r="D642">
        <v>15217578</v>
      </c>
      <c r="E642">
        <v>1</v>
      </c>
      <c r="F642">
        <v>1</v>
      </c>
      <c r="G642">
        <v>1</v>
      </c>
      <c r="H642">
        <v>3</v>
      </c>
      <c r="I642" t="s">
        <v>1416</v>
      </c>
      <c r="J642" t="s">
        <v>1417</v>
      </c>
      <c r="K642" t="s">
        <v>1418</v>
      </c>
      <c r="L642">
        <v>1356</v>
      </c>
      <c r="N642">
        <v>1010</v>
      </c>
      <c r="O642" t="s">
        <v>288</v>
      </c>
      <c r="P642" t="s">
        <v>288</v>
      </c>
      <c r="Q642">
        <v>1000</v>
      </c>
      <c r="W642">
        <v>0</v>
      </c>
      <c r="X642">
        <v>537827188</v>
      </c>
      <c r="Y642">
        <v>1.2200000000000001E-2</v>
      </c>
      <c r="AA642">
        <v>780.64</v>
      </c>
      <c r="AB642">
        <v>0</v>
      </c>
      <c r="AC642">
        <v>0</v>
      </c>
      <c r="AD642">
        <v>0</v>
      </c>
      <c r="AE642">
        <v>119</v>
      </c>
      <c r="AF642">
        <v>0</v>
      </c>
      <c r="AG642">
        <v>0</v>
      </c>
      <c r="AH642">
        <v>0</v>
      </c>
      <c r="AI642">
        <v>6.56</v>
      </c>
      <c r="AJ642">
        <v>1</v>
      </c>
      <c r="AK642">
        <v>1</v>
      </c>
      <c r="AL642">
        <v>1</v>
      </c>
      <c r="AN642">
        <v>0</v>
      </c>
      <c r="AO642">
        <v>1</v>
      </c>
      <c r="AP642">
        <v>0</v>
      </c>
      <c r="AQ642">
        <v>0</v>
      </c>
      <c r="AR642">
        <v>0</v>
      </c>
      <c r="AS642" t="s">
        <v>6</v>
      </c>
      <c r="AT642">
        <v>1.2200000000000001E-2</v>
      </c>
      <c r="AU642" t="s">
        <v>6</v>
      </c>
      <c r="AV642">
        <v>0</v>
      </c>
      <c r="AW642">
        <v>2</v>
      </c>
      <c r="AX642">
        <v>16751531</v>
      </c>
      <c r="AY642">
        <v>1</v>
      </c>
      <c r="AZ642">
        <v>0</v>
      </c>
      <c r="BA642">
        <v>590</v>
      </c>
      <c r="BB642">
        <v>0</v>
      </c>
      <c r="BC642">
        <v>0</v>
      </c>
      <c r="BD642">
        <v>0</v>
      </c>
      <c r="BE642">
        <v>0</v>
      </c>
      <c r="BF642">
        <v>0</v>
      </c>
      <c r="BG642">
        <v>0</v>
      </c>
      <c r="BH642">
        <v>0</v>
      </c>
      <c r="BI642">
        <v>0</v>
      </c>
      <c r="BJ642">
        <v>0</v>
      </c>
      <c r="BK642">
        <v>0</v>
      </c>
      <c r="BL642">
        <v>0</v>
      </c>
      <c r="BM642">
        <v>0</v>
      </c>
      <c r="BN642">
        <v>0</v>
      </c>
      <c r="BO642">
        <v>0</v>
      </c>
      <c r="BP642">
        <v>0</v>
      </c>
      <c r="BQ642">
        <v>0</v>
      </c>
      <c r="BR642">
        <v>0</v>
      </c>
      <c r="BS642">
        <v>0</v>
      </c>
      <c r="BT642">
        <v>0</v>
      </c>
      <c r="BU642">
        <v>0</v>
      </c>
      <c r="BV642">
        <v>0</v>
      </c>
      <c r="BW642">
        <v>0</v>
      </c>
      <c r="CX642">
        <f>Y642*Source!I494</f>
        <v>2.928E-3</v>
      </c>
      <c r="CY642">
        <f t="shared" si="116"/>
        <v>780.64</v>
      </c>
      <c r="CZ642">
        <f t="shared" si="117"/>
        <v>119</v>
      </c>
      <c r="DA642">
        <f t="shared" si="118"/>
        <v>6.56</v>
      </c>
      <c r="DB642">
        <f t="shared" si="111"/>
        <v>1.45</v>
      </c>
      <c r="DC642">
        <f t="shared" si="112"/>
        <v>0</v>
      </c>
    </row>
    <row r="643" spans="1:107" x14ac:dyDescent="0.2">
      <c r="A643">
        <f>ROW(Source!A494)</f>
        <v>494</v>
      </c>
      <c r="B643">
        <v>16748969</v>
      </c>
      <c r="C643">
        <v>16751511</v>
      </c>
      <c r="D643">
        <v>15224223</v>
      </c>
      <c r="E643">
        <v>1</v>
      </c>
      <c r="F643">
        <v>1</v>
      </c>
      <c r="G643">
        <v>1</v>
      </c>
      <c r="H643">
        <v>3</v>
      </c>
      <c r="I643" t="s">
        <v>861</v>
      </c>
      <c r="J643" t="s">
        <v>862</v>
      </c>
      <c r="K643" t="s">
        <v>1611</v>
      </c>
      <c r="L643">
        <v>1477</v>
      </c>
      <c r="N643">
        <v>1013</v>
      </c>
      <c r="O643" t="s">
        <v>641</v>
      </c>
      <c r="P643" t="s">
        <v>643</v>
      </c>
      <c r="Q643">
        <v>1</v>
      </c>
      <c r="W643">
        <v>0</v>
      </c>
      <c r="X643">
        <v>287234314</v>
      </c>
      <c r="Y643">
        <v>0.1</v>
      </c>
      <c r="AA643">
        <v>47938.51</v>
      </c>
      <c r="AB643">
        <v>0</v>
      </c>
      <c r="AC643">
        <v>0</v>
      </c>
      <c r="AD643">
        <v>0</v>
      </c>
      <c r="AE643">
        <v>7307.7</v>
      </c>
      <c r="AF643">
        <v>0</v>
      </c>
      <c r="AG643">
        <v>0</v>
      </c>
      <c r="AH643">
        <v>0</v>
      </c>
      <c r="AI643">
        <v>6.56</v>
      </c>
      <c r="AJ643">
        <v>1</v>
      </c>
      <c r="AK643">
        <v>1</v>
      </c>
      <c r="AL643">
        <v>1</v>
      </c>
      <c r="AN643">
        <v>0</v>
      </c>
      <c r="AO643">
        <v>0</v>
      </c>
      <c r="AP643">
        <v>0</v>
      </c>
      <c r="AQ643">
        <v>0</v>
      </c>
      <c r="AR643">
        <v>0</v>
      </c>
      <c r="AS643" t="s">
        <v>6</v>
      </c>
      <c r="AT643">
        <v>0.1</v>
      </c>
      <c r="AU643" t="s">
        <v>6</v>
      </c>
      <c r="AV643">
        <v>0</v>
      </c>
      <c r="AW643">
        <v>1</v>
      </c>
      <c r="AX643">
        <v>-1</v>
      </c>
      <c r="AY643">
        <v>0</v>
      </c>
      <c r="AZ643">
        <v>0</v>
      </c>
      <c r="BA643" t="s">
        <v>6</v>
      </c>
      <c r="BB643">
        <v>0</v>
      </c>
      <c r="BC643">
        <v>0</v>
      </c>
      <c r="BD643">
        <v>0</v>
      </c>
      <c r="BE643">
        <v>0</v>
      </c>
      <c r="BF643">
        <v>0</v>
      </c>
      <c r="BG643">
        <v>0</v>
      </c>
      <c r="BH643">
        <v>0</v>
      </c>
      <c r="BI643">
        <v>0</v>
      </c>
      <c r="BJ643">
        <v>0</v>
      </c>
      <c r="BK643">
        <v>0</v>
      </c>
      <c r="BL643">
        <v>0</v>
      </c>
      <c r="BM643">
        <v>0</v>
      </c>
      <c r="BN643">
        <v>0</v>
      </c>
      <c r="BO643">
        <v>0</v>
      </c>
      <c r="BP643">
        <v>0</v>
      </c>
      <c r="BQ643">
        <v>0</v>
      </c>
      <c r="BR643">
        <v>0</v>
      </c>
      <c r="BS643">
        <v>0</v>
      </c>
      <c r="BT643">
        <v>0</v>
      </c>
      <c r="BU643">
        <v>0</v>
      </c>
      <c r="BV643">
        <v>0</v>
      </c>
      <c r="BW643">
        <v>0</v>
      </c>
      <c r="CX643">
        <f>Y643*Source!I494</f>
        <v>2.4E-2</v>
      </c>
      <c r="CY643">
        <f t="shared" si="116"/>
        <v>47938.51</v>
      </c>
      <c r="CZ643">
        <f t="shared" si="117"/>
        <v>7307.7</v>
      </c>
      <c r="DA643">
        <f t="shared" si="118"/>
        <v>6.56</v>
      </c>
      <c r="DB643">
        <f t="shared" si="111"/>
        <v>730.77</v>
      </c>
      <c r="DC643">
        <f t="shared" si="112"/>
        <v>0</v>
      </c>
    </row>
    <row r="644" spans="1:107" x14ac:dyDescent="0.2">
      <c r="A644">
        <f>ROW(Source!A494)</f>
        <v>494</v>
      </c>
      <c r="B644">
        <v>16748969</v>
      </c>
      <c r="C644">
        <v>16751511</v>
      </c>
      <c r="D644">
        <v>15164559</v>
      </c>
      <c r="E644">
        <v>17</v>
      </c>
      <c r="F644">
        <v>1</v>
      </c>
      <c r="G644">
        <v>1</v>
      </c>
      <c r="H644">
        <v>3</v>
      </c>
      <c r="I644" t="s">
        <v>1383</v>
      </c>
      <c r="J644" t="s">
        <v>6</v>
      </c>
      <c r="K644" t="s">
        <v>1384</v>
      </c>
      <c r="L644">
        <v>1374</v>
      </c>
      <c r="N644">
        <v>1013</v>
      </c>
      <c r="O644" t="s">
        <v>1385</v>
      </c>
      <c r="P644" t="s">
        <v>1385</v>
      </c>
      <c r="Q644">
        <v>1</v>
      </c>
      <c r="W644">
        <v>0</v>
      </c>
      <c r="X644">
        <v>-1731369543</v>
      </c>
      <c r="Y644">
        <v>1.01</v>
      </c>
      <c r="AA644">
        <v>1</v>
      </c>
      <c r="AB644">
        <v>0</v>
      </c>
      <c r="AC644">
        <v>0</v>
      </c>
      <c r="AD644">
        <v>0</v>
      </c>
      <c r="AE644">
        <v>1</v>
      </c>
      <c r="AF644">
        <v>0</v>
      </c>
      <c r="AG644">
        <v>0</v>
      </c>
      <c r="AH644">
        <v>0</v>
      </c>
      <c r="AI644">
        <v>1</v>
      </c>
      <c r="AJ644">
        <v>1</v>
      </c>
      <c r="AK644">
        <v>1</v>
      </c>
      <c r="AL644">
        <v>1</v>
      </c>
      <c r="AN644">
        <v>0</v>
      </c>
      <c r="AO644">
        <v>1</v>
      </c>
      <c r="AP644">
        <v>0</v>
      </c>
      <c r="AQ644">
        <v>0</v>
      </c>
      <c r="AR644">
        <v>0</v>
      </c>
      <c r="AS644" t="s">
        <v>6</v>
      </c>
      <c r="AT644">
        <v>1.01</v>
      </c>
      <c r="AU644" t="s">
        <v>6</v>
      </c>
      <c r="AV644">
        <v>0</v>
      </c>
      <c r="AW644">
        <v>2</v>
      </c>
      <c r="AX644">
        <v>16751532</v>
      </c>
      <c r="AY644">
        <v>1</v>
      </c>
      <c r="AZ644">
        <v>0</v>
      </c>
      <c r="BA644">
        <v>591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0</v>
      </c>
      <c r="BK644">
        <v>0</v>
      </c>
      <c r="BL644">
        <v>0</v>
      </c>
      <c r="BM644">
        <v>0</v>
      </c>
      <c r="BN644">
        <v>0</v>
      </c>
      <c r="BO644">
        <v>0</v>
      </c>
      <c r="BP644">
        <v>0</v>
      </c>
      <c r="BQ644">
        <v>0</v>
      </c>
      <c r="BR644">
        <v>0</v>
      </c>
      <c r="BS644">
        <v>0</v>
      </c>
      <c r="BT644">
        <v>0</v>
      </c>
      <c r="BU644">
        <v>0</v>
      </c>
      <c r="BV644">
        <v>0</v>
      </c>
      <c r="BW644">
        <v>0</v>
      </c>
      <c r="CX644">
        <f>Y644*Source!I494</f>
        <v>0.2424</v>
      </c>
      <c r="CY644">
        <f t="shared" si="116"/>
        <v>1</v>
      </c>
      <c r="CZ644">
        <f t="shared" si="117"/>
        <v>1</v>
      </c>
      <c r="DA644">
        <f t="shared" si="118"/>
        <v>1</v>
      </c>
      <c r="DB644">
        <f t="shared" si="111"/>
        <v>1.01</v>
      </c>
      <c r="DC644">
        <f t="shared" si="112"/>
        <v>0</v>
      </c>
    </row>
    <row r="645" spans="1:107" x14ac:dyDescent="0.2">
      <c r="A645">
        <f>ROW(Source!A496)</f>
        <v>496</v>
      </c>
      <c r="B645">
        <v>16748969</v>
      </c>
      <c r="C645">
        <v>16751534</v>
      </c>
      <c r="D645">
        <v>15467906</v>
      </c>
      <c r="E645">
        <v>1</v>
      </c>
      <c r="F645">
        <v>1</v>
      </c>
      <c r="G645">
        <v>1</v>
      </c>
      <c r="H645">
        <v>1</v>
      </c>
      <c r="I645" t="s">
        <v>1523</v>
      </c>
      <c r="J645" t="s">
        <v>6</v>
      </c>
      <c r="K645" t="s">
        <v>1524</v>
      </c>
      <c r="L645">
        <v>1191</v>
      </c>
      <c r="N645">
        <v>1013</v>
      </c>
      <c r="O645" t="s">
        <v>1072</v>
      </c>
      <c r="P645" t="s">
        <v>1072</v>
      </c>
      <c r="Q645">
        <v>1</v>
      </c>
      <c r="W645">
        <v>0</v>
      </c>
      <c r="X645">
        <v>-1346398395</v>
      </c>
      <c r="Y645">
        <v>243</v>
      </c>
      <c r="AA645">
        <v>0</v>
      </c>
      <c r="AB645">
        <v>0</v>
      </c>
      <c r="AC645">
        <v>0</v>
      </c>
      <c r="AD645">
        <v>84.76</v>
      </c>
      <c r="AE645">
        <v>0</v>
      </c>
      <c r="AF645">
        <v>0</v>
      </c>
      <c r="AG645">
        <v>0</v>
      </c>
      <c r="AH645">
        <v>12.92</v>
      </c>
      <c r="AI645">
        <v>1</v>
      </c>
      <c r="AJ645">
        <v>1</v>
      </c>
      <c r="AK645">
        <v>1</v>
      </c>
      <c r="AL645">
        <v>6.56</v>
      </c>
      <c r="AN645">
        <v>0</v>
      </c>
      <c r="AO645">
        <v>1</v>
      </c>
      <c r="AP645">
        <v>0</v>
      </c>
      <c r="AQ645">
        <v>0</v>
      </c>
      <c r="AR645">
        <v>0</v>
      </c>
      <c r="AS645" t="s">
        <v>6</v>
      </c>
      <c r="AT645">
        <v>243</v>
      </c>
      <c r="AU645" t="s">
        <v>6</v>
      </c>
      <c r="AV645">
        <v>1</v>
      </c>
      <c r="AW645">
        <v>2</v>
      </c>
      <c r="AX645">
        <v>16751537</v>
      </c>
      <c r="AY645">
        <v>1</v>
      </c>
      <c r="AZ645">
        <v>0</v>
      </c>
      <c r="BA645">
        <v>592</v>
      </c>
      <c r="BB645">
        <v>0</v>
      </c>
      <c r="BC645">
        <v>0</v>
      </c>
      <c r="BD645">
        <v>0</v>
      </c>
      <c r="BE645">
        <v>0</v>
      </c>
      <c r="BF645">
        <v>0</v>
      </c>
      <c r="BG645">
        <v>0</v>
      </c>
      <c r="BH645">
        <v>0</v>
      </c>
      <c r="BI645">
        <v>0</v>
      </c>
      <c r="BJ645">
        <v>0</v>
      </c>
      <c r="BK645">
        <v>0</v>
      </c>
      <c r="BL645">
        <v>0</v>
      </c>
      <c r="BM645">
        <v>0</v>
      </c>
      <c r="BN645">
        <v>0</v>
      </c>
      <c r="BO645">
        <v>0</v>
      </c>
      <c r="BP645">
        <v>0</v>
      </c>
      <c r="BQ645">
        <v>0</v>
      </c>
      <c r="BR645">
        <v>0</v>
      </c>
      <c r="BS645">
        <v>0</v>
      </c>
      <c r="BT645">
        <v>0</v>
      </c>
      <c r="BU645">
        <v>0</v>
      </c>
      <c r="BV645">
        <v>0</v>
      </c>
      <c r="BW645">
        <v>0</v>
      </c>
      <c r="CX645">
        <f>Y645*Source!I496</f>
        <v>243</v>
      </c>
      <c r="CY645">
        <f>AD645</f>
        <v>84.76</v>
      </c>
      <c r="CZ645">
        <f>AH645</f>
        <v>12.92</v>
      </c>
      <c r="DA645">
        <f>AL645</f>
        <v>6.56</v>
      </c>
      <c r="DB645">
        <f t="shared" si="111"/>
        <v>3139.56</v>
      </c>
      <c r="DC645">
        <f t="shared" si="112"/>
        <v>0</v>
      </c>
    </row>
    <row r="646" spans="1:107" x14ac:dyDescent="0.2">
      <c r="A646">
        <f>ROW(Source!A496)</f>
        <v>496</v>
      </c>
      <c r="B646">
        <v>16748969</v>
      </c>
      <c r="C646">
        <v>16751534</v>
      </c>
      <c r="D646">
        <v>15164559</v>
      </c>
      <c r="E646">
        <v>17</v>
      </c>
      <c r="F646">
        <v>1</v>
      </c>
      <c r="G646">
        <v>1</v>
      </c>
      <c r="H646">
        <v>3</v>
      </c>
      <c r="I646" t="s">
        <v>1383</v>
      </c>
      <c r="J646" t="s">
        <v>6</v>
      </c>
      <c r="K646" t="s">
        <v>1384</v>
      </c>
      <c r="L646">
        <v>1374</v>
      </c>
      <c r="N646">
        <v>1013</v>
      </c>
      <c r="O646" t="s">
        <v>1385</v>
      </c>
      <c r="P646" t="s">
        <v>1385</v>
      </c>
      <c r="Q646">
        <v>1</v>
      </c>
      <c r="W646">
        <v>0</v>
      </c>
      <c r="X646">
        <v>-1731369543</v>
      </c>
      <c r="Y646">
        <v>62.79</v>
      </c>
      <c r="AA646">
        <v>1</v>
      </c>
      <c r="AB646">
        <v>0</v>
      </c>
      <c r="AC646">
        <v>0</v>
      </c>
      <c r="AD646">
        <v>0</v>
      </c>
      <c r="AE646">
        <v>1</v>
      </c>
      <c r="AF646">
        <v>0</v>
      </c>
      <c r="AG646">
        <v>0</v>
      </c>
      <c r="AH646">
        <v>0</v>
      </c>
      <c r="AI646">
        <v>1</v>
      </c>
      <c r="AJ646">
        <v>1</v>
      </c>
      <c r="AK646">
        <v>1</v>
      </c>
      <c r="AL646">
        <v>1</v>
      </c>
      <c r="AN646">
        <v>0</v>
      </c>
      <c r="AO646">
        <v>1</v>
      </c>
      <c r="AP646">
        <v>0</v>
      </c>
      <c r="AQ646">
        <v>0</v>
      </c>
      <c r="AR646">
        <v>0</v>
      </c>
      <c r="AS646" t="s">
        <v>6</v>
      </c>
      <c r="AT646">
        <v>62.79</v>
      </c>
      <c r="AU646" t="s">
        <v>6</v>
      </c>
      <c r="AV646">
        <v>0</v>
      </c>
      <c r="AW646">
        <v>2</v>
      </c>
      <c r="AX646">
        <v>16751538</v>
      </c>
      <c r="AY646">
        <v>1</v>
      </c>
      <c r="AZ646">
        <v>0</v>
      </c>
      <c r="BA646">
        <v>593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0</v>
      </c>
      <c r="BJ646">
        <v>0</v>
      </c>
      <c r="BK646">
        <v>0</v>
      </c>
      <c r="BL646">
        <v>0</v>
      </c>
      <c r="BM646">
        <v>0</v>
      </c>
      <c r="BN646">
        <v>0</v>
      </c>
      <c r="BO646">
        <v>0</v>
      </c>
      <c r="BP646">
        <v>0</v>
      </c>
      <c r="BQ646">
        <v>0</v>
      </c>
      <c r="BR646">
        <v>0</v>
      </c>
      <c r="BS646">
        <v>0</v>
      </c>
      <c r="BT646">
        <v>0</v>
      </c>
      <c r="BU646">
        <v>0</v>
      </c>
      <c r="BV646">
        <v>0</v>
      </c>
      <c r="BW646">
        <v>0</v>
      </c>
      <c r="CX646">
        <f>Y646*Source!I496</f>
        <v>62.79</v>
      </c>
      <c r="CY646">
        <f>AA646</f>
        <v>1</v>
      </c>
      <c r="CZ646">
        <f>AE646</f>
        <v>1</v>
      </c>
      <c r="DA646">
        <f>AI646</f>
        <v>1</v>
      </c>
      <c r="DB646">
        <f t="shared" si="111"/>
        <v>62.79</v>
      </c>
      <c r="DC646">
        <f t="shared" si="112"/>
        <v>0</v>
      </c>
    </row>
    <row r="647" spans="1:107" x14ac:dyDescent="0.2">
      <c r="A647">
        <f>ROW(Source!A531)</f>
        <v>531</v>
      </c>
      <c r="B647">
        <v>16748969</v>
      </c>
      <c r="C647">
        <v>16751539</v>
      </c>
      <c r="D647">
        <v>15446300</v>
      </c>
      <c r="E647">
        <v>1</v>
      </c>
      <c r="F647">
        <v>1</v>
      </c>
      <c r="G647">
        <v>1</v>
      </c>
      <c r="H647">
        <v>1</v>
      </c>
      <c r="I647" t="s">
        <v>1095</v>
      </c>
      <c r="J647" t="s">
        <v>6</v>
      </c>
      <c r="K647" t="s">
        <v>1096</v>
      </c>
      <c r="L647">
        <v>1191</v>
      </c>
      <c r="N647">
        <v>1013</v>
      </c>
      <c r="O647" t="s">
        <v>1072</v>
      </c>
      <c r="P647" t="s">
        <v>1072</v>
      </c>
      <c r="Q647">
        <v>1</v>
      </c>
      <c r="W647">
        <v>0</v>
      </c>
      <c r="X647">
        <v>912892513</v>
      </c>
      <c r="Y647">
        <v>34.56</v>
      </c>
      <c r="AA647">
        <v>0</v>
      </c>
      <c r="AB647">
        <v>0</v>
      </c>
      <c r="AC647">
        <v>0</v>
      </c>
      <c r="AD647">
        <v>65.08</v>
      </c>
      <c r="AE647">
        <v>0</v>
      </c>
      <c r="AF647">
        <v>0</v>
      </c>
      <c r="AG647">
        <v>0</v>
      </c>
      <c r="AH647">
        <v>9.92</v>
      </c>
      <c r="AI647">
        <v>1</v>
      </c>
      <c r="AJ647">
        <v>1</v>
      </c>
      <c r="AK647">
        <v>1</v>
      </c>
      <c r="AL647">
        <v>6.56</v>
      </c>
      <c r="AN647">
        <v>0</v>
      </c>
      <c r="AO647">
        <v>1</v>
      </c>
      <c r="AP647">
        <v>0</v>
      </c>
      <c r="AQ647">
        <v>0</v>
      </c>
      <c r="AR647">
        <v>0</v>
      </c>
      <c r="AS647" t="s">
        <v>6</v>
      </c>
      <c r="AT647">
        <v>34.56</v>
      </c>
      <c r="AU647" t="s">
        <v>6</v>
      </c>
      <c r="AV647">
        <v>1</v>
      </c>
      <c r="AW647">
        <v>2</v>
      </c>
      <c r="AX647">
        <v>16751550</v>
      </c>
      <c r="AY647">
        <v>1</v>
      </c>
      <c r="AZ647">
        <v>0</v>
      </c>
      <c r="BA647">
        <v>594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0</v>
      </c>
      <c r="BJ647">
        <v>0</v>
      </c>
      <c r="BK647">
        <v>0</v>
      </c>
      <c r="BL647">
        <v>0</v>
      </c>
      <c r="BM647">
        <v>0</v>
      </c>
      <c r="BN647">
        <v>0</v>
      </c>
      <c r="BO647">
        <v>0</v>
      </c>
      <c r="BP647">
        <v>0</v>
      </c>
      <c r="BQ647">
        <v>0</v>
      </c>
      <c r="BR647">
        <v>0</v>
      </c>
      <c r="BS647">
        <v>0</v>
      </c>
      <c r="BT647">
        <v>0</v>
      </c>
      <c r="BU647">
        <v>0</v>
      </c>
      <c r="BV647">
        <v>0</v>
      </c>
      <c r="BW647">
        <v>0</v>
      </c>
      <c r="CX647">
        <f>Y647*Source!I531</f>
        <v>19.353600000000004</v>
      </c>
      <c r="CY647">
        <f>AD647</f>
        <v>65.08</v>
      </c>
      <c r="CZ647">
        <f>AH647</f>
        <v>9.92</v>
      </c>
      <c r="DA647">
        <f>AL647</f>
        <v>6.56</v>
      </c>
      <c r="DB647">
        <f t="shared" si="111"/>
        <v>342.84</v>
      </c>
      <c r="DC647">
        <f t="shared" si="112"/>
        <v>0</v>
      </c>
    </row>
    <row r="648" spans="1:107" x14ac:dyDescent="0.2">
      <c r="A648">
        <f>ROW(Source!A531)</f>
        <v>531</v>
      </c>
      <c r="B648">
        <v>16748969</v>
      </c>
      <c r="C648">
        <v>16751539</v>
      </c>
      <c r="D648">
        <v>15430395</v>
      </c>
      <c r="E648">
        <v>1</v>
      </c>
      <c r="F648">
        <v>1</v>
      </c>
      <c r="G648">
        <v>1</v>
      </c>
      <c r="H648">
        <v>1</v>
      </c>
      <c r="I648" t="s">
        <v>1073</v>
      </c>
      <c r="J648" t="s">
        <v>6</v>
      </c>
      <c r="K648" t="s">
        <v>1074</v>
      </c>
      <c r="L648">
        <v>1191</v>
      </c>
      <c r="N648">
        <v>1013</v>
      </c>
      <c r="O648" t="s">
        <v>1072</v>
      </c>
      <c r="P648" t="s">
        <v>1072</v>
      </c>
      <c r="Q648">
        <v>1</v>
      </c>
      <c r="W648">
        <v>0</v>
      </c>
      <c r="X648">
        <v>-1417349443</v>
      </c>
      <c r="Y648">
        <v>0.05</v>
      </c>
      <c r="AA648">
        <v>0</v>
      </c>
      <c r="AB648">
        <v>0</v>
      </c>
      <c r="AC648">
        <v>0</v>
      </c>
      <c r="AD648">
        <v>0</v>
      </c>
      <c r="AE648">
        <v>0</v>
      </c>
      <c r="AF648">
        <v>0</v>
      </c>
      <c r="AG648">
        <v>0</v>
      </c>
      <c r="AH648">
        <v>0</v>
      </c>
      <c r="AI648">
        <v>1</v>
      </c>
      <c r="AJ648">
        <v>1</v>
      </c>
      <c r="AK648">
        <v>6.56</v>
      </c>
      <c r="AL648">
        <v>1</v>
      </c>
      <c r="AN648">
        <v>0</v>
      </c>
      <c r="AO648">
        <v>1</v>
      </c>
      <c r="AP648">
        <v>0</v>
      </c>
      <c r="AQ648">
        <v>0</v>
      </c>
      <c r="AR648">
        <v>0</v>
      </c>
      <c r="AS648" t="s">
        <v>6</v>
      </c>
      <c r="AT648">
        <v>0.05</v>
      </c>
      <c r="AU648" t="s">
        <v>6</v>
      </c>
      <c r="AV648">
        <v>2</v>
      </c>
      <c r="AW648">
        <v>2</v>
      </c>
      <c r="AX648">
        <v>16751551</v>
      </c>
      <c r="AY648">
        <v>1</v>
      </c>
      <c r="AZ648">
        <v>0</v>
      </c>
      <c r="BA648">
        <v>595</v>
      </c>
      <c r="BB648">
        <v>0</v>
      </c>
      <c r="BC648">
        <v>0</v>
      </c>
      <c r="BD648">
        <v>0</v>
      </c>
      <c r="BE648">
        <v>0</v>
      </c>
      <c r="BF648">
        <v>0</v>
      </c>
      <c r="BG648">
        <v>0</v>
      </c>
      <c r="BH648">
        <v>0</v>
      </c>
      <c r="BI648">
        <v>0</v>
      </c>
      <c r="BJ648">
        <v>0</v>
      </c>
      <c r="BK648">
        <v>0</v>
      </c>
      <c r="BL648">
        <v>0</v>
      </c>
      <c r="BM648">
        <v>0</v>
      </c>
      <c r="BN648">
        <v>0</v>
      </c>
      <c r="BO648">
        <v>0</v>
      </c>
      <c r="BP648">
        <v>0</v>
      </c>
      <c r="BQ648">
        <v>0</v>
      </c>
      <c r="BR648">
        <v>0</v>
      </c>
      <c r="BS648">
        <v>0</v>
      </c>
      <c r="BT648">
        <v>0</v>
      </c>
      <c r="BU648">
        <v>0</v>
      </c>
      <c r="BV648">
        <v>0</v>
      </c>
      <c r="BW648">
        <v>0</v>
      </c>
      <c r="CX648">
        <f>Y648*Source!I531</f>
        <v>2.8000000000000004E-2</v>
      </c>
      <c r="CY648">
        <f>AD648</f>
        <v>0</v>
      </c>
      <c r="CZ648">
        <f>AH648</f>
        <v>0</v>
      </c>
      <c r="DA648">
        <f>AL648</f>
        <v>1</v>
      </c>
      <c r="DB648">
        <f t="shared" si="111"/>
        <v>0</v>
      </c>
      <c r="DC648">
        <f t="shared" si="112"/>
        <v>0</v>
      </c>
    </row>
    <row r="649" spans="1:107" x14ac:dyDescent="0.2">
      <c r="A649">
        <f>ROW(Source!A531)</f>
        <v>531</v>
      </c>
      <c r="B649">
        <v>16748969</v>
      </c>
      <c r="C649">
        <v>16751539</v>
      </c>
      <c r="D649">
        <v>15247680</v>
      </c>
      <c r="E649">
        <v>1</v>
      </c>
      <c r="F649">
        <v>1</v>
      </c>
      <c r="G649">
        <v>1</v>
      </c>
      <c r="H649">
        <v>2</v>
      </c>
      <c r="I649" t="s">
        <v>1211</v>
      </c>
      <c r="J649" t="s">
        <v>1212</v>
      </c>
      <c r="K649" t="s">
        <v>1213</v>
      </c>
      <c r="L649">
        <v>1368</v>
      </c>
      <c r="N649">
        <v>1011</v>
      </c>
      <c r="O649" t="s">
        <v>1078</v>
      </c>
      <c r="P649" t="s">
        <v>1078</v>
      </c>
      <c r="Q649">
        <v>1</v>
      </c>
      <c r="W649">
        <v>0</v>
      </c>
      <c r="X649">
        <v>-1718674368</v>
      </c>
      <c r="Y649">
        <v>0.03</v>
      </c>
      <c r="AA649">
        <v>0</v>
      </c>
      <c r="AB649">
        <v>734.65</v>
      </c>
      <c r="AC649">
        <v>13.5</v>
      </c>
      <c r="AD649">
        <v>0</v>
      </c>
      <c r="AE649">
        <v>0</v>
      </c>
      <c r="AF649">
        <v>111.99</v>
      </c>
      <c r="AG649">
        <v>13.5</v>
      </c>
      <c r="AH649">
        <v>0</v>
      </c>
      <c r="AI649">
        <v>1</v>
      </c>
      <c r="AJ649">
        <v>6.56</v>
      </c>
      <c r="AK649">
        <v>1</v>
      </c>
      <c r="AL649">
        <v>1</v>
      </c>
      <c r="AN649">
        <v>0</v>
      </c>
      <c r="AO649">
        <v>1</v>
      </c>
      <c r="AP649">
        <v>0</v>
      </c>
      <c r="AQ649">
        <v>0</v>
      </c>
      <c r="AR649">
        <v>0</v>
      </c>
      <c r="AS649" t="s">
        <v>6</v>
      </c>
      <c r="AT649">
        <v>0.03</v>
      </c>
      <c r="AU649" t="s">
        <v>6</v>
      </c>
      <c r="AV649">
        <v>0</v>
      </c>
      <c r="AW649">
        <v>2</v>
      </c>
      <c r="AX649">
        <v>16751552</v>
      </c>
      <c r="AY649">
        <v>1</v>
      </c>
      <c r="AZ649">
        <v>0</v>
      </c>
      <c r="BA649">
        <v>596</v>
      </c>
      <c r="BB649">
        <v>0</v>
      </c>
      <c r="BC649">
        <v>0</v>
      </c>
      <c r="BD649">
        <v>0</v>
      </c>
      <c r="BE649">
        <v>0</v>
      </c>
      <c r="BF649">
        <v>0</v>
      </c>
      <c r="BG649">
        <v>0</v>
      </c>
      <c r="BH649">
        <v>0</v>
      </c>
      <c r="BI649">
        <v>0</v>
      </c>
      <c r="BJ649">
        <v>0</v>
      </c>
      <c r="BK649">
        <v>0</v>
      </c>
      <c r="BL649">
        <v>0</v>
      </c>
      <c r="BM649">
        <v>0</v>
      </c>
      <c r="BN649">
        <v>0</v>
      </c>
      <c r="BO649">
        <v>0</v>
      </c>
      <c r="BP649">
        <v>0</v>
      </c>
      <c r="BQ649">
        <v>0</v>
      </c>
      <c r="BR649">
        <v>0</v>
      </c>
      <c r="BS649">
        <v>0</v>
      </c>
      <c r="BT649">
        <v>0</v>
      </c>
      <c r="BU649">
        <v>0</v>
      </c>
      <c r="BV649">
        <v>0</v>
      </c>
      <c r="BW649">
        <v>0</v>
      </c>
      <c r="CX649">
        <f>Y649*Source!I531</f>
        <v>1.6800000000000002E-2</v>
      </c>
      <c r="CY649">
        <f>AB649</f>
        <v>734.65</v>
      </c>
      <c r="CZ649">
        <f>AF649</f>
        <v>111.99</v>
      </c>
      <c r="DA649">
        <f>AJ649</f>
        <v>6.56</v>
      </c>
      <c r="DB649">
        <f t="shared" si="111"/>
        <v>3.36</v>
      </c>
      <c r="DC649">
        <f t="shared" si="112"/>
        <v>0.41</v>
      </c>
    </row>
    <row r="650" spans="1:107" x14ac:dyDescent="0.2">
      <c r="A650">
        <f>ROW(Source!A531)</f>
        <v>531</v>
      </c>
      <c r="B650">
        <v>16748969</v>
      </c>
      <c r="C650">
        <v>16751539</v>
      </c>
      <c r="D650">
        <v>15249073</v>
      </c>
      <c r="E650">
        <v>1</v>
      </c>
      <c r="F650">
        <v>1</v>
      </c>
      <c r="G650">
        <v>1</v>
      </c>
      <c r="H650">
        <v>2</v>
      </c>
      <c r="I650" t="s">
        <v>1097</v>
      </c>
      <c r="J650" t="s">
        <v>1098</v>
      </c>
      <c r="K650" t="s">
        <v>1099</v>
      </c>
      <c r="L650">
        <v>1368</v>
      </c>
      <c r="N650">
        <v>1011</v>
      </c>
      <c r="O650" t="s">
        <v>1078</v>
      </c>
      <c r="P650" t="s">
        <v>1078</v>
      </c>
      <c r="Q650">
        <v>1</v>
      </c>
      <c r="W650">
        <v>0</v>
      </c>
      <c r="X650">
        <v>1372534845</v>
      </c>
      <c r="Y650">
        <v>0.02</v>
      </c>
      <c r="AA650">
        <v>0</v>
      </c>
      <c r="AB650">
        <v>431.06</v>
      </c>
      <c r="AC650">
        <v>11.6</v>
      </c>
      <c r="AD650">
        <v>0</v>
      </c>
      <c r="AE650">
        <v>0</v>
      </c>
      <c r="AF650">
        <v>65.709999999999994</v>
      </c>
      <c r="AG650">
        <v>11.6</v>
      </c>
      <c r="AH650">
        <v>0</v>
      </c>
      <c r="AI650">
        <v>1</v>
      </c>
      <c r="AJ650">
        <v>6.56</v>
      </c>
      <c r="AK650">
        <v>1</v>
      </c>
      <c r="AL650">
        <v>1</v>
      </c>
      <c r="AN650">
        <v>0</v>
      </c>
      <c r="AO650">
        <v>1</v>
      </c>
      <c r="AP650">
        <v>0</v>
      </c>
      <c r="AQ650">
        <v>0</v>
      </c>
      <c r="AR650">
        <v>0</v>
      </c>
      <c r="AS650" t="s">
        <v>6</v>
      </c>
      <c r="AT650">
        <v>0.02</v>
      </c>
      <c r="AU650" t="s">
        <v>6</v>
      </c>
      <c r="AV650">
        <v>0</v>
      </c>
      <c r="AW650">
        <v>2</v>
      </c>
      <c r="AX650">
        <v>16751553</v>
      </c>
      <c r="AY650">
        <v>1</v>
      </c>
      <c r="AZ650">
        <v>0</v>
      </c>
      <c r="BA650">
        <v>597</v>
      </c>
      <c r="BB650">
        <v>0</v>
      </c>
      <c r="BC650">
        <v>0</v>
      </c>
      <c r="BD650">
        <v>0</v>
      </c>
      <c r="BE650">
        <v>0</v>
      </c>
      <c r="BF650">
        <v>0</v>
      </c>
      <c r="BG650">
        <v>0</v>
      </c>
      <c r="BH650">
        <v>0</v>
      </c>
      <c r="BI650">
        <v>0</v>
      </c>
      <c r="BJ650">
        <v>0</v>
      </c>
      <c r="BK650">
        <v>0</v>
      </c>
      <c r="BL650">
        <v>0</v>
      </c>
      <c r="BM650">
        <v>0</v>
      </c>
      <c r="BN650">
        <v>0</v>
      </c>
      <c r="BO650">
        <v>0</v>
      </c>
      <c r="BP650">
        <v>0</v>
      </c>
      <c r="BQ650">
        <v>0</v>
      </c>
      <c r="BR650">
        <v>0</v>
      </c>
      <c r="BS650">
        <v>0</v>
      </c>
      <c r="BT650">
        <v>0</v>
      </c>
      <c r="BU650">
        <v>0</v>
      </c>
      <c r="BV650">
        <v>0</v>
      </c>
      <c r="BW650">
        <v>0</v>
      </c>
      <c r="CX650">
        <f>Y650*Source!I531</f>
        <v>1.1200000000000002E-2</v>
      </c>
      <c r="CY650">
        <f>AB650</f>
        <v>431.06</v>
      </c>
      <c r="CZ650">
        <f>AF650</f>
        <v>65.709999999999994</v>
      </c>
      <c r="DA650">
        <f>AJ650</f>
        <v>6.56</v>
      </c>
      <c r="DB650">
        <f t="shared" si="111"/>
        <v>1.31</v>
      </c>
      <c r="DC650">
        <f t="shared" si="112"/>
        <v>0.23</v>
      </c>
    </row>
    <row r="651" spans="1:107" x14ac:dyDescent="0.2">
      <c r="A651">
        <f>ROW(Source!A531)</f>
        <v>531</v>
      </c>
      <c r="B651">
        <v>16748969</v>
      </c>
      <c r="C651">
        <v>16751539</v>
      </c>
      <c r="D651">
        <v>15167588</v>
      </c>
      <c r="E651">
        <v>1</v>
      </c>
      <c r="F651">
        <v>1</v>
      </c>
      <c r="G651">
        <v>1</v>
      </c>
      <c r="H651">
        <v>3</v>
      </c>
      <c r="I651" t="s">
        <v>1388</v>
      </c>
      <c r="J651" t="s">
        <v>1389</v>
      </c>
      <c r="K651" t="s">
        <v>1390</v>
      </c>
      <c r="L651">
        <v>1346</v>
      </c>
      <c r="N651">
        <v>1009</v>
      </c>
      <c r="O651" t="s">
        <v>323</v>
      </c>
      <c r="P651" t="s">
        <v>323</v>
      </c>
      <c r="Q651">
        <v>1</v>
      </c>
      <c r="W651">
        <v>0</v>
      </c>
      <c r="X651">
        <v>-1088866022</v>
      </c>
      <c r="Y651">
        <v>0.11</v>
      </c>
      <c r="AA651">
        <v>199.42</v>
      </c>
      <c r="AB651">
        <v>0</v>
      </c>
      <c r="AC651">
        <v>0</v>
      </c>
      <c r="AD651">
        <v>0</v>
      </c>
      <c r="AE651">
        <v>30.4</v>
      </c>
      <c r="AF651">
        <v>0</v>
      </c>
      <c r="AG651">
        <v>0</v>
      </c>
      <c r="AH651">
        <v>0</v>
      </c>
      <c r="AI651">
        <v>6.56</v>
      </c>
      <c r="AJ651">
        <v>1</v>
      </c>
      <c r="AK651">
        <v>1</v>
      </c>
      <c r="AL651">
        <v>1</v>
      </c>
      <c r="AN651">
        <v>0</v>
      </c>
      <c r="AO651">
        <v>1</v>
      </c>
      <c r="AP651">
        <v>0</v>
      </c>
      <c r="AQ651">
        <v>0</v>
      </c>
      <c r="AR651">
        <v>0</v>
      </c>
      <c r="AS651" t="s">
        <v>6</v>
      </c>
      <c r="AT651">
        <v>0.11</v>
      </c>
      <c r="AU651" t="s">
        <v>6</v>
      </c>
      <c r="AV651">
        <v>0</v>
      </c>
      <c r="AW651">
        <v>2</v>
      </c>
      <c r="AX651">
        <v>16751554</v>
      </c>
      <c r="AY651">
        <v>1</v>
      </c>
      <c r="AZ651">
        <v>0</v>
      </c>
      <c r="BA651">
        <v>598</v>
      </c>
      <c r="BB651">
        <v>0</v>
      </c>
      <c r="BC651">
        <v>0</v>
      </c>
      <c r="BD651">
        <v>0</v>
      </c>
      <c r="BE651">
        <v>0</v>
      </c>
      <c r="BF651">
        <v>0</v>
      </c>
      <c r="BG651">
        <v>0</v>
      </c>
      <c r="BH651">
        <v>0</v>
      </c>
      <c r="BI651">
        <v>0</v>
      </c>
      <c r="BJ651">
        <v>0</v>
      </c>
      <c r="BK651">
        <v>0</v>
      </c>
      <c r="BL651">
        <v>0</v>
      </c>
      <c r="BM651">
        <v>0</v>
      </c>
      <c r="BN651">
        <v>0</v>
      </c>
      <c r="BO651">
        <v>0</v>
      </c>
      <c r="BP651">
        <v>0</v>
      </c>
      <c r="BQ651">
        <v>0</v>
      </c>
      <c r="BR651">
        <v>0</v>
      </c>
      <c r="BS651">
        <v>0</v>
      </c>
      <c r="BT651">
        <v>0</v>
      </c>
      <c r="BU651">
        <v>0</v>
      </c>
      <c r="BV651">
        <v>0</v>
      </c>
      <c r="BW651">
        <v>0</v>
      </c>
      <c r="CX651">
        <f>Y651*Source!I531</f>
        <v>6.1600000000000009E-2</v>
      </c>
      <c r="CY651">
        <f t="shared" ref="CY651:CY656" si="119">AA651</f>
        <v>199.42</v>
      </c>
      <c r="CZ651">
        <f t="shared" ref="CZ651:CZ656" si="120">AE651</f>
        <v>30.4</v>
      </c>
      <c r="DA651">
        <f t="shared" ref="DA651:DA656" si="121">AI651</f>
        <v>6.56</v>
      </c>
      <c r="DB651">
        <f t="shared" si="111"/>
        <v>3.34</v>
      </c>
      <c r="DC651">
        <f t="shared" si="112"/>
        <v>0</v>
      </c>
    </row>
    <row r="652" spans="1:107" x14ac:dyDescent="0.2">
      <c r="A652">
        <f>ROW(Source!A531)</f>
        <v>531</v>
      </c>
      <c r="B652">
        <v>16748969</v>
      </c>
      <c r="C652">
        <v>16751539</v>
      </c>
      <c r="D652">
        <v>15170074</v>
      </c>
      <c r="E652">
        <v>1</v>
      </c>
      <c r="F652">
        <v>1</v>
      </c>
      <c r="G652">
        <v>1</v>
      </c>
      <c r="H652">
        <v>3</v>
      </c>
      <c r="I652" t="s">
        <v>1399</v>
      </c>
      <c r="J652" t="s">
        <v>1400</v>
      </c>
      <c r="K652" t="s">
        <v>1401</v>
      </c>
      <c r="L652">
        <v>1355</v>
      </c>
      <c r="N652">
        <v>1010</v>
      </c>
      <c r="O652" t="s">
        <v>724</v>
      </c>
      <c r="P652" t="s">
        <v>724</v>
      </c>
      <c r="Q652">
        <v>100</v>
      </c>
      <c r="W652">
        <v>0</v>
      </c>
      <c r="X652">
        <v>1794244060</v>
      </c>
      <c r="Y652">
        <v>1.02</v>
      </c>
      <c r="AA652">
        <v>564.16</v>
      </c>
      <c r="AB652">
        <v>0</v>
      </c>
      <c r="AC652">
        <v>0</v>
      </c>
      <c r="AD652">
        <v>0</v>
      </c>
      <c r="AE652">
        <v>86</v>
      </c>
      <c r="AF652">
        <v>0</v>
      </c>
      <c r="AG652">
        <v>0</v>
      </c>
      <c r="AH652">
        <v>0</v>
      </c>
      <c r="AI652">
        <v>6.56</v>
      </c>
      <c r="AJ652">
        <v>1</v>
      </c>
      <c r="AK652">
        <v>1</v>
      </c>
      <c r="AL652">
        <v>1</v>
      </c>
      <c r="AN652">
        <v>0</v>
      </c>
      <c r="AO652">
        <v>1</v>
      </c>
      <c r="AP652">
        <v>0</v>
      </c>
      <c r="AQ652">
        <v>0</v>
      </c>
      <c r="AR652">
        <v>0</v>
      </c>
      <c r="AS652" t="s">
        <v>6</v>
      </c>
      <c r="AT652">
        <v>1.02</v>
      </c>
      <c r="AU652" t="s">
        <v>6</v>
      </c>
      <c r="AV652">
        <v>0</v>
      </c>
      <c r="AW652">
        <v>2</v>
      </c>
      <c r="AX652">
        <v>16751555</v>
      </c>
      <c r="AY652">
        <v>1</v>
      </c>
      <c r="AZ652">
        <v>0</v>
      </c>
      <c r="BA652">
        <v>599</v>
      </c>
      <c r="BB652">
        <v>0</v>
      </c>
      <c r="BC652">
        <v>0</v>
      </c>
      <c r="BD652">
        <v>0</v>
      </c>
      <c r="BE652">
        <v>0</v>
      </c>
      <c r="BF652">
        <v>0</v>
      </c>
      <c r="BG652">
        <v>0</v>
      </c>
      <c r="BH652">
        <v>0</v>
      </c>
      <c r="BI652">
        <v>0</v>
      </c>
      <c r="BJ652">
        <v>0</v>
      </c>
      <c r="BK652">
        <v>0</v>
      </c>
      <c r="BL652">
        <v>0</v>
      </c>
      <c r="BM652">
        <v>0</v>
      </c>
      <c r="BN652">
        <v>0</v>
      </c>
      <c r="BO652">
        <v>0</v>
      </c>
      <c r="BP652">
        <v>0</v>
      </c>
      <c r="BQ652">
        <v>0</v>
      </c>
      <c r="BR652">
        <v>0</v>
      </c>
      <c r="BS652">
        <v>0</v>
      </c>
      <c r="BT652">
        <v>0</v>
      </c>
      <c r="BU652">
        <v>0</v>
      </c>
      <c r="BV652">
        <v>0</v>
      </c>
      <c r="BW652">
        <v>0</v>
      </c>
      <c r="CX652">
        <f>Y652*Source!I531</f>
        <v>0.57120000000000004</v>
      </c>
      <c r="CY652">
        <f t="shared" si="119"/>
        <v>564.16</v>
      </c>
      <c r="CZ652">
        <f t="shared" si="120"/>
        <v>86</v>
      </c>
      <c r="DA652">
        <f t="shared" si="121"/>
        <v>6.56</v>
      </c>
      <c r="DB652">
        <f t="shared" si="111"/>
        <v>87.72</v>
      </c>
      <c r="DC652">
        <f t="shared" si="112"/>
        <v>0</v>
      </c>
    </row>
    <row r="653" spans="1:107" x14ac:dyDescent="0.2">
      <c r="A653">
        <f>ROW(Source!A531)</f>
        <v>531</v>
      </c>
      <c r="B653">
        <v>16748969</v>
      </c>
      <c r="C653">
        <v>16751539</v>
      </c>
      <c r="D653">
        <v>15170434</v>
      </c>
      <c r="E653">
        <v>1</v>
      </c>
      <c r="F653">
        <v>1</v>
      </c>
      <c r="G653">
        <v>1</v>
      </c>
      <c r="H653">
        <v>3</v>
      </c>
      <c r="I653" t="s">
        <v>1402</v>
      </c>
      <c r="J653" t="s">
        <v>1403</v>
      </c>
      <c r="K653" t="s">
        <v>1404</v>
      </c>
      <c r="L653">
        <v>1348</v>
      </c>
      <c r="N653">
        <v>1009</v>
      </c>
      <c r="O653" t="s">
        <v>71</v>
      </c>
      <c r="P653" t="s">
        <v>71</v>
      </c>
      <c r="Q653">
        <v>1000</v>
      </c>
      <c r="W653">
        <v>0</v>
      </c>
      <c r="X653">
        <v>797358079</v>
      </c>
      <c r="Y653">
        <v>1.6000000000000001E-4</v>
      </c>
      <c r="AA653">
        <v>195488</v>
      </c>
      <c r="AB653">
        <v>0</v>
      </c>
      <c r="AC653">
        <v>0</v>
      </c>
      <c r="AD653">
        <v>0</v>
      </c>
      <c r="AE653">
        <v>29800</v>
      </c>
      <c r="AF653">
        <v>0</v>
      </c>
      <c r="AG653">
        <v>0</v>
      </c>
      <c r="AH653">
        <v>0</v>
      </c>
      <c r="AI653">
        <v>6.56</v>
      </c>
      <c r="AJ653">
        <v>1</v>
      </c>
      <c r="AK653">
        <v>1</v>
      </c>
      <c r="AL653">
        <v>1</v>
      </c>
      <c r="AN653">
        <v>0</v>
      </c>
      <c r="AO653">
        <v>1</v>
      </c>
      <c r="AP653">
        <v>0</v>
      </c>
      <c r="AQ653">
        <v>0</v>
      </c>
      <c r="AR653">
        <v>0</v>
      </c>
      <c r="AS653" t="s">
        <v>6</v>
      </c>
      <c r="AT653">
        <v>1.6000000000000001E-4</v>
      </c>
      <c r="AU653" t="s">
        <v>6</v>
      </c>
      <c r="AV653">
        <v>0</v>
      </c>
      <c r="AW653">
        <v>2</v>
      </c>
      <c r="AX653">
        <v>16751556</v>
      </c>
      <c r="AY653">
        <v>1</v>
      </c>
      <c r="AZ653">
        <v>0</v>
      </c>
      <c r="BA653">
        <v>600</v>
      </c>
      <c r="BB653">
        <v>0</v>
      </c>
      <c r="BC653">
        <v>0</v>
      </c>
      <c r="BD653">
        <v>0</v>
      </c>
      <c r="BE653">
        <v>0</v>
      </c>
      <c r="BF653">
        <v>0</v>
      </c>
      <c r="BG653">
        <v>0</v>
      </c>
      <c r="BH653">
        <v>0</v>
      </c>
      <c r="BI653">
        <v>0</v>
      </c>
      <c r="BJ653">
        <v>0</v>
      </c>
      <c r="BK653">
        <v>0</v>
      </c>
      <c r="BL653">
        <v>0</v>
      </c>
      <c r="BM653">
        <v>0</v>
      </c>
      <c r="BN653">
        <v>0</v>
      </c>
      <c r="BO653">
        <v>0</v>
      </c>
      <c r="BP653">
        <v>0</v>
      </c>
      <c r="BQ653">
        <v>0</v>
      </c>
      <c r="BR653">
        <v>0</v>
      </c>
      <c r="BS653">
        <v>0</v>
      </c>
      <c r="BT653">
        <v>0</v>
      </c>
      <c r="BU653">
        <v>0</v>
      </c>
      <c r="BV653">
        <v>0</v>
      </c>
      <c r="BW653">
        <v>0</v>
      </c>
      <c r="CX653">
        <f>Y653*Source!I531</f>
        <v>8.9600000000000009E-5</v>
      </c>
      <c r="CY653">
        <f t="shared" si="119"/>
        <v>195488</v>
      </c>
      <c r="CZ653">
        <f t="shared" si="120"/>
        <v>29800</v>
      </c>
      <c r="DA653">
        <f t="shared" si="121"/>
        <v>6.56</v>
      </c>
      <c r="DB653">
        <f t="shared" si="111"/>
        <v>4.7699999999999996</v>
      </c>
      <c r="DC653">
        <f t="shared" si="112"/>
        <v>0</v>
      </c>
    </row>
    <row r="654" spans="1:107" x14ac:dyDescent="0.2">
      <c r="A654">
        <f>ROW(Source!A531)</f>
        <v>531</v>
      </c>
      <c r="B654">
        <v>16748969</v>
      </c>
      <c r="C654">
        <v>16751539</v>
      </c>
      <c r="D654">
        <v>15170438</v>
      </c>
      <c r="E654">
        <v>1</v>
      </c>
      <c r="F654">
        <v>1</v>
      </c>
      <c r="G654">
        <v>1</v>
      </c>
      <c r="H654">
        <v>3</v>
      </c>
      <c r="I654" t="s">
        <v>1380</v>
      </c>
      <c r="J654" t="s">
        <v>1381</v>
      </c>
      <c r="K654" t="s">
        <v>1382</v>
      </c>
      <c r="L654">
        <v>1348</v>
      </c>
      <c r="N654">
        <v>1009</v>
      </c>
      <c r="O654" t="s">
        <v>71</v>
      </c>
      <c r="P654" t="s">
        <v>71</v>
      </c>
      <c r="Q654">
        <v>1000</v>
      </c>
      <c r="W654">
        <v>0</v>
      </c>
      <c r="X654">
        <v>-1755229539</v>
      </c>
      <c r="Y654">
        <v>2.9999999999999997E-4</v>
      </c>
      <c r="AA654">
        <v>81540.800000000003</v>
      </c>
      <c r="AB654">
        <v>0</v>
      </c>
      <c r="AC654">
        <v>0</v>
      </c>
      <c r="AD654">
        <v>0</v>
      </c>
      <c r="AE654">
        <v>12430</v>
      </c>
      <c r="AF654">
        <v>0</v>
      </c>
      <c r="AG654">
        <v>0</v>
      </c>
      <c r="AH654">
        <v>0</v>
      </c>
      <c r="AI654">
        <v>6.56</v>
      </c>
      <c r="AJ654">
        <v>1</v>
      </c>
      <c r="AK654">
        <v>1</v>
      </c>
      <c r="AL654">
        <v>1</v>
      </c>
      <c r="AN654">
        <v>0</v>
      </c>
      <c r="AO654">
        <v>1</v>
      </c>
      <c r="AP654">
        <v>0</v>
      </c>
      <c r="AQ654">
        <v>0</v>
      </c>
      <c r="AR654">
        <v>0</v>
      </c>
      <c r="AS654" t="s">
        <v>6</v>
      </c>
      <c r="AT654">
        <v>2.9999999999999997E-4</v>
      </c>
      <c r="AU654" t="s">
        <v>6</v>
      </c>
      <c r="AV654">
        <v>0</v>
      </c>
      <c r="AW654">
        <v>2</v>
      </c>
      <c r="AX654">
        <v>16751557</v>
      </c>
      <c r="AY654">
        <v>1</v>
      </c>
      <c r="AZ654">
        <v>0</v>
      </c>
      <c r="BA654">
        <v>601</v>
      </c>
      <c r="BB654">
        <v>0</v>
      </c>
      <c r="BC654">
        <v>0</v>
      </c>
      <c r="BD654">
        <v>0</v>
      </c>
      <c r="BE654">
        <v>0</v>
      </c>
      <c r="BF654">
        <v>0</v>
      </c>
      <c r="BG654">
        <v>0</v>
      </c>
      <c r="BH654">
        <v>0</v>
      </c>
      <c r="BI654">
        <v>0</v>
      </c>
      <c r="BJ654">
        <v>0</v>
      </c>
      <c r="BK654">
        <v>0</v>
      </c>
      <c r="BL654">
        <v>0</v>
      </c>
      <c r="BM654">
        <v>0</v>
      </c>
      <c r="BN654">
        <v>0</v>
      </c>
      <c r="BO654">
        <v>0</v>
      </c>
      <c r="BP654">
        <v>0</v>
      </c>
      <c r="BQ654">
        <v>0</v>
      </c>
      <c r="BR654">
        <v>0</v>
      </c>
      <c r="BS654">
        <v>0</v>
      </c>
      <c r="BT654">
        <v>0</v>
      </c>
      <c r="BU654">
        <v>0</v>
      </c>
      <c r="BV654">
        <v>0</v>
      </c>
      <c r="BW654">
        <v>0</v>
      </c>
      <c r="CX654">
        <f>Y654*Source!I531</f>
        <v>1.6799999999999999E-4</v>
      </c>
      <c r="CY654">
        <f t="shared" si="119"/>
        <v>81540.800000000003</v>
      </c>
      <c r="CZ654">
        <f t="shared" si="120"/>
        <v>12430</v>
      </c>
      <c r="DA654">
        <f t="shared" si="121"/>
        <v>6.56</v>
      </c>
      <c r="DB654">
        <f t="shared" si="111"/>
        <v>3.73</v>
      </c>
      <c r="DC654">
        <f t="shared" si="112"/>
        <v>0</v>
      </c>
    </row>
    <row r="655" spans="1:107" x14ac:dyDescent="0.2">
      <c r="A655">
        <f>ROW(Source!A531)</f>
        <v>531</v>
      </c>
      <c r="B655">
        <v>16748969</v>
      </c>
      <c r="C655">
        <v>16751539</v>
      </c>
      <c r="D655">
        <v>15220789</v>
      </c>
      <c r="E655">
        <v>1</v>
      </c>
      <c r="F655">
        <v>1</v>
      </c>
      <c r="G655">
        <v>1</v>
      </c>
      <c r="H655">
        <v>3</v>
      </c>
      <c r="I655" t="s">
        <v>722</v>
      </c>
      <c r="J655" t="s">
        <v>725</v>
      </c>
      <c r="K655" t="s">
        <v>872</v>
      </c>
      <c r="L655">
        <v>1355</v>
      </c>
      <c r="N655">
        <v>1010</v>
      </c>
      <c r="O655" t="s">
        <v>724</v>
      </c>
      <c r="P655" t="s">
        <v>724</v>
      </c>
      <c r="Q655">
        <v>100</v>
      </c>
      <c r="W655">
        <v>0</v>
      </c>
      <c r="X655">
        <v>1169296768</v>
      </c>
      <c r="Y655">
        <v>1</v>
      </c>
      <c r="AA655">
        <v>3785.12</v>
      </c>
      <c r="AB655">
        <v>0</v>
      </c>
      <c r="AC655">
        <v>0</v>
      </c>
      <c r="AD655">
        <v>0</v>
      </c>
      <c r="AE655">
        <v>577</v>
      </c>
      <c r="AF655">
        <v>0</v>
      </c>
      <c r="AG655">
        <v>0</v>
      </c>
      <c r="AH655">
        <v>0</v>
      </c>
      <c r="AI655">
        <v>6.56</v>
      </c>
      <c r="AJ655">
        <v>1</v>
      </c>
      <c r="AK655">
        <v>1</v>
      </c>
      <c r="AL655">
        <v>1</v>
      </c>
      <c r="AN655">
        <v>0</v>
      </c>
      <c r="AO655">
        <v>0</v>
      </c>
      <c r="AP655">
        <v>0</v>
      </c>
      <c r="AQ655">
        <v>0</v>
      </c>
      <c r="AR655">
        <v>0</v>
      </c>
      <c r="AS655" t="s">
        <v>6</v>
      </c>
      <c r="AT655">
        <v>1</v>
      </c>
      <c r="AU655" t="s">
        <v>6</v>
      </c>
      <c r="AV655">
        <v>0</v>
      </c>
      <c r="AW655">
        <v>1</v>
      </c>
      <c r="AX655">
        <v>-1</v>
      </c>
      <c r="AY655">
        <v>0</v>
      </c>
      <c r="AZ655">
        <v>0</v>
      </c>
      <c r="BA655" t="s">
        <v>6</v>
      </c>
      <c r="BB655">
        <v>0</v>
      </c>
      <c r="BC655">
        <v>0</v>
      </c>
      <c r="BD655">
        <v>0</v>
      </c>
      <c r="BE655">
        <v>0</v>
      </c>
      <c r="BF655">
        <v>0</v>
      </c>
      <c r="BG655">
        <v>0</v>
      </c>
      <c r="BH655">
        <v>0</v>
      </c>
      <c r="BI655">
        <v>0</v>
      </c>
      <c r="BJ655">
        <v>0</v>
      </c>
      <c r="BK655">
        <v>0</v>
      </c>
      <c r="BL655">
        <v>0</v>
      </c>
      <c r="BM655">
        <v>0</v>
      </c>
      <c r="BN655">
        <v>0</v>
      </c>
      <c r="BO655">
        <v>0</v>
      </c>
      <c r="BP655">
        <v>0</v>
      </c>
      <c r="BQ655">
        <v>0</v>
      </c>
      <c r="BR655">
        <v>0</v>
      </c>
      <c r="BS655">
        <v>0</v>
      </c>
      <c r="BT655">
        <v>0</v>
      </c>
      <c r="BU655">
        <v>0</v>
      </c>
      <c r="BV655">
        <v>0</v>
      </c>
      <c r="BW655">
        <v>0</v>
      </c>
      <c r="CX655">
        <f>Y655*Source!I531</f>
        <v>0.56000000000000005</v>
      </c>
      <c r="CY655">
        <f t="shared" si="119"/>
        <v>3785.12</v>
      </c>
      <c r="CZ655">
        <f t="shared" si="120"/>
        <v>577</v>
      </c>
      <c r="DA655">
        <f t="shared" si="121"/>
        <v>6.56</v>
      </c>
      <c r="DB655">
        <f t="shared" ref="DB655:DB691" si="122">ROUND(ROUND(AT655*CZ655,2),2)</f>
        <v>577</v>
      </c>
      <c r="DC655">
        <f t="shared" ref="DC655:DC691" si="123">ROUND(ROUND(AT655*AG655,2),2)</f>
        <v>0</v>
      </c>
    </row>
    <row r="656" spans="1:107" x14ac:dyDescent="0.2">
      <c r="A656">
        <f>ROW(Source!A531)</f>
        <v>531</v>
      </c>
      <c r="B656">
        <v>16748969</v>
      </c>
      <c r="C656">
        <v>16751539</v>
      </c>
      <c r="D656">
        <v>15164559</v>
      </c>
      <c r="E656">
        <v>17</v>
      </c>
      <c r="F656">
        <v>1</v>
      </c>
      <c r="G656">
        <v>1</v>
      </c>
      <c r="H656">
        <v>3</v>
      </c>
      <c r="I656" t="s">
        <v>1383</v>
      </c>
      <c r="J656" t="s">
        <v>6</v>
      </c>
      <c r="K656" t="s">
        <v>1384</v>
      </c>
      <c r="L656">
        <v>1374</v>
      </c>
      <c r="N656">
        <v>1013</v>
      </c>
      <c r="O656" t="s">
        <v>1385</v>
      </c>
      <c r="P656" t="s">
        <v>1385</v>
      </c>
      <c r="Q656">
        <v>1</v>
      </c>
      <c r="W656">
        <v>0</v>
      </c>
      <c r="X656">
        <v>-1731369543</v>
      </c>
      <c r="Y656">
        <v>6.86</v>
      </c>
      <c r="AA656">
        <v>1</v>
      </c>
      <c r="AB656">
        <v>0</v>
      </c>
      <c r="AC656">
        <v>0</v>
      </c>
      <c r="AD656">
        <v>0</v>
      </c>
      <c r="AE656">
        <v>1</v>
      </c>
      <c r="AF656">
        <v>0</v>
      </c>
      <c r="AG656">
        <v>0</v>
      </c>
      <c r="AH656">
        <v>0</v>
      </c>
      <c r="AI656">
        <v>1</v>
      </c>
      <c r="AJ656">
        <v>1</v>
      </c>
      <c r="AK656">
        <v>1</v>
      </c>
      <c r="AL656">
        <v>1</v>
      </c>
      <c r="AN656">
        <v>0</v>
      </c>
      <c r="AO656">
        <v>1</v>
      </c>
      <c r="AP656">
        <v>0</v>
      </c>
      <c r="AQ656">
        <v>0</v>
      </c>
      <c r="AR656">
        <v>0</v>
      </c>
      <c r="AS656" t="s">
        <v>6</v>
      </c>
      <c r="AT656">
        <v>6.86</v>
      </c>
      <c r="AU656" t="s">
        <v>6</v>
      </c>
      <c r="AV656">
        <v>0</v>
      </c>
      <c r="AW656">
        <v>2</v>
      </c>
      <c r="AX656">
        <v>16751558</v>
      </c>
      <c r="AY656">
        <v>1</v>
      </c>
      <c r="AZ656">
        <v>0</v>
      </c>
      <c r="BA656">
        <v>602</v>
      </c>
      <c r="BB656">
        <v>0</v>
      </c>
      <c r="BC656">
        <v>0</v>
      </c>
      <c r="BD656">
        <v>0</v>
      </c>
      <c r="BE656">
        <v>0</v>
      </c>
      <c r="BF656">
        <v>0</v>
      </c>
      <c r="BG656">
        <v>0</v>
      </c>
      <c r="BH656">
        <v>0</v>
      </c>
      <c r="BI656">
        <v>0</v>
      </c>
      <c r="BJ656">
        <v>0</v>
      </c>
      <c r="BK656">
        <v>0</v>
      </c>
      <c r="BL656">
        <v>0</v>
      </c>
      <c r="BM656">
        <v>0</v>
      </c>
      <c r="BN656">
        <v>0</v>
      </c>
      <c r="BO656">
        <v>0</v>
      </c>
      <c r="BP656">
        <v>0</v>
      </c>
      <c r="BQ656">
        <v>0</v>
      </c>
      <c r="BR656">
        <v>0</v>
      </c>
      <c r="BS656">
        <v>0</v>
      </c>
      <c r="BT656">
        <v>0</v>
      </c>
      <c r="BU656">
        <v>0</v>
      </c>
      <c r="BV656">
        <v>0</v>
      </c>
      <c r="BW656">
        <v>0</v>
      </c>
      <c r="CX656">
        <f>Y656*Source!I531</f>
        <v>3.8416000000000006</v>
      </c>
      <c r="CY656">
        <f t="shared" si="119"/>
        <v>1</v>
      </c>
      <c r="CZ656">
        <f t="shared" si="120"/>
        <v>1</v>
      </c>
      <c r="DA656">
        <f t="shared" si="121"/>
        <v>1</v>
      </c>
      <c r="DB656">
        <f t="shared" si="122"/>
        <v>6.86</v>
      </c>
      <c r="DC656">
        <f t="shared" si="123"/>
        <v>0</v>
      </c>
    </row>
    <row r="657" spans="1:107" x14ac:dyDescent="0.2">
      <c r="A657">
        <f>ROW(Source!A533)</f>
        <v>533</v>
      </c>
      <c r="B657">
        <v>16748969</v>
      </c>
      <c r="C657">
        <v>16751560</v>
      </c>
      <c r="D657">
        <v>15436556</v>
      </c>
      <c r="E657">
        <v>1</v>
      </c>
      <c r="F657">
        <v>1</v>
      </c>
      <c r="G657">
        <v>1</v>
      </c>
      <c r="H657">
        <v>1</v>
      </c>
      <c r="I657" t="s">
        <v>1265</v>
      </c>
      <c r="J657" t="s">
        <v>6</v>
      </c>
      <c r="K657" t="s">
        <v>1266</v>
      </c>
      <c r="L657">
        <v>1191</v>
      </c>
      <c r="N657">
        <v>1013</v>
      </c>
      <c r="O657" t="s">
        <v>1072</v>
      </c>
      <c r="P657" t="s">
        <v>1072</v>
      </c>
      <c r="Q657">
        <v>1</v>
      </c>
      <c r="W657">
        <v>0</v>
      </c>
      <c r="X657">
        <v>1069510174</v>
      </c>
      <c r="Y657">
        <v>12.3</v>
      </c>
      <c r="AA657">
        <v>0</v>
      </c>
      <c r="AB657">
        <v>0</v>
      </c>
      <c r="AC657">
        <v>0</v>
      </c>
      <c r="AD657">
        <v>63.11</v>
      </c>
      <c r="AE657">
        <v>0</v>
      </c>
      <c r="AF657">
        <v>0</v>
      </c>
      <c r="AG657">
        <v>0</v>
      </c>
      <c r="AH657">
        <v>9.6199999999999992</v>
      </c>
      <c r="AI657">
        <v>1</v>
      </c>
      <c r="AJ657">
        <v>1</v>
      </c>
      <c r="AK657">
        <v>1</v>
      </c>
      <c r="AL657">
        <v>6.56</v>
      </c>
      <c r="AN657">
        <v>0</v>
      </c>
      <c r="AO657">
        <v>1</v>
      </c>
      <c r="AP657">
        <v>0</v>
      </c>
      <c r="AQ657">
        <v>0</v>
      </c>
      <c r="AR657">
        <v>0</v>
      </c>
      <c r="AS657" t="s">
        <v>6</v>
      </c>
      <c r="AT657">
        <v>12.3</v>
      </c>
      <c r="AU657" t="s">
        <v>6</v>
      </c>
      <c r="AV657">
        <v>1</v>
      </c>
      <c r="AW657">
        <v>2</v>
      </c>
      <c r="AX657">
        <v>16751568</v>
      </c>
      <c r="AY657">
        <v>1</v>
      </c>
      <c r="AZ657">
        <v>0</v>
      </c>
      <c r="BA657">
        <v>603</v>
      </c>
      <c r="BB657">
        <v>0</v>
      </c>
      <c r="BC657">
        <v>0</v>
      </c>
      <c r="BD657">
        <v>0</v>
      </c>
      <c r="BE657">
        <v>0</v>
      </c>
      <c r="BF657">
        <v>0</v>
      </c>
      <c r="BG657">
        <v>0</v>
      </c>
      <c r="BH657">
        <v>0</v>
      </c>
      <c r="BI657">
        <v>0</v>
      </c>
      <c r="BJ657">
        <v>0</v>
      </c>
      <c r="BK657">
        <v>0</v>
      </c>
      <c r="BL657">
        <v>0</v>
      </c>
      <c r="BM657">
        <v>0</v>
      </c>
      <c r="BN657">
        <v>0</v>
      </c>
      <c r="BO657">
        <v>0</v>
      </c>
      <c r="BP657">
        <v>0</v>
      </c>
      <c r="BQ657">
        <v>0</v>
      </c>
      <c r="BR657">
        <v>0</v>
      </c>
      <c r="BS657">
        <v>0</v>
      </c>
      <c r="BT657">
        <v>0</v>
      </c>
      <c r="BU657">
        <v>0</v>
      </c>
      <c r="BV657">
        <v>0</v>
      </c>
      <c r="BW657">
        <v>0</v>
      </c>
      <c r="CX657">
        <f>Y657*Source!I533</f>
        <v>157.44000000000003</v>
      </c>
      <c r="CY657">
        <f>AD657</f>
        <v>63.11</v>
      </c>
      <c r="CZ657">
        <f>AH657</f>
        <v>9.6199999999999992</v>
      </c>
      <c r="DA657">
        <f>AL657</f>
        <v>6.56</v>
      </c>
      <c r="DB657">
        <f t="shared" si="122"/>
        <v>118.33</v>
      </c>
      <c r="DC657">
        <f t="shared" si="123"/>
        <v>0</v>
      </c>
    </row>
    <row r="658" spans="1:107" x14ac:dyDescent="0.2">
      <c r="A658">
        <f>ROW(Source!A533)</f>
        <v>533</v>
      </c>
      <c r="B658">
        <v>16748969</v>
      </c>
      <c r="C658">
        <v>16751560</v>
      </c>
      <c r="D658">
        <v>15430395</v>
      </c>
      <c r="E658">
        <v>1</v>
      </c>
      <c r="F658">
        <v>1</v>
      </c>
      <c r="G658">
        <v>1</v>
      </c>
      <c r="H658">
        <v>1</v>
      </c>
      <c r="I658" t="s">
        <v>1073</v>
      </c>
      <c r="J658" t="s">
        <v>6</v>
      </c>
      <c r="K658" t="s">
        <v>1074</v>
      </c>
      <c r="L658">
        <v>1191</v>
      </c>
      <c r="N658">
        <v>1013</v>
      </c>
      <c r="O658" t="s">
        <v>1072</v>
      </c>
      <c r="P658" t="s">
        <v>1072</v>
      </c>
      <c r="Q658">
        <v>1</v>
      </c>
      <c r="W658">
        <v>0</v>
      </c>
      <c r="X658">
        <v>-1417349443</v>
      </c>
      <c r="Y658">
        <v>0.49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0</v>
      </c>
      <c r="AG658">
        <v>0</v>
      </c>
      <c r="AH658">
        <v>0</v>
      </c>
      <c r="AI658">
        <v>1</v>
      </c>
      <c r="AJ658">
        <v>1</v>
      </c>
      <c r="AK658">
        <v>6.56</v>
      </c>
      <c r="AL658">
        <v>1</v>
      </c>
      <c r="AN658">
        <v>0</v>
      </c>
      <c r="AO658">
        <v>1</v>
      </c>
      <c r="AP658">
        <v>0</v>
      </c>
      <c r="AQ658">
        <v>0</v>
      </c>
      <c r="AR658">
        <v>0</v>
      </c>
      <c r="AS658" t="s">
        <v>6</v>
      </c>
      <c r="AT658">
        <v>0.49</v>
      </c>
      <c r="AU658" t="s">
        <v>6</v>
      </c>
      <c r="AV658">
        <v>2</v>
      </c>
      <c r="AW658">
        <v>2</v>
      </c>
      <c r="AX658">
        <v>16751569</v>
      </c>
      <c r="AY658">
        <v>1</v>
      </c>
      <c r="AZ658">
        <v>0</v>
      </c>
      <c r="BA658">
        <v>604</v>
      </c>
      <c r="BB658">
        <v>0</v>
      </c>
      <c r="BC658">
        <v>0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0</v>
      </c>
      <c r="BJ658">
        <v>0</v>
      </c>
      <c r="BK658">
        <v>0</v>
      </c>
      <c r="BL658">
        <v>0</v>
      </c>
      <c r="BM658">
        <v>0</v>
      </c>
      <c r="BN658">
        <v>0</v>
      </c>
      <c r="BO658">
        <v>0</v>
      </c>
      <c r="BP658">
        <v>0</v>
      </c>
      <c r="BQ658">
        <v>0</v>
      </c>
      <c r="BR658">
        <v>0</v>
      </c>
      <c r="BS658">
        <v>0</v>
      </c>
      <c r="BT658">
        <v>0</v>
      </c>
      <c r="BU658">
        <v>0</v>
      </c>
      <c r="BV658">
        <v>0</v>
      </c>
      <c r="BW658">
        <v>0</v>
      </c>
      <c r="CX658">
        <f>Y658*Source!I533</f>
        <v>6.2720000000000002</v>
      </c>
      <c r="CY658">
        <f>AD658</f>
        <v>0</v>
      </c>
      <c r="CZ658">
        <f>AH658</f>
        <v>0</v>
      </c>
      <c r="DA658">
        <f>AL658</f>
        <v>1</v>
      </c>
      <c r="DB658">
        <f t="shared" si="122"/>
        <v>0</v>
      </c>
      <c r="DC658">
        <f t="shared" si="123"/>
        <v>0</v>
      </c>
    </row>
    <row r="659" spans="1:107" x14ac:dyDescent="0.2">
      <c r="A659">
        <f>ROW(Source!A533)</f>
        <v>533</v>
      </c>
      <c r="B659">
        <v>16748969</v>
      </c>
      <c r="C659">
        <v>16751560</v>
      </c>
      <c r="D659">
        <v>15247905</v>
      </c>
      <c r="E659">
        <v>1</v>
      </c>
      <c r="F659">
        <v>1</v>
      </c>
      <c r="G659">
        <v>1</v>
      </c>
      <c r="H659">
        <v>2</v>
      </c>
      <c r="I659" t="s">
        <v>1228</v>
      </c>
      <c r="J659" t="s">
        <v>1229</v>
      </c>
      <c r="K659" t="s">
        <v>1230</v>
      </c>
      <c r="L659">
        <v>1368</v>
      </c>
      <c r="N659">
        <v>1011</v>
      </c>
      <c r="O659" t="s">
        <v>1078</v>
      </c>
      <c r="P659" t="s">
        <v>1078</v>
      </c>
      <c r="Q659">
        <v>1</v>
      </c>
      <c r="W659">
        <v>0</v>
      </c>
      <c r="X659">
        <v>1225731627</v>
      </c>
      <c r="Y659">
        <v>0.49</v>
      </c>
      <c r="AA659">
        <v>0</v>
      </c>
      <c r="AB659">
        <v>590.33000000000004</v>
      </c>
      <c r="AC659">
        <v>10.06</v>
      </c>
      <c r="AD659">
        <v>0</v>
      </c>
      <c r="AE659">
        <v>0</v>
      </c>
      <c r="AF659">
        <v>89.99</v>
      </c>
      <c r="AG659">
        <v>10.06</v>
      </c>
      <c r="AH659">
        <v>0</v>
      </c>
      <c r="AI659">
        <v>1</v>
      </c>
      <c r="AJ659">
        <v>6.56</v>
      </c>
      <c r="AK659">
        <v>1</v>
      </c>
      <c r="AL659">
        <v>1</v>
      </c>
      <c r="AN659">
        <v>0</v>
      </c>
      <c r="AO659">
        <v>1</v>
      </c>
      <c r="AP659">
        <v>0</v>
      </c>
      <c r="AQ659">
        <v>0</v>
      </c>
      <c r="AR659">
        <v>0</v>
      </c>
      <c r="AS659" t="s">
        <v>6</v>
      </c>
      <c r="AT659">
        <v>0.49</v>
      </c>
      <c r="AU659" t="s">
        <v>6</v>
      </c>
      <c r="AV659">
        <v>0</v>
      </c>
      <c r="AW659">
        <v>2</v>
      </c>
      <c r="AX659">
        <v>16751570</v>
      </c>
      <c r="AY659">
        <v>1</v>
      </c>
      <c r="AZ659">
        <v>0</v>
      </c>
      <c r="BA659">
        <v>605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  <c r="BN659">
        <v>0</v>
      </c>
      <c r="BO659">
        <v>0</v>
      </c>
      <c r="BP659">
        <v>0</v>
      </c>
      <c r="BQ659">
        <v>0</v>
      </c>
      <c r="BR659">
        <v>0</v>
      </c>
      <c r="BS659">
        <v>0</v>
      </c>
      <c r="BT659">
        <v>0</v>
      </c>
      <c r="BU659">
        <v>0</v>
      </c>
      <c r="BV659">
        <v>0</v>
      </c>
      <c r="BW659">
        <v>0</v>
      </c>
      <c r="CX659">
        <f>Y659*Source!I533</f>
        <v>6.2720000000000002</v>
      </c>
      <c r="CY659">
        <f>AB659</f>
        <v>590.33000000000004</v>
      </c>
      <c r="CZ659">
        <f>AF659</f>
        <v>89.99</v>
      </c>
      <c r="DA659">
        <f>AJ659</f>
        <v>6.56</v>
      </c>
      <c r="DB659">
        <f t="shared" si="122"/>
        <v>44.1</v>
      </c>
      <c r="DC659">
        <f t="shared" si="123"/>
        <v>4.93</v>
      </c>
    </row>
    <row r="660" spans="1:107" x14ac:dyDescent="0.2">
      <c r="A660">
        <f>ROW(Source!A533)</f>
        <v>533</v>
      </c>
      <c r="B660">
        <v>16748969</v>
      </c>
      <c r="C660">
        <v>16751560</v>
      </c>
      <c r="D660">
        <v>15203777</v>
      </c>
      <c r="E660">
        <v>1</v>
      </c>
      <c r="F660">
        <v>1</v>
      </c>
      <c r="G660">
        <v>1</v>
      </c>
      <c r="H660">
        <v>3</v>
      </c>
      <c r="I660" t="s">
        <v>1525</v>
      </c>
      <c r="J660" t="s">
        <v>1526</v>
      </c>
      <c r="K660" t="s">
        <v>1527</v>
      </c>
      <c r="L660">
        <v>1348</v>
      </c>
      <c r="N660">
        <v>1009</v>
      </c>
      <c r="O660" t="s">
        <v>71</v>
      </c>
      <c r="P660" t="s">
        <v>71</v>
      </c>
      <c r="Q660">
        <v>1000</v>
      </c>
      <c r="W660">
        <v>0</v>
      </c>
      <c r="X660">
        <v>-1172472284</v>
      </c>
      <c r="Y660">
        <v>3.0000000000000001E-5</v>
      </c>
      <c r="AA660">
        <v>176676.68</v>
      </c>
      <c r="AB660">
        <v>0</v>
      </c>
      <c r="AC660">
        <v>0</v>
      </c>
      <c r="AD660">
        <v>0</v>
      </c>
      <c r="AE660">
        <v>26932.42</v>
      </c>
      <c r="AF660">
        <v>0</v>
      </c>
      <c r="AG660">
        <v>0</v>
      </c>
      <c r="AH660">
        <v>0</v>
      </c>
      <c r="AI660">
        <v>6.56</v>
      </c>
      <c r="AJ660">
        <v>1</v>
      </c>
      <c r="AK660">
        <v>1</v>
      </c>
      <c r="AL660">
        <v>1</v>
      </c>
      <c r="AN660">
        <v>0</v>
      </c>
      <c r="AO660">
        <v>1</v>
      </c>
      <c r="AP660">
        <v>0</v>
      </c>
      <c r="AQ660">
        <v>0</v>
      </c>
      <c r="AR660">
        <v>0</v>
      </c>
      <c r="AS660" t="s">
        <v>6</v>
      </c>
      <c r="AT660">
        <v>3.0000000000000001E-5</v>
      </c>
      <c r="AU660" t="s">
        <v>6</v>
      </c>
      <c r="AV660">
        <v>0</v>
      </c>
      <c r="AW660">
        <v>2</v>
      </c>
      <c r="AX660">
        <v>16751571</v>
      </c>
      <c r="AY660">
        <v>1</v>
      </c>
      <c r="AZ660">
        <v>0</v>
      </c>
      <c r="BA660">
        <v>606</v>
      </c>
      <c r="BB660">
        <v>0</v>
      </c>
      <c r="BC660">
        <v>0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0</v>
      </c>
      <c r="BK660">
        <v>0</v>
      </c>
      <c r="BL660">
        <v>0</v>
      </c>
      <c r="BM660">
        <v>0</v>
      </c>
      <c r="BN660">
        <v>0</v>
      </c>
      <c r="BO660">
        <v>0</v>
      </c>
      <c r="BP660">
        <v>0</v>
      </c>
      <c r="BQ660">
        <v>0</v>
      </c>
      <c r="BR660">
        <v>0</v>
      </c>
      <c r="BS660">
        <v>0</v>
      </c>
      <c r="BT660">
        <v>0</v>
      </c>
      <c r="BU660">
        <v>0</v>
      </c>
      <c r="BV660">
        <v>0</v>
      </c>
      <c r="BW660">
        <v>0</v>
      </c>
      <c r="CX660">
        <f>Y660*Source!I533</f>
        <v>3.8400000000000001E-4</v>
      </c>
      <c r="CY660">
        <f>AA660</f>
        <v>176676.68</v>
      </c>
      <c r="CZ660">
        <f>AE660</f>
        <v>26932.42</v>
      </c>
      <c r="DA660">
        <f>AI660</f>
        <v>6.56</v>
      </c>
      <c r="DB660">
        <f t="shared" si="122"/>
        <v>0.81</v>
      </c>
      <c r="DC660">
        <f t="shared" si="123"/>
        <v>0</v>
      </c>
    </row>
    <row r="661" spans="1:107" x14ac:dyDescent="0.2">
      <c r="A661">
        <f>ROW(Source!A533)</f>
        <v>533</v>
      </c>
      <c r="B661">
        <v>16748969</v>
      </c>
      <c r="C661">
        <v>16751560</v>
      </c>
      <c r="D661">
        <v>15204471</v>
      </c>
      <c r="E661">
        <v>1</v>
      </c>
      <c r="F661">
        <v>1</v>
      </c>
      <c r="G661">
        <v>1</v>
      </c>
      <c r="H661">
        <v>3</v>
      </c>
      <c r="I661" t="s">
        <v>1528</v>
      </c>
      <c r="J661" t="s">
        <v>1529</v>
      </c>
      <c r="K661" t="s">
        <v>1530</v>
      </c>
      <c r="L661">
        <v>1346</v>
      </c>
      <c r="N661">
        <v>1009</v>
      </c>
      <c r="O661" t="s">
        <v>323</v>
      </c>
      <c r="P661" t="s">
        <v>323</v>
      </c>
      <c r="Q661">
        <v>1</v>
      </c>
      <c r="W661">
        <v>0</v>
      </c>
      <c r="X661">
        <v>-608190322</v>
      </c>
      <c r="Y661">
        <v>1.0999999999999999E-2</v>
      </c>
      <c r="AA661">
        <v>213.86</v>
      </c>
      <c r="AB661">
        <v>0</v>
      </c>
      <c r="AC661">
        <v>0</v>
      </c>
      <c r="AD661">
        <v>0</v>
      </c>
      <c r="AE661">
        <v>32.6</v>
      </c>
      <c r="AF661">
        <v>0</v>
      </c>
      <c r="AG661">
        <v>0</v>
      </c>
      <c r="AH661">
        <v>0</v>
      </c>
      <c r="AI661">
        <v>6.56</v>
      </c>
      <c r="AJ661">
        <v>1</v>
      </c>
      <c r="AK661">
        <v>1</v>
      </c>
      <c r="AL661">
        <v>1</v>
      </c>
      <c r="AN661">
        <v>0</v>
      </c>
      <c r="AO661">
        <v>1</v>
      </c>
      <c r="AP661">
        <v>0</v>
      </c>
      <c r="AQ661">
        <v>0</v>
      </c>
      <c r="AR661">
        <v>0</v>
      </c>
      <c r="AS661" t="s">
        <v>6</v>
      </c>
      <c r="AT661">
        <v>1.0999999999999999E-2</v>
      </c>
      <c r="AU661" t="s">
        <v>6</v>
      </c>
      <c r="AV661">
        <v>0</v>
      </c>
      <c r="AW661">
        <v>2</v>
      </c>
      <c r="AX661">
        <v>16751572</v>
      </c>
      <c r="AY661">
        <v>1</v>
      </c>
      <c r="AZ661">
        <v>0</v>
      </c>
      <c r="BA661">
        <v>607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0</v>
      </c>
      <c r="BI661">
        <v>0</v>
      </c>
      <c r="BJ661">
        <v>0</v>
      </c>
      <c r="BK661">
        <v>0</v>
      </c>
      <c r="BL661">
        <v>0</v>
      </c>
      <c r="BM661">
        <v>0</v>
      </c>
      <c r="BN661">
        <v>0</v>
      </c>
      <c r="BO661">
        <v>0</v>
      </c>
      <c r="BP661">
        <v>0</v>
      </c>
      <c r="BQ661">
        <v>0</v>
      </c>
      <c r="BR661">
        <v>0</v>
      </c>
      <c r="BS661">
        <v>0</v>
      </c>
      <c r="BT661">
        <v>0</v>
      </c>
      <c r="BU661">
        <v>0</v>
      </c>
      <c r="BV661">
        <v>0</v>
      </c>
      <c r="BW661">
        <v>0</v>
      </c>
      <c r="CX661">
        <f>Y661*Source!I533</f>
        <v>0.14080000000000001</v>
      </c>
      <c r="CY661">
        <f>AA661</f>
        <v>213.86</v>
      </c>
      <c r="CZ661">
        <f>AE661</f>
        <v>32.6</v>
      </c>
      <c r="DA661">
        <f>AI661</f>
        <v>6.56</v>
      </c>
      <c r="DB661">
        <f t="shared" si="122"/>
        <v>0.36</v>
      </c>
      <c r="DC661">
        <f t="shared" si="123"/>
        <v>0</v>
      </c>
    </row>
    <row r="662" spans="1:107" x14ac:dyDescent="0.2">
      <c r="A662">
        <f>ROW(Source!A533)</f>
        <v>533</v>
      </c>
      <c r="B662">
        <v>16748969</v>
      </c>
      <c r="C662">
        <v>16751560</v>
      </c>
      <c r="D662">
        <v>15221611</v>
      </c>
      <c r="E662">
        <v>1</v>
      </c>
      <c r="F662">
        <v>1</v>
      </c>
      <c r="G662">
        <v>1</v>
      </c>
      <c r="H662">
        <v>3</v>
      </c>
      <c r="I662" t="s">
        <v>878</v>
      </c>
      <c r="J662" t="s">
        <v>880</v>
      </c>
      <c r="K662" t="s">
        <v>879</v>
      </c>
      <c r="L662">
        <v>1477</v>
      </c>
      <c r="N662">
        <v>1013</v>
      </c>
      <c r="O662" t="s">
        <v>641</v>
      </c>
      <c r="P662" t="s">
        <v>643</v>
      </c>
      <c r="Q662">
        <v>1</v>
      </c>
      <c r="W662">
        <v>0</v>
      </c>
      <c r="X662">
        <v>1306444111</v>
      </c>
      <c r="Y662">
        <v>0.1</v>
      </c>
      <c r="AA662">
        <v>7545.25</v>
      </c>
      <c r="AB662">
        <v>0</v>
      </c>
      <c r="AC662">
        <v>0</v>
      </c>
      <c r="AD662">
        <v>0</v>
      </c>
      <c r="AE662">
        <v>1150.19</v>
      </c>
      <c r="AF662">
        <v>0</v>
      </c>
      <c r="AG662">
        <v>0</v>
      </c>
      <c r="AH662">
        <v>0</v>
      </c>
      <c r="AI662">
        <v>6.56</v>
      </c>
      <c r="AJ662">
        <v>1</v>
      </c>
      <c r="AK662">
        <v>1</v>
      </c>
      <c r="AL662">
        <v>1</v>
      </c>
      <c r="AN662">
        <v>0</v>
      </c>
      <c r="AO662">
        <v>0</v>
      </c>
      <c r="AP662">
        <v>0</v>
      </c>
      <c r="AQ662">
        <v>0</v>
      </c>
      <c r="AR662">
        <v>0</v>
      </c>
      <c r="AS662" t="s">
        <v>6</v>
      </c>
      <c r="AT662">
        <v>0.1</v>
      </c>
      <c r="AU662" t="s">
        <v>6</v>
      </c>
      <c r="AV662">
        <v>0</v>
      </c>
      <c r="AW662">
        <v>1</v>
      </c>
      <c r="AX662">
        <v>-1</v>
      </c>
      <c r="AY662">
        <v>0</v>
      </c>
      <c r="AZ662">
        <v>0</v>
      </c>
      <c r="BA662" t="s">
        <v>6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0</v>
      </c>
      <c r="BJ662">
        <v>0</v>
      </c>
      <c r="BK662">
        <v>0</v>
      </c>
      <c r="BL662">
        <v>0</v>
      </c>
      <c r="BM662">
        <v>0</v>
      </c>
      <c r="BN662">
        <v>0</v>
      </c>
      <c r="BO662">
        <v>0</v>
      </c>
      <c r="BP662">
        <v>0</v>
      </c>
      <c r="BQ662">
        <v>0</v>
      </c>
      <c r="BR662">
        <v>0</v>
      </c>
      <c r="BS662">
        <v>0</v>
      </c>
      <c r="BT662">
        <v>0</v>
      </c>
      <c r="BU662">
        <v>0</v>
      </c>
      <c r="BV662">
        <v>0</v>
      </c>
      <c r="BW662">
        <v>0</v>
      </c>
      <c r="CX662">
        <f>Y662*Source!I533</f>
        <v>1.2800000000000002</v>
      </c>
      <c r="CY662">
        <f>AA662</f>
        <v>7545.25</v>
      </c>
      <c r="CZ662">
        <f>AE662</f>
        <v>1150.19</v>
      </c>
      <c r="DA662">
        <f>AI662</f>
        <v>6.56</v>
      </c>
      <c r="DB662">
        <f t="shared" si="122"/>
        <v>115.02</v>
      </c>
      <c r="DC662">
        <f t="shared" si="123"/>
        <v>0</v>
      </c>
    </row>
    <row r="663" spans="1:107" x14ac:dyDescent="0.2">
      <c r="A663">
        <f>ROW(Source!A533)</f>
        <v>533</v>
      </c>
      <c r="B663">
        <v>16748969</v>
      </c>
      <c r="C663">
        <v>16751560</v>
      </c>
      <c r="D663">
        <v>15164559</v>
      </c>
      <c r="E663">
        <v>17</v>
      </c>
      <c r="F663">
        <v>1</v>
      </c>
      <c r="G663">
        <v>1</v>
      </c>
      <c r="H663">
        <v>3</v>
      </c>
      <c r="I663" t="s">
        <v>1383</v>
      </c>
      <c r="J663" t="s">
        <v>6</v>
      </c>
      <c r="K663" t="s">
        <v>1384</v>
      </c>
      <c r="L663">
        <v>1374</v>
      </c>
      <c r="N663">
        <v>1013</v>
      </c>
      <c r="O663" t="s">
        <v>1385</v>
      </c>
      <c r="P663" t="s">
        <v>1385</v>
      </c>
      <c r="Q663">
        <v>1</v>
      </c>
      <c r="W663">
        <v>0</v>
      </c>
      <c r="X663">
        <v>-1731369543</v>
      </c>
      <c r="Y663">
        <v>2.37</v>
      </c>
      <c r="AA663">
        <v>1</v>
      </c>
      <c r="AB663">
        <v>0</v>
      </c>
      <c r="AC663">
        <v>0</v>
      </c>
      <c r="AD663">
        <v>0</v>
      </c>
      <c r="AE663">
        <v>1</v>
      </c>
      <c r="AF663">
        <v>0</v>
      </c>
      <c r="AG663">
        <v>0</v>
      </c>
      <c r="AH663">
        <v>0</v>
      </c>
      <c r="AI663">
        <v>1</v>
      </c>
      <c r="AJ663">
        <v>1</v>
      </c>
      <c r="AK663">
        <v>1</v>
      </c>
      <c r="AL663">
        <v>1</v>
      </c>
      <c r="AN663">
        <v>0</v>
      </c>
      <c r="AO663">
        <v>1</v>
      </c>
      <c r="AP663">
        <v>0</v>
      </c>
      <c r="AQ663">
        <v>0</v>
      </c>
      <c r="AR663">
        <v>0</v>
      </c>
      <c r="AS663" t="s">
        <v>6</v>
      </c>
      <c r="AT663">
        <v>2.37</v>
      </c>
      <c r="AU663" t="s">
        <v>6</v>
      </c>
      <c r="AV663">
        <v>0</v>
      </c>
      <c r="AW663">
        <v>2</v>
      </c>
      <c r="AX663">
        <v>16751573</v>
      </c>
      <c r="AY663">
        <v>1</v>
      </c>
      <c r="AZ663">
        <v>0</v>
      </c>
      <c r="BA663">
        <v>608</v>
      </c>
      <c r="BB663">
        <v>0</v>
      </c>
      <c r="BC663">
        <v>0</v>
      </c>
      <c r="BD663">
        <v>0</v>
      </c>
      <c r="BE663">
        <v>0</v>
      </c>
      <c r="BF663">
        <v>0</v>
      </c>
      <c r="BG663">
        <v>0</v>
      </c>
      <c r="BH663">
        <v>0</v>
      </c>
      <c r="BI663">
        <v>0</v>
      </c>
      <c r="BJ663">
        <v>0</v>
      </c>
      <c r="BK663">
        <v>0</v>
      </c>
      <c r="BL663">
        <v>0</v>
      </c>
      <c r="BM663">
        <v>0</v>
      </c>
      <c r="BN663">
        <v>0</v>
      </c>
      <c r="BO663">
        <v>0</v>
      </c>
      <c r="BP663">
        <v>0</v>
      </c>
      <c r="BQ663">
        <v>0</v>
      </c>
      <c r="BR663">
        <v>0</v>
      </c>
      <c r="BS663">
        <v>0</v>
      </c>
      <c r="BT663">
        <v>0</v>
      </c>
      <c r="BU663">
        <v>0</v>
      </c>
      <c r="BV663">
        <v>0</v>
      </c>
      <c r="BW663">
        <v>0</v>
      </c>
      <c r="CX663">
        <f>Y663*Source!I533</f>
        <v>30.336000000000002</v>
      </c>
      <c r="CY663">
        <f>AA663</f>
        <v>1</v>
      </c>
      <c r="CZ663">
        <f>AE663</f>
        <v>1</v>
      </c>
      <c r="DA663">
        <f>AI663</f>
        <v>1</v>
      </c>
      <c r="DB663">
        <f t="shared" si="122"/>
        <v>2.37</v>
      </c>
      <c r="DC663">
        <f t="shared" si="123"/>
        <v>0</v>
      </c>
    </row>
    <row r="664" spans="1:107" x14ac:dyDescent="0.2">
      <c r="A664">
        <f>ROW(Source!A535)</f>
        <v>535</v>
      </c>
      <c r="B664">
        <v>16748969</v>
      </c>
      <c r="C664">
        <v>16751575</v>
      </c>
      <c r="D664">
        <v>15430767</v>
      </c>
      <c r="E664">
        <v>1</v>
      </c>
      <c r="F664">
        <v>1</v>
      </c>
      <c r="G664">
        <v>1</v>
      </c>
      <c r="H664">
        <v>1</v>
      </c>
      <c r="I664" t="s">
        <v>1070</v>
      </c>
      <c r="J664" t="s">
        <v>6</v>
      </c>
      <c r="K664" t="s">
        <v>1071</v>
      </c>
      <c r="L664">
        <v>1191</v>
      </c>
      <c r="N664">
        <v>1013</v>
      </c>
      <c r="O664" t="s">
        <v>1072</v>
      </c>
      <c r="P664" t="s">
        <v>1072</v>
      </c>
      <c r="Q664">
        <v>1</v>
      </c>
      <c r="W664">
        <v>0</v>
      </c>
      <c r="X664">
        <v>-400197608</v>
      </c>
      <c r="Y664">
        <v>5.49</v>
      </c>
      <c r="AA664">
        <v>0</v>
      </c>
      <c r="AB664">
        <v>0</v>
      </c>
      <c r="AC664">
        <v>0</v>
      </c>
      <c r="AD664">
        <v>55.96</v>
      </c>
      <c r="AE664">
        <v>0</v>
      </c>
      <c r="AF664">
        <v>0</v>
      </c>
      <c r="AG664">
        <v>0</v>
      </c>
      <c r="AH664">
        <v>8.5299999999999994</v>
      </c>
      <c r="AI664">
        <v>1</v>
      </c>
      <c r="AJ664">
        <v>1</v>
      </c>
      <c r="AK664">
        <v>1</v>
      </c>
      <c r="AL664">
        <v>6.56</v>
      </c>
      <c r="AN664">
        <v>0</v>
      </c>
      <c r="AO664">
        <v>1</v>
      </c>
      <c r="AP664">
        <v>0</v>
      </c>
      <c r="AQ664">
        <v>0</v>
      </c>
      <c r="AR664">
        <v>0</v>
      </c>
      <c r="AS664" t="s">
        <v>6</v>
      </c>
      <c r="AT664">
        <v>5.49</v>
      </c>
      <c r="AU664" t="s">
        <v>6</v>
      </c>
      <c r="AV664">
        <v>1</v>
      </c>
      <c r="AW664">
        <v>2</v>
      </c>
      <c r="AX664">
        <v>16751577</v>
      </c>
      <c r="AY664">
        <v>1</v>
      </c>
      <c r="AZ664">
        <v>0</v>
      </c>
      <c r="BA664">
        <v>609</v>
      </c>
      <c r="BB664">
        <v>0</v>
      </c>
      <c r="BC664">
        <v>0</v>
      </c>
      <c r="BD664">
        <v>0</v>
      </c>
      <c r="BE664">
        <v>0</v>
      </c>
      <c r="BF664">
        <v>0</v>
      </c>
      <c r="BG664">
        <v>0</v>
      </c>
      <c r="BH664">
        <v>0</v>
      </c>
      <c r="BI664">
        <v>0</v>
      </c>
      <c r="BJ664">
        <v>0</v>
      </c>
      <c r="BK664">
        <v>0</v>
      </c>
      <c r="BL664">
        <v>0</v>
      </c>
      <c r="BM664">
        <v>0</v>
      </c>
      <c r="BN664">
        <v>0</v>
      </c>
      <c r="BO664">
        <v>0</v>
      </c>
      <c r="BP664">
        <v>0</v>
      </c>
      <c r="BQ664">
        <v>0</v>
      </c>
      <c r="BR664">
        <v>0</v>
      </c>
      <c r="BS664">
        <v>0</v>
      </c>
      <c r="BT664">
        <v>0</v>
      </c>
      <c r="BU664">
        <v>0</v>
      </c>
      <c r="BV664">
        <v>0</v>
      </c>
      <c r="BW664">
        <v>0</v>
      </c>
      <c r="CX664">
        <f>Y664*Source!I535</f>
        <v>0.32940000000000003</v>
      </c>
      <c r="CY664">
        <f>AD664</f>
        <v>55.96</v>
      </c>
      <c r="CZ664">
        <f>AH664</f>
        <v>8.5299999999999994</v>
      </c>
      <c r="DA664">
        <f>AL664</f>
        <v>6.56</v>
      </c>
      <c r="DB664">
        <f t="shared" si="122"/>
        <v>46.83</v>
      </c>
      <c r="DC664">
        <f t="shared" si="123"/>
        <v>0</v>
      </c>
    </row>
    <row r="665" spans="1:107" x14ac:dyDescent="0.2">
      <c r="A665">
        <f>ROW(Source!A536)</f>
        <v>536</v>
      </c>
      <c r="B665">
        <v>16748969</v>
      </c>
      <c r="C665">
        <v>16751579</v>
      </c>
      <c r="D665">
        <v>15430397</v>
      </c>
      <c r="E665">
        <v>1</v>
      </c>
      <c r="F665">
        <v>1</v>
      </c>
      <c r="G665">
        <v>1</v>
      </c>
      <c r="H665">
        <v>1</v>
      </c>
      <c r="I665" t="s">
        <v>1234</v>
      </c>
      <c r="J665" t="s">
        <v>6</v>
      </c>
      <c r="K665" t="s">
        <v>1235</v>
      </c>
      <c r="L665">
        <v>1191</v>
      </c>
      <c r="N665">
        <v>1013</v>
      </c>
      <c r="O665" t="s">
        <v>1072</v>
      </c>
      <c r="P665" t="s">
        <v>1072</v>
      </c>
      <c r="Q665">
        <v>1</v>
      </c>
      <c r="W665">
        <v>0</v>
      </c>
      <c r="X665">
        <v>-1081351934</v>
      </c>
      <c r="Y665">
        <v>15.28</v>
      </c>
      <c r="AA665">
        <v>0</v>
      </c>
      <c r="AB665">
        <v>0</v>
      </c>
      <c r="AC665">
        <v>0</v>
      </c>
      <c r="AD665">
        <v>61.66</v>
      </c>
      <c r="AE665">
        <v>0</v>
      </c>
      <c r="AF665">
        <v>0</v>
      </c>
      <c r="AG665">
        <v>0</v>
      </c>
      <c r="AH665">
        <v>9.4</v>
      </c>
      <c r="AI665">
        <v>1</v>
      </c>
      <c r="AJ665">
        <v>1</v>
      </c>
      <c r="AK665">
        <v>1</v>
      </c>
      <c r="AL665">
        <v>6.56</v>
      </c>
      <c r="AN665">
        <v>0</v>
      </c>
      <c r="AO665">
        <v>1</v>
      </c>
      <c r="AP665">
        <v>0</v>
      </c>
      <c r="AQ665">
        <v>0</v>
      </c>
      <c r="AR665">
        <v>0</v>
      </c>
      <c r="AS665" t="s">
        <v>6</v>
      </c>
      <c r="AT665">
        <v>15.28</v>
      </c>
      <c r="AU665" t="s">
        <v>6</v>
      </c>
      <c r="AV665">
        <v>1</v>
      </c>
      <c r="AW665">
        <v>2</v>
      </c>
      <c r="AX665">
        <v>16751591</v>
      </c>
      <c r="AY665">
        <v>1</v>
      </c>
      <c r="AZ665">
        <v>0</v>
      </c>
      <c r="BA665">
        <v>611</v>
      </c>
      <c r="BB665">
        <v>0</v>
      </c>
      <c r="BC665">
        <v>0</v>
      </c>
      <c r="BD665">
        <v>0</v>
      </c>
      <c r="BE665">
        <v>0</v>
      </c>
      <c r="BF665">
        <v>0</v>
      </c>
      <c r="BG665">
        <v>0</v>
      </c>
      <c r="BH665">
        <v>0</v>
      </c>
      <c r="BI665">
        <v>0</v>
      </c>
      <c r="BJ665">
        <v>0</v>
      </c>
      <c r="BK665">
        <v>0</v>
      </c>
      <c r="BL665">
        <v>0</v>
      </c>
      <c r="BM665">
        <v>0</v>
      </c>
      <c r="BN665">
        <v>0</v>
      </c>
      <c r="BO665">
        <v>0</v>
      </c>
      <c r="BP665">
        <v>0</v>
      </c>
      <c r="BQ665">
        <v>0</v>
      </c>
      <c r="BR665">
        <v>0</v>
      </c>
      <c r="BS665">
        <v>0</v>
      </c>
      <c r="BT665">
        <v>0</v>
      </c>
      <c r="BU665">
        <v>0</v>
      </c>
      <c r="BV665">
        <v>0</v>
      </c>
      <c r="BW665">
        <v>0</v>
      </c>
      <c r="CX665">
        <f>Y665*Source!I536</f>
        <v>0.5500799999999999</v>
      </c>
      <c r="CY665">
        <f>AD665</f>
        <v>61.66</v>
      </c>
      <c r="CZ665">
        <f>AH665</f>
        <v>9.4</v>
      </c>
      <c r="DA665">
        <f>AL665</f>
        <v>6.56</v>
      </c>
      <c r="DB665">
        <f t="shared" si="122"/>
        <v>143.63</v>
      </c>
      <c r="DC665">
        <f t="shared" si="123"/>
        <v>0</v>
      </c>
    </row>
    <row r="666" spans="1:107" x14ac:dyDescent="0.2">
      <c r="A666">
        <f>ROW(Source!A536)</f>
        <v>536</v>
      </c>
      <c r="B666">
        <v>16748969</v>
      </c>
      <c r="C666">
        <v>16751579</v>
      </c>
      <c r="D666">
        <v>15430395</v>
      </c>
      <c r="E666">
        <v>1</v>
      </c>
      <c r="F666">
        <v>1</v>
      </c>
      <c r="G666">
        <v>1</v>
      </c>
      <c r="H666">
        <v>1</v>
      </c>
      <c r="I666" t="s">
        <v>1073</v>
      </c>
      <c r="J666" t="s">
        <v>6</v>
      </c>
      <c r="K666" t="s">
        <v>1074</v>
      </c>
      <c r="L666">
        <v>1191</v>
      </c>
      <c r="N666">
        <v>1013</v>
      </c>
      <c r="O666" t="s">
        <v>1072</v>
      </c>
      <c r="P666" t="s">
        <v>1072</v>
      </c>
      <c r="Q666">
        <v>1</v>
      </c>
      <c r="W666">
        <v>0</v>
      </c>
      <c r="X666">
        <v>-1417349443</v>
      </c>
      <c r="Y666">
        <v>0.22</v>
      </c>
      <c r="AA666">
        <v>0</v>
      </c>
      <c r="AB666">
        <v>0</v>
      </c>
      <c r="AC666">
        <v>0</v>
      </c>
      <c r="AD666">
        <v>0</v>
      </c>
      <c r="AE666">
        <v>0</v>
      </c>
      <c r="AF666">
        <v>0</v>
      </c>
      <c r="AG666">
        <v>0</v>
      </c>
      <c r="AH666">
        <v>0</v>
      </c>
      <c r="AI666">
        <v>1</v>
      </c>
      <c r="AJ666">
        <v>1</v>
      </c>
      <c r="AK666">
        <v>6.56</v>
      </c>
      <c r="AL666">
        <v>1</v>
      </c>
      <c r="AN666">
        <v>0</v>
      </c>
      <c r="AO666">
        <v>1</v>
      </c>
      <c r="AP666">
        <v>0</v>
      </c>
      <c r="AQ666">
        <v>0</v>
      </c>
      <c r="AR666">
        <v>0</v>
      </c>
      <c r="AS666" t="s">
        <v>6</v>
      </c>
      <c r="AT666">
        <v>0.22</v>
      </c>
      <c r="AU666" t="s">
        <v>6</v>
      </c>
      <c r="AV666">
        <v>2</v>
      </c>
      <c r="AW666">
        <v>2</v>
      </c>
      <c r="AX666">
        <v>16751592</v>
      </c>
      <c r="AY666">
        <v>1</v>
      </c>
      <c r="AZ666">
        <v>0</v>
      </c>
      <c r="BA666">
        <v>612</v>
      </c>
      <c r="BB666">
        <v>0</v>
      </c>
      <c r="BC666">
        <v>0</v>
      </c>
      <c r="BD666">
        <v>0</v>
      </c>
      <c r="BE666">
        <v>0</v>
      </c>
      <c r="BF666">
        <v>0</v>
      </c>
      <c r="BG666">
        <v>0</v>
      </c>
      <c r="BH666">
        <v>0</v>
      </c>
      <c r="BI666">
        <v>0</v>
      </c>
      <c r="BJ666">
        <v>0</v>
      </c>
      <c r="BK666">
        <v>0</v>
      </c>
      <c r="BL666">
        <v>0</v>
      </c>
      <c r="BM666">
        <v>0</v>
      </c>
      <c r="BN666">
        <v>0</v>
      </c>
      <c r="BO666">
        <v>0</v>
      </c>
      <c r="BP666">
        <v>0</v>
      </c>
      <c r="BQ666">
        <v>0</v>
      </c>
      <c r="BR666">
        <v>0</v>
      </c>
      <c r="BS666">
        <v>0</v>
      </c>
      <c r="BT666">
        <v>0</v>
      </c>
      <c r="BU666">
        <v>0</v>
      </c>
      <c r="BV666">
        <v>0</v>
      </c>
      <c r="BW666">
        <v>0</v>
      </c>
      <c r="CX666">
        <f>Y666*Source!I536</f>
        <v>7.92E-3</v>
      </c>
      <c r="CY666">
        <f>AD666</f>
        <v>0</v>
      </c>
      <c r="CZ666">
        <f>AH666</f>
        <v>0</v>
      </c>
      <c r="DA666">
        <f>AL666</f>
        <v>1</v>
      </c>
      <c r="DB666">
        <f t="shared" si="122"/>
        <v>0</v>
      </c>
      <c r="DC666">
        <f t="shared" si="123"/>
        <v>0</v>
      </c>
    </row>
    <row r="667" spans="1:107" x14ac:dyDescent="0.2">
      <c r="A667">
        <f>ROW(Source!A536)</f>
        <v>536</v>
      </c>
      <c r="B667">
        <v>16748969</v>
      </c>
      <c r="C667">
        <v>16751579</v>
      </c>
      <c r="D667">
        <v>15247680</v>
      </c>
      <c r="E667">
        <v>1</v>
      </c>
      <c r="F667">
        <v>1</v>
      </c>
      <c r="G667">
        <v>1</v>
      </c>
      <c r="H667">
        <v>2</v>
      </c>
      <c r="I667" t="s">
        <v>1211</v>
      </c>
      <c r="J667" t="s">
        <v>1212</v>
      </c>
      <c r="K667" t="s">
        <v>1213</v>
      </c>
      <c r="L667">
        <v>1368</v>
      </c>
      <c r="N667">
        <v>1011</v>
      </c>
      <c r="O667" t="s">
        <v>1078</v>
      </c>
      <c r="P667" t="s">
        <v>1078</v>
      </c>
      <c r="Q667">
        <v>1</v>
      </c>
      <c r="W667">
        <v>0</v>
      </c>
      <c r="X667">
        <v>-1718674368</v>
      </c>
      <c r="Y667">
        <v>0.11</v>
      </c>
      <c r="AA667">
        <v>0</v>
      </c>
      <c r="AB667">
        <v>734.65</v>
      </c>
      <c r="AC667">
        <v>13.5</v>
      </c>
      <c r="AD667">
        <v>0</v>
      </c>
      <c r="AE667">
        <v>0</v>
      </c>
      <c r="AF667">
        <v>111.99</v>
      </c>
      <c r="AG667">
        <v>13.5</v>
      </c>
      <c r="AH667">
        <v>0</v>
      </c>
      <c r="AI667">
        <v>1</v>
      </c>
      <c r="AJ667">
        <v>6.56</v>
      </c>
      <c r="AK667">
        <v>1</v>
      </c>
      <c r="AL667">
        <v>1</v>
      </c>
      <c r="AN667">
        <v>0</v>
      </c>
      <c r="AO667">
        <v>1</v>
      </c>
      <c r="AP667">
        <v>0</v>
      </c>
      <c r="AQ667">
        <v>0</v>
      </c>
      <c r="AR667">
        <v>0</v>
      </c>
      <c r="AS667" t="s">
        <v>6</v>
      </c>
      <c r="AT667">
        <v>0.11</v>
      </c>
      <c r="AU667" t="s">
        <v>6</v>
      </c>
      <c r="AV667">
        <v>0</v>
      </c>
      <c r="AW667">
        <v>2</v>
      </c>
      <c r="AX667">
        <v>16751593</v>
      </c>
      <c r="AY667">
        <v>1</v>
      </c>
      <c r="AZ667">
        <v>0</v>
      </c>
      <c r="BA667">
        <v>613</v>
      </c>
      <c r="BB667">
        <v>0</v>
      </c>
      <c r="BC667">
        <v>0</v>
      </c>
      <c r="BD667">
        <v>0</v>
      </c>
      <c r="BE667">
        <v>0</v>
      </c>
      <c r="BF667">
        <v>0</v>
      </c>
      <c r="BG667">
        <v>0</v>
      </c>
      <c r="BH667">
        <v>0</v>
      </c>
      <c r="BI667">
        <v>0</v>
      </c>
      <c r="BJ667">
        <v>0</v>
      </c>
      <c r="BK667">
        <v>0</v>
      </c>
      <c r="BL667">
        <v>0</v>
      </c>
      <c r="BM667">
        <v>0</v>
      </c>
      <c r="BN667">
        <v>0</v>
      </c>
      <c r="BO667">
        <v>0</v>
      </c>
      <c r="BP667">
        <v>0</v>
      </c>
      <c r="BQ667">
        <v>0</v>
      </c>
      <c r="BR667">
        <v>0</v>
      </c>
      <c r="BS667">
        <v>0</v>
      </c>
      <c r="BT667">
        <v>0</v>
      </c>
      <c r="BU667">
        <v>0</v>
      </c>
      <c r="BV667">
        <v>0</v>
      </c>
      <c r="BW667">
        <v>0</v>
      </c>
      <c r="CX667">
        <f>Y667*Source!I536</f>
        <v>3.96E-3</v>
      </c>
      <c r="CY667">
        <f>AB667</f>
        <v>734.65</v>
      </c>
      <c r="CZ667">
        <f>AF667</f>
        <v>111.99</v>
      </c>
      <c r="DA667">
        <f>AJ667</f>
        <v>6.56</v>
      </c>
      <c r="DB667">
        <f t="shared" si="122"/>
        <v>12.32</v>
      </c>
      <c r="DC667">
        <f t="shared" si="123"/>
        <v>1.49</v>
      </c>
    </row>
    <row r="668" spans="1:107" x14ac:dyDescent="0.2">
      <c r="A668">
        <f>ROW(Source!A536)</f>
        <v>536</v>
      </c>
      <c r="B668">
        <v>16748969</v>
      </c>
      <c r="C668">
        <v>16751579</v>
      </c>
      <c r="D668">
        <v>15249073</v>
      </c>
      <c r="E668">
        <v>1</v>
      </c>
      <c r="F668">
        <v>1</v>
      </c>
      <c r="G668">
        <v>1</v>
      </c>
      <c r="H668">
        <v>2</v>
      </c>
      <c r="I668" t="s">
        <v>1097</v>
      </c>
      <c r="J668" t="s">
        <v>1098</v>
      </c>
      <c r="K668" t="s">
        <v>1099</v>
      </c>
      <c r="L668">
        <v>1368</v>
      </c>
      <c r="N668">
        <v>1011</v>
      </c>
      <c r="O668" t="s">
        <v>1078</v>
      </c>
      <c r="P668" t="s">
        <v>1078</v>
      </c>
      <c r="Q668">
        <v>1</v>
      </c>
      <c r="W668">
        <v>0</v>
      </c>
      <c r="X668">
        <v>1372534845</v>
      </c>
      <c r="Y668">
        <v>0.11</v>
      </c>
      <c r="AA668">
        <v>0</v>
      </c>
      <c r="AB668">
        <v>431.06</v>
      </c>
      <c r="AC668">
        <v>11.6</v>
      </c>
      <c r="AD668">
        <v>0</v>
      </c>
      <c r="AE668">
        <v>0</v>
      </c>
      <c r="AF668">
        <v>65.709999999999994</v>
      </c>
      <c r="AG668">
        <v>11.6</v>
      </c>
      <c r="AH668">
        <v>0</v>
      </c>
      <c r="AI668">
        <v>1</v>
      </c>
      <c r="AJ668">
        <v>6.56</v>
      </c>
      <c r="AK668">
        <v>1</v>
      </c>
      <c r="AL668">
        <v>1</v>
      </c>
      <c r="AN668">
        <v>0</v>
      </c>
      <c r="AO668">
        <v>1</v>
      </c>
      <c r="AP668">
        <v>0</v>
      </c>
      <c r="AQ668">
        <v>0</v>
      </c>
      <c r="AR668">
        <v>0</v>
      </c>
      <c r="AS668" t="s">
        <v>6</v>
      </c>
      <c r="AT668">
        <v>0.11</v>
      </c>
      <c r="AU668" t="s">
        <v>6</v>
      </c>
      <c r="AV668">
        <v>0</v>
      </c>
      <c r="AW668">
        <v>2</v>
      </c>
      <c r="AX668">
        <v>16751594</v>
      </c>
      <c r="AY668">
        <v>1</v>
      </c>
      <c r="AZ668">
        <v>0</v>
      </c>
      <c r="BA668">
        <v>614</v>
      </c>
      <c r="BB668">
        <v>0</v>
      </c>
      <c r="BC668">
        <v>0</v>
      </c>
      <c r="BD668">
        <v>0</v>
      </c>
      <c r="BE668">
        <v>0</v>
      </c>
      <c r="BF668">
        <v>0</v>
      </c>
      <c r="BG668">
        <v>0</v>
      </c>
      <c r="BH668">
        <v>0</v>
      </c>
      <c r="BI668">
        <v>0</v>
      </c>
      <c r="BJ668">
        <v>0</v>
      </c>
      <c r="BK668">
        <v>0</v>
      </c>
      <c r="BL668">
        <v>0</v>
      </c>
      <c r="BM668">
        <v>0</v>
      </c>
      <c r="BN668">
        <v>0</v>
      </c>
      <c r="BO668">
        <v>0</v>
      </c>
      <c r="BP668">
        <v>0</v>
      </c>
      <c r="BQ668">
        <v>0</v>
      </c>
      <c r="BR668">
        <v>0</v>
      </c>
      <c r="BS668">
        <v>0</v>
      </c>
      <c r="BT668">
        <v>0</v>
      </c>
      <c r="BU668">
        <v>0</v>
      </c>
      <c r="BV668">
        <v>0</v>
      </c>
      <c r="BW668">
        <v>0</v>
      </c>
      <c r="CX668">
        <f>Y668*Source!I536</f>
        <v>3.96E-3</v>
      </c>
      <c r="CY668">
        <f>AB668</f>
        <v>431.06</v>
      </c>
      <c r="CZ668">
        <f>AF668</f>
        <v>65.709999999999994</v>
      </c>
      <c r="DA668">
        <f>AJ668</f>
        <v>6.56</v>
      </c>
      <c r="DB668">
        <f t="shared" si="122"/>
        <v>7.23</v>
      </c>
      <c r="DC668">
        <f t="shared" si="123"/>
        <v>1.28</v>
      </c>
    </row>
    <row r="669" spans="1:107" x14ac:dyDescent="0.2">
      <c r="A669">
        <f>ROW(Source!A536)</f>
        <v>536</v>
      </c>
      <c r="B669">
        <v>16748969</v>
      </c>
      <c r="C669">
        <v>16751579</v>
      </c>
      <c r="D669">
        <v>15172838</v>
      </c>
      <c r="E669">
        <v>1</v>
      </c>
      <c r="F669">
        <v>1</v>
      </c>
      <c r="G669">
        <v>1</v>
      </c>
      <c r="H669">
        <v>3</v>
      </c>
      <c r="I669" t="s">
        <v>1422</v>
      </c>
      <c r="J669" t="s">
        <v>1423</v>
      </c>
      <c r="K669" t="s">
        <v>1424</v>
      </c>
      <c r="L669">
        <v>1339</v>
      </c>
      <c r="N669">
        <v>1007</v>
      </c>
      <c r="O669" t="s">
        <v>283</v>
      </c>
      <c r="P669" t="s">
        <v>283</v>
      </c>
      <c r="Q669">
        <v>1</v>
      </c>
      <c r="W669">
        <v>0</v>
      </c>
      <c r="X669">
        <v>536744769</v>
      </c>
      <c r="Y669">
        <v>2.1000000000000001E-2</v>
      </c>
      <c r="AA669">
        <v>3936</v>
      </c>
      <c r="AB669">
        <v>0</v>
      </c>
      <c r="AC669">
        <v>0</v>
      </c>
      <c r="AD669">
        <v>0</v>
      </c>
      <c r="AE669">
        <v>600</v>
      </c>
      <c r="AF669">
        <v>0</v>
      </c>
      <c r="AG669">
        <v>0</v>
      </c>
      <c r="AH669">
        <v>0</v>
      </c>
      <c r="AI669">
        <v>6.56</v>
      </c>
      <c r="AJ669">
        <v>1</v>
      </c>
      <c r="AK669">
        <v>1</v>
      </c>
      <c r="AL669">
        <v>1</v>
      </c>
      <c r="AN669">
        <v>0</v>
      </c>
      <c r="AO669">
        <v>1</v>
      </c>
      <c r="AP669">
        <v>0</v>
      </c>
      <c r="AQ669">
        <v>0</v>
      </c>
      <c r="AR669">
        <v>0</v>
      </c>
      <c r="AS669" t="s">
        <v>6</v>
      </c>
      <c r="AT669">
        <v>2.1000000000000001E-2</v>
      </c>
      <c r="AU669" t="s">
        <v>6</v>
      </c>
      <c r="AV669">
        <v>0</v>
      </c>
      <c r="AW669">
        <v>2</v>
      </c>
      <c r="AX669">
        <v>16751595</v>
      </c>
      <c r="AY669">
        <v>1</v>
      </c>
      <c r="AZ669">
        <v>0</v>
      </c>
      <c r="BA669">
        <v>615</v>
      </c>
      <c r="BB669">
        <v>0</v>
      </c>
      <c r="BC669">
        <v>0</v>
      </c>
      <c r="BD669">
        <v>0</v>
      </c>
      <c r="BE669">
        <v>0</v>
      </c>
      <c r="BF669">
        <v>0</v>
      </c>
      <c r="BG669">
        <v>0</v>
      </c>
      <c r="BH669">
        <v>0</v>
      </c>
      <c r="BI669">
        <v>0</v>
      </c>
      <c r="BJ669">
        <v>0</v>
      </c>
      <c r="BK669">
        <v>0</v>
      </c>
      <c r="BL669">
        <v>0</v>
      </c>
      <c r="BM669">
        <v>0</v>
      </c>
      <c r="BN669">
        <v>0</v>
      </c>
      <c r="BO669">
        <v>0</v>
      </c>
      <c r="BP669">
        <v>0</v>
      </c>
      <c r="BQ669">
        <v>0</v>
      </c>
      <c r="BR669">
        <v>0</v>
      </c>
      <c r="BS669">
        <v>0</v>
      </c>
      <c r="BT669">
        <v>0</v>
      </c>
      <c r="BU669">
        <v>0</v>
      </c>
      <c r="BV669">
        <v>0</v>
      </c>
      <c r="BW669">
        <v>0</v>
      </c>
      <c r="CX669">
        <f>Y669*Source!I536</f>
        <v>7.5599999999999994E-4</v>
      </c>
      <c r="CY669">
        <f t="shared" ref="CY669:CY675" si="124">AA669</f>
        <v>3936</v>
      </c>
      <c r="CZ669">
        <f t="shared" ref="CZ669:CZ675" si="125">AE669</f>
        <v>600</v>
      </c>
      <c r="DA669">
        <f t="shared" ref="DA669:DA675" si="126">AI669</f>
        <v>6.56</v>
      </c>
      <c r="DB669">
        <f t="shared" si="122"/>
        <v>12.6</v>
      </c>
      <c r="DC669">
        <f t="shared" si="123"/>
        <v>0</v>
      </c>
    </row>
    <row r="670" spans="1:107" x14ac:dyDescent="0.2">
      <c r="A670">
        <f>ROW(Source!A536)</f>
        <v>536</v>
      </c>
      <c r="B670">
        <v>16748969</v>
      </c>
      <c r="C670">
        <v>16751579</v>
      </c>
      <c r="D670">
        <v>15202442</v>
      </c>
      <c r="E670">
        <v>1</v>
      </c>
      <c r="F670">
        <v>1</v>
      </c>
      <c r="G670">
        <v>1</v>
      </c>
      <c r="H670">
        <v>3</v>
      </c>
      <c r="I670" t="s">
        <v>1425</v>
      </c>
      <c r="J670" t="s">
        <v>1426</v>
      </c>
      <c r="K670" t="s">
        <v>1427</v>
      </c>
      <c r="L670">
        <v>1346</v>
      </c>
      <c r="N670">
        <v>1009</v>
      </c>
      <c r="O670" t="s">
        <v>323</v>
      </c>
      <c r="P670" t="s">
        <v>323</v>
      </c>
      <c r="Q670">
        <v>1</v>
      </c>
      <c r="W670">
        <v>0</v>
      </c>
      <c r="X670">
        <v>505519491</v>
      </c>
      <c r="Y670">
        <v>0.4</v>
      </c>
      <c r="AA670">
        <v>169.25</v>
      </c>
      <c r="AB670">
        <v>0</v>
      </c>
      <c r="AC670">
        <v>0</v>
      </c>
      <c r="AD670">
        <v>0</v>
      </c>
      <c r="AE670">
        <v>25.8</v>
      </c>
      <c r="AF670">
        <v>0</v>
      </c>
      <c r="AG670">
        <v>0</v>
      </c>
      <c r="AH670">
        <v>0</v>
      </c>
      <c r="AI670">
        <v>6.56</v>
      </c>
      <c r="AJ670">
        <v>1</v>
      </c>
      <c r="AK670">
        <v>1</v>
      </c>
      <c r="AL670">
        <v>1</v>
      </c>
      <c r="AN670">
        <v>0</v>
      </c>
      <c r="AO670">
        <v>1</v>
      </c>
      <c r="AP670">
        <v>0</v>
      </c>
      <c r="AQ670">
        <v>0</v>
      </c>
      <c r="AR670">
        <v>0</v>
      </c>
      <c r="AS670" t="s">
        <v>6</v>
      </c>
      <c r="AT670">
        <v>0.4</v>
      </c>
      <c r="AU670" t="s">
        <v>6</v>
      </c>
      <c r="AV670">
        <v>0</v>
      </c>
      <c r="AW670">
        <v>2</v>
      </c>
      <c r="AX670">
        <v>16751596</v>
      </c>
      <c r="AY670">
        <v>1</v>
      </c>
      <c r="AZ670">
        <v>0</v>
      </c>
      <c r="BA670">
        <v>616</v>
      </c>
      <c r="BB670">
        <v>0</v>
      </c>
      <c r="BC670">
        <v>0</v>
      </c>
      <c r="BD670">
        <v>0</v>
      </c>
      <c r="BE670">
        <v>0</v>
      </c>
      <c r="BF670">
        <v>0</v>
      </c>
      <c r="BG670">
        <v>0</v>
      </c>
      <c r="BH670">
        <v>0</v>
      </c>
      <c r="BI670">
        <v>0</v>
      </c>
      <c r="BJ670">
        <v>0</v>
      </c>
      <c r="BK670">
        <v>0</v>
      </c>
      <c r="BL670">
        <v>0</v>
      </c>
      <c r="BM670">
        <v>0</v>
      </c>
      <c r="BN670">
        <v>0</v>
      </c>
      <c r="BO670">
        <v>0</v>
      </c>
      <c r="BP670">
        <v>0</v>
      </c>
      <c r="BQ670">
        <v>0</v>
      </c>
      <c r="BR670">
        <v>0</v>
      </c>
      <c r="BS670">
        <v>0</v>
      </c>
      <c r="BT670">
        <v>0</v>
      </c>
      <c r="BU670">
        <v>0</v>
      </c>
      <c r="BV670">
        <v>0</v>
      </c>
      <c r="BW670">
        <v>0</v>
      </c>
      <c r="CX670">
        <f>Y670*Source!I536</f>
        <v>1.44E-2</v>
      </c>
      <c r="CY670">
        <f t="shared" si="124"/>
        <v>169.25</v>
      </c>
      <c r="CZ670">
        <f t="shared" si="125"/>
        <v>25.8</v>
      </c>
      <c r="DA670">
        <f t="shared" si="126"/>
        <v>6.56</v>
      </c>
      <c r="DB670">
        <f t="shared" si="122"/>
        <v>10.32</v>
      </c>
      <c r="DC670">
        <f t="shared" si="123"/>
        <v>0</v>
      </c>
    </row>
    <row r="671" spans="1:107" x14ac:dyDescent="0.2">
      <c r="A671">
        <f>ROW(Source!A536)</f>
        <v>536</v>
      </c>
      <c r="B671">
        <v>16748969</v>
      </c>
      <c r="C671">
        <v>16751579</v>
      </c>
      <c r="D671">
        <v>15217585</v>
      </c>
      <c r="E671">
        <v>1</v>
      </c>
      <c r="F671">
        <v>1</v>
      </c>
      <c r="G671">
        <v>1</v>
      </c>
      <c r="H671">
        <v>3</v>
      </c>
      <c r="I671" t="s">
        <v>1428</v>
      </c>
      <c r="J671" t="s">
        <v>1429</v>
      </c>
      <c r="K671" t="s">
        <v>1430</v>
      </c>
      <c r="L671">
        <v>1356</v>
      </c>
      <c r="N671">
        <v>1010</v>
      </c>
      <c r="O671" t="s">
        <v>288</v>
      </c>
      <c r="P671" t="s">
        <v>288</v>
      </c>
      <c r="Q671">
        <v>1000</v>
      </c>
      <c r="W671">
        <v>0</v>
      </c>
      <c r="X671">
        <v>40709342</v>
      </c>
      <c r="Y671">
        <v>3.2000000000000001E-2</v>
      </c>
      <c r="AA671">
        <v>1771.2</v>
      </c>
      <c r="AB671">
        <v>0</v>
      </c>
      <c r="AC671">
        <v>0</v>
      </c>
      <c r="AD671">
        <v>0</v>
      </c>
      <c r="AE671">
        <v>270</v>
      </c>
      <c r="AF671">
        <v>0</v>
      </c>
      <c r="AG671">
        <v>0</v>
      </c>
      <c r="AH671">
        <v>0</v>
      </c>
      <c r="AI671">
        <v>6.56</v>
      </c>
      <c r="AJ671">
        <v>1</v>
      </c>
      <c r="AK671">
        <v>1</v>
      </c>
      <c r="AL671">
        <v>1</v>
      </c>
      <c r="AN671">
        <v>0</v>
      </c>
      <c r="AO671">
        <v>1</v>
      </c>
      <c r="AP671">
        <v>0</v>
      </c>
      <c r="AQ671">
        <v>0</v>
      </c>
      <c r="AR671">
        <v>0</v>
      </c>
      <c r="AS671" t="s">
        <v>6</v>
      </c>
      <c r="AT671">
        <v>3.2000000000000001E-2</v>
      </c>
      <c r="AU671" t="s">
        <v>6</v>
      </c>
      <c r="AV671">
        <v>0</v>
      </c>
      <c r="AW671">
        <v>2</v>
      </c>
      <c r="AX671">
        <v>16751597</v>
      </c>
      <c r="AY671">
        <v>1</v>
      </c>
      <c r="AZ671">
        <v>0</v>
      </c>
      <c r="BA671">
        <v>617</v>
      </c>
      <c r="BB671">
        <v>0</v>
      </c>
      <c r="BC671">
        <v>0</v>
      </c>
      <c r="BD671">
        <v>0</v>
      </c>
      <c r="BE671">
        <v>0</v>
      </c>
      <c r="BF671">
        <v>0</v>
      </c>
      <c r="BG671">
        <v>0</v>
      </c>
      <c r="BH671">
        <v>0</v>
      </c>
      <c r="BI671">
        <v>0</v>
      </c>
      <c r="BJ671">
        <v>0</v>
      </c>
      <c r="BK671">
        <v>0</v>
      </c>
      <c r="BL671">
        <v>0</v>
      </c>
      <c r="BM671">
        <v>0</v>
      </c>
      <c r="BN671">
        <v>0</v>
      </c>
      <c r="BO671">
        <v>0</v>
      </c>
      <c r="BP671">
        <v>0</v>
      </c>
      <c r="BQ671">
        <v>0</v>
      </c>
      <c r="BR671">
        <v>0</v>
      </c>
      <c r="BS671">
        <v>0</v>
      </c>
      <c r="BT671">
        <v>0</v>
      </c>
      <c r="BU671">
        <v>0</v>
      </c>
      <c r="BV671">
        <v>0</v>
      </c>
      <c r="BW671">
        <v>0</v>
      </c>
      <c r="CX671">
        <f>Y671*Source!I536</f>
        <v>1.152E-3</v>
      </c>
      <c r="CY671">
        <f t="shared" si="124"/>
        <v>1771.2</v>
      </c>
      <c r="CZ671">
        <f t="shared" si="125"/>
        <v>270</v>
      </c>
      <c r="DA671">
        <f t="shared" si="126"/>
        <v>6.56</v>
      </c>
      <c r="DB671">
        <f t="shared" si="122"/>
        <v>8.64</v>
      </c>
      <c r="DC671">
        <f t="shared" si="123"/>
        <v>0</v>
      </c>
    </row>
    <row r="672" spans="1:107" x14ac:dyDescent="0.2">
      <c r="A672">
        <f>ROW(Source!A536)</f>
        <v>536</v>
      </c>
      <c r="B672">
        <v>16748969</v>
      </c>
      <c r="C672">
        <v>16751579</v>
      </c>
      <c r="D672">
        <v>15217593</v>
      </c>
      <c r="E672">
        <v>1</v>
      </c>
      <c r="F672">
        <v>1</v>
      </c>
      <c r="G672">
        <v>1</v>
      </c>
      <c r="H672">
        <v>3</v>
      </c>
      <c r="I672" t="s">
        <v>1431</v>
      </c>
      <c r="J672" t="s">
        <v>1432</v>
      </c>
      <c r="K672" t="s">
        <v>1433</v>
      </c>
      <c r="L672">
        <v>1358</v>
      </c>
      <c r="N672">
        <v>1010</v>
      </c>
      <c r="O672" t="s">
        <v>615</v>
      </c>
      <c r="P672" t="s">
        <v>615</v>
      </c>
      <c r="Q672">
        <v>10</v>
      </c>
      <c r="W672">
        <v>0</v>
      </c>
      <c r="X672">
        <v>-1110089157</v>
      </c>
      <c r="Y672">
        <v>1</v>
      </c>
      <c r="AA672">
        <v>130.54</v>
      </c>
      <c r="AB672">
        <v>0</v>
      </c>
      <c r="AC672">
        <v>0</v>
      </c>
      <c r="AD672">
        <v>0</v>
      </c>
      <c r="AE672">
        <v>19.899999999999999</v>
      </c>
      <c r="AF672">
        <v>0</v>
      </c>
      <c r="AG672">
        <v>0</v>
      </c>
      <c r="AH672">
        <v>0</v>
      </c>
      <c r="AI672">
        <v>6.56</v>
      </c>
      <c r="AJ672">
        <v>1</v>
      </c>
      <c r="AK672">
        <v>1</v>
      </c>
      <c r="AL672">
        <v>1</v>
      </c>
      <c r="AN672">
        <v>0</v>
      </c>
      <c r="AO672">
        <v>1</v>
      </c>
      <c r="AP672">
        <v>0</v>
      </c>
      <c r="AQ672">
        <v>0</v>
      </c>
      <c r="AR672">
        <v>0</v>
      </c>
      <c r="AS672" t="s">
        <v>6</v>
      </c>
      <c r="AT672">
        <v>1</v>
      </c>
      <c r="AU672" t="s">
        <v>6</v>
      </c>
      <c r="AV672">
        <v>0</v>
      </c>
      <c r="AW672">
        <v>2</v>
      </c>
      <c r="AX672">
        <v>16751598</v>
      </c>
      <c r="AY672">
        <v>1</v>
      </c>
      <c r="AZ672">
        <v>0</v>
      </c>
      <c r="BA672">
        <v>618</v>
      </c>
      <c r="BB672">
        <v>0</v>
      </c>
      <c r="BC672">
        <v>0</v>
      </c>
      <c r="BD672">
        <v>0</v>
      </c>
      <c r="BE672">
        <v>0</v>
      </c>
      <c r="BF672">
        <v>0</v>
      </c>
      <c r="BG672">
        <v>0</v>
      </c>
      <c r="BH672">
        <v>0</v>
      </c>
      <c r="BI672">
        <v>0</v>
      </c>
      <c r="BJ672">
        <v>0</v>
      </c>
      <c r="BK672">
        <v>0</v>
      </c>
      <c r="BL672">
        <v>0</v>
      </c>
      <c r="BM672">
        <v>0</v>
      </c>
      <c r="BN672">
        <v>0</v>
      </c>
      <c r="BO672">
        <v>0</v>
      </c>
      <c r="BP672">
        <v>0</v>
      </c>
      <c r="BQ672">
        <v>0</v>
      </c>
      <c r="BR672">
        <v>0</v>
      </c>
      <c r="BS672">
        <v>0</v>
      </c>
      <c r="BT672">
        <v>0</v>
      </c>
      <c r="BU672">
        <v>0</v>
      </c>
      <c r="BV672">
        <v>0</v>
      </c>
      <c r="BW672">
        <v>0</v>
      </c>
      <c r="CX672">
        <f>Y672*Source!I536</f>
        <v>3.5999999999999997E-2</v>
      </c>
      <c r="CY672">
        <f t="shared" si="124"/>
        <v>130.54</v>
      </c>
      <c r="CZ672">
        <f t="shared" si="125"/>
        <v>19.899999999999999</v>
      </c>
      <c r="DA672">
        <f t="shared" si="126"/>
        <v>6.56</v>
      </c>
      <c r="DB672">
        <f t="shared" si="122"/>
        <v>19.899999999999999</v>
      </c>
      <c r="DC672">
        <f t="shared" si="123"/>
        <v>0</v>
      </c>
    </row>
    <row r="673" spans="1:107" x14ac:dyDescent="0.2">
      <c r="A673">
        <f>ROW(Source!A536)</f>
        <v>536</v>
      </c>
      <c r="B673">
        <v>16748969</v>
      </c>
      <c r="C673">
        <v>16751579</v>
      </c>
      <c r="D673">
        <v>15218939</v>
      </c>
      <c r="E673">
        <v>1</v>
      </c>
      <c r="F673">
        <v>1</v>
      </c>
      <c r="G673">
        <v>1</v>
      </c>
      <c r="H673">
        <v>3</v>
      </c>
      <c r="I673" t="s">
        <v>1434</v>
      </c>
      <c r="J673" t="s">
        <v>1435</v>
      </c>
      <c r="K673" t="s">
        <v>1436</v>
      </c>
      <c r="L673">
        <v>1354</v>
      </c>
      <c r="N673">
        <v>1010</v>
      </c>
      <c r="O673" t="s">
        <v>53</v>
      </c>
      <c r="P673" t="s">
        <v>53</v>
      </c>
      <c r="Q673">
        <v>1</v>
      </c>
      <c r="W673">
        <v>0</v>
      </c>
      <c r="X673">
        <v>-1308137011</v>
      </c>
      <c r="Y673">
        <v>0.5</v>
      </c>
      <c r="AA673">
        <v>438.34</v>
      </c>
      <c r="AB673">
        <v>0</v>
      </c>
      <c r="AC673">
        <v>0</v>
      </c>
      <c r="AD673">
        <v>0</v>
      </c>
      <c r="AE673">
        <v>66.819999999999993</v>
      </c>
      <c r="AF673">
        <v>0</v>
      </c>
      <c r="AG673">
        <v>0</v>
      </c>
      <c r="AH673">
        <v>0</v>
      </c>
      <c r="AI673">
        <v>6.56</v>
      </c>
      <c r="AJ673">
        <v>1</v>
      </c>
      <c r="AK673">
        <v>1</v>
      </c>
      <c r="AL673">
        <v>1</v>
      </c>
      <c r="AN673">
        <v>0</v>
      </c>
      <c r="AO673">
        <v>1</v>
      </c>
      <c r="AP673">
        <v>0</v>
      </c>
      <c r="AQ673">
        <v>0</v>
      </c>
      <c r="AR673">
        <v>0</v>
      </c>
      <c r="AS673" t="s">
        <v>6</v>
      </c>
      <c r="AT673">
        <v>0.5</v>
      </c>
      <c r="AU673" t="s">
        <v>6</v>
      </c>
      <c r="AV673">
        <v>0</v>
      </c>
      <c r="AW673">
        <v>2</v>
      </c>
      <c r="AX673">
        <v>16751599</v>
      </c>
      <c r="AY673">
        <v>1</v>
      </c>
      <c r="AZ673">
        <v>0</v>
      </c>
      <c r="BA673">
        <v>619</v>
      </c>
      <c r="BB673">
        <v>0</v>
      </c>
      <c r="BC673">
        <v>0</v>
      </c>
      <c r="BD673">
        <v>0</v>
      </c>
      <c r="BE673">
        <v>0</v>
      </c>
      <c r="BF673">
        <v>0</v>
      </c>
      <c r="BG673">
        <v>0</v>
      </c>
      <c r="BH673">
        <v>0</v>
      </c>
      <c r="BI673">
        <v>0</v>
      </c>
      <c r="BJ673">
        <v>0</v>
      </c>
      <c r="BK673">
        <v>0</v>
      </c>
      <c r="BL673">
        <v>0</v>
      </c>
      <c r="BM673">
        <v>0</v>
      </c>
      <c r="BN673">
        <v>0</v>
      </c>
      <c r="BO673">
        <v>0</v>
      </c>
      <c r="BP673">
        <v>0</v>
      </c>
      <c r="BQ673">
        <v>0</v>
      </c>
      <c r="BR673">
        <v>0</v>
      </c>
      <c r="BS673">
        <v>0</v>
      </c>
      <c r="BT673">
        <v>0</v>
      </c>
      <c r="BU673">
        <v>0</v>
      </c>
      <c r="BV673">
        <v>0</v>
      </c>
      <c r="BW673">
        <v>0</v>
      </c>
      <c r="CX673">
        <f>Y673*Source!I536</f>
        <v>1.7999999999999999E-2</v>
      </c>
      <c r="CY673">
        <f t="shared" si="124"/>
        <v>438.34</v>
      </c>
      <c r="CZ673">
        <f t="shared" si="125"/>
        <v>66.819999999999993</v>
      </c>
      <c r="DA673">
        <f t="shared" si="126"/>
        <v>6.56</v>
      </c>
      <c r="DB673">
        <f t="shared" si="122"/>
        <v>33.409999999999997</v>
      </c>
      <c r="DC673">
        <f t="shared" si="123"/>
        <v>0</v>
      </c>
    </row>
    <row r="674" spans="1:107" x14ac:dyDescent="0.2">
      <c r="A674">
        <f>ROW(Source!A536)</f>
        <v>536</v>
      </c>
      <c r="B674">
        <v>16748969</v>
      </c>
      <c r="C674">
        <v>16751579</v>
      </c>
      <c r="D674">
        <v>15233361</v>
      </c>
      <c r="E674">
        <v>1</v>
      </c>
      <c r="F674">
        <v>1</v>
      </c>
      <c r="G674">
        <v>1</v>
      </c>
      <c r="H674">
        <v>3</v>
      </c>
      <c r="I674" t="s">
        <v>663</v>
      </c>
      <c r="J674" t="s">
        <v>665</v>
      </c>
      <c r="K674" t="s">
        <v>664</v>
      </c>
      <c r="L674">
        <v>1302</v>
      </c>
      <c r="N674">
        <v>1003</v>
      </c>
      <c r="O674" t="s">
        <v>632</v>
      </c>
      <c r="P674" t="s">
        <v>632</v>
      </c>
      <c r="Q674">
        <v>10</v>
      </c>
      <c r="W674">
        <v>0</v>
      </c>
      <c r="X674">
        <v>1974421767</v>
      </c>
      <c r="Y674">
        <v>10</v>
      </c>
      <c r="AA674">
        <v>521.32000000000005</v>
      </c>
      <c r="AB674">
        <v>0</v>
      </c>
      <c r="AC674">
        <v>0</v>
      </c>
      <c r="AD674">
        <v>0</v>
      </c>
      <c r="AE674">
        <v>79.47</v>
      </c>
      <c r="AF674">
        <v>0</v>
      </c>
      <c r="AG674">
        <v>0</v>
      </c>
      <c r="AH674">
        <v>0</v>
      </c>
      <c r="AI674">
        <v>6.56</v>
      </c>
      <c r="AJ674">
        <v>1</v>
      </c>
      <c r="AK674">
        <v>1</v>
      </c>
      <c r="AL674">
        <v>1</v>
      </c>
      <c r="AN674">
        <v>0</v>
      </c>
      <c r="AO674">
        <v>0</v>
      </c>
      <c r="AP674">
        <v>0</v>
      </c>
      <c r="AQ674">
        <v>0</v>
      </c>
      <c r="AR674">
        <v>0</v>
      </c>
      <c r="AS674" t="s">
        <v>6</v>
      </c>
      <c r="AT674">
        <v>10</v>
      </c>
      <c r="AU674" t="s">
        <v>6</v>
      </c>
      <c r="AV674">
        <v>0</v>
      </c>
      <c r="AW674">
        <v>1</v>
      </c>
      <c r="AX674">
        <v>-1</v>
      </c>
      <c r="AY674">
        <v>0</v>
      </c>
      <c r="AZ674">
        <v>0</v>
      </c>
      <c r="BA674" t="s">
        <v>6</v>
      </c>
      <c r="BB674">
        <v>0</v>
      </c>
      <c r="BC674">
        <v>0</v>
      </c>
      <c r="BD674">
        <v>0</v>
      </c>
      <c r="BE674">
        <v>0</v>
      </c>
      <c r="BF674">
        <v>0</v>
      </c>
      <c r="BG674">
        <v>0</v>
      </c>
      <c r="BH674">
        <v>0</v>
      </c>
      <c r="BI674">
        <v>0</v>
      </c>
      <c r="BJ674">
        <v>0</v>
      </c>
      <c r="BK674">
        <v>0</v>
      </c>
      <c r="BL674">
        <v>0</v>
      </c>
      <c r="BM674">
        <v>0</v>
      </c>
      <c r="BN674">
        <v>0</v>
      </c>
      <c r="BO674">
        <v>0</v>
      </c>
      <c r="BP674">
        <v>0</v>
      </c>
      <c r="BQ674">
        <v>0</v>
      </c>
      <c r="BR674">
        <v>0</v>
      </c>
      <c r="BS674">
        <v>0</v>
      </c>
      <c r="BT674">
        <v>0</v>
      </c>
      <c r="BU674">
        <v>0</v>
      </c>
      <c r="BV674">
        <v>0</v>
      </c>
      <c r="BW674">
        <v>0</v>
      </c>
      <c r="CX674">
        <f>Y674*Source!I536</f>
        <v>0.36</v>
      </c>
      <c r="CY674">
        <f t="shared" si="124"/>
        <v>521.32000000000005</v>
      </c>
      <c r="CZ674">
        <f t="shared" si="125"/>
        <v>79.47</v>
      </c>
      <c r="DA674">
        <f t="shared" si="126"/>
        <v>6.56</v>
      </c>
      <c r="DB674">
        <f t="shared" si="122"/>
        <v>794.7</v>
      </c>
      <c r="DC674">
        <f t="shared" si="123"/>
        <v>0</v>
      </c>
    </row>
    <row r="675" spans="1:107" x14ac:dyDescent="0.2">
      <c r="A675">
        <f>ROW(Source!A536)</f>
        <v>536</v>
      </c>
      <c r="B675">
        <v>16748969</v>
      </c>
      <c r="C675">
        <v>16751579</v>
      </c>
      <c r="D675">
        <v>15164559</v>
      </c>
      <c r="E675">
        <v>17</v>
      </c>
      <c r="F675">
        <v>1</v>
      </c>
      <c r="G675">
        <v>1</v>
      </c>
      <c r="H675">
        <v>3</v>
      </c>
      <c r="I675" t="s">
        <v>1383</v>
      </c>
      <c r="J675" t="s">
        <v>6</v>
      </c>
      <c r="K675" t="s">
        <v>1384</v>
      </c>
      <c r="L675">
        <v>1374</v>
      </c>
      <c r="N675">
        <v>1013</v>
      </c>
      <c r="O675" t="s">
        <v>1385</v>
      </c>
      <c r="P675" t="s">
        <v>1385</v>
      </c>
      <c r="Q675">
        <v>1</v>
      </c>
      <c r="W675">
        <v>0</v>
      </c>
      <c r="X675">
        <v>-1731369543</v>
      </c>
      <c r="Y675">
        <v>2.87</v>
      </c>
      <c r="AA675">
        <v>1</v>
      </c>
      <c r="AB675">
        <v>0</v>
      </c>
      <c r="AC675">
        <v>0</v>
      </c>
      <c r="AD675">
        <v>0</v>
      </c>
      <c r="AE675">
        <v>1</v>
      </c>
      <c r="AF675">
        <v>0</v>
      </c>
      <c r="AG675">
        <v>0</v>
      </c>
      <c r="AH675">
        <v>0</v>
      </c>
      <c r="AI675">
        <v>1</v>
      </c>
      <c r="AJ675">
        <v>1</v>
      </c>
      <c r="AK675">
        <v>1</v>
      </c>
      <c r="AL675">
        <v>1</v>
      </c>
      <c r="AN675">
        <v>0</v>
      </c>
      <c r="AO675">
        <v>1</v>
      </c>
      <c r="AP675">
        <v>0</v>
      </c>
      <c r="AQ675">
        <v>0</v>
      </c>
      <c r="AR675">
        <v>0</v>
      </c>
      <c r="AS675" t="s">
        <v>6</v>
      </c>
      <c r="AT675">
        <v>2.87</v>
      </c>
      <c r="AU675" t="s">
        <v>6</v>
      </c>
      <c r="AV675">
        <v>0</v>
      </c>
      <c r="AW675">
        <v>2</v>
      </c>
      <c r="AX675">
        <v>16751600</v>
      </c>
      <c r="AY675">
        <v>1</v>
      </c>
      <c r="AZ675">
        <v>0</v>
      </c>
      <c r="BA675">
        <v>620</v>
      </c>
      <c r="BB675">
        <v>0</v>
      </c>
      <c r="BC675">
        <v>0</v>
      </c>
      <c r="BD675">
        <v>0</v>
      </c>
      <c r="BE675">
        <v>0</v>
      </c>
      <c r="BF675">
        <v>0</v>
      </c>
      <c r="BG675">
        <v>0</v>
      </c>
      <c r="BH675">
        <v>0</v>
      </c>
      <c r="BI675">
        <v>0</v>
      </c>
      <c r="BJ675">
        <v>0</v>
      </c>
      <c r="BK675">
        <v>0</v>
      </c>
      <c r="BL675">
        <v>0</v>
      </c>
      <c r="BM675">
        <v>0</v>
      </c>
      <c r="BN675">
        <v>0</v>
      </c>
      <c r="BO675">
        <v>0</v>
      </c>
      <c r="BP675">
        <v>0</v>
      </c>
      <c r="BQ675">
        <v>0</v>
      </c>
      <c r="BR675">
        <v>0</v>
      </c>
      <c r="BS675">
        <v>0</v>
      </c>
      <c r="BT675">
        <v>0</v>
      </c>
      <c r="BU675">
        <v>0</v>
      </c>
      <c r="BV675">
        <v>0</v>
      </c>
      <c r="BW675">
        <v>0</v>
      </c>
      <c r="CX675">
        <f>Y675*Source!I536</f>
        <v>0.10332</v>
      </c>
      <c r="CY675">
        <f t="shared" si="124"/>
        <v>1</v>
      </c>
      <c r="CZ675">
        <f t="shared" si="125"/>
        <v>1</v>
      </c>
      <c r="DA675">
        <f t="shared" si="126"/>
        <v>1</v>
      </c>
      <c r="DB675">
        <f t="shared" si="122"/>
        <v>2.87</v>
      </c>
      <c r="DC675">
        <f t="shared" si="123"/>
        <v>0</v>
      </c>
    </row>
    <row r="676" spans="1:107" x14ac:dyDescent="0.2">
      <c r="A676">
        <f>ROW(Source!A538)</f>
        <v>538</v>
      </c>
      <c r="B676">
        <v>16748969</v>
      </c>
      <c r="C676">
        <v>16751602</v>
      </c>
      <c r="D676">
        <v>15430397</v>
      </c>
      <c r="E676">
        <v>1</v>
      </c>
      <c r="F676">
        <v>1</v>
      </c>
      <c r="G676">
        <v>1</v>
      </c>
      <c r="H676">
        <v>1</v>
      </c>
      <c r="I676" t="s">
        <v>1234</v>
      </c>
      <c r="J676" t="s">
        <v>6</v>
      </c>
      <c r="K676" t="s">
        <v>1235</v>
      </c>
      <c r="L676">
        <v>1191</v>
      </c>
      <c r="N676">
        <v>1013</v>
      </c>
      <c r="O676" t="s">
        <v>1072</v>
      </c>
      <c r="P676" t="s">
        <v>1072</v>
      </c>
      <c r="Q676">
        <v>1</v>
      </c>
      <c r="W676">
        <v>0</v>
      </c>
      <c r="X676">
        <v>-1081351934</v>
      </c>
      <c r="Y676">
        <v>8.56</v>
      </c>
      <c r="AA676">
        <v>0</v>
      </c>
      <c r="AB676">
        <v>0</v>
      </c>
      <c r="AC676">
        <v>0</v>
      </c>
      <c r="AD676">
        <v>61.66</v>
      </c>
      <c r="AE676">
        <v>0</v>
      </c>
      <c r="AF676">
        <v>0</v>
      </c>
      <c r="AG676">
        <v>0</v>
      </c>
      <c r="AH676">
        <v>9.4</v>
      </c>
      <c r="AI676">
        <v>1</v>
      </c>
      <c r="AJ676">
        <v>1</v>
      </c>
      <c r="AK676">
        <v>1</v>
      </c>
      <c r="AL676">
        <v>6.56</v>
      </c>
      <c r="AN676">
        <v>0</v>
      </c>
      <c r="AO676">
        <v>1</v>
      </c>
      <c r="AP676">
        <v>0</v>
      </c>
      <c r="AQ676">
        <v>0</v>
      </c>
      <c r="AR676">
        <v>0</v>
      </c>
      <c r="AS676" t="s">
        <v>6</v>
      </c>
      <c r="AT676">
        <v>8.56</v>
      </c>
      <c r="AU676" t="s">
        <v>6</v>
      </c>
      <c r="AV676">
        <v>1</v>
      </c>
      <c r="AW676">
        <v>2</v>
      </c>
      <c r="AX676">
        <v>16751616</v>
      </c>
      <c r="AY676">
        <v>1</v>
      </c>
      <c r="AZ676">
        <v>0</v>
      </c>
      <c r="BA676">
        <v>621</v>
      </c>
      <c r="BB676">
        <v>0</v>
      </c>
      <c r="BC676">
        <v>0</v>
      </c>
      <c r="BD676">
        <v>0</v>
      </c>
      <c r="BE676">
        <v>0</v>
      </c>
      <c r="BF676">
        <v>0</v>
      </c>
      <c r="BG676">
        <v>0</v>
      </c>
      <c r="BH676">
        <v>0</v>
      </c>
      <c r="BI676">
        <v>0</v>
      </c>
      <c r="BJ676">
        <v>0</v>
      </c>
      <c r="BK676">
        <v>0</v>
      </c>
      <c r="BL676">
        <v>0</v>
      </c>
      <c r="BM676">
        <v>0</v>
      </c>
      <c r="BN676">
        <v>0</v>
      </c>
      <c r="BO676">
        <v>0</v>
      </c>
      <c r="BP676">
        <v>0</v>
      </c>
      <c r="BQ676">
        <v>0</v>
      </c>
      <c r="BR676">
        <v>0</v>
      </c>
      <c r="BS676">
        <v>0</v>
      </c>
      <c r="BT676">
        <v>0</v>
      </c>
      <c r="BU676">
        <v>0</v>
      </c>
      <c r="BV676">
        <v>0</v>
      </c>
      <c r="BW676">
        <v>0</v>
      </c>
      <c r="CX676">
        <f>Y676*Source!I538</f>
        <v>0.51360000000000006</v>
      </c>
      <c r="CY676">
        <f>AD676</f>
        <v>61.66</v>
      </c>
      <c r="CZ676">
        <f>AH676</f>
        <v>9.4</v>
      </c>
      <c r="DA676">
        <f>AL676</f>
        <v>6.56</v>
      </c>
      <c r="DB676">
        <f t="shared" si="122"/>
        <v>80.459999999999994</v>
      </c>
      <c r="DC676">
        <f t="shared" si="123"/>
        <v>0</v>
      </c>
    </row>
    <row r="677" spans="1:107" x14ac:dyDescent="0.2">
      <c r="A677">
        <f>ROW(Source!A538)</f>
        <v>538</v>
      </c>
      <c r="B677">
        <v>16748969</v>
      </c>
      <c r="C677">
        <v>16751602</v>
      </c>
      <c r="D677">
        <v>15430395</v>
      </c>
      <c r="E677">
        <v>1</v>
      </c>
      <c r="F677">
        <v>1</v>
      </c>
      <c r="G677">
        <v>1</v>
      </c>
      <c r="H677">
        <v>1</v>
      </c>
      <c r="I677" t="s">
        <v>1073</v>
      </c>
      <c r="J677" t="s">
        <v>6</v>
      </c>
      <c r="K677" t="s">
        <v>1074</v>
      </c>
      <c r="L677">
        <v>1191</v>
      </c>
      <c r="N677">
        <v>1013</v>
      </c>
      <c r="O677" t="s">
        <v>1072</v>
      </c>
      <c r="P677" t="s">
        <v>1072</v>
      </c>
      <c r="Q677">
        <v>1</v>
      </c>
      <c r="W677">
        <v>0</v>
      </c>
      <c r="X677">
        <v>-1417349443</v>
      </c>
      <c r="Y677">
        <v>2.27</v>
      </c>
      <c r="AA677">
        <v>0</v>
      </c>
      <c r="AB677">
        <v>0</v>
      </c>
      <c r="AC677">
        <v>0</v>
      </c>
      <c r="AD677">
        <v>0</v>
      </c>
      <c r="AE677">
        <v>0</v>
      </c>
      <c r="AF677">
        <v>0</v>
      </c>
      <c r="AG677">
        <v>0</v>
      </c>
      <c r="AH677">
        <v>0</v>
      </c>
      <c r="AI677">
        <v>1</v>
      </c>
      <c r="AJ677">
        <v>1</v>
      </c>
      <c r="AK677">
        <v>6.56</v>
      </c>
      <c r="AL677">
        <v>1</v>
      </c>
      <c r="AN677">
        <v>0</v>
      </c>
      <c r="AO677">
        <v>1</v>
      </c>
      <c r="AP677">
        <v>0</v>
      </c>
      <c r="AQ677">
        <v>0</v>
      </c>
      <c r="AR677">
        <v>0</v>
      </c>
      <c r="AS677" t="s">
        <v>6</v>
      </c>
      <c r="AT677">
        <v>2.27</v>
      </c>
      <c r="AU677" t="s">
        <v>6</v>
      </c>
      <c r="AV677">
        <v>2</v>
      </c>
      <c r="AW677">
        <v>2</v>
      </c>
      <c r="AX677">
        <v>16751617</v>
      </c>
      <c r="AY677">
        <v>1</v>
      </c>
      <c r="AZ677">
        <v>0</v>
      </c>
      <c r="BA677">
        <v>622</v>
      </c>
      <c r="BB677">
        <v>0</v>
      </c>
      <c r="BC677">
        <v>0</v>
      </c>
      <c r="BD677">
        <v>0</v>
      </c>
      <c r="BE677">
        <v>0</v>
      </c>
      <c r="BF677">
        <v>0</v>
      </c>
      <c r="BG677">
        <v>0</v>
      </c>
      <c r="BH677">
        <v>0</v>
      </c>
      <c r="BI677">
        <v>0</v>
      </c>
      <c r="BJ677">
        <v>0</v>
      </c>
      <c r="BK677">
        <v>0</v>
      </c>
      <c r="BL677">
        <v>0</v>
      </c>
      <c r="BM677">
        <v>0</v>
      </c>
      <c r="BN677">
        <v>0</v>
      </c>
      <c r="BO677">
        <v>0</v>
      </c>
      <c r="BP677">
        <v>0</v>
      </c>
      <c r="BQ677">
        <v>0</v>
      </c>
      <c r="BR677">
        <v>0</v>
      </c>
      <c r="BS677">
        <v>0</v>
      </c>
      <c r="BT677">
        <v>0</v>
      </c>
      <c r="BU677">
        <v>0</v>
      </c>
      <c r="BV677">
        <v>0</v>
      </c>
      <c r="BW677">
        <v>0</v>
      </c>
      <c r="CX677">
        <f>Y677*Source!I538</f>
        <v>0.13619999999999999</v>
      </c>
      <c r="CY677">
        <f>AD677</f>
        <v>0</v>
      </c>
      <c r="CZ677">
        <f>AH677</f>
        <v>0</v>
      </c>
      <c r="DA677">
        <f>AL677</f>
        <v>1</v>
      </c>
      <c r="DB677">
        <f t="shared" si="122"/>
        <v>0</v>
      </c>
      <c r="DC677">
        <f t="shared" si="123"/>
        <v>0</v>
      </c>
    </row>
    <row r="678" spans="1:107" x14ac:dyDescent="0.2">
      <c r="A678">
        <f>ROW(Source!A538)</f>
        <v>538</v>
      </c>
      <c r="B678">
        <v>16748969</v>
      </c>
      <c r="C678">
        <v>16751602</v>
      </c>
      <c r="D678">
        <v>15247680</v>
      </c>
      <c r="E678">
        <v>1</v>
      </c>
      <c r="F678">
        <v>1</v>
      </c>
      <c r="G678">
        <v>1</v>
      </c>
      <c r="H678">
        <v>2</v>
      </c>
      <c r="I678" t="s">
        <v>1211</v>
      </c>
      <c r="J678" t="s">
        <v>1212</v>
      </c>
      <c r="K678" t="s">
        <v>1213</v>
      </c>
      <c r="L678">
        <v>1368</v>
      </c>
      <c r="N678">
        <v>1011</v>
      </c>
      <c r="O678" t="s">
        <v>1078</v>
      </c>
      <c r="P678" t="s">
        <v>1078</v>
      </c>
      <c r="Q678">
        <v>1</v>
      </c>
      <c r="W678">
        <v>0</v>
      </c>
      <c r="X678">
        <v>-1718674368</v>
      </c>
      <c r="Y678">
        <v>0.1</v>
      </c>
      <c r="AA678">
        <v>0</v>
      </c>
      <c r="AB678">
        <v>734.65</v>
      </c>
      <c r="AC678">
        <v>13.5</v>
      </c>
      <c r="AD678">
        <v>0</v>
      </c>
      <c r="AE678">
        <v>0</v>
      </c>
      <c r="AF678">
        <v>111.99</v>
      </c>
      <c r="AG678">
        <v>13.5</v>
      </c>
      <c r="AH678">
        <v>0</v>
      </c>
      <c r="AI678">
        <v>1</v>
      </c>
      <c r="AJ678">
        <v>6.56</v>
      </c>
      <c r="AK678">
        <v>1</v>
      </c>
      <c r="AL678">
        <v>1</v>
      </c>
      <c r="AN678">
        <v>0</v>
      </c>
      <c r="AO678">
        <v>1</v>
      </c>
      <c r="AP678">
        <v>0</v>
      </c>
      <c r="AQ678">
        <v>0</v>
      </c>
      <c r="AR678">
        <v>0</v>
      </c>
      <c r="AS678" t="s">
        <v>6</v>
      </c>
      <c r="AT678">
        <v>0.1</v>
      </c>
      <c r="AU678" t="s">
        <v>6</v>
      </c>
      <c r="AV678">
        <v>0</v>
      </c>
      <c r="AW678">
        <v>2</v>
      </c>
      <c r="AX678">
        <v>16751618</v>
      </c>
      <c r="AY678">
        <v>1</v>
      </c>
      <c r="AZ678">
        <v>0</v>
      </c>
      <c r="BA678">
        <v>623</v>
      </c>
      <c r="BB678">
        <v>0</v>
      </c>
      <c r="BC678">
        <v>0</v>
      </c>
      <c r="BD678">
        <v>0</v>
      </c>
      <c r="BE678">
        <v>0</v>
      </c>
      <c r="BF678">
        <v>0</v>
      </c>
      <c r="BG678">
        <v>0</v>
      </c>
      <c r="BH678">
        <v>0</v>
      </c>
      <c r="BI678">
        <v>0</v>
      </c>
      <c r="BJ678">
        <v>0</v>
      </c>
      <c r="BK678">
        <v>0</v>
      </c>
      <c r="BL678">
        <v>0</v>
      </c>
      <c r="BM678">
        <v>0</v>
      </c>
      <c r="BN678">
        <v>0</v>
      </c>
      <c r="BO678">
        <v>0</v>
      </c>
      <c r="BP678">
        <v>0</v>
      </c>
      <c r="BQ678">
        <v>0</v>
      </c>
      <c r="BR678">
        <v>0</v>
      </c>
      <c r="BS678">
        <v>0</v>
      </c>
      <c r="BT678">
        <v>0</v>
      </c>
      <c r="BU678">
        <v>0</v>
      </c>
      <c r="BV678">
        <v>0</v>
      </c>
      <c r="BW678">
        <v>0</v>
      </c>
      <c r="CX678">
        <f>Y678*Source!I538</f>
        <v>6.0000000000000001E-3</v>
      </c>
      <c r="CY678">
        <f>AB678</f>
        <v>734.65</v>
      </c>
      <c r="CZ678">
        <f>AF678</f>
        <v>111.99</v>
      </c>
      <c r="DA678">
        <f>AJ678</f>
        <v>6.56</v>
      </c>
      <c r="DB678">
        <f t="shared" si="122"/>
        <v>11.2</v>
      </c>
      <c r="DC678">
        <f t="shared" si="123"/>
        <v>1.35</v>
      </c>
    </row>
    <row r="679" spans="1:107" x14ac:dyDescent="0.2">
      <c r="A679">
        <f>ROW(Source!A538)</f>
        <v>538</v>
      </c>
      <c r="B679">
        <v>16748969</v>
      </c>
      <c r="C679">
        <v>16751602</v>
      </c>
      <c r="D679">
        <v>15247962</v>
      </c>
      <c r="E679">
        <v>1</v>
      </c>
      <c r="F679">
        <v>1</v>
      </c>
      <c r="G679">
        <v>1</v>
      </c>
      <c r="H679">
        <v>2</v>
      </c>
      <c r="I679" t="s">
        <v>1458</v>
      </c>
      <c r="J679" t="s">
        <v>1459</v>
      </c>
      <c r="K679" t="s">
        <v>1460</v>
      </c>
      <c r="L679">
        <v>1368</v>
      </c>
      <c r="N679">
        <v>1011</v>
      </c>
      <c r="O679" t="s">
        <v>1078</v>
      </c>
      <c r="P679" t="s">
        <v>1078</v>
      </c>
      <c r="Q679">
        <v>1</v>
      </c>
      <c r="W679">
        <v>0</v>
      </c>
      <c r="X679">
        <v>-1099504201</v>
      </c>
      <c r="Y679">
        <v>2.0699999999999998</v>
      </c>
      <c r="AA679">
        <v>0</v>
      </c>
      <c r="AB679">
        <v>194.18</v>
      </c>
      <c r="AC679">
        <v>10.06</v>
      </c>
      <c r="AD679">
        <v>0</v>
      </c>
      <c r="AE679">
        <v>0</v>
      </c>
      <c r="AF679">
        <v>29.6</v>
      </c>
      <c r="AG679">
        <v>10.06</v>
      </c>
      <c r="AH679">
        <v>0</v>
      </c>
      <c r="AI679">
        <v>1</v>
      </c>
      <c r="AJ679">
        <v>6.56</v>
      </c>
      <c r="AK679">
        <v>1</v>
      </c>
      <c r="AL679">
        <v>1</v>
      </c>
      <c r="AN679">
        <v>0</v>
      </c>
      <c r="AO679">
        <v>1</v>
      </c>
      <c r="AP679">
        <v>0</v>
      </c>
      <c r="AQ679">
        <v>0</v>
      </c>
      <c r="AR679">
        <v>0</v>
      </c>
      <c r="AS679" t="s">
        <v>6</v>
      </c>
      <c r="AT679">
        <v>2.0699999999999998</v>
      </c>
      <c r="AU679" t="s">
        <v>6</v>
      </c>
      <c r="AV679">
        <v>0</v>
      </c>
      <c r="AW679">
        <v>2</v>
      </c>
      <c r="AX679">
        <v>16751619</v>
      </c>
      <c r="AY679">
        <v>1</v>
      </c>
      <c r="AZ679">
        <v>0</v>
      </c>
      <c r="BA679">
        <v>624</v>
      </c>
      <c r="BB679">
        <v>0</v>
      </c>
      <c r="BC679">
        <v>0</v>
      </c>
      <c r="BD679">
        <v>0</v>
      </c>
      <c r="BE679">
        <v>0</v>
      </c>
      <c r="BF679">
        <v>0</v>
      </c>
      <c r="BG679">
        <v>0</v>
      </c>
      <c r="BH679">
        <v>0</v>
      </c>
      <c r="BI679">
        <v>0</v>
      </c>
      <c r="BJ679">
        <v>0</v>
      </c>
      <c r="BK679">
        <v>0</v>
      </c>
      <c r="BL679">
        <v>0</v>
      </c>
      <c r="BM679">
        <v>0</v>
      </c>
      <c r="BN679">
        <v>0</v>
      </c>
      <c r="BO679">
        <v>0</v>
      </c>
      <c r="BP679">
        <v>0</v>
      </c>
      <c r="BQ679">
        <v>0</v>
      </c>
      <c r="BR679">
        <v>0</v>
      </c>
      <c r="BS679">
        <v>0</v>
      </c>
      <c r="BT679">
        <v>0</v>
      </c>
      <c r="BU679">
        <v>0</v>
      </c>
      <c r="BV679">
        <v>0</v>
      </c>
      <c r="BW679">
        <v>0</v>
      </c>
      <c r="CX679">
        <f>Y679*Source!I538</f>
        <v>0.12419999999999999</v>
      </c>
      <c r="CY679">
        <f>AB679</f>
        <v>194.18</v>
      </c>
      <c r="CZ679">
        <f>AF679</f>
        <v>29.6</v>
      </c>
      <c r="DA679">
        <f>AJ679</f>
        <v>6.56</v>
      </c>
      <c r="DB679">
        <f t="shared" si="122"/>
        <v>61.27</v>
      </c>
      <c r="DC679">
        <f t="shared" si="123"/>
        <v>20.82</v>
      </c>
    </row>
    <row r="680" spans="1:107" x14ac:dyDescent="0.2">
      <c r="A680">
        <f>ROW(Source!A538)</f>
        <v>538</v>
      </c>
      <c r="B680">
        <v>16748969</v>
      </c>
      <c r="C680">
        <v>16751602</v>
      </c>
      <c r="D680">
        <v>15249073</v>
      </c>
      <c r="E680">
        <v>1</v>
      </c>
      <c r="F680">
        <v>1</v>
      </c>
      <c r="G680">
        <v>1</v>
      </c>
      <c r="H680">
        <v>2</v>
      </c>
      <c r="I680" t="s">
        <v>1097</v>
      </c>
      <c r="J680" t="s">
        <v>1098</v>
      </c>
      <c r="K680" t="s">
        <v>1099</v>
      </c>
      <c r="L680">
        <v>1368</v>
      </c>
      <c r="N680">
        <v>1011</v>
      </c>
      <c r="O680" t="s">
        <v>1078</v>
      </c>
      <c r="P680" t="s">
        <v>1078</v>
      </c>
      <c r="Q680">
        <v>1</v>
      </c>
      <c r="W680">
        <v>0</v>
      </c>
      <c r="X680">
        <v>1372534845</v>
      </c>
      <c r="Y680">
        <v>0.1</v>
      </c>
      <c r="AA680">
        <v>0</v>
      </c>
      <c r="AB680">
        <v>431.06</v>
      </c>
      <c r="AC680">
        <v>11.6</v>
      </c>
      <c r="AD680">
        <v>0</v>
      </c>
      <c r="AE680">
        <v>0</v>
      </c>
      <c r="AF680">
        <v>65.709999999999994</v>
      </c>
      <c r="AG680">
        <v>11.6</v>
      </c>
      <c r="AH680">
        <v>0</v>
      </c>
      <c r="AI680">
        <v>1</v>
      </c>
      <c r="AJ680">
        <v>6.56</v>
      </c>
      <c r="AK680">
        <v>1</v>
      </c>
      <c r="AL680">
        <v>1</v>
      </c>
      <c r="AN680">
        <v>0</v>
      </c>
      <c r="AO680">
        <v>1</v>
      </c>
      <c r="AP680">
        <v>0</v>
      </c>
      <c r="AQ680">
        <v>0</v>
      </c>
      <c r="AR680">
        <v>0</v>
      </c>
      <c r="AS680" t="s">
        <v>6</v>
      </c>
      <c r="AT680">
        <v>0.1</v>
      </c>
      <c r="AU680" t="s">
        <v>6</v>
      </c>
      <c r="AV680">
        <v>0</v>
      </c>
      <c r="AW680">
        <v>2</v>
      </c>
      <c r="AX680">
        <v>16751620</v>
      </c>
      <c r="AY680">
        <v>1</v>
      </c>
      <c r="AZ680">
        <v>0</v>
      </c>
      <c r="BA680">
        <v>625</v>
      </c>
      <c r="BB680">
        <v>0</v>
      </c>
      <c r="BC680">
        <v>0</v>
      </c>
      <c r="BD680">
        <v>0</v>
      </c>
      <c r="BE680">
        <v>0</v>
      </c>
      <c r="BF680">
        <v>0</v>
      </c>
      <c r="BG680">
        <v>0</v>
      </c>
      <c r="BH680">
        <v>0</v>
      </c>
      <c r="BI680">
        <v>0</v>
      </c>
      <c r="BJ680">
        <v>0</v>
      </c>
      <c r="BK680">
        <v>0</v>
      </c>
      <c r="BL680">
        <v>0</v>
      </c>
      <c r="BM680">
        <v>0</v>
      </c>
      <c r="BN680">
        <v>0</v>
      </c>
      <c r="BO680">
        <v>0</v>
      </c>
      <c r="BP680">
        <v>0</v>
      </c>
      <c r="BQ680">
        <v>0</v>
      </c>
      <c r="BR680">
        <v>0</v>
      </c>
      <c r="BS680">
        <v>0</v>
      </c>
      <c r="BT680">
        <v>0</v>
      </c>
      <c r="BU680">
        <v>0</v>
      </c>
      <c r="BV680">
        <v>0</v>
      </c>
      <c r="BW680">
        <v>0</v>
      </c>
      <c r="CX680">
        <f>Y680*Source!I538</f>
        <v>6.0000000000000001E-3</v>
      </c>
      <c r="CY680">
        <f>AB680</f>
        <v>431.06</v>
      </c>
      <c r="CZ680">
        <f>AF680</f>
        <v>65.709999999999994</v>
      </c>
      <c r="DA680">
        <f>AJ680</f>
        <v>6.56</v>
      </c>
      <c r="DB680">
        <f t="shared" si="122"/>
        <v>6.57</v>
      </c>
      <c r="DC680">
        <f t="shared" si="123"/>
        <v>1.1599999999999999</v>
      </c>
    </row>
    <row r="681" spans="1:107" x14ac:dyDescent="0.2">
      <c r="A681">
        <f>ROW(Source!A538)</f>
        <v>538</v>
      </c>
      <c r="B681">
        <v>16748969</v>
      </c>
      <c r="C681">
        <v>16751602</v>
      </c>
      <c r="D681">
        <v>15249377</v>
      </c>
      <c r="E681">
        <v>1</v>
      </c>
      <c r="F681">
        <v>1</v>
      </c>
      <c r="G681">
        <v>1</v>
      </c>
      <c r="H681">
        <v>2</v>
      </c>
      <c r="I681" t="s">
        <v>1100</v>
      </c>
      <c r="J681" t="s">
        <v>1101</v>
      </c>
      <c r="K681" t="s">
        <v>1102</v>
      </c>
      <c r="L681">
        <v>1368</v>
      </c>
      <c r="N681">
        <v>1011</v>
      </c>
      <c r="O681" t="s">
        <v>1078</v>
      </c>
      <c r="P681" t="s">
        <v>1078</v>
      </c>
      <c r="Q681">
        <v>1</v>
      </c>
      <c r="W681">
        <v>0</v>
      </c>
      <c r="X681">
        <v>-353815937</v>
      </c>
      <c r="Y681">
        <v>1.93</v>
      </c>
      <c r="AA681">
        <v>0</v>
      </c>
      <c r="AB681">
        <v>53.14</v>
      </c>
      <c r="AC681">
        <v>0</v>
      </c>
      <c r="AD681">
        <v>0</v>
      </c>
      <c r="AE681">
        <v>0</v>
      </c>
      <c r="AF681">
        <v>8.1</v>
      </c>
      <c r="AG681">
        <v>0</v>
      </c>
      <c r="AH681">
        <v>0</v>
      </c>
      <c r="AI681">
        <v>1</v>
      </c>
      <c r="AJ681">
        <v>6.56</v>
      </c>
      <c r="AK681">
        <v>1</v>
      </c>
      <c r="AL681">
        <v>1</v>
      </c>
      <c r="AN681">
        <v>0</v>
      </c>
      <c r="AO681">
        <v>1</v>
      </c>
      <c r="AP681">
        <v>0</v>
      </c>
      <c r="AQ681">
        <v>0</v>
      </c>
      <c r="AR681">
        <v>0</v>
      </c>
      <c r="AS681" t="s">
        <v>6</v>
      </c>
      <c r="AT681">
        <v>1.93</v>
      </c>
      <c r="AU681" t="s">
        <v>6</v>
      </c>
      <c r="AV681">
        <v>0</v>
      </c>
      <c r="AW681">
        <v>2</v>
      </c>
      <c r="AX681">
        <v>16751621</v>
      </c>
      <c r="AY681">
        <v>1</v>
      </c>
      <c r="AZ681">
        <v>0</v>
      </c>
      <c r="BA681">
        <v>626</v>
      </c>
      <c r="BB681">
        <v>0</v>
      </c>
      <c r="BC681">
        <v>0</v>
      </c>
      <c r="BD681">
        <v>0</v>
      </c>
      <c r="BE681">
        <v>0</v>
      </c>
      <c r="BF681">
        <v>0</v>
      </c>
      <c r="BG681">
        <v>0</v>
      </c>
      <c r="BH681">
        <v>0</v>
      </c>
      <c r="BI681">
        <v>0</v>
      </c>
      <c r="BJ681">
        <v>0</v>
      </c>
      <c r="BK681">
        <v>0</v>
      </c>
      <c r="BL681">
        <v>0</v>
      </c>
      <c r="BM681">
        <v>0</v>
      </c>
      <c r="BN681">
        <v>0</v>
      </c>
      <c r="BO681">
        <v>0</v>
      </c>
      <c r="BP681">
        <v>0</v>
      </c>
      <c r="BQ681">
        <v>0</v>
      </c>
      <c r="BR681">
        <v>0</v>
      </c>
      <c r="BS681">
        <v>0</v>
      </c>
      <c r="BT681">
        <v>0</v>
      </c>
      <c r="BU681">
        <v>0</v>
      </c>
      <c r="BV681">
        <v>0</v>
      </c>
      <c r="BW681">
        <v>0</v>
      </c>
      <c r="CX681">
        <f>Y681*Source!I538</f>
        <v>0.11579999999999999</v>
      </c>
      <c r="CY681">
        <f>AB681</f>
        <v>53.14</v>
      </c>
      <c r="CZ681">
        <f>AF681</f>
        <v>8.1</v>
      </c>
      <c r="DA681">
        <f>AJ681</f>
        <v>6.56</v>
      </c>
      <c r="DB681">
        <f t="shared" si="122"/>
        <v>15.63</v>
      </c>
      <c r="DC681">
        <f t="shared" si="123"/>
        <v>0</v>
      </c>
    </row>
    <row r="682" spans="1:107" x14ac:dyDescent="0.2">
      <c r="A682">
        <f>ROW(Source!A538)</f>
        <v>538</v>
      </c>
      <c r="B682">
        <v>16748969</v>
      </c>
      <c r="C682">
        <v>16751602</v>
      </c>
      <c r="D682">
        <v>15168752</v>
      </c>
      <c r="E682">
        <v>1</v>
      </c>
      <c r="F682">
        <v>1</v>
      </c>
      <c r="G682">
        <v>1</v>
      </c>
      <c r="H682">
        <v>3</v>
      </c>
      <c r="I682" t="s">
        <v>1443</v>
      </c>
      <c r="J682" t="s">
        <v>1444</v>
      </c>
      <c r="K682" t="s">
        <v>1445</v>
      </c>
      <c r="L682">
        <v>1346</v>
      </c>
      <c r="N682">
        <v>1009</v>
      </c>
      <c r="O682" t="s">
        <v>323</v>
      </c>
      <c r="P682" t="s">
        <v>323</v>
      </c>
      <c r="Q682">
        <v>1</v>
      </c>
      <c r="W682">
        <v>0</v>
      </c>
      <c r="X682">
        <v>586013393</v>
      </c>
      <c r="Y682">
        <v>2.14</v>
      </c>
      <c r="AA682">
        <v>69.34</v>
      </c>
      <c r="AB682">
        <v>0</v>
      </c>
      <c r="AC682">
        <v>0</v>
      </c>
      <c r="AD682">
        <v>0</v>
      </c>
      <c r="AE682">
        <v>10.57</v>
      </c>
      <c r="AF682">
        <v>0</v>
      </c>
      <c r="AG682">
        <v>0</v>
      </c>
      <c r="AH682">
        <v>0</v>
      </c>
      <c r="AI682">
        <v>6.56</v>
      </c>
      <c r="AJ682">
        <v>1</v>
      </c>
      <c r="AK682">
        <v>1</v>
      </c>
      <c r="AL682">
        <v>1</v>
      </c>
      <c r="AN682">
        <v>0</v>
      </c>
      <c r="AO682">
        <v>1</v>
      </c>
      <c r="AP682">
        <v>0</v>
      </c>
      <c r="AQ682">
        <v>0</v>
      </c>
      <c r="AR682">
        <v>0</v>
      </c>
      <c r="AS682" t="s">
        <v>6</v>
      </c>
      <c r="AT682">
        <v>2.14</v>
      </c>
      <c r="AU682" t="s">
        <v>6</v>
      </c>
      <c r="AV682">
        <v>0</v>
      </c>
      <c r="AW682">
        <v>2</v>
      </c>
      <c r="AX682">
        <v>16751622</v>
      </c>
      <c r="AY682">
        <v>1</v>
      </c>
      <c r="AZ682">
        <v>0</v>
      </c>
      <c r="BA682">
        <v>627</v>
      </c>
      <c r="BB682">
        <v>0</v>
      </c>
      <c r="BC682">
        <v>0</v>
      </c>
      <c r="BD682">
        <v>0</v>
      </c>
      <c r="BE682">
        <v>0</v>
      </c>
      <c r="BF682">
        <v>0</v>
      </c>
      <c r="BG682">
        <v>0</v>
      </c>
      <c r="BH682">
        <v>0</v>
      </c>
      <c r="BI682">
        <v>0</v>
      </c>
      <c r="BJ682">
        <v>0</v>
      </c>
      <c r="BK682">
        <v>0</v>
      </c>
      <c r="BL682">
        <v>0</v>
      </c>
      <c r="BM682">
        <v>0</v>
      </c>
      <c r="BN682">
        <v>0</v>
      </c>
      <c r="BO682">
        <v>0</v>
      </c>
      <c r="BP682">
        <v>0</v>
      </c>
      <c r="BQ682">
        <v>0</v>
      </c>
      <c r="BR682">
        <v>0</v>
      </c>
      <c r="BS682">
        <v>0</v>
      </c>
      <c r="BT682">
        <v>0</v>
      </c>
      <c r="BU682">
        <v>0</v>
      </c>
      <c r="BV682">
        <v>0</v>
      </c>
      <c r="BW682">
        <v>0</v>
      </c>
      <c r="CX682">
        <f>Y682*Source!I538</f>
        <v>0.12840000000000001</v>
      </c>
      <c r="CY682">
        <f t="shared" ref="CY682:CY688" si="127">AA682</f>
        <v>69.34</v>
      </c>
      <c r="CZ682">
        <f t="shared" ref="CZ682:CZ688" si="128">AE682</f>
        <v>10.57</v>
      </c>
      <c r="DA682">
        <f t="shared" ref="DA682:DA688" si="129">AI682</f>
        <v>6.56</v>
      </c>
      <c r="DB682">
        <f t="shared" si="122"/>
        <v>22.62</v>
      </c>
      <c r="DC682">
        <f t="shared" si="123"/>
        <v>0</v>
      </c>
    </row>
    <row r="683" spans="1:107" x14ac:dyDescent="0.2">
      <c r="A683">
        <f>ROW(Source!A538)</f>
        <v>538</v>
      </c>
      <c r="B683">
        <v>16748969</v>
      </c>
      <c r="C683">
        <v>16751602</v>
      </c>
      <c r="D683">
        <v>15169942</v>
      </c>
      <c r="E683">
        <v>1</v>
      </c>
      <c r="F683">
        <v>1</v>
      </c>
      <c r="G683">
        <v>1</v>
      </c>
      <c r="H683">
        <v>3</v>
      </c>
      <c r="I683" t="s">
        <v>1391</v>
      </c>
      <c r="J683" t="s">
        <v>1392</v>
      </c>
      <c r="K683" t="s">
        <v>1291</v>
      </c>
      <c r="L683">
        <v>1346</v>
      </c>
      <c r="N683">
        <v>1009</v>
      </c>
      <c r="O683" t="s">
        <v>323</v>
      </c>
      <c r="P683" t="s">
        <v>323</v>
      </c>
      <c r="Q683">
        <v>1</v>
      </c>
      <c r="W683">
        <v>0</v>
      </c>
      <c r="X683">
        <v>103900845</v>
      </c>
      <c r="Y683">
        <v>1.25</v>
      </c>
      <c r="AA683">
        <v>59.3</v>
      </c>
      <c r="AB683">
        <v>0</v>
      </c>
      <c r="AC683">
        <v>0</v>
      </c>
      <c r="AD683">
        <v>0</v>
      </c>
      <c r="AE683">
        <v>9.0399999999999991</v>
      </c>
      <c r="AF683">
        <v>0</v>
      </c>
      <c r="AG683">
        <v>0</v>
      </c>
      <c r="AH683">
        <v>0</v>
      </c>
      <c r="AI683">
        <v>6.56</v>
      </c>
      <c r="AJ683">
        <v>1</v>
      </c>
      <c r="AK683">
        <v>1</v>
      </c>
      <c r="AL683">
        <v>1</v>
      </c>
      <c r="AN683">
        <v>0</v>
      </c>
      <c r="AO683">
        <v>1</v>
      </c>
      <c r="AP683">
        <v>0</v>
      </c>
      <c r="AQ683">
        <v>0</v>
      </c>
      <c r="AR683">
        <v>0</v>
      </c>
      <c r="AS683" t="s">
        <v>6</v>
      </c>
      <c r="AT683">
        <v>1.25</v>
      </c>
      <c r="AU683" t="s">
        <v>6</v>
      </c>
      <c r="AV683">
        <v>0</v>
      </c>
      <c r="AW683">
        <v>2</v>
      </c>
      <c r="AX683">
        <v>16751623</v>
      </c>
      <c r="AY683">
        <v>1</v>
      </c>
      <c r="AZ683">
        <v>0</v>
      </c>
      <c r="BA683">
        <v>628</v>
      </c>
      <c r="BB683">
        <v>0</v>
      </c>
      <c r="BC683">
        <v>0</v>
      </c>
      <c r="BD683">
        <v>0</v>
      </c>
      <c r="BE683">
        <v>0</v>
      </c>
      <c r="BF683">
        <v>0</v>
      </c>
      <c r="BG683">
        <v>0</v>
      </c>
      <c r="BH683">
        <v>0</v>
      </c>
      <c r="BI683">
        <v>0</v>
      </c>
      <c r="BJ683">
        <v>0</v>
      </c>
      <c r="BK683">
        <v>0</v>
      </c>
      <c r="BL683">
        <v>0</v>
      </c>
      <c r="BM683">
        <v>0</v>
      </c>
      <c r="BN683">
        <v>0</v>
      </c>
      <c r="BO683">
        <v>0</v>
      </c>
      <c r="BP683">
        <v>0</v>
      </c>
      <c r="BQ683">
        <v>0</v>
      </c>
      <c r="BR683">
        <v>0</v>
      </c>
      <c r="BS683">
        <v>0</v>
      </c>
      <c r="BT683">
        <v>0</v>
      </c>
      <c r="BU683">
        <v>0</v>
      </c>
      <c r="BV683">
        <v>0</v>
      </c>
      <c r="BW683">
        <v>0</v>
      </c>
      <c r="CX683">
        <f>Y683*Source!I538</f>
        <v>7.4999999999999997E-2</v>
      </c>
      <c r="CY683">
        <f t="shared" si="127"/>
        <v>59.3</v>
      </c>
      <c r="CZ683">
        <f t="shared" si="128"/>
        <v>9.0399999999999991</v>
      </c>
      <c r="DA683">
        <f t="shared" si="129"/>
        <v>6.56</v>
      </c>
      <c r="DB683">
        <f t="shared" si="122"/>
        <v>11.3</v>
      </c>
      <c r="DC683">
        <f t="shared" si="123"/>
        <v>0</v>
      </c>
    </row>
    <row r="684" spans="1:107" x14ac:dyDescent="0.2">
      <c r="A684">
        <f>ROW(Source!A538)</f>
        <v>538</v>
      </c>
      <c r="B684">
        <v>16748969</v>
      </c>
      <c r="C684">
        <v>16751602</v>
      </c>
      <c r="D684">
        <v>15170074</v>
      </c>
      <c r="E684">
        <v>1</v>
      </c>
      <c r="F684">
        <v>1</v>
      </c>
      <c r="G684">
        <v>1</v>
      </c>
      <c r="H684">
        <v>3</v>
      </c>
      <c r="I684" t="s">
        <v>1399</v>
      </c>
      <c r="J684" t="s">
        <v>1400</v>
      </c>
      <c r="K684" t="s">
        <v>1401</v>
      </c>
      <c r="L684">
        <v>1355</v>
      </c>
      <c r="N684">
        <v>1010</v>
      </c>
      <c r="O684" t="s">
        <v>724</v>
      </c>
      <c r="P684" t="s">
        <v>724</v>
      </c>
      <c r="Q684">
        <v>100</v>
      </c>
      <c r="W684">
        <v>0</v>
      </c>
      <c r="X684">
        <v>1794244060</v>
      </c>
      <c r="Y684">
        <v>0.3</v>
      </c>
      <c r="AA684">
        <v>564.16</v>
      </c>
      <c r="AB684">
        <v>0</v>
      </c>
      <c r="AC684">
        <v>0</v>
      </c>
      <c r="AD684">
        <v>0</v>
      </c>
      <c r="AE684">
        <v>86</v>
      </c>
      <c r="AF684">
        <v>0</v>
      </c>
      <c r="AG684">
        <v>0</v>
      </c>
      <c r="AH684">
        <v>0</v>
      </c>
      <c r="AI684">
        <v>6.56</v>
      </c>
      <c r="AJ684">
        <v>1</v>
      </c>
      <c r="AK684">
        <v>1</v>
      </c>
      <c r="AL684">
        <v>1</v>
      </c>
      <c r="AN684">
        <v>0</v>
      </c>
      <c r="AO684">
        <v>1</v>
      </c>
      <c r="AP684">
        <v>0</v>
      </c>
      <c r="AQ684">
        <v>0</v>
      </c>
      <c r="AR684">
        <v>0</v>
      </c>
      <c r="AS684" t="s">
        <v>6</v>
      </c>
      <c r="AT684">
        <v>0.3</v>
      </c>
      <c r="AU684" t="s">
        <v>6</v>
      </c>
      <c r="AV684">
        <v>0</v>
      </c>
      <c r="AW684">
        <v>2</v>
      </c>
      <c r="AX684">
        <v>16751624</v>
      </c>
      <c r="AY684">
        <v>1</v>
      </c>
      <c r="AZ684">
        <v>0</v>
      </c>
      <c r="BA684">
        <v>629</v>
      </c>
      <c r="BB684">
        <v>0</v>
      </c>
      <c r="BC684">
        <v>0</v>
      </c>
      <c r="BD684">
        <v>0</v>
      </c>
      <c r="BE684">
        <v>0</v>
      </c>
      <c r="BF684">
        <v>0</v>
      </c>
      <c r="BG684">
        <v>0</v>
      </c>
      <c r="BH684">
        <v>0</v>
      </c>
      <c r="BI684">
        <v>0</v>
      </c>
      <c r="BJ684">
        <v>0</v>
      </c>
      <c r="BK684">
        <v>0</v>
      </c>
      <c r="BL684">
        <v>0</v>
      </c>
      <c r="BM684">
        <v>0</v>
      </c>
      <c r="BN684">
        <v>0</v>
      </c>
      <c r="BO684">
        <v>0</v>
      </c>
      <c r="BP684">
        <v>0</v>
      </c>
      <c r="BQ684">
        <v>0</v>
      </c>
      <c r="BR684">
        <v>0</v>
      </c>
      <c r="BS684">
        <v>0</v>
      </c>
      <c r="BT684">
        <v>0</v>
      </c>
      <c r="BU684">
        <v>0</v>
      </c>
      <c r="BV684">
        <v>0</v>
      </c>
      <c r="BW684">
        <v>0</v>
      </c>
      <c r="CX684">
        <f>Y684*Source!I538</f>
        <v>1.7999999999999999E-2</v>
      </c>
      <c r="CY684">
        <f t="shared" si="127"/>
        <v>564.16</v>
      </c>
      <c r="CZ684">
        <f t="shared" si="128"/>
        <v>86</v>
      </c>
      <c r="DA684">
        <f t="shared" si="129"/>
        <v>6.56</v>
      </c>
      <c r="DB684">
        <f t="shared" si="122"/>
        <v>25.8</v>
      </c>
      <c r="DC684">
        <f t="shared" si="123"/>
        <v>0</v>
      </c>
    </row>
    <row r="685" spans="1:107" x14ac:dyDescent="0.2">
      <c r="A685">
        <f>ROW(Source!A538)</f>
        <v>538</v>
      </c>
      <c r="B685">
        <v>16748969</v>
      </c>
      <c r="C685">
        <v>16751602</v>
      </c>
      <c r="D685">
        <v>15217313</v>
      </c>
      <c r="E685">
        <v>1</v>
      </c>
      <c r="F685">
        <v>1</v>
      </c>
      <c r="G685">
        <v>1</v>
      </c>
      <c r="H685">
        <v>3</v>
      </c>
      <c r="I685" t="s">
        <v>1461</v>
      </c>
      <c r="J685" t="s">
        <v>1462</v>
      </c>
      <c r="K685" t="s">
        <v>1463</v>
      </c>
      <c r="L685">
        <v>1354</v>
      </c>
      <c r="N685">
        <v>1010</v>
      </c>
      <c r="O685" t="s">
        <v>53</v>
      </c>
      <c r="P685" t="s">
        <v>53</v>
      </c>
      <c r="Q685">
        <v>1</v>
      </c>
      <c r="W685">
        <v>0</v>
      </c>
      <c r="X685">
        <v>365674879</v>
      </c>
      <c r="Y685">
        <v>30</v>
      </c>
      <c r="AA685">
        <v>69.14</v>
      </c>
      <c r="AB685">
        <v>0</v>
      </c>
      <c r="AC685">
        <v>0</v>
      </c>
      <c r="AD685">
        <v>0</v>
      </c>
      <c r="AE685">
        <v>10.54</v>
      </c>
      <c r="AF685">
        <v>0</v>
      </c>
      <c r="AG685">
        <v>0</v>
      </c>
      <c r="AH685">
        <v>0</v>
      </c>
      <c r="AI685">
        <v>6.56</v>
      </c>
      <c r="AJ685">
        <v>1</v>
      </c>
      <c r="AK685">
        <v>1</v>
      </c>
      <c r="AL685">
        <v>1</v>
      </c>
      <c r="AN685">
        <v>0</v>
      </c>
      <c r="AO685">
        <v>1</v>
      </c>
      <c r="AP685">
        <v>0</v>
      </c>
      <c r="AQ685">
        <v>0</v>
      </c>
      <c r="AR685">
        <v>0</v>
      </c>
      <c r="AS685" t="s">
        <v>6</v>
      </c>
      <c r="AT685">
        <v>30</v>
      </c>
      <c r="AU685" t="s">
        <v>6</v>
      </c>
      <c r="AV685">
        <v>0</v>
      </c>
      <c r="AW685">
        <v>2</v>
      </c>
      <c r="AX685">
        <v>16751625</v>
      </c>
      <c r="AY685">
        <v>1</v>
      </c>
      <c r="AZ685">
        <v>0</v>
      </c>
      <c r="BA685">
        <v>630</v>
      </c>
      <c r="BB685">
        <v>0</v>
      </c>
      <c r="BC685">
        <v>0</v>
      </c>
      <c r="BD685">
        <v>0</v>
      </c>
      <c r="BE685">
        <v>0</v>
      </c>
      <c r="BF685">
        <v>0</v>
      </c>
      <c r="BG685">
        <v>0</v>
      </c>
      <c r="BH685">
        <v>0</v>
      </c>
      <c r="BI685">
        <v>0</v>
      </c>
      <c r="BJ685">
        <v>0</v>
      </c>
      <c r="BK685">
        <v>0</v>
      </c>
      <c r="BL685">
        <v>0</v>
      </c>
      <c r="BM685">
        <v>0</v>
      </c>
      <c r="BN685">
        <v>0</v>
      </c>
      <c r="BO685">
        <v>0</v>
      </c>
      <c r="BP685">
        <v>0</v>
      </c>
      <c r="BQ685">
        <v>0</v>
      </c>
      <c r="BR685">
        <v>0</v>
      </c>
      <c r="BS685">
        <v>0</v>
      </c>
      <c r="BT685">
        <v>0</v>
      </c>
      <c r="BU685">
        <v>0</v>
      </c>
      <c r="BV685">
        <v>0</v>
      </c>
      <c r="BW685">
        <v>0</v>
      </c>
      <c r="CX685">
        <f>Y685*Source!I538</f>
        <v>1.7999999999999998</v>
      </c>
      <c r="CY685">
        <f t="shared" si="127"/>
        <v>69.14</v>
      </c>
      <c r="CZ685">
        <f t="shared" si="128"/>
        <v>10.54</v>
      </c>
      <c r="DA685">
        <f t="shared" si="129"/>
        <v>6.56</v>
      </c>
      <c r="DB685">
        <f t="shared" si="122"/>
        <v>316.2</v>
      </c>
      <c r="DC685">
        <f t="shared" si="123"/>
        <v>0</v>
      </c>
    </row>
    <row r="686" spans="1:107" x14ac:dyDescent="0.2">
      <c r="A686">
        <f>ROW(Source!A538)</f>
        <v>538</v>
      </c>
      <c r="B686">
        <v>16748969</v>
      </c>
      <c r="C686">
        <v>16751602</v>
      </c>
      <c r="D686">
        <v>15218665</v>
      </c>
      <c r="E686">
        <v>1</v>
      </c>
      <c r="F686">
        <v>1</v>
      </c>
      <c r="G686">
        <v>1</v>
      </c>
      <c r="H686">
        <v>3</v>
      </c>
      <c r="I686" t="s">
        <v>886</v>
      </c>
      <c r="J686" t="s">
        <v>888</v>
      </c>
      <c r="K686" t="s">
        <v>887</v>
      </c>
      <c r="L686">
        <v>1301</v>
      </c>
      <c r="N686">
        <v>1003</v>
      </c>
      <c r="O686" t="s">
        <v>206</v>
      </c>
      <c r="P686" t="s">
        <v>206</v>
      </c>
      <c r="Q686">
        <v>1</v>
      </c>
      <c r="W686">
        <v>0</v>
      </c>
      <c r="X686">
        <v>-45038658</v>
      </c>
      <c r="Y686">
        <v>100</v>
      </c>
      <c r="AA686">
        <v>147.66999999999999</v>
      </c>
      <c r="AB686">
        <v>0</v>
      </c>
      <c r="AC686">
        <v>0</v>
      </c>
      <c r="AD686">
        <v>0</v>
      </c>
      <c r="AE686">
        <v>22.51</v>
      </c>
      <c r="AF686">
        <v>0</v>
      </c>
      <c r="AG686">
        <v>0</v>
      </c>
      <c r="AH686">
        <v>0</v>
      </c>
      <c r="AI686">
        <v>6.56</v>
      </c>
      <c r="AJ686">
        <v>1</v>
      </c>
      <c r="AK686">
        <v>1</v>
      </c>
      <c r="AL686">
        <v>1</v>
      </c>
      <c r="AN686">
        <v>0</v>
      </c>
      <c r="AO686">
        <v>0</v>
      </c>
      <c r="AP686">
        <v>0</v>
      </c>
      <c r="AQ686">
        <v>0</v>
      </c>
      <c r="AR686">
        <v>0</v>
      </c>
      <c r="AS686" t="s">
        <v>6</v>
      </c>
      <c r="AT686">
        <v>100</v>
      </c>
      <c r="AU686" t="s">
        <v>6</v>
      </c>
      <c r="AV686">
        <v>0</v>
      </c>
      <c r="AW686">
        <v>1</v>
      </c>
      <c r="AX686">
        <v>-1</v>
      </c>
      <c r="AY686">
        <v>0</v>
      </c>
      <c r="AZ686">
        <v>0</v>
      </c>
      <c r="BA686" t="s">
        <v>6</v>
      </c>
      <c r="BB686">
        <v>0</v>
      </c>
      <c r="BC686">
        <v>0</v>
      </c>
      <c r="BD686">
        <v>0</v>
      </c>
      <c r="BE686">
        <v>0</v>
      </c>
      <c r="BF686">
        <v>0</v>
      </c>
      <c r="BG686">
        <v>0</v>
      </c>
      <c r="BH686">
        <v>0</v>
      </c>
      <c r="BI686">
        <v>0</v>
      </c>
      <c r="BJ686">
        <v>0</v>
      </c>
      <c r="BK686">
        <v>0</v>
      </c>
      <c r="BL686">
        <v>0</v>
      </c>
      <c r="BM686">
        <v>0</v>
      </c>
      <c r="BN686">
        <v>0</v>
      </c>
      <c r="BO686">
        <v>0</v>
      </c>
      <c r="BP686">
        <v>0</v>
      </c>
      <c r="BQ686">
        <v>0</v>
      </c>
      <c r="BR686">
        <v>0</v>
      </c>
      <c r="BS686">
        <v>0</v>
      </c>
      <c r="BT686">
        <v>0</v>
      </c>
      <c r="BU686">
        <v>0</v>
      </c>
      <c r="BV686">
        <v>0</v>
      </c>
      <c r="BW686">
        <v>0</v>
      </c>
      <c r="CX686">
        <f>Y686*Source!I538</f>
        <v>6</v>
      </c>
      <c r="CY686">
        <f t="shared" si="127"/>
        <v>147.66999999999999</v>
      </c>
      <c r="CZ686">
        <f t="shared" si="128"/>
        <v>22.51</v>
      </c>
      <c r="DA686">
        <f t="shared" si="129"/>
        <v>6.56</v>
      </c>
      <c r="DB686">
        <f t="shared" si="122"/>
        <v>2251</v>
      </c>
      <c r="DC686">
        <f t="shared" si="123"/>
        <v>0</v>
      </c>
    </row>
    <row r="687" spans="1:107" x14ac:dyDescent="0.2">
      <c r="A687">
        <f>ROW(Source!A538)</f>
        <v>538</v>
      </c>
      <c r="B687">
        <v>16748969</v>
      </c>
      <c r="C687">
        <v>16751602</v>
      </c>
      <c r="D687">
        <v>15219265</v>
      </c>
      <c r="E687">
        <v>1</v>
      </c>
      <c r="F687">
        <v>1</v>
      </c>
      <c r="G687">
        <v>1</v>
      </c>
      <c r="H687">
        <v>3</v>
      </c>
      <c r="I687" t="s">
        <v>1464</v>
      </c>
      <c r="J687" t="s">
        <v>1465</v>
      </c>
      <c r="K687" t="s">
        <v>1466</v>
      </c>
      <c r="L687">
        <v>1354</v>
      </c>
      <c r="N687">
        <v>1010</v>
      </c>
      <c r="O687" t="s">
        <v>53</v>
      </c>
      <c r="P687" t="s">
        <v>53</v>
      </c>
      <c r="Q687">
        <v>1</v>
      </c>
      <c r="W687">
        <v>0</v>
      </c>
      <c r="X687">
        <v>1761059010</v>
      </c>
      <c r="Y687">
        <v>6</v>
      </c>
      <c r="AA687">
        <v>32.799999999999997</v>
      </c>
      <c r="AB687">
        <v>0</v>
      </c>
      <c r="AC687">
        <v>0</v>
      </c>
      <c r="AD687">
        <v>0</v>
      </c>
      <c r="AE687">
        <v>5</v>
      </c>
      <c r="AF687">
        <v>0</v>
      </c>
      <c r="AG687">
        <v>0</v>
      </c>
      <c r="AH687">
        <v>0</v>
      </c>
      <c r="AI687">
        <v>6.56</v>
      </c>
      <c r="AJ687">
        <v>1</v>
      </c>
      <c r="AK687">
        <v>1</v>
      </c>
      <c r="AL687">
        <v>1</v>
      </c>
      <c r="AN687">
        <v>0</v>
      </c>
      <c r="AO687">
        <v>1</v>
      </c>
      <c r="AP687">
        <v>0</v>
      </c>
      <c r="AQ687">
        <v>0</v>
      </c>
      <c r="AR687">
        <v>0</v>
      </c>
      <c r="AS687" t="s">
        <v>6</v>
      </c>
      <c r="AT687">
        <v>6</v>
      </c>
      <c r="AU687" t="s">
        <v>6</v>
      </c>
      <c r="AV687">
        <v>0</v>
      </c>
      <c r="AW687">
        <v>2</v>
      </c>
      <c r="AX687">
        <v>16751626</v>
      </c>
      <c r="AY687">
        <v>1</v>
      </c>
      <c r="AZ687">
        <v>0</v>
      </c>
      <c r="BA687">
        <v>631</v>
      </c>
      <c r="BB687">
        <v>0</v>
      </c>
      <c r="BC687">
        <v>0</v>
      </c>
      <c r="BD687">
        <v>0</v>
      </c>
      <c r="BE687">
        <v>0</v>
      </c>
      <c r="BF687">
        <v>0</v>
      </c>
      <c r="BG687">
        <v>0</v>
      </c>
      <c r="BH687">
        <v>0</v>
      </c>
      <c r="BI687">
        <v>0</v>
      </c>
      <c r="BJ687">
        <v>0</v>
      </c>
      <c r="BK687">
        <v>0</v>
      </c>
      <c r="BL687">
        <v>0</v>
      </c>
      <c r="BM687">
        <v>0</v>
      </c>
      <c r="BN687">
        <v>0</v>
      </c>
      <c r="BO687">
        <v>0</v>
      </c>
      <c r="BP687">
        <v>0</v>
      </c>
      <c r="BQ687">
        <v>0</v>
      </c>
      <c r="BR687">
        <v>0</v>
      </c>
      <c r="BS687">
        <v>0</v>
      </c>
      <c r="BT687">
        <v>0</v>
      </c>
      <c r="BU687">
        <v>0</v>
      </c>
      <c r="BV687">
        <v>0</v>
      </c>
      <c r="BW687">
        <v>0</v>
      </c>
      <c r="CX687">
        <f>Y687*Source!I538</f>
        <v>0.36</v>
      </c>
      <c r="CY687">
        <f t="shared" si="127"/>
        <v>32.799999999999997</v>
      </c>
      <c r="CZ687">
        <f t="shared" si="128"/>
        <v>5</v>
      </c>
      <c r="DA687">
        <f t="shared" si="129"/>
        <v>6.56</v>
      </c>
      <c r="DB687">
        <f t="shared" si="122"/>
        <v>30</v>
      </c>
      <c r="DC687">
        <f t="shared" si="123"/>
        <v>0</v>
      </c>
    </row>
    <row r="688" spans="1:107" x14ac:dyDescent="0.2">
      <c r="A688">
        <f>ROW(Source!A538)</f>
        <v>538</v>
      </c>
      <c r="B688">
        <v>16748969</v>
      </c>
      <c r="C688">
        <v>16751602</v>
      </c>
      <c r="D688">
        <v>15164559</v>
      </c>
      <c r="E688">
        <v>17</v>
      </c>
      <c r="F688">
        <v>1</v>
      </c>
      <c r="G688">
        <v>1</v>
      </c>
      <c r="H688">
        <v>3</v>
      </c>
      <c r="I688" t="s">
        <v>1383</v>
      </c>
      <c r="J688" t="s">
        <v>6</v>
      </c>
      <c r="K688" t="s">
        <v>1384</v>
      </c>
      <c r="L688">
        <v>1374</v>
      </c>
      <c r="N688">
        <v>1013</v>
      </c>
      <c r="O688" t="s">
        <v>1385</v>
      </c>
      <c r="P688" t="s">
        <v>1385</v>
      </c>
      <c r="Q688">
        <v>1</v>
      </c>
      <c r="W688">
        <v>0</v>
      </c>
      <c r="X688">
        <v>-1731369543</v>
      </c>
      <c r="Y688">
        <v>1.61</v>
      </c>
      <c r="AA688">
        <v>1</v>
      </c>
      <c r="AB688">
        <v>0</v>
      </c>
      <c r="AC688">
        <v>0</v>
      </c>
      <c r="AD688">
        <v>0</v>
      </c>
      <c r="AE688">
        <v>1</v>
      </c>
      <c r="AF688">
        <v>0</v>
      </c>
      <c r="AG688">
        <v>0</v>
      </c>
      <c r="AH688">
        <v>0</v>
      </c>
      <c r="AI688">
        <v>1</v>
      </c>
      <c r="AJ688">
        <v>1</v>
      </c>
      <c r="AK688">
        <v>1</v>
      </c>
      <c r="AL688">
        <v>1</v>
      </c>
      <c r="AN688">
        <v>0</v>
      </c>
      <c r="AO688">
        <v>1</v>
      </c>
      <c r="AP688">
        <v>0</v>
      </c>
      <c r="AQ688">
        <v>0</v>
      </c>
      <c r="AR688">
        <v>0</v>
      </c>
      <c r="AS688" t="s">
        <v>6</v>
      </c>
      <c r="AT688">
        <v>1.61</v>
      </c>
      <c r="AU688" t="s">
        <v>6</v>
      </c>
      <c r="AV688">
        <v>0</v>
      </c>
      <c r="AW688">
        <v>2</v>
      </c>
      <c r="AX688">
        <v>16751627</v>
      </c>
      <c r="AY688">
        <v>1</v>
      </c>
      <c r="AZ688">
        <v>0</v>
      </c>
      <c r="BA688">
        <v>632</v>
      </c>
      <c r="BB688">
        <v>0</v>
      </c>
      <c r="BC688">
        <v>0</v>
      </c>
      <c r="BD688">
        <v>0</v>
      </c>
      <c r="BE688">
        <v>0</v>
      </c>
      <c r="BF688">
        <v>0</v>
      </c>
      <c r="BG688">
        <v>0</v>
      </c>
      <c r="BH688">
        <v>0</v>
      </c>
      <c r="BI688">
        <v>0</v>
      </c>
      <c r="BJ688">
        <v>0</v>
      </c>
      <c r="BK688">
        <v>0</v>
      </c>
      <c r="BL688">
        <v>0</v>
      </c>
      <c r="BM688">
        <v>0</v>
      </c>
      <c r="BN688">
        <v>0</v>
      </c>
      <c r="BO688">
        <v>0</v>
      </c>
      <c r="BP688">
        <v>0</v>
      </c>
      <c r="BQ688">
        <v>0</v>
      </c>
      <c r="BR688">
        <v>0</v>
      </c>
      <c r="BS688">
        <v>0</v>
      </c>
      <c r="BT688">
        <v>0</v>
      </c>
      <c r="BU688">
        <v>0</v>
      </c>
      <c r="BV688">
        <v>0</v>
      </c>
      <c r="BW688">
        <v>0</v>
      </c>
      <c r="CX688">
        <f>Y688*Source!I538</f>
        <v>9.6600000000000005E-2</v>
      </c>
      <c r="CY688">
        <f t="shared" si="127"/>
        <v>1</v>
      </c>
      <c r="CZ688">
        <f t="shared" si="128"/>
        <v>1</v>
      </c>
      <c r="DA688">
        <f t="shared" si="129"/>
        <v>1</v>
      </c>
      <c r="DB688">
        <f t="shared" si="122"/>
        <v>1.61</v>
      </c>
      <c r="DC688">
        <f t="shared" si="123"/>
        <v>0</v>
      </c>
    </row>
    <row r="689" spans="1:107" x14ac:dyDescent="0.2">
      <c r="A689">
        <f>ROW(Source!A574)</f>
        <v>574</v>
      </c>
      <c r="B689">
        <v>16748969</v>
      </c>
      <c r="C689">
        <v>16751629</v>
      </c>
      <c r="D689">
        <v>15431465</v>
      </c>
      <c r="E689">
        <v>1</v>
      </c>
      <c r="F689">
        <v>1</v>
      </c>
      <c r="G689">
        <v>1</v>
      </c>
      <c r="H689">
        <v>1</v>
      </c>
      <c r="I689" t="s">
        <v>1087</v>
      </c>
      <c r="J689" t="s">
        <v>6</v>
      </c>
      <c r="K689" t="s">
        <v>1088</v>
      </c>
      <c r="L689">
        <v>1191</v>
      </c>
      <c r="N689">
        <v>1013</v>
      </c>
      <c r="O689" t="s">
        <v>1072</v>
      </c>
      <c r="P689" t="s">
        <v>1072</v>
      </c>
      <c r="Q689">
        <v>1</v>
      </c>
      <c r="W689">
        <v>0</v>
      </c>
      <c r="X689">
        <v>152375061</v>
      </c>
      <c r="Y689">
        <v>110</v>
      </c>
      <c r="AA689">
        <v>0</v>
      </c>
      <c r="AB689">
        <v>0</v>
      </c>
      <c r="AC689">
        <v>0</v>
      </c>
      <c r="AD689">
        <v>51.63</v>
      </c>
      <c r="AE689">
        <v>0</v>
      </c>
      <c r="AF689">
        <v>0</v>
      </c>
      <c r="AG689">
        <v>0</v>
      </c>
      <c r="AH689">
        <v>7.87</v>
      </c>
      <c r="AI689">
        <v>1</v>
      </c>
      <c r="AJ689">
        <v>1</v>
      </c>
      <c r="AK689">
        <v>1</v>
      </c>
      <c r="AL689">
        <v>6.56</v>
      </c>
      <c r="AN689">
        <v>0</v>
      </c>
      <c r="AO689">
        <v>1</v>
      </c>
      <c r="AP689">
        <v>0</v>
      </c>
      <c r="AQ689">
        <v>0</v>
      </c>
      <c r="AR689">
        <v>0</v>
      </c>
      <c r="AS689" t="s">
        <v>6</v>
      </c>
      <c r="AT689">
        <v>110</v>
      </c>
      <c r="AU689" t="s">
        <v>6</v>
      </c>
      <c r="AV689">
        <v>1</v>
      </c>
      <c r="AW689">
        <v>2</v>
      </c>
      <c r="AX689">
        <v>16751633</v>
      </c>
      <c r="AY689">
        <v>1</v>
      </c>
      <c r="AZ689">
        <v>0</v>
      </c>
      <c r="BA689">
        <v>633</v>
      </c>
      <c r="BB689">
        <v>0</v>
      </c>
      <c r="BC689">
        <v>0</v>
      </c>
      <c r="BD689">
        <v>0</v>
      </c>
      <c r="BE689">
        <v>0</v>
      </c>
      <c r="BF689">
        <v>0</v>
      </c>
      <c r="BG689">
        <v>0</v>
      </c>
      <c r="BH689">
        <v>0</v>
      </c>
      <c r="BI689">
        <v>0</v>
      </c>
      <c r="BJ689">
        <v>0</v>
      </c>
      <c r="BK689">
        <v>0</v>
      </c>
      <c r="BL689">
        <v>0</v>
      </c>
      <c r="BM689">
        <v>0</v>
      </c>
      <c r="BN689">
        <v>0</v>
      </c>
      <c r="BO689">
        <v>0</v>
      </c>
      <c r="BP689">
        <v>0</v>
      </c>
      <c r="BQ689">
        <v>0</v>
      </c>
      <c r="BR689">
        <v>0</v>
      </c>
      <c r="BS689">
        <v>0</v>
      </c>
      <c r="BT689">
        <v>0</v>
      </c>
      <c r="BU689">
        <v>0</v>
      </c>
      <c r="BV689">
        <v>0</v>
      </c>
      <c r="BW689">
        <v>0</v>
      </c>
      <c r="CX689">
        <f>Y689*Source!I574</f>
        <v>7.7000000000000011</v>
      </c>
      <c r="CY689">
        <f>AD689</f>
        <v>51.63</v>
      </c>
      <c r="CZ689">
        <f>AH689</f>
        <v>7.87</v>
      </c>
      <c r="DA689">
        <f>AL689</f>
        <v>6.56</v>
      </c>
      <c r="DB689">
        <f t="shared" si="122"/>
        <v>865.7</v>
      </c>
      <c r="DC689">
        <f t="shared" si="123"/>
        <v>0</v>
      </c>
    </row>
    <row r="690" spans="1:107" x14ac:dyDescent="0.2">
      <c r="A690">
        <f>ROW(Source!A574)</f>
        <v>574</v>
      </c>
      <c r="B690">
        <v>16748969</v>
      </c>
      <c r="C690">
        <v>16751629</v>
      </c>
      <c r="D690">
        <v>15430395</v>
      </c>
      <c r="E690">
        <v>1</v>
      </c>
      <c r="F690">
        <v>1</v>
      </c>
      <c r="G690">
        <v>1</v>
      </c>
      <c r="H690">
        <v>1</v>
      </c>
      <c r="I690" t="s">
        <v>1073</v>
      </c>
      <c r="J690" t="s">
        <v>6</v>
      </c>
      <c r="K690" t="s">
        <v>1074</v>
      </c>
      <c r="L690">
        <v>1191</v>
      </c>
      <c r="N690">
        <v>1013</v>
      </c>
      <c r="O690" t="s">
        <v>1072</v>
      </c>
      <c r="P690" t="s">
        <v>1072</v>
      </c>
      <c r="Q690">
        <v>1</v>
      </c>
      <c r="W690">
        <v>0</v>
      </c>
      <c r="X690">
        <v>-1417349443</v>
      </c>
      <c r="Y690">
        <v>2.2400000000000002</v>
      </c>
      <c r="AA690">
        <v>0</v>
      </c>
      <c r="AB690">
        <v>0</v>
      </c>
      <c r="AC690">
        <v>0</v>
      </c>
      <c r="AD690">
        <v>0</v>
      </c>
      <c r="AE690">
        <v>0</v>
      </c>
      <c r="AF690">
        <v>0</v>
      </c>
      <c r="AG690">
        <v>0</v>
      </c>
      <c r="AH690">
        <v>0</v>
      </c>
      <c r="AI690">
        <v>1</v>
      </c>
      <c r="AJ690">
        <v>1</v>
      </c>
      <c r="AK690">
        <v>6.56</v>
      </c>
      <c r="AL690">
        <v>1</v>
      </c>
      <c r="AN690">
        <v>0</v>
      </c>
      <c r="AO690">
        <v>1</v>
      </c>
      <c r="AP690">
        <v>0</v>
      </c>
      <c r="AQ690">
        <v>0</v>
      </c>
      <c r="AR690">
        <v>0</v>
      </c>
      <c r="AS690" t="s">
        <v>6</v>
      </c>
      <c r="AT690">
        <v>2.2400000000000002</v>
      </c>
      <c r="AU690" t="s">
        <v>6</v>
      </c>
      <c r="AV690">
        <v>2</v>
      </c>
      <c r="AW690">
        <v>2</v>
      </c>
      <c r="AX690">
        <v>16751634</v>
      </c>
      <c r="AY690">
        <v>1</v>
      </c>
      <c r="AZ690">
        <v>0</v>
      </c>
      <c r="BA690">
        <v>634</v>
      </c>
      <c r="BB690">
        <v>0</v>
      </c>
      <c r="BC690">
        <v>0</v>
      </c>
      <c r="BD690">
        <v>0</v>
      </c>
      <c r="BE690">
        <v>0</v>
      </c>
      <c r="BF690">
        <v>0</v>
      </c>
      <c r="BG690">
        <v>0</v>
      </c>
      <c r="BH690">
        <v>0</v>
      </c>
      <c r="BI690">
        <v>0</v>
      </c>
      <c r="BJ690">
        <v>0</v>
      </c>
      <c r="BK690">
        <v>0</v>
      </c>
      <c r="BL690">
        <v>0</v>
      </c>
      <c r="BM690">
        <v>0</v>
      </c>
      <c r="BN690">
        <v>0</v>
      </c>
      <c r="BO690">
        <v>0</v>
      </c>
      <c r="BP690">
        <v>0</v>
      </c>
      <c r="BQ690">
        <v>0</v>
      </c>
      <c r="BR690">
        <v>0</v>
      </c>
      <c r="BS690">
        <v>0</v>
      </c>
      <c r="BT690">
        <v>0</v>
      </c>
      <c r="BU690">
        <v>0</v>
      </c>
      <c r="BV690">
        <v>0</v>
      </c>
      <c r="BW690">
        <v>0</v>
      </c>
      <c r="CX690">
        <f>Y690*Source!I574</f>
        <v>0.15680000000000002</v>
      </c>
      <c r="CY690">
        <f>AD690</f>
        <v>0</v>
      </c>
      <c r="CZ690">
        <f>AH690</f>
        <v>0</v>
      </c>
      <c r="DA690">
        <f>AL690</f>
        <v>1</v>
      </c>
      <c r="DB690">
        <f t="shared" si="122"/>
        <v>0</v>
      </c>
      <c r="DC690">
        <f t="shared" si="123"/>
        <v>0</v>
      </c>
    </row>
    <row r="691" spans="1:107" x14ac:dyDescent="0.2">
      <c r="A691">
        <f>ROW(Source!A574)</f>
        <v>574</v>
      </c>
      <c r="B691">
        <v>16748969</v>
      </c>
      <c r="C691">
        <v>16751629</v>
      </c>
      <c r="D691">
        <v>15247974</v>
      </c>
      <c r="E691">
        <v>1</v>
      </c>
      <c r="F691">
        <v>1</v>
      </c>
      <c r="G691">
        <v>1</v>
      </c>
      <c r="H691">
        <v>2</v>
      </c>
      <c r="I691" t="s">
        <v>1075</v>
      </c>
      <c r="J691" t="s">
        <v>1076</v>
      </c>
      <c r="K691" t="s">
        <v>1077</v>
      </c>
      <c r="L691">
        <v>1368</v>
      </c>
      <c r="N691">
        <v>1011</v>
      </c>
      <c r="O691" t="s">
        <v>1078</v>
      </c>
      <c r="P691" t="s">
        <v>1078</v>
      </c>
      <c r="Q691">
        <v>1</v>
      </c>
      <c r="W691">
        <v>0</v>
      </c>
      <c r="X691">
        <v>1188625873</v>
      </c>
      <c r="Y691">
        <v>2.2400000000000002</v>
      </c>
      <c r="AA691">
        <v>0</v>
      </c>
      <c r="AB691">
        <v>205.07</v>
      </c>
      <c r="AC691">
        <v>13.5</v>
      </c>
      <c r="AD691">
        <v>0</v>
      </c>
      <c r="AE691">
        <v>0</v>
      </c>
      <c r="AF691">
        <v>31.26</v>
      </c>
      <c r="AG691">
        <v>13.5</v>
      </c>
      <c r="AH691">
        <v>0</v>
      </c>
      <c r="AI691">
        <v>1</v>
      </c>
      <c r="AJ691">
        <v>6.56</v>
      </c>
      <c r="AK691">
        <v>1</v>
      </c>
      <c r="AL691">
        <v>1</v>
      </c>
      <c r="AN691">
        <v>0</v>
      </c>
      <c r="AO691">
        <v>1</v>
      </c>
      <c r="AP691">
        <v>0</v>
      </c>
      <c r="AQ691">
        <v>0</v>
      </c>
      <c r="AR691">
        <v>0</v>
      </c>
      <c r="AS691" t="s">
        <v>6</v>
      </c>
      <c r="AT691">
        <v>2.2400000000000002</v>
      </c>
      <c r="AU691" t="s">
        <v>6</v>
      </c>
      <c r="AV691">
        <v>0</v>
      </c>
      <c r="AW691">
        <v>2</v>
      </c>
      <c r="AX691">
        <v>16751635</v>
      </c>
      <c r="AY691">
        <v>1</v>
      </c>
      <c r="AZ691">
        <v>0</v>
      </c>
      <c r="BA691">
        <v>635</v>
      </c>
      <c r="BB691">
        <v>0</v>
      </c>
      <c r="BC691">
        <v>0</v>
      </c>
      <c r="BD691">
        <v>0</v>
      </c>
      <c r="BE691">
        <v>0</v>
      </c>
      <c r="BF691">
        <v>0</v>
      </c>
      <c r="BG691">
        <v>0</v>
      </c>
      <c r="BH691">
        <v>0</v>
      </c>
      <c r="BI691">
        <v>0</v>
      </c>
      <c r="BJ691">
        <v>0</v>
      </c>
      <c r="BK691">
        <v>0</v>
      </c>
      <c r="BL691">
        <v>0</v>
      </c>
      <c r="BM691">
        <v>0</v>
      </c>
      <c r="BN691">
        <v>0</v>
      </c>
      <c r="BO691">
        <v>0</v>
      </c>
      <c r="BP691">
        <v>0</v>
      </c>
      <c r="BQ691">
        <v>0</v>
      </c>
      <c r="BR691">
        <v>0</v>
      </c>
      <c r="BS691">
        <v>0</v>
      </c>
      <c r="BT691">
        <v>0</v>
      </c>
      <c r="BU691">
        <v>0</v>
      </c>
      <c r="BV691">
        <v>0</v>
      </c>
      <c r="BW691">
        <v>0</v>
      </c>
      <c r="CX691">
        <f>Y691*Source!I574</f>
        <v>0.15680000000000002</v>
      </c>
      <c r="CY691">
        <f>AB691</f>
        <v>205.07</v>
      </c>
      <c r="CZ691">
        <f>AF691</f>
        <v>31.26</v>
      </c>
      <c r="DA691">
        <f>AJ691</f>
        <v>6.56</v>
      </c>
      <c r="DB691">
        <f t="shared" si="122"/>
        <v>70.02</v>
      </c>
      <c r="DC691">
        <f t="shared" si="123"/>
        <v>30.24</v>
      </c>
    </row>
    <row r="692" spans="1:107" x14ac:dyDescent="0.2">
      <c r="A692">
        <f>ROW(Source!A575)</f>
        <v>575</v>
      </c>
      <c r="B692">
        <v>16748969</v>
      </c>
      <c r="C692">
        <v>16751650</v>
      </c>
      <c r="D692">
        <v>15435609</v>
      </c>
      <c r="E692">
        <v>1</v>
      </c>
      <c r="F692">
        <v>1</v>
      </c>
      <c r="G692">
        <v>1</v>
      </c>
      <c r="H692">
        <v>1</v>
      </c>
      <c r="I692" t="s">
        <v>1163</v>
      </c>
      <c r="J692" t="s">
        <v>6</v>
      </c>
      <c r="K692" t="s">
        <v>1164</v>
      </c>
      <c r="L692">
        <v>1191</v>
      </c>
      <c r="N692">
        <v>1013</v>
      </c>
      <c r="O692" t="s">
        <v>1072</v>
      </c>
      <c r="P692" t="s">
        <v>1072</v>
      </c>
      <c r="Q692">
        <v>1</v>
      </c>
      <c r="W692">
        <v>0</v>
      </c>
      <c r="X692">
        <v>-814890593</v>
      </c>
      <c r="Y692">
        <v>75.439999999999984</v>
      </c>
      <c r="AA692">
        <v>0</v>
      </c>
      <c r="AB692">
        <v>0</v>
      </c>
      <c r="AC692">
        <v>0</v>
      </c>
      <c r="AD692">
        <v>58.84</v>
      </c>
      <c r="AE692">
        <v>0</v>
      </c>
      <c r="AF692">
        <v>0</v>
      </c>
      <c r="AG692">
        <v>0</v>
      </c>
      <c r="AH692">
        <v>8.9700000000000006</v>
      </c>
      <c r="AI692">
        <v>1</v>
      </c>
      <c r="AJ692">
        <v>1</v>
      </c>
      <c r="AK692">
        <v>1</v>
      </c>
      <c r="AL692">
        <v>6.56</v>
      </c>
      <c r="AN692">
        <v>0</v>
      </c>
      <c r="AO692">
        <v>1</v>
      </c>
      <c r="AP692">
        <v>1</v>
      </c>
      <c r="AQ692">
        <v>0</v>
      </c>
      <c r="AR692">
        <v>0</v>
      </c>
      <c r="AS692" t="s">
        <v>6</v>
      </c>
      <c r="AT692">
        <v>65.599999999999994</v>
      </c>
      <c r="AU692" t="s">
        <v>173</v>
      </c>
      <c r="AV692">
        <v>1</v>
      </c>
      <c r="AW692">
        <v>2</v>
      </c>
      <c r="AX692">
        <v>16751664</v>
      </c>
      <c r="AY692">
        <v>1</v>
      </c>
      <c r="AZ692">
        <v>0</v>
      </c>
      <c r="BA692">
        <v>636</v>
      </c>
      <c r="BB692">
        <v>0</v>
      </c>
      <c r="BC692">
        <v>0</v>
      </c>
      <c r="BD692">
        <v>0</v>
      </c>
      <c r="BE692">
        <v>0</v>
      </c>
      <c r="BF692">
        <v>0</v>
      </c>
      <c r="BG692">
        <v>0</v>
      </c>
      <c r="BH692">
        <v>0</v>
      </c>
      <c r="BI692">
        <v>0</v>
      </c>
      <c r="BJ692">
        <v>0</v>
      </c>
      <c r="BK692">
        <v>0</v>
      </c>
      <c r="BL692">
        <v>0</v>
      </c>
      <c r="BM692">
        <v>0</v>
      </c>
      <c r="BN692">
        <v>0</v>
      </c>
      <c r="BO692">
        <v>0</v>
      </c>
      <c r="BP692">
        <v>0</v>
      </c>
      <c r="BQ692">
        <v>0</v>
      </c>
      <c r="BR692">
        <v>0</v>
      </c>
      <c r="BS692">
        <v>0</v>
      </c>
      <c r="BT692">
        <v>0</v>
      </c>
      <c r="BU692">
        <v>0</v>
      </c>
      <c r="BV692">
        <v>0</v>
      </c>
      <c r="BW692">
        <v>0</v>
      </c>
      <c r="CX692">
        <f>Y692*Source!I575</f>
        <v>36.09803999999999</v>
      </c>
      <c r="CY692">
        <f>AD692</f>
        <v>58.84</v>
      </c>
      <c r="CZ692">
        <f>AH692</f>
        <v>8.9700000000000006</v>
      </c>
      <c r="DA692">
        <f>AL692</f>
        <v>6.56</v>
      </c>
      <c r="DB692">
        <f>ROUND((ROUND(AT692*CZ692,2)*1.15),2)</f>
        <v>676.69</v>
      </c>
      <c r="DC692">
        <f>ROUND((ROUND(AT692*AG692,2)*1.15),2)</f>
        <v>0</v>
      </c>
    </row>
    <row r="693" spans="1:107" x14ac:dyDescent="0.2">
      <c r="A693">
        <f>ROW(Source!A575)</f>
        <v>575</v>
      </c>
      <c r="B693">
        <v>16748969</v>
      </c>
      <c r="C693">
        <v>16751650</v>
      </c>
      <c r="D693">
        <v>15430395</v>
      </c>
      <c r="E693">
        <v>1</v>
      </c>
      <c r="F693">
        <v>1</v>
      </c>
      <c r="G693">
        <v>1</v>
      </c>
      <c r="H693">
        <v>1</v>
      </c>
      <c r="I693" t="s">
        <v>1073</v>
      </c>
      <c r="J693" t="s">
        <v>6</v>
      </c>
      <c r="K693" t="s">
        <v>1074</v>
      </c>
      <c r="L693">
        <v>1191</v>
      </c>
      <c r="N693">
        <v>1013</v>
      </c>
      <c r="O693" t="s">
        <v>1072</v>
      </c>
      <c r="P693" t="s">
        <v>1072</v>
      </c>
      <c r="Q693">
        <v>1</v>
      </c>
      <c r="W693">
        <v>0</v>
      </c>
      <c r="X693">
        <v>-1417349443</v>
      </c>
      <c r="Y693">
        <v>3.13</v>
      </c>
      <c r="AA693">
        <v>0</v>
      </c>
      <c r="AB693">
        <v>0</v>
      </c>
      <c r="AC693">
        <v>0</v>
      </c>
      <c r="AD693">
        <v>0</v>
      </c>
      <c r="AE693">
        <v>0</v>
      </c>
      <c r="AF693">
        <v>0</v>
      </c>
      <c r="AG693">
        <v>0</v>
      </c>
      <c r="AH693">
        <v>0</v>
      </c>
      <c r="AI693">
        <v>1</v>
      </c>
      <c r="AJ693">
        <v>1</v>
      </c>
      <c r="AK693">
        <v>6.56</v>
      </c>
      <c r="AL693">
        <v>1</v>
      </c>
      <c r="AN693">
        <v>0</v>
      </c>
      <c r="AO693">
        <v>1</v>
      </c>
      <c r="AP693">
        <v>0</v>
      </c>
      <c r="AQ693">
        <v>0</v>
      </c>
      <c r="AR693">
        <v>0</v>
      </c>
      <c r="AS693" t="s">
        <v>6</v>
      </c>
      <c r="AT693">
        <v>3.13</v>
      </c>
      <c r="AU693" t="s">
        <v>6</v>
      </c>
      <c r="AV693">
        <v>2</v>
      </c>
      <c r="AW693">
        <v>2</v>
      </c>
      <c r="AX693">
        <v>16751665</v>
      </c>
      <c r="AY693">
        <v>1</v>
      </c>
      <c r="AZ693">
        <v>2048</v>
      </c>
      <c r="BA693">
        <v>637</v>
      </c>
      <c r="BB693">
        <v>0</v>
      </c>
      <c r="BC693">
        <v>0</v>
      </c>
      <c r="BD693">
        <v>0</v>
      </c>
      <c r="BE693">
        <v>0</v>
      </c>
      <c r="BF693">
        <v>0</v>
      </c>
      <c r="BG693">
        <v>0</v>
      </c>
      <c r="BH693">
        <v>0</v>
      </c>
      <c r="BI693">
        <v>0</v>
      </c>
      <c r="BJ693">
        <v>0</v>
      </c>
      <c r="BK693">
        <v>0</v>
      </c>
      <c r="BL693">
        <v>0</v>
      </c>
      <c r="BM693">
        <v>0</v>
      </c>
      <c r="BN693">
        <v>0</v>
      </c>
      <c r="BO693">
        <v>0</v>
      </c>
      <c r="BP693">
        <v>0</v>
      </c>
      <c r="BQ693">
        <v>0</v>
      </c>
      <c r="BR693">
        <v>0</v>
      </c>
      <c r="BS693">
        <v>0</v>
      </c>
      <c r="BT693">
        <v>0</v>
      </c>
      <c r="BU693">
        <v>0</v>
      </c>
      <c r="BV693">
        <v>0</v>
      </c>
      <c r="BW693">
        <v>0</v>
      </c>
      <c r="CX693">
        <f>Y693*Source!I575</f>
        <v>1.4977049999999998</v>
      </c>
      <c r="CY693">
        <f>AD693</f>
        <v>0</v>
      </c>
      <c r="CZ693">
        <f>AH693</f>
        <v>0</v>
      </c>
      <c r="DA693">
        <f>AL693</f>
        <v>1</v>
      </c>
      <c r="DB693">
        <f>ROUND(ROUND(AT693*CZ693,2),2)</f>
        <v>0</v>
      </c>
      <c r="DC693">
        <f>ROUND(ROUND(AT693*AG693,2),2)</f>
        <v>0</v>
      </c>
    </row>
    <row r="694" spans="1:107" x14ac:dyDescent="0.2">
      <c r="A694">
        <f>ROW(Source!A575)</f>
        <v>575</v>
      </c>
      <c r="B694">
        <v>16748969</v>
      </c>
      <c r="C694">
        <v>16751650</v>
      </c>
      <c r="D694">
        <v>15247680</v>
      </c>
      <c r="E694">
        <v>1</v>
      </c>
      <c r="F694">
        <v>1</v>
      </c>
      <c r="G694">
        <v>1</v>
      </c>
      <c r="H694">
        <v>2</v>
      </c>
      <c r="I694" t="s">
        <v>1211</v>
      </c>
      <c r="J694" t="s">
        <v>1212</v>
      </c>
      <c r="K694" t="s">
        <v>1213</v>
      </c>
      <c r="L694">
        <v>1368</v>
      </c>
      <c r="N694">
        <v>1011</v>
      </c>
      <c r="O694" t="s">
        <v>1078</v>
      </c>
      <c r="P694" t="s">
        <v>1078</v>
      </c>
      <c r="Q694">
        <v>1</v>
      </c>
      <c r="W694">
        <v>0</v>
      </c>
      <c r="X694">
        <v>-1718674368</v>
      </c>
      <c r="Y694">
        <v>0.11249999999999999</v>
      </c>
      <c r="AA694">
        <v>0</v>
      </c>
      <c r="AB694">
        <v>734.65</v>
      </c>
      <c r="AC694">
        <v>13.5</v>
      </c>
      <c r="AD694">
        <v>0</v>
      </c>
      <c r="AE694">
        <v>0</v>
      </c>
      <c r="AF694">
        <v>111.99</v>
      </c>
      <c r="AG694">
        <v>13.5</v>
      </c>
      <c r="AH694">
        <v>0</v>
      </c>
      <c r="AI694">
        <v>1</v>
      </c>
      <c r="AJ694">
        <v>6.56</v>
      </c>
      <c r="AK694">
        <v>1</v>
      </c>
      <c r="AL694">
        <v>1</v>
      </c>
      <c r="AN694">
        <v>0</v>
      </c>
      <c r="AO694">
        <v>1</v>
      </c>
      <c r="AP694">
        <v>1</v>
      </c>
      <c r="AQ694">
        <v>0</v>
      </c>
      <c r="AR694">
        <v>0</v>
      </c>
      <c r="AS694" t="s">
        <v>6</v>
      </c>
      <c r="AT694">
        <v>0.09</v>
      </c>
      <c r="AU694" t="s">
        <v>172</v>
      </c>
      <c r="AV694">
        <v>0</v>
      </c>
      <c r="AW694">
        <v>2</v>
      </c>
      <c r="AX694">
        <v>16751666</v>
      </c>
      <c r="AY694">
        <v>1</v>
      </c>
      <c r="AZ694">
        <v>0</v>
      </c>
      <c r="BA694">
        <v>638</v>
      </c>
      <c r="BB694">
        <v>0</v>
      </c>
      <c r="BC694">
        <v>0</v>
      </c>
      <c r="BD694">
        <v>0</v>
      </c>
      <c r="BE694">
        <v>0</v>
      </c>
      <c r="BF694">
        <v>0</v>
      </c>
      <c r="BG694">
        <v>0</v>
      </c>
      <c r="BH694">
        <v>0</v>
      </c>
      <c r="BI694">
        <v>0</v>
      </c>
      <c r="BJ694">
        <v>0</v>
      </c>
      <c r="BK694">
        <v>0</v>
      </c>
      <c r="BL694">
        <v>0</v>
      </c>
      <c r="BM694">
        <v>0</v>
      </c>
      <c r="BN694">
        <v>0</v>
      </c>
      <c r="BO694">
        <v>0</v>
      </c>
      <c r="BP694">
        <v>0</v>
      </c>
      <c r="BQ694">
        <v>0</v>
      </c>
      <c r="BR694">
        <v>0</v>
      </c>
      <c r="BS694">
        <v>0</v>
      </c>
      <c r="BT694">
        <v>0</v>
      </c>
      <c r="BU694">
        <v>0</v>
      </c>
      <c r="BV694">
        <v>0</v>
      </c>
      <c r="BW694">
        <v>0</v>
      </c>
      <c r="CX694">
        <f>Y694*Source!I575</f>
        <v>5.383124999999999E-2</v>
      </c>
      <c r="CY694">
        <f>AB694</f>
        <v>734.65</v>
      </c>
      <c r="CZ694">
        <f>AF694</f>
        <v>111.99</v>
      </c>
      <c r="DA694">
        <f>AJ694</f>
        <v>6.56</v>
      </c>
      <c r="DB694">
        <f>ROUND((ROUND(AT694*CZ694,2)*1.25),2)</f>
        <v>12.6</v>
      </c>
      <c r="DC694">
        <f>ROUND((ROUND(AT694*AG694,2)*1.25),2)</f>
        <v>1.53</v>
      </c>
    </row>
    <row r="695" spans="1:107" x14ac:dyDescent="0.2">
      <c r="A695">
        <f>ROW(Source!A575)</f>
        <v>575</v>
      </c>
      <c r="B695">
        <v>16748969</v>
      </c>
      <c r="C695">
        <v>16751650</v>
      </c>
      <c r="D695">
        <v>15247974</v>
      </c>
      <c r="E695">
        <v>1</v>
      </c>
      <c r="F695">
        <v>1</v>
      </c>
      <c r="G695">
        <v>1</v>
      </c>
      <c r="H695">
        <v>2</v>
      </c>
      <c r="I695" t="s">
        <v>1075</v>
      </c>
      <c r="J695" t="s">
        <v>1076</v>
      </c>
      <c r="K695" t="s">
        <v>1077</v>
      </c>
      <c r="L695">
        <v>1368</v>
      </c>
      <c r="N695">
        <v>1011</v>
      </c>
      <c r="O695" t="s">
        <v>1078</v>
      </c>
      <c r="P695" t="s">
        <v>1078</v>
      </c>
      <c r="Q695">
        <v>1</v>
      </c>
      <c r="W695">
        <v>0</v>
      </c>
      <c r="X695">
        <v>1188625873</v>
      </c>
      <c r="Y695">
        <v>1.4874999999999998</v>
      </c>
      <c r="AA695">
        <v>0</v>
      </c>
      <c r="AB695">
        <v>205.07</v>
      </c>
      <c r="AC695">
        <v>13.5</v>
      </c>
      <c r="AD695">
        <v>0</v>
      </c>
      <c r="AE695">
        <v>0</v>
      </c>
      <c r="AF695">
        <v>31.26</v>
      </c>
      <c r="AG695">
        <v>13.5</v>
      </c>
      <c r="AH695">
        <v>0</v>
      </c>
      <c r="AI695">
        <v>1</v>
      </c>
      <c r="AJ695">
        <v>6.56</v>
      </c>
      <c r="AK695">
        <v>1</v>
      </c>
      <c r="AL695">
        <v>1</v>
      </c>
      <c r="AN695">
        <v>0</v>
      </c>
      <c r="AO695">
        <v>1</v>
      </c>
      <c r="AP695">
        <v>1</v>
      </c>
      <c r="AQ695">
        <v>0</v>
      </c>
      <c r="AR695">
        <v>0</v>
      </c>
      <c r="AS695" t="s">
        <v>6</v>
      </c>
      <c r="AT695">
        <v>1.19</v>
      </c>
      <c r="AU695" t="s">
        <v>172</v>
      </c>
      <c r="AV695">
        <v>0</v>
      </c>
      <c r="AW695">
        <v>2</v>
      </c>
      <c r="AX695">
        <v>16751667</v>
      </c>
      <c r="AY695">
        <v>1</v>
      </c>
      <c r="AZ695">
        <v>0</v>
      </c>
      <c r="BA695">
        <v>639</v>
      </c>
      <c r="BB695">
        <v>0</v>
      </c>
      <c r="BC695">
        <v>0</v>
      </c>
      <c r="BD695">
        <v>0</v>
      </c>
      <c r="BE695">
        <v>0</v>
      </c>
      <c r="BF695">
        <v>0</v>
      </c>
      <c r="BG695">
        <v>0</v>
      </c>
      <c r="BH695">
        <v>0</v>
      </c>
      <c r="BI695">
        <v>0</v>
      </c>
      <c r="BJ695">
        <v>0</v>
      </c>
      <c r="BK695">
        <v>0</v>
      </c>
      <c r="BL695">
        <v>0</v>
      </c>
      <c r="BM695">
        <v>0</v>
      </c>
      <c r="BN695">
        <v>0</v>
      </c>
      <c r="BO695">
        <v>0</v>
      </c>
      <c r="BP695">
        <v>0</v>
      </c>
      <c r="BQ695">
        <v>0</v>
      </c>
      <c r="BR695">
        <v>0</v>
      </c>
      <c r="BS695">
        <v>0</v>
      </c>
      <c r="BT695">
        <v>0</v>
      </c>
      <c r="BU695">
        <v>0</v>
      </c>
      <c r="BV695">
        <v>0</v>
      </c>
      <c r="BW695">
        <v>0</v>
      </c>
      <c r="CX695">
        <f>Y695*Source!I575</f>
        <v>0.71176874999999984</v>
      </c>
      <c r="CY695">
        <f>AB695</f>
        <v>205.07</v>
      </c>
      <c r="CZ695">
        <f>AF695</f>
        <v>31.26</v>
      </c>
      <c r="DA695">
        <f>AJ695</f>
        <v>6.56</v>
      </c>
      <c r="DB695">
        <f>ROUND((ROUND(AT695*CZ695,2)*1.25),2)</f>
        <v>46.5</v>
      </c>
      <c r="DC695">
        <f>ROUND((ROUND(AT695*AG695,2)*1.25),2)</f>
        <v>20.09</v>
      </c>
    </row>
    <row r="696" spans="1:107" x14ac:dyDescent="0.2">
      <c r="A696">
        <f>ROW(Source!A575)</f>
        <v>575</v>
      </c>
      <c r="B696">
        <v>16748969</v>
      </c>
      <c r="C696">
        <v>16751650</v>
      </c>
      <c r="D696">
        <v>15248793</v>
      </c>
      <c r="E696">
        <v>1</v>
      </c>
      <c r="F696">
        <v>1</v>
      </c>
      <c r="G696">
        <v>1</v>
      </c>
      <c r="H696">
        <v>2</v>
      </c>
      <c r="I696" t="s">
        <v>1531</v>
      </c>
      <c r="J696" t="s">
        <v>1532</v>
      </c>
      <c r="K696" t="s">
        <v>1533</v>
      </c>
      <c r="L696">
        <v>1368</v>
      </c>
      <c r="N696">
        <v>1011</v>
      </c>
      <c r="O696" t="s">
        <v>1078</v>
      </c>
      <c r="P696" t="s">
        <v>1078</v>
      </c>
      <c r="Q696">
        <v>1</v>
      </c>
      <c r="W696">
        <v>0</v>
      </c>
      <c r="X696">
        <v>-1347092713</v>
      </c>
      <c r="Y696">
        <v>1</v>
      </c>
      <c r="AA696">
        <v>0</v>
      </c>
      <c r="AB696">
        <v>194.64</v>
      </c>
      <c r="AC696">
        <v>0</v>
      </c>
      <c r="AD696">
        <v>0</v>
      </c>
      <c r="AE696">
        <v>0</v>
      </c>
      <c r="AF696">
        <v>29.67</v>
      </c>
      <c r="AG696">
        <v>0</v>
      </c>
      <c r="AH696">
        <v>0</v>
      </c>
      <c r="AI696">
        <v>1</v>
      </c>
      <c r="AJ696">
        <v>6.56</v>
      </c>
      <c r="AK696">
        <v>1</v>
      </c>
      <c r="AL696">
        <v>1</v>
      </c>
      <c r="AN696">
        <v>0</v>
      </c>
      <c r="AO696">
        <v>1</v>
      </c>
      <c r="AP696">
        <v>1</v>
      </c>
      <c r="AQ696">
        <v>0</v>
      </c>
      <c r="AR696">
        <v>0</v>
      </c>
      <c r="AS696" t="s">
        <v>6</v>
      </c>
      <c r="AT696">
        <v>0.8</v>
      </c>
      <c r="AU696" t="s">
        <v>172</v>
      </c>
      <c r="AV696">
        <v>0</v>
      </c>
      <c r="AW696">
        <v>2</v>
      </c>
      <c r="AX696">
        <v>16751668</v>
      </c>
      <c r="AY696">
        <v>1</v>
      </c>
      <c r="AZ696">
        <v>0</v>
      </c>
      <c r="BA696">
        <v>640</v>
      </c>
      <c r="BB696">
        <v>0</v>
      </c>
      <c r="BC696">
        <v>0</v>
      </c>
      <c r="BD696">
        <v>0</v>
      </c>
      <c r="BE696">
        <v>0</v>
      </c>
      <c r="BF696">
        <v>0</v>
      </c>
      <c r="BG696">
        <v>0</v>
      </c>
      <c r="BH696">
        <v>0</v>
      </c>
      <c r="BI696">
        <v>0</v>
      </c>
      <c r="BJ696">
        <v>0</v>
      </c>
      <c r="BK696">
        <v>0</v>
      </c>
      <c r="BL696">
        <v>0</v>
      </c>
      <c r="BM696">
        <v>0</v>
      </c>
      <c r="BN696">
        <v>0</v>
      </c>
      <c r="BO696">
        <v>0</v>
      </c>
      <c r="BP696">
        <v>0</v>
      </c>
      <c r="BQ696">
        <v>0</v>
      </c>
      <c r="BR696">
        <v>0</v>
      </c>
      <c r="BS696">
        <v>0</v>
      </c>
      <c r="BT696">
        <v>0</v>
      </c>
      <c r="BU696">
        <v>0</v>
      </c>
      <c r="BV696">
        <v>0</v>
      </c>
      <c r="BW696">
        <v>0</v>
      </c>
      <c r="CX696">
        <f>Y696*Source!I575</f>
        <v>0.47849999999999998</v>
      </c>
      <c r="CY696">
        <f>AB696</f>
        <v>194.64</v>
      </c>
      <c r="CZ696">
        <f>AF696</f>
        <v>29.67</v>
      </c>
      <c r="DA696">
        <f>AJ696</f>
        <v>6.56</v>
      </c>
      <c r="DB696">
        <f>ROUND((ROUND(AT696*CZ696,2)*1.25),2)</f>
        <v>29.68</v>
      </c>
      <c r="DC696">
        <f>ROUND((ROUND(AT696*AG696,2)*1.25),2)</f>
        <v>0</v>
      </c>
    </row>
    <row r="697" spans="1:107" x14ac:dyDescent="0.2">
      <c r="A697">
        <f>ROW(Source!A575)</f>
        <v>575</v>
      </c>
      <c r="B697">
        <v>16748969</v>
      </c>
      <c r="C697">
        <v>16751650</v>
      </c>
      <c r="D697">
        <v>15249073</v>
      </c>
      <c r="E697">
        <v>1</v>
      </c>
      <c r="F697">
        <v>1</v>
      </c>
      <c r="G697">
        <v>1</v>
      </c>
      <c r="H697">
        <v>2</v>
      </c>
      <c r="I697" t="s">
        <v>1097</v>
      </c>
      <c r="J697" t="s">
        <v>1098</v>
      </c>
      <c r="K697" t="s">
        <v>1099</v>
      </c>
      <c r="L697">
        <v>1368</v>
      </c>
      <c r="N697">
        <v>1011</v>
      </c>
      <c r="O697" t="s">
        <v>1078</v>
      </c>
      <c r="P697" t="s">
        <v>1078</v>
      </c>
      <c r="Q697">
        <v>1</v>
      </c>
      <c r="W697">
        <v>0</v>
      </c>
      <c r="X697">
        <v>1372534845</v>
      </c>
      <c r="Y697">
        <v>2.3125</v>
      </c>
      <c r="AA697">
        <v>0</v>
      </c>
      <c r="AB697">
        <v>431.06</v>
      </c>
      <c r="AC697">
        <v>11.6</v>
      </c>
      <c r="AD697">
        <v>0</v>
      </c>
      <c r="AE697">
        <v>0</v>
      </c>
      <c r="AF697">
        <v>65.709999999999994</v>
      </c>
      <c r="AG697">
        <v>11.6</v>
      </c>
      <c r="AH697">
        <v>0</v>
      </c>
      <c r="AI697">
        <v>1</v>
      </c>
      <c r="AJ697">
        <v>6.56</v>
      </c>
      <c r="AK697">
        <v>1</v>
      </c>
      <c r="AL697">
        <v>1</v>
      </c>
      <c r="AN697">
        <v>0</v>
      </c>
      <c r="AO697">
        <v>1</v>
      </c>
      <c r="AP697">
        <v>1</v>
      </c>
      <c r="AQ697">
        <v>0</v>
      </c>
      <c r="AR697">
        <v>0</v>
      </c>
      <c r="AS697" t="s">
        <v>6</v>
      </c>
      <c r="AT697">
        <v>1.85</v>
      </c>
      <c r="AU697" t="s">
        <v>172</v>
      </c>
      <c r="AV697">
        <v>0</v>
      </c>
      <c r="AW697">
        <v>2</v>
      </c>
      <c r="AX697">
        <v>16751669</v>
      </c>
      <c r="AY697">
        <v>1</v>
      </c>
      <c r="AZ697">
        <v>0</v>
      </c>
      <c r="BA697">
        <v>641</v>
      </c>
      <c r="BB697">
        <v>0</v>
      </c>
      <c r="BC697">
        <v>0</v>
      </c>
      <c r="BD697">
        <v>0</v>
      </c>
      <c r="BE697">
        <v>0</v>
      </c>
      <c r="BF697">
        <v>0</v>
      </c>
      <c r="BG697">
        <v>0</v>
      </c>
      <c r="BH697">
        <v>0</v>
      </c>
      <c r="BI697">
        <v>0</v>
      </c>
      <c r="BJ697">
        <v>0</v>
      </c>
      <c r="BK697">
        <v>0</v>
      </c>
      <c r="BL697">
        <v>0</v>
      </c>
      <c r="BM697">
        <v>0</v>
      </c>
      <c r="BN697">
        <v>0</v>
      </c>
      <c r="BO697">
        <v>0</v>
      </c>
      <c r="BP697">
        <v>0</v>
      </c>
      <c r="BQ697">
        <v>0</v>
      </c>
      <c r="BR697">
        <v>0</v>
      </c>
      <c r="BS697">
        <v>0</v>
      </c>
      <c r="BT697">
        <v>0</v>
      </c>
      <c r="BU697">
        <v>0</v>
      </c>
      <c r="BV697">
        <v>0</v>
      </c>
      <c r="BW697">
        <v>0</v>
      </c>
      <c r="CX697">
        <f>Y697*Source!I575</f>
        <v>1.10653125</v>
      </c>
      <c r="CY697">
        <f>AB697</f>
        <v>431.06</v>
      </c>
      <c r="CZ697">
        <f>AF697</f>
        <v>65.709999999999994</v>
      </c>
      <c r="DA697">
        <f>AJ697</f>
        <v>6.56</v>
      </c>
      <c r="DB697">
        <f>ROUND((ROUND(AT697*CZ697,2)*1.25),2)</f>
        <v>151.94999999999999</v>
      </c>
      <c r="DC697">
        <f>ROUND((ROUND(AT697*AG697,2)*1.25),2)</f>
        <v>26.83</v>
      </c>
    </row>
    <row r="698" spans="1:107" x14ac:dyDescent="0.2">
      <c r="A698">
        <f>ROW(Source!A575)</f>
        <v>575</v>
      </c>
      <c r="B698">
        <v>16748969</v>
      </c>
      <c r="C698">
        <v>16751650</v>
      </c>
      <c r="D698">
        <v>15166084</v>
      </c>
      <c r="E698">
        <v>1</v>
      </c>
      <c r="F698">
        <v>1</v>
      </c>
      <c r="G698">
        <v>1</v>
      </c>
      <c r="H698">
        <v>3</v>
      </c>
      <c r="I698" t="s">
        <v>1534</v>
      </c>
      <c r="J698" t="s">
        <v>1535</v>
      </c>
      <c r="K698" t="s">
        <v>1536</v>
      </c>
      <c r="L698">
        <v>1339</v>
      </c>
      <c r="N698">
        <v>1007</v>
      </c>
      <c r="O698" t="s">
        <v>283</v>
      </c>
      <c r="P698" t="s">
        <v>283</v>
      </c>
      <c r="Q698">
        <v>1</v>
      </c>
      <c r="W698">
        <v>0</v>
      </c>
      <c r="X698">
        <v>2048996427</v>
      </c>
      <c r="Y698">
        <v>0.67</v>
      </c>
      <c r="AA698">
        <v>300.64</v>
      </c>
      <c r="AB698">
        <v>0</v>
      </c>
      <c r="AC698">
        <v>0</v>
      </c>
      <c r="AD698">
        <v>0</v>
      </c>
      <c r="AE698">
        <v>45.83</v>
      </c>
      <c r="AF698">
        <v>0</v>
      </c>
      <c r="AG698">
        <v>0</v>
      </c>
      <c r="AH698">
        <v>0</v>
      </c>
      <c r="AI698">
        <v>6.56</v>
      </c>
      <c r="AJ698">
        <v>1</v>
      </c>
      <c r="AK698">
        <v>1</v>
      </c>
      <c r="AL698">
        <v>1</v>
      </c>
      <c r="AN698">
        <v>0</v>
      </c>
      <c r="AO698">
        <v>1</v>
      </c>
      <c r="AP698">
        <v>0</v>
      </c>
      <c r="AQ698">
        <v>0</v>
      </c>
      <c r="AR698">
        <v>0</v>
      </c>
      <c r="AS698" t="s">
        <v>6</v>
      </c>
      <c r="AT698">
        <v>0.67</v>
      </c>
      <c r="AU698" t="s">
        <v>6</v>
      </c>
      <c r="AV698">
        <v>0</v>
      </c>
      <c r="AW698">
        <v>2</v>
      </c>
      <c r="AX698">
        <v>16751670</v>
      </c>
      <c r="AY698">
        <v>1</v>
      </c>
      <c r="AZ698">
        <v>0</v>
      </c>
      <c r="BA698">
        <v>642</v>
      </c>
      <c r="BB698">
        <v>0</v>
      </c>
      <c r="BC698">
        <v>0</v>
      </c>
      <c r="BD698">
        <v>0</v>
      </c>
      <c r="BE698">
        <v>0</v>
      </c>
      <c r="BF698">
        <v>0</v>
      </c>
      <c r="BG698">
        <v>0</v>
      </c>
      <c r="BH698">
        <v>0</v>
      </c>
      <c r="BI698">
        <v>0</v>
      </c>
      <c r="BJ698">
        <v>0</v>
      </c>
      <c r="BK698">
        <v>0</v>
      </c>
      <c r="BL698">
        <v>0</v>
      </c>
      <c r="BM698">
        <v>0</v>
      </c>
      <c r="BN698">
        <v>0</v>
      </c>
      <c r="BO698">
        <v>0</v>
      </c>
      <c r="BP698">
        <v>0</v>
      </c>
      <c r="BQ698">
        <v>0</v>
      </c>
      <c r="BR698">
        <v>0</v>
      </c>
      <c r="BS698">
        <v>0</v>
      </c>
      <c r="BT698">
        <v>0</v>
      </c>
      <c r="BU698">
        <v>0</v>
      </c>
      <c r="BV698">
        <v>0</v>
      </c>
      <c r="BW698">
        <v>0</v>
      </c>
      <c r="CX698">
        <f>Y698*Source!I575</f>
        <v>0.32059500000000002</v>
      </c>
      <c r="CY698">
        <f t="shared" ref="CY698:CY703" si="130">AA698</f>
        <v>300.64</v>
      </c>
      <c r="CZ698">
        <f t="shared" ref="CZ698:CZ703" si="131">AE698</f>
        <v>45.83</v>
      </c>
      <c r="DA698">
        <f t="shared" ref="DA698:DA703" si="132">AI698</f>
        <v>6.56</v>
      </c>
      <c r="DB698">
        <f t="shared" ref="DB698:DB714" si="133">ROUND(ROUND(AT698*CZ698,2),2)</f>
        <v>30.71</v>
      </c>
      <c r="DC698">
        <f t="shared" ref="DC698:DC714" si="134">ROUND(ROUND(AT698*AG698,2),2)</f>
        <v>0</v>
      </c>
    </row>
    <row r="699" spans="1:107" x14ac:dyDescent="0.2">
      <c r="A699">
        <f>ROW(Source!A575)</f>
        <v>575</v>
      </c>
      <c r="B699">
        <v>16748969</v>
      </c>
      <c r="C699">
        <v>16751650</v>
      </c>
      <c r="D699">
        <v>15167286</v>
      </c>
      <c r="E699">
        <v>1</v>
      </c>
      <c r="F699">
        <v>1</v>
      </c>
      <c r="G699">
        <v>1</v>
      </c>
      <c r="H699">
        <v>3</v>
      </c>
      <c r="I699" t="s">
        <v>1079</v>
      </c>
      <c r="J699" t="s">
        <v>1080</v>
      </c>
      <c r="K699" t="s">
        <v>1081</v>
      </c>
      <c r="L699">
        <v>1339</v>
      </c>
      <c r="N699">
        <v>1007</v>
      </c>
      <c r="O699" t="s">
        <v>283</v>
      </c>
      <c r="P699" t="s">
        <v>283</v>
      </c>
      <c r="Q699">
        <v>1</v>
      </c>
      <c r="W699">
        <v>0</v>
      </c>
      <c r="X699">
        <v>-1660354250</v>
      </c>
      <c r="Y699">
        <v>15</v>
      </c>
      <c r="AA699">
        <v>16.010000000000002</v>
      </c>
      <c r="AB699">
        <v>0</v>
      </c>
      <c r="AC699">
        <v>0</v>
      </c>
      <c r="AD699">
        <v>0</v>
      </c>
      <c r="AE699">
        <v>2.44</v>
      </c>
      <c r="AF699">
        <v>0</v>
      </c>
      <c r="AG699">
        <v>0</v>
      </c>
      <c r="AH699">
        <v>0</v>
      </c>
      <c r="AI699">
        <v>6.56</v>
      </c>
      <c r="AJ699">
        <v>1</v>
      </c>
      <c r="AK699">
        <v>1</v>
      </c>
      <c r="AL699">
        <v>1</v>
      </c>
      <c r="AN699">
        <v>0</v>
      </c>
      <c r="AO699">
        <v>1</v>
      </c>
      <c r="AP699">
        <v>0</v>
      </c>
      <c r="AQ699">
        <v>0</v>
      </c>
      <c r="AR699">
        <v>0</v>
      </c>
      <c r="AS699" t="s">
        <v>6</v>
      </c>
      <c r="AT699">
        <v>15</v>
      </c>
      <c r="AU699" t="s">
        <v>6</v>
      </c>
      <c r="AV699">
        <v>0</v>
      </c>
      <c r="AW699">
        <v>2</v>
      </c>
      <c r="AX699">
        <v>16751671</v>
      </c>
      <c r="AY699">
        <v>1</v>
      </c>
      <c r="AZ699">
        <v>0</v>
      </c>
      <c r="BA699">
        <v>643</v>
      </c>
      <c r="BB699">
        <v>0</v>
      </c>
      <c r="BC699">
        <v>0</v>
      </c>
      <c r="BD699">
        <v>0</v>
      </c>
      <c r="BE699">
        <v>0</v>
      </c>
      <c r="BF699">
        <v>0</v>
      </c>
      <c r="BG699">
        <v>0</v>
      </c>
      <c r="BH699">
        <v>0</v>
      </c>
      <c r="BI699">
        <v>0</v>
      </c>
      <c r="BJ699">
        <v>0</v>
      </c>
      <c r="BK699">
        <v>0</v>
      </c>
      <c r="BL699">
        <v>0</v>
      </c>
      <c r="BM699">
        <v>0</v>
      </c>
      <c r="BN699">
        <v>0</v>
      </c>
      <c r="BO699">
        <v>0</v>
      </c>
      <c r="BP699">
        <v>0</v>
      </c>
      <c r="BQ699">
        <v>0</v>
      </c>
      <c r="BR699">
        <v>0</v>
      </c>
      <c r="BS699">
        <v>0</v>
      </c>
      <c r="BT699">
        <v>0</v>
      </c>
      <c r="BU699">
        <v>0</v>
      </c>
      <c r="BV699">
        <v>0</v>
      </c>
      <c r="BW699">
        <v>0</v>
      </c>
      <c r="CX699">
        <f>Y699*Source!I575</f>
        <v>7.1774999999999993</v>
      </c>
      <c r="CY699">
        <f t="shared" si="130"/>
        <v>16.010000000000002</v>
      </c>
      <c r="CZ699">
        <f t="shared" si="131"/>
        <v>2.44</v>
      </c>
      <c r="DA699">
        <f t="shared" si="132"/>
        <v>6.56</v>
      </c>
      <c r="DB699">
        <f t="shared" si="133"/>
        <v>36.6</v>
      </c>
      <c r="DC699">
        <f t="shared" si="134"/>
        <v>0</v>
      </c>
    </row>
    <row r="700" spans="1:107" x14ac:dyDescent="0.2">
      <c r="A700">
        <f>ROW(Source!A575)</f>
        <v>575</v>
      </c>
      <c r="B700">
        <v>16748969</v>
      </c>
      <c r="C700">
        <v>16751650</v>
      </c>
      <c r="D700">
        <v>15210852</v>
      </c>
      <c r="E700">
        <v>1</v>
      </c>
      <c r="F700">
        <v>1</v>
      </c>
      <c r="G700">
        <v>1</v>
      </c>
      <c r="H700">
        <v>3</v>
      </c>
      <c r="I700" t="s">
        <v>906</v>
      </c>
      <c r="J700" t="s">
        <v>908</v>
      </c>
      <c r="K700" t="s">
        <v>907</v>
      </c>
      <c r="L700">
        <v>1354</v>
      </c>
      <c r="N700">
        <v>1010</v>
      </c>
      <c r="O700" t="s">
        <v>53</v>
      </c>
      <c r="P700" t="s">
        <v>53</v>
      </c>
      <c r="Q700">
        <v>1</v>
      </c>
      <c r="W700">
        <v>0</v>
      </c>
      <c r="X700">
        <v>458687168</v>
      </c>
      <c r="Y700">
        <v>29.258098</v>
      </c>
      <c r="AA700">
        <v>271.64999999999998</v>
      </c>
      <c r="AB700">
        <v>0</v>
      </c>
      <c r="AC700">
        <v>0</v>
      </c>
      <c r="AD700">
        <v>0</v>
      </c>
      <c r="AE700">
        <v>41.41</v>
      </c>
      <c r="AF700">
        <v>0</v>
      </c>
      <c r="AG700">
        <v>0</v>
      </c>
      <c r="AH700">
        <v>0</v>
      </c>
      <c r="AI700">
        <v>6.56</v>
      </c>
      <c r="AJ700">
        <v>1</v>
      </c>
      <c r="AK700">
        <v>1</v>
      </c>
      <c r="AL700">
        <v>1</v>
      </c>
      <c r="AN700">
        <v>0</v>
      </c>
      <c r="AO700">
        <v>0</v>
      </c>
      <c r="AP700">
        <v>0</v>
      </c>
      <c r="AQ700">
        <v>0</v>
      </c>
      <c r="AR700">
        <v>0</v>
      </c>
      <c r="AS700" t="s">
        <v>6</v>
      </c>
      <c r="AT700">
        <v>29.258098</v>
      </c>
      <c r="AU700" t="s">
        <v>6</v>
      </c>
      <c r="AV700">
        <v>0</v>
      </c>
      <c r="AW700">
        <v>1</v>
      </c>
      <c r="AX700">
        <v>-1</v>
      </c>
      <c r="AY700">
        <v>0</v>
      </c>
      <c r="AZ700">
        <v>0</v>
      </c>
      <c r="BA700" t="s">
        <v>6</v>
      </c>
      <c r="BB700">
        <v>0</v>
      </c>
      <c r="BC700">
        <v>0</v>
      </c>
      <c r="BD700">
        <v>0</v>
      </c>
      <c r="BE700">
        <v>0</v>
      </c>
      <c r="BF700">
        <v>0</v>
      </c>
      <c r="BG700">
        <v>0</v>
      </c>
      <c r="BH700">
        <v>0</v>
      </c>
      <c r="BI700">
        <v>0</v>
      </c>
      <c r="BJ700">
        <v>0</v>
      </c>
      <c r="BK700">
        <v>0</v>
      </c>
      <c r="BL700">
        <v>0</v>
      </c>
      <c r="BM700">
        <v>0</v>
      </c>
      <c r="BN700">
        <v>0</v>
      </c>
      <c r="BO700">
        <v>0</v>
      </c>
      <c r="BP700">
        <v>0</v>
      </c>
      <c r="BQ700">
        <v>0</v>
      </c>
      <c r="BR700">
        <v>0</v>
      </c>
      <c r="BS700">
        <v>0</v>
      </c>
      <c r="BT700">
        <v>0</v>
      </c>
      <c r="BU700">
        <v>0</v>
      </c>
      <c r="BV700">
        <v>0</v>
      </c>
      <c r="BW700">
        <v>0</v>
      </c>
      <c r="CX700">
        <f>Y700*Source!I575</f>
        <v>13.999999893</v>
      </c>
      <c r="CY700">
        <f t="shared" si="130"/>
        <v>271.64999999999998</v>
      </c>
      <c r="CZ700">
        <f t="shared" si="131"/>
        <v>41.41</v>
      </c>
      <c r="DA700">
        <f t="shared" si="132"/>
        <v>6.56</v>
      </c>
      <c r="DB700">
        <f t="shared" si="133"/>
        <v>1211.58</v>
      </c>
      <c r="DC700">
        <f t="shared" si="134"/>
        <v>0</v>
      </c>
    </row>
    <row r="701" spans="1:107" x14ac:dyDescent="0.2">
      <c r="A701">
        <f>ROW(Source!A575)</f>
        <v>575</v>
      </c>
      <c r="B701">
        <v>16748969</v>
      </c>
      <c r="C701">
        <v>16751650</v>
      </c>
      <c r="D701">
        <v>15212828</v>
      </c>
      <c r="E701">
        <v>1</v>
      </c>
      <c r="F701">
        <v>1</v>
      </c>
      <c r="G701">
        <v>1</v>
      </c>
      <c r="H701">
        <v>3</v>
      </c>
      <c r="I701" t="s">
        <v>1537</v>
      </c>
      <c r="J701" t="s">
        <v>1538</v>
      </c>
      <c r="K701" t="s">
        <v>1539</v>
      </c>
      <c r="L701">
        <v>1035</v>
      </c>
      <c r="N701">
        <v>1013</v>
      </c>
      <c r="O701" t="s">
        <v>230</v>
      </c>
      <c r="P701" t="s">
        <v>230</v>
      </c>
      <c r="Q701">
        <v>1</v>
      </c>
      <c r="W701">
        <v>0</v>
      </c>
      <c r="X701">
        <v>-1223829238</v>
      </c>
      <c r="Y701">
        <v>44.2</v>
      </c>
      <c r="AA701">
        <v>162.36000000000001</v>
      </c>
      <c r="AB701">
        <v>0</v>
      </c>
      <c r="AC701">
        <v>0</v>
      </c>
      <c r="AD701">
        <v>0</v>
      </c>
      <c r="AE701">
        <v>24.75</v>
      </c>
      <c r="AF701">
        <v>0</v>
      </c>
      <c r="AG701">
        <v>0</v>
      </c>
      <c r="AH701">
        <v>0</v>
      </c>
      <c r="AI701">
        <v>6.56</v>
      </c>
      <c r="AJ701">
        <v>1</v>
      </c>
      <c r="AK701">
        <v>1</v>
      </c>
      <c r="AL701">
        <v>1</v>
      </c>
      <c r="AN701">
        <v>0</v>
      </c>
      <c r="AO701">
        <v>1</v>
      </c>
      <c r="AP701">
        <v>0</v>
      </c>
      <c r="AQ701">
        <v>0</v>
      </c>
      <c r="AR701">
        <v>0</v>
      </c>
      <c r="AS701" t="s">
        <v>6</v>
      </c>
      <c r="AT701">
        <v>44.2</v>
      </c>
      <c r="AU701" t="s">
        <v>6</v>
      </c>
      <c r="AV701">
        <v>0</v>
      </c>
      <c r="AW701">
        <v>2</v>
      </c>
      <c r="AX701">
        <v>16751674</v>
      </c>
      <c r="AY701">
        <v>1</v>
      </c>
      <c r="AZ701">
        <v>0</v>
      </c>
      <c r="BA701">
        <v>646</v>
      </c>
      <c r="BB701">
        <v>0</v>
      </c>
      <c r="BC701">
        <v>0</v>
      </c>
      <c r="BD701">
        <v>0</v>
      </c>
      <c r="BE701">
        <v>0</v>
      </c>
      <c r="BF701">
        <v>0</v>
      </c>
      <c r="BG701">
        <v>0</v>
      </c>
      <c r="BH701">
        <v>0</v>
      </c>
      <c r="BI701">
        <v>0</v>
      </c>
      <c r="BJ701">
        <v>0</v>
      </c>
      <c r="BK701">
        <v>0</v>
      </c>
      <c r="BL701">
        <v>0</v>
      </c>
      <c r="BM701">
        <v>0</v>
      </c>
      <c r="BN701">
        <v>0</v>
      </c>
      <c r="BO701">
        <v>0</v>
      </c>
      <c r="BP701">
        <v>0</v>
      </c>
      <c r="BQ701">
        <v>0</v>
      </c>
      <c r="BR701">
        <v>0</v>
      </c>
      <c r="BS701">
        <v>0</v>
      </c>
      <c r="BT701">
        <v>0</v>
      </c>
      <c r="BU701">
        <v>0</v>
      </c>
      <c r="BV701">
        <v>0</v>
      </c>
      <c r="BW701">
        <v>0</v>
      </c>
      <c r="CX701">
        <f>Y701*Source!I575</f>
        <v>21.149699999999999</v>
      </c>
      <c r="CY701">
        <f t="shared" si="130"/>
        <v>162.36000000000001</v>
      </c>
      <c r="CZ701">
        <f t="shared" si="131"/>
        <v>24.75</v>
      </c>
      <c r="DA701">
        <f t="shared" si="132"/>
        <v>6.56</v>
      </c>
      <c r="DB701">
        <f t="shared" si="133"/>
        <v>1093.95</v>
      </c>
      <c r="DC701">
        <f t="shared" si="134"/>
        <v>0</v>
      </c>
    </row>
    <row r="702" spans="1:107" x14ac:dyDescent="0.2">
      <c r="A702">
        <f>ROW(Source!A575)</f>
        <v>575</v>
      </c>
      <c r="B702">
        <v>16748969</v>
      </c>
      <c r="C702">
        <v>16751650</v>
      </c>
      <c r="D702">
        <v>15213165</v>
      </c>
      <c r="E702">
        <v>1</v>
      </c>
      <c r="F702">
        <v>1</v>
      </c>
      <c r="G702">
        <v>1</v>
      </c>
      <c r="H702">
        <v>3</v>
      </c>
      <c r="I702" t="s">
        <v>902</v>
      </c>
      <c r="J702" t="s">
        <v>904</v>
      </c>
      <c r="K702" t="s">
        <v>903</v>
      </c>
      <c r="L702">
        <v>1354</v>
      </c>
      <c r="N702">
        <v>1010</v>
      </c>
      <c r="O702" t="s">
        <v>53</v>
      </c>
      <c r="P702" t="s">
        <v>53</v>
      </c>
      <c r="Q702">
        <v>1</v>
      </c>
      <c r="W702">
        <v>0</v>
      </c>
      <c r="X702">
        <v>821608564</v>
      </c>
      <c r="Y702">
        <v>14.629049</v>
      </c>
      <c r="AA702">
        <v>8967.52</v>
      </c>
      <c r="AB702">
        <v>0</v>
      </c>
      <c r="AC702">
        <v>0</v>
      </c>
      <c r="AD702">
        <v>0</v>
      </c>
      <c r="AE702">
        <v>1367</v>
      </c>
      <c r="AF702">
        <v>0</v>
      </c>
      <c r="AG702">
        <v>0</v>
      </c>
      <c r="AH702">
        <v>0</v>
      </c>
      <c r="AI702">
        <v>6.56</v>
      </c>
      <c r="AJ702">
        <v>1</v>
      </c>
      <c r="AK702">
        <v>1</v>
      </c>
      <c r="AL702">
        <v>1</v>
      </c>
      <c r="AN702">
        <v>0</v>
      </c>
      <c r="AO702">
        <v>0</v>
      </c>
      <c r="AP702">
        <v>0</v>
      </c>
      <c r="AQ702">
        <v>0</v>
      </c>
      <c r="AR702">
        <v>0</v>
      </c>
      <c r="AS702" t="s">
        <v>6</v>
      </c>
      <c r="AT702">
        <v>14.629049</v>
      </c>
      <c r="AU702" t="s">
        <v>6</v>
      </c>
      <c r="AV702">
        <v>0</v>
      </c>
      <c r="AW702">
        <v>1</v>
      </c>
      <c r="AX702">
        <v>-1</v>
      </c>
      <c r="AY702">
        <v>0</v>
      </c>
      <c r="AZ702">
        <v>0</v>
      </c>
      <c r="BA702" t="s">
        <v>6</v>
      </c>
      <c r="BB702">
        <v>0</v>
      </c>
      <c r="BC702">
        <v>0</v>
      </c>
      <c r="BD702">
        <v>0</v>
      </c>
      <c r="BE702">
        <v>0</v>
      </c>
      <c r="BF702">
        <v>0</v>
      </c>
      <c r="BG702">
        <v>0</v>
      </c>
      <c r="BH702">
        <v>0</v>
      </c>
      <c r="BI702">
        <v>0</v>
      </c>
      <c r="BJ702">
        <v>0</v>
      </c>
      <c r="BK702">
        <v>0</v>
      </c>
      <c r="BL702">
        <v>0</v>
      </c>
      <c r="BM702">
        <v>0</v>
      </c>
      <c r="BN702">
        <v>0</v>
      </c>
      <c r="BO702">
        <v>0</v>
      </c>
      <c r="BP702">
        <v>0</v>
      </c>
      <c r="BQ702">
        <v>0</v>
      </c>
      <c r="BR702">
        <v>0</v>
      </c>
      <c r="BS702">
        <v>0</v>
      </c>
      <c r="BT702">
        <v>0</v>
      </c>
      <c r="BU702">
        <v>0</v>
      </c>
      <c r="BV702">
        <v>0</v>
      </c>
      <c r="BW702">
        <v>0</v>
      </c>
      <c r="CX702">
        <f>Y702*Source!I575</f>
        <v>6.9999999465</v>
      </c>
      <c r="CY702">
        <f t="shared" si="130"/>
        <v>8967.52</v>
      </c>
      <c r="CZ702">
        <f t="shared" si="131"/>
        <v>1367</v>
      </c>
      <c r="DA702">
        <f t="shared" si="132"/>
        <v>6.56</v>
      </c>
      <c r="DB702">
        <f t="shared" si="133"/>
        <v>19997.91</v>
      </c>
      <c r="DC702">
        <f t="shared" si="134"/>
        <v>0</v>
      </c>
    </row>
    <row r="703" spans="1:107" x14ac:dyDescent="0.2">
      <c r="A703">
        <f>ROW(Source!A575)</f>
        <v>575</v>
      </c>
      <c r="B703">
        <v>16748969</v>
      </c>
      <c r="C703">
        <v>16751650</v>
      </c>
      <c r="D703">
        <v>15163239</v>
      </c>
      <c r="E703">
        <v>17</v>
      </c>
      <c r="F703">
        <v>1</v>
      </c>
      <c r="G703">
        <v>1</v>
      </c>
      <c r="H703">
        <v>3</v>
      </c>
      <c r="I703" t="s">
        <v>912</v>
      </c>
      <c r="J703" t="s">
        <v>6</v>
      </c>
      <c r="K703" t="s">
        <v>913</v>
      </c>
      <c r="L703">
        <v>1033</v>
      </c>
      <c r="N703">
        <v>1013</v>
      </c>
      <c r="O703" t="s">
        <v>914</v>
      </c>
      <c r="P703" t="s">
        <v>914</v>
      </c>
      <c r="Q703">
        <v>1</v>
      </c>
      <c r="W703">
        <v>0</v>
      </c>
      <c r="X703">
        <v>704408924</v>
      </c>
      <c r="Y703">
        <v>100</v>
      </c>
      <c r="AA703">
        <v>0</v>
      </c>
      <c r="AB703">
        <v>0</v>
      </c>
      <c r="AC703">
        <v>0</v>
      </c>
      <c r="AD703">
        <v>0</v>
      </c>
      <c r="AE703">
        <v>0</v>
      </c>
      <c r="AF703">
        <v>0</v>
      </c>
      <c r="AG703">
        <v>0</v>
      </c>
      <c r="AH703">
        <v>0</v>
      </c>
      <c r="AI703">
        <v>6.56</v>
      </c>
      <c r="AJ703">
        <v>1</v>
      </c>
      <c r="AK703">
        <v>1</v>
      </c>
      <c r="AL703">
        <v>1</v>
      </c>
      <c r="AN703">
        <v>0</v>
      </c>
      <c r="AO703">
        <v>0</v>
      </c>
      <c r="AP703">
        <v>0</v>
      </c>
      <c r="AQ703">
        <v>0</v>
      </c>
      <c r="AR703">
        <v>0</v>
      </c>
      <c r="AS703" t="s">
        <v>6</v>
      </c>
      <c r="AT703">
        <v>100</v>
      </c>
      <c r="AU703" t="s">
        <v>6</v>
      </c>
      <c r="AV703">
        <v>0</v>
      </c>
      <c r="AW703">
        <v>2</v>
      </c>
      <c r="AX703">
        <v>16751675</v>
      </c>
      <c r="AY703">
        <v>1</v>
      </c>
      <c r="AZ703">
        <v>0</v>
      </c>
      <c r="BA703">
        <v>647</v>
      </c>
      <c r="BB703">
        <v>0</v>
      </c>
      <c r="BC703">
        <v>0</v>
      </c>
      <c r="BD703">
        <v>0</v>
      </c>
      <c r="BE703">
        <v>0</v>
      </c>
      <c r="BF703">
        <v>0</v>
      </c>
      <c r="BG703">
        <v>0</v>
      </c>
      <c r="BH703">
        <v>0</v>
      </c>
      <c r="BI703">
        <v>0</v>
      </c>
      <c r="BJ703">
        <v>0</v>
      </c>
      <c r="BK703">
        <v>0</v>
      </c>
      <c r="BL703">
        <v>0</v>
      </c>
      <c r="BM703">
        <v>0</v>
      </c>
      <c r="BN703">
        <v>0</v>
      </c>
      <c r="BO703">
        <v>0</v>
      </c>
      <c r="BP703">
        <v>0</v>
      </c>
      <c r="BQ703">
        <v>0</v>
      </c>
      <c r="BR703">
        <v>0</v>
      </c>
      <c r="BS703">
        <v>0</v>
      </c>
      <c r="BT703">
        <v>0</v>
      </c>
      <c r="BU703">
        <v>0</v>
      </c>
      <c r="BV703">
        <v>0</v>
      </c>
      <c r="BW703">
        <v>0</v>
      </c>
      <c r="CX703">
        <f>Y703*Source!I575</f>
        <v>47.85</v>
      </c>
      <c r="CY703">
        <f t="shared" si="130"/>
        <v>0</v>
      </c>
      <c r="CZ703">
        <f t="shared" si="131"/>
        <v>0</v>
      </c>
      <c r="DA703">
        <f t="shared" si="132"/>
        <v>6.56</v>
      </c>
      <c r="DB703">
        <f t="shared" si="133"/>
        <v>0</v>
      </c>
      <c r="DC703">
        <f t="shared" si="134"/>
        <v>0</v>
      </c>
    </row>
    <row r="704" spans="1:107" x14ac:dyDescent="0.2">
      <c r="A704">
        <f>ROW(Source!A613)</f>
        <v>613</v>
      </c>
      <c r="B704">
        <v>16748969</v>
      </c>
      <c r="C704">
        <v>16751820</v>
      </c>
      <c r="D704">
        <v>15430767</v>
      </c>
      <c r="E704">
        <v>1</v>
      </c>
      <c r="F704">
        <v>1</v>
      </c>
      <c r="G704">
        <v>1</v>
      </c>
      <c r="H704">
        <v>1</v>
      </c>
      <c r="I704" t="s">
        <v>1070</v>
      </c>
      <c r="J704" t="s">
        <v>6</v>
      </c>
      <c r="K704" t="s">
        <v>1071</v>
      </c>
      <c r="L704">
        <v>1191</v>
      </c>
      <c r="N704">
        <v>1013</v>
      </c>
      <c r="O704" t="s">
        <v>1072</v>
      </c>
      <c r="P704" t="s">
        <v>1072</v>
      </c>
      <c r="Q704">
        <v>1</v>
      </c>
      <c r="W704">
        <v>0</v>
      </c>
      <c r="X704">
        <v>-400197608</v>
      </c>
      <c r="Y704">
        <v>51.3</v>
      </c>
      <c r="AA704">
        <v>0</v>
      </c>
      <c r="AB704">
        <v>0</v>
      </c>
      <c r="AC704">
        <v>0</v>
      </c>
      <c r="AD704">
        <v>55.96</v>
      </c>
      <c r="AE704">
        <v>0</v>
      </c>
      <c r="AF704">
        <v>0</v>
      </c>
      <c r="AG704">
        <v>0</v>
      </c>
      <c r="AH704">
        <v>8.5299999999999994</v>
      </c>
      <c r="AI704">
        <v>1</v>
      </c>
      <c r="AJ704">
        <v>1</v>
      </c>
      <c r="AK704">
        <v>1</v>
      </c>
      <c r="AL704">
        <v>6.56</v>
      </c>
      <c r="AN704">
        <v>0</v>
      </c>
      <c r="AO704">
        <v>1</v>
      </c>
      <c r="AP704">
        <v>0</v>
      </c>
      <c r="AQ704">
        <v>0</v>
      </c>
      <c r="AR704">
        <v>0</v>
      </c>
      <c r="AS704" t="s">
        <v>6</v>
      </c>
      <c r="AT704">
        <v>51.3</v>
      </c>
      <c r="AU704" t="s">
        <v>6</v>
      </c>
      <c r="AV704">
        <v>1</v>
      </c>
      <c r="AW704">
        <v>2</v>
      </c>
      <c r="AX704">
        <v>16751824</v>
      </c>
      <c r="AY704">
        <v>1</v>
      </c>
      <c r="AZ704">
        <v>0</v>
      </c>
      <c r="BA704">
        <v>648</v>
      </c>
      <c r="BB704">
        <v>0</v>
      </c>
      <c r="BC704">
        <v>0</v>
      </c>
      <c r="BD704">
        <v>0</v>
      </c>
      <c r="BE704">
        <v>0</v>
      </c>
      <c r="BF704">
        <v>0</v>
      </c>
      <c r="BG704">
        <v>0</v>
      </c>
      <c r="BH704">
        <v>0</v>
      </c>
      <c r="BI704">
        <v>0</v>
      </c>
      <c r="BJ704">
        <v>0</v>
      </c>
      <c r="BK704">
        <v>0</v>
      </c>
      <c r="BL704">
        <v>0</v>
      </c>
      <c r="BM704">
        <v>0</v>
      </c>
      <c r="BN704">
        <v>0</v>
      </c>
      <c r="BO704">
        <v>0</v>
      </c>
      <c r="BP704">
        <v>0</v>
      </c>
      <c r="BQ704">
        <v>0</v>
      </c>
      <c r="BR704">
        <v>0</v>
      </c>
      <c r="BS704">
        <v>0</v>
      </c>
      <c r="BT704">
        <v>0</v>
      </c>
      <c r="BU704">
        <v>0</v>
      </c>
      <c r="BV704">
        <v>0</v>
      </c>
      <c r="BW704">
        <v>0</v>
      </c>
      <c r="CX704">
        <f>Y704*Source!I613</f>
        <v>0.51300000000000001</v>
      </c>
      <c r="CY704">
        <f>AD704</f>
        <v>55.96</v>
      </c>
      <c r="CZ704">
        <f>AH704</f>
        <v>8.5299999999999994</v>
      </c>
      <c r="DA704">
        <f>AL704</f>
        <v>6.56</v>
      </c>
      <c r="DB704">
        <f t="shared" si="133"/>
        <v>437.59</v>
      </c>
      <c r="DC704">
        <f t="shared" si="134"/>
        <v>0</v>
      </c>
    </row>
    <row r="705" spans="1:107" x14ac:dyDescent="0.2">
      <c r="A705">
        <f>ROW(Source!A613)</f>
        <v>613</v>
      </c>
      <c r="B705">
        <v>16748969</v>
      </c>
      <c r="C705">
        <v>16751820</v>
      </c>
      <c r="D705">
        <v>15430395</v>
      </c>
      <c r="E705">
        <v>1</v>
      </c>
      <c r="F705">
        <v>1</v>
      </c>
      <c r="G705">
        <v>1</v>
      </c>
      <c r="H705">
        <v>1</v>
      </c>
      <c r="I705" t="s">
        <v>1073</v>
      </c>
      <c r="J705" t="s">
        <v>6</v>
      </c>
      <c r="K705" t="s">
        <v>1074</v>
      </c>
      <c r="L705">
        <v>1191</v>
      </c>
      <c r="N705">
        <v>1013</v>
      </c>
      <c r="O705" t="s">
        <v>1072</v>
      </c>
      <c r="P705" t="s">
        <v>1072</v>
      </c>
      <c r="Q705">
        <v>1</v>
      </c>
      <c r="W705">
        <v>0</v>
      </c>
      <c r="X705">
        <v>-1417349443</v>
      </c>
      <c r="Y705">
        <v>0.26</v>
      </c>
      <c r="AA705">
        <v>0</v>
      </c>
      <c r="AB705">
        <v>0</v>
      </c>
      <c r="AC705">
        <v>0</v>
      </c>
      <c r="AD705">
        <v>0</v>
      </c>
      <c r="AE705">
        <v>0</v>
      </c>
      <c r="AF705">
        <v>0</v>
      </c>
      <c r="AG705">
        <v>0</v>
      </c>
      <c r="AH705">
        <v>0</v>
      </c>
      <c r="AI705">
        <v>1</v>
      </c>
      <c r="AJ705">
        <v>1</v>
      </c>
      <c r="AK705">
        <v>6.56</v>
      </c>
      <c r="AL705">
        <v>1</v>
      </c>
      <c r="AN705">
        <v>0</v>
      </c>
      <c r="AO705">
        <v>1</v>
      </c>
      <c r="AP705">
        <v>0</v>
      </c>
      <c r="AQ705">
        <v>0</v>
      </c>
      <c r="AR705">
        <v>0</v>
      </c>
      <c r="AS705" t="s">
        <v>6</v>
      </c>
      <c r="AT705">
        <v>0.26</v>
      </c>
      <c r="AU705" t="s">
        <v>6</v>
      </c>
      <c r="AV705">
        <v>2</v>
      </c>
      <c r="AW705">
        <v>2</v>
      </c>
      <c r="AX705">
        <v>16751825</v>
      </c>
      <c r="AY705">
        <v>1</v>
      </c>
      <c r="AZ705">
        <v>0</v>
      </c>
      <c r="BA705">
        <v>649</v>
      </c>
      <c r="BB705">
        <v>0</v>
      </c>
      <c r="BC705">
        <v>0</v>
      </c>
      <c r="BD705">
        <v>0</v>
      </c>
      <c r="BE705">
        <v>0</v>
      </c>
      <c r="BF705">
        <v>0</v>
      </c>
      <c r="BG705">
        <v>0</v>
      </c>
      <c r="BH705">
        <v>0</v>
      </c>
      <c r="BI705">
        <v>0</v>
      </c>
      <c r="BJ705">
        <v>0</v>
      </c>
      <c r="BK705">
        <v>0</v>
      </c>
      <c r="BL705">
        <v>0</v>
      </c>
      <c r="BM705">
        <v>0</v>
      </c>
      <c r="BN705">
        <v>0</v>
      </c>
      <c r="BO705">
        <v>0</v>
      </c>
      <c r="BP705">
        <v>0</v>
      </c>
      <c r="BQ705">
        <v>0</v>
      </c>
      <c r="BR705">
        <v>0</v>
      </c>
      <c r="BS705">
        <v>0</v>
      </c>
      <c r="BT705">
        <v>0</v>
      </c>
      <c r="BU705">
        <v>0</v>
      </c>
      <c r="BV705">
        <v>0</v>
      </c>
      <c r="BW705">
        <v>0</v>
      </c>
      <c r="CX705">
        <f>Y705*Source!I613</f>
        <v>2.6000000000000003E-3</v>
      </c>
      <c r="CY705">
        <f>AD705</f>
        <v>0</v>
      </c>
      <c r="CZ705">
        <f>AH705</f>
        <v>0</v>
      </c>
      <c r="DA705">
        <f>AL705</f>
        <v>1</v>
      </c>
      <c r="DB705">
        <f t="shared" si="133"/>
        <v>0</v>
      </c>
      <c r="DC705">
        <f t="shared" si="134"/>
        <v>0</v>
      </c>
    </row>
    <row r="706" spans="1:107" x14ac:dyDescent="0.2">
      <c r="A706">
        <f>ROW(Source!A613)</f>
        <v>613</v>
      </c>
      <c r="B706">
        <v>16748969</v>
      </c>
      <c r="C706">
        <v>16751820</v>
      </c>
      <c r="D706">
        <v>15247974</v>
      </c>
      <c r="E706">
        <v>1</v>
      </c>
      <c r="F706">
        <v>1</v>
      </c>
      <c r="G706">
        <v>1</v>
      </c>
      <c r="H706">
        <v>2</v>
      </c>
      <c r="I706" t="s">
        <v>1075</v>
      </c>
      <c r="J706" t="s">
        <v>1076</v>
      </c>
      <c r="K706" t="s">
        <v>1077</v>
      </c>
      <c r="L706">
        <v>1368</v>
      </c>
      <c r="N706">
        <v>1011</v>
      </c>
      <c r="O706" t="s">
        <v>1078</v>
      </c>
      <c r="P706" t="s">
        <v>1078</v>
      </c>
      <c r="Q706">
        <v>1</v>
      </c>
      <c r="W706">
        <v>0</v>
      </c>
      <c r="X706">
        <v>1188625873</v>
      </c>
      <c r="Y706">
        <v>0.26</v>
      </c>
      <c r="AA706">
        <v>0</v>
      </c>
      <c r="AB706">
        <v>205.07</v>
      </c>
      <c r="AC706">
        <v>13.5</v>
      </c>
      <c r="AD706">
        <v>0</v>
      </c>
      <c r="AE706">
        <v>0</v>
      </c>
      <c r="AF706">
        <v>31.26</v>
      </c>
      <c r="AG706">
        <v>13.5</v>
      </c>
      <c r="AH706">
        <v>0</v>
      </c>
      <c r="AI706">
        <v>1</v>
      </c>
      <c r="AJ706">
        <v>6.56</v>
      </c>
      <c r="AK706">
        <v>1</v>
      </c>
      <c r="AL706">
        <v>1</v>
      </c>
      <c r="AN706">
        <v>0</v>
      </c>
      <c r="AO706">
        <v>1</v>
      </c>
      <c r="AP706">
        <v>0</v>
      </c>
      <c r="AQ706">
        <v>0</v>
      </c>
      <c r="AR706">
        <v>0</v>
      </c>
      <c r="AS706" t="s">
        <v>6</v>
      </c>
      <c r="AT706">
        <v>0.26</v>
      </c>
      <c r="AU706" t="s">
        <v>6</v>
      </c>
      <c r="AV706">
        <v>0</v>
      </c>
      <c r="AW706">
        <v>2</v>
      </c>
      <c r="AX706">
        <v>16751826</v>
      </c>
      <c r="AY706">
        <v>1</v>
      </c>
      <c r="AZ706">
        <v>0</v>
      </c>
      <c r="BA706">
        <v>650</v>
      </c>
      <c r="BB706">
        <v>0</v>
      </c>
      <c r="BC706">
        <v>0</v>
      </c>
      <c r="BD706">
        <v>0</v>
      </c>
      <c r="BE706">
        <v>0</v>
      </c>
      <c r="BF706">
        <v>0</v>
      </c>
      <c r="BG706">
        <v>0</v>
      </c>
      <c r="BH706">
        <v>0</v>
      </c>
      <c r="BI706">
        <v>0</v>
      </c>
      <c r="BJ706">
        <v>0</v>
      </c>
      <c r="BK706">
        <v>0</v>
      </c>
      <c r="BL706">
        <v>0</v>
      </c>
      <c r="BM706">
        <v>0</v>
      </c>
      <c r="BN706">
        <v>0</v>
      </c>
      <c r="BO706">
        <v>0</v>
      </c>
      <c r="BP706">
        <v>0</v>
      </c>
      <c r="BQ706">
        <v>0</v>
      </c>
      <c r="BR706">
        <v>0</v>
      </c>
      <c r="BS706">
        <v>0</v>
      </c>
      <c r="BT706">
        <v>0</v>
      </c>
      <c r="BU706">
        <v>0</v>
      </c>
      <c r="BV706">
        <v>0</v>
      </c>
      <c r="BW706">
        <v>0</v>
      </c>
      <c r="CX706">
        <f>Y706*Source!I613</f>
        <v>2.6000000000000003E-3</v>
      </c>
      <c r="CY706">
        <f>AB706</f>
        <v>205.07</v>
      </c>
      <c r="CZ706">
        <f>AF706</f>
        <v>31.26</v>
      </c>
      <c r="DA706">
        <f>AJ706</f>
        <v>6.56</v>
      </c>
      <c r="DB706">
        <f t="shared" si="133"/>
        <v>8.1300000000000008</v>
      </c>
      <c r="DC706">
        <f t="shared" si="134"/>
        <v>3.51</v>
      </c>
    </row>
    <row r="707" spans="1:107" x14ac:dyDescent="0.2">
      <c r="A707">
        <f>ROW(Source!A614)</f>
        <v>614</v>
      </c>
      <c r="B707">
        <v>16748969</v>
      </c>
      <c r="C707">
        <v>16753591</v>
      </c>
      <c r="D707">
        <v>15430447</v>
      </c>
      <c r="E707">
        <v>1</v>
      </c>
      <c r="F707">
        <v>1</v>
      </c>
      <c r="G707">
        <v>1</v>
      </c>
      <c r="H707">
        <v>1</v>
      </c>
      <c r="I707" t="s">
        <v>1304</v>
      </c>
      <c r="J707" t="s">
        <v>6</v>
      </c>
      <c r="K707" t="s">
        <v>1305</v>
      </c>
      <c r="L707">
        <v>1191</v>
      </c>
      <c r="N707">
        <v>1013</v>
      </c>
      <c r="O707" t="s">
        <v>1072</v>
      </c>
      <c r="P707" t="s">
        <v>1072</v>
      </c>
      <c r="Q707">
        <v>1</v>
      </c>
      <c r="W707">
        <v>0</v>
      </c>
      <c r="X707">
        <v>145020957</v>
      </c>
      <c r="Y707">
        <v>1.47</v>
      </c>
      <c r="AA707">
        <v>0</v>
      </c>
      <c r="AB707">
        <v>0</v>
      </c>
      <c r="AC707">
        <v>0</v>
      </c>
      <c r="AD707">
        <v>59.5</v>
      </c>
      <c r="AE707">
        <v>0</v>
      </c>
      <c r="AF707">
        <v>0</v>
      </c>
      <c r="AG707">
        <v>0</v>
      </c>
      <c r="AH707">
        <v>9.07</v>
      </c>
      <c r="AI707">
        <v>1</v>
      </c>
      <c r="AJ707">
        <v>1</v>
      </c>
      <c r="AK707">
        <v>1</v>
      </c>
      <c r="AL707">
        <v>6.56</v>
      </c>
      <c r="AN707">
        <v>0</v>
      </c>
      <c r="AO707">
        <v>1</v>
      </c>
      <c r="AP707">
        <v>0</v>
      </c>
      <c r="AQ707">
        <v>0</v>
      </c>
      <c r="AR707">
        <v>0</v>
      </c>
      <c r="AS707" t="s">
        <v>6</v>
      </c>
      <c r="AT707">
        <v>1.47</v>
      </c>
      <c r="AU707" t="s">
        <v>6</v>
      </c>
      <c r="AV707">
        <v>1</v>
      </c>
      <c r="AW707">
        <v>2</v>
      </c>
      <c r="AX707">
        <v>16753592</v>
      </c>
      <c r="AY707">
        <v>1</v>
      </c>
      <c r="AZ707">
        <v>0</v>
      </c>
      <c r="BA707">
        <v>652</v>
      </c>
      <c r="BB707">
        <v>0</v>
      </c>
      <c r="BC707">
        <v>0</v>
      </c>
      <c r="BD707">
        <v>0</v>
      </c>
      <c r="BE707">
        <v>0</v>
      </c>
      <c r="BF707">
        <v>0</v>
      </c>
      <c r="BG707">
        <v>0</v>
      </c>
      <c r="BH707">
        <v>0</v>
      </c>
      <c r="BI707">
        <v>0</v>
      </c>
      <c r="BJ707">
        <v>0</v>
      </c>
      <c r="BK707">
        <v>0</v>
      </c>
      <c r="BL707">
        <v>0</v>
      </c>
      <c r="BM707">
        <v>0</v>
      </c>
      <c r="BN707">
        <v>0</v>
      </c>
      <c r="BO707">
        <v>0</v>
      </c>
      <c r="BP707">
        <v>0</v>
      </c>
      <c r="BQ707">
        <v>0</v>
      </c>
      <c r="BR707">
        <v>0</v>
      </c>
      <c r="BS707">
        <v>0</v>
      </c>
      <c r="BT707">
        <v>0</v>
      </c>
      <c r="BU707">
        <v>0</v>
      </c>
      <c r="BV707">
        <v>0</v>
      </c>
      <c r="BW707">
        <v>0</v>
      </c>
      <c r="CX707">
        <f>Y707*Source!I614</f>
        <v>7.35</v>
      </c>
      <c r="CY707">
        <f>AD707</f>
        <v>59.5</v>
      </c>
      <c r="CZ707">
        <f>AH707</f>
        <v>9.07</v>
      </c>
      <c r="DA707">
        <f>AL707</f>
        <v>6.56</v>
      </c>
      <c r="DB707">
        <f t="shared" si="133"/>
        <v>13.33</v>
      </c>
      <c r="DC707">
        <f t="shared" si="134"/>
        <v>0</v>
      </c>
    </row>
    <row r="708" spans="1:107" x14ac:dyDescent="0.2">
      <c r="A708">
        <f>ROW(Source!A614)</f>
        <v>614</v>
      </c>
      <c r="B708">
        <v>16748969</v>
      </c>
      <c r="C708">
        <v>16753591</v>
      </c>
      <c r="D708">
        <v>15430395</v>
      </c>
      <c r="E708">
        <v>1</v>
      </c>
      <c r="F708">
        <v>1</v>
      </c>
      <c r="G708">
        <v>1</v>
      </c>
      <c r="H708">
        <v>1</v>
      </c>
      <c r="I708" t="s">
        <v>1073</v>
      </c>
      <c r="J708" t="s">
        <v>6</v>
      </c>
      <c r="K708" t="s">
        <v>1074</v>
      </c>
      <c r="L708">
        <v>1191</v>
      </c>
      <c r="N708">
        <v>1013</v>
      </c>
      <c r="O708" t="s">
        <v>1072</v>
      </c>
      <c r="P708" t="s">
        <v>1072</v>
      </c>
      <c r="Q708">
        <v>1</v>
      </c>
      <c r="W708">
        <v>0</v>
      </c>
      <c r="X708">
        <v>-1417349443</v>
      </c>
      <c r="Y708">
        <v>0.01</v>
      </c>
      <c r="AA708">
        <v>0</v>
      </c>
      <c r="AB708">
        <v>0</v>
      </c>
      <c r="AC708">
        <v>0</v>
      </c>
      <c r="AD708">
        <v>0</v>
      </c>
      <c r="AE708">
        <v>0</v>
      </c>
      <c r="AF708">
        <v>0</v>
      </c>
      <c r="AG708">
        <v>0</v>
      </c>
      <c r="AH708">
        <v>0</v>
      </c>
      <c r="AI708">
        <v>1</v>
      </c>
      <c r="AJ708">
        <v>1</v>
      </c>
      <c r="AK708">
        <v>6.56</v>
      </c>
      <c r="AL708">
        <v>1</v>
      </c>
      <c r="AN708">
        <v>0</v>
      </c>
      <c r="AO708">
        <v>1</v>
      </c>
      <c r="AP708">
        <v>0</v>
      </c>
      <c r="AQ708">
        <v>0</v>
      </c>
      <c r="AR708">
        <v>0</v>
      </c>
      <c r="AS708" t="s">
        <v>6</v>
      </c>
      <c r="AT708">
        <v>0.01</v>
      </c>
      <c r="AU708" t="s">
        <v>6</v>
      </c>
      <c r="AV708">
        <v>2</v>
      </c>
      <c r="AW708">
        <v>2</v>
      </c>
      <c r="AX708">
        <v>16753593</v>
      </c>
      <c r="AY708">
        <v>1</v>
      </c>
      <c r="AZ708">
        <v>0</v>
      </c>
      <c r="BA708">
        <v>653</v>
      </c>
      <c r="BB708">
        <v>0</v>
      </c>
      <c r="BC708">
        <v>0</v>
      </c>
      <c r="BD708">
        <v>0</v>
      </c>
      <c r="BE708">
        <v>0</v>
      </c>
      <c r="BF708">
        <v>0</v>
      </c>
      <c r="BG708">
        <v>0</v>
      </c>
      <c r="BH708">
        <v>0</v>
      </c>
      <c r="BI708">
        <v>0</v>
      </c>
      <c r="BJ708">
        <v>0</v>
      </c>
      <c r="BK708">
        <v>0</v>
      </c>
      <c r="BL708">
        <v>0</v>
      </c>
      <c r="BM708">
        <v>0</v>
      </c>
      <c r="BN708">
        <v>0</v>
      </c>
      <c r="BO708">
        <v>0</v>
      </c>
      <c r="BP708">
        <v>0</v>
      </c>
      <c r="BQ708">
        <v>0</v>
      </c>
      <c r="BR708">
        <v>0</v>
      </c>
      <c r="BS708">
        <v>0</v>
      </c>
      <c r="BT708">
        <v>0</v>
      </c>
      <c r="BU708">
        <v>0</v>
      </c>
      <c r="BV708">
        <v>0</v>
      </c>
      <c r="BW708">
        <v>0</v>
      </c>
      <c r="CX708">
        <f>Y708*Source!I614</f>
        <v>0.05</v>
      </c>
      <c r="CY708">
        <f>AD708</f>
        <v>0</v>
      </c>
      <c r="CZ708">
        <f>AH708</f>
        <v>0</v>
      </c>
      <c r="DA708">
        <f>AL708</f>
        <v>1</v>
      </c>
      <c r="DB708">
        <f t="shared" si="133"/>
        <v>0</v>
      </c>
      <c r="DC708">
        <f t="shared" si="134"/>
        <v>0</v>
      </c>
    </row>
    <row r="709" spans="1:107" x14ac:dyDescent="0.2">
      <c r="A709">
        <f>ROW(Source!A614)</f>
        <v>614</v>
      </c>
      <c r="B709">
        <v>16748969</v>
      </c>
      <c r="C709">
        <v>16753591</v>
      </c>
      <c r="D709">
        <v>15249073</v>
      </c>
      <c r="E709">
        <v>1</v>
      </c>
      <c r="F709">
        <v>1</v>
      </c>
      <c r="G709">
        <v>1</v>
      </c>
      <c r="H709">
        <v>2</v>
      </c>
      <c r="I709" t="s">
        <v>1097</v>
      </c>
      <c r="J709" t="s">
        <v>1098</v>
      </c>
      <c r="K709" t="s">
        <v>1099</v>
      </c>
      <c r="L709">
        <v>1368</v>
      </c>
      <c r="N709">
        <v>1011</v>
      </c>
      <c r="O709" t="s">
        <v>1078</v>
      </c>
      <c r="P709" t="s">
        <v>1078</v>
      </c>
      <c r="Q709">
        <v>1</v>
      </c>
      <c r="W709">
        <v>0</v>
      </c>
      <c r="X709">
        <v>1372534845</v>
      </c>
      <c r="Y709">
        <v>0.01</v>
      </c>
      <c r="AA709">
        <v>0</v>
      </c>
      <c r="AB709">
        <v>431.06</v>
      </c>
      <c r="AC709">
        <v>11.6</v>
      </c>
      <c r="AD709">
        <v>0</v>
      </c>
      <c r="AE709">
        <v>0</v>
      </c>
      <c r="AF709">
        <v>65.709999999999994</v>
      </c>
      <c r="AG709">
        <v>11.6</v>
      </c>
      <c r="AH709">
        <v>0</v>
      </c>
      <c r="AI709">
        <v>1</v>
      </c>
      <c r="AJ709">
        <v>6.56</v>
      </c>
      <c r="AK709">
        <v>1</v>
      </c>
      <c r="AL709">
        <v>1</v>
      </c>
      <c r="AN709">
        <v>0</v>
      </c>
      <c r="AO709">
        <v>1</v>
      </c>
      <c r="AP709">
        <v>0</v>
      </c>
      <c r="AQ709">
        <v>0</v>
      </c>
      <c r="AR709">
        <v>0</v>
      </c>
      <c r="AS709" t="s">
        <v>6</v>
      </c>
      <c r="AT709">
        <v>0.01</v>
      </c>
      <c r="AU709" t="s">
        <v>6</v>
      </c>
      <c r="AV709">
        <v>0</v>
      </c>
      <c r="AW709">
        <v>2</v>
      </c>
      <c r="AX709">
        <v>16753594</v>
      </c>
      <c r="AY709">
        <v>1</v>
      </c>
      <c r="AZ709">
        <v>0</v>
      </c>
      <c r="BA709">
        <v>654</v>
      </c>
      <c r="BB709">
        <v>0</v>
      </c>
      <c r="BC709">
        <v>0</v>
      </c>
      <c r="BD709">
        <v>0</v>
      </c>
      <c r="BE709">
        <v>0</v>
      </c>
      <c r="BF709">
        <v>0</v>
      </c>
      <c r="BG709">
        <v>0</v>
      </c>
      <c r="BH709">
        <v>0</v>
      </c>
      <c r="BI709">
        <v>0</v>
      </c>
      <c r="BJ709">
        <v>0</v>
      </c>
      <c r="BK709">
        <v>0</v>
      </c>
      <c r="BL709">
        <v>0</v>
      </c>
      <c r="BM709">
        <v>0</v>
      </c>
      <c r="BN709">
        <v>0</v>
      </c>
      <c r="BO709">
        <v>0</v>
      </c>
      <c r="BP709">
        <v>0</v>
      </c>
      <c r="BQ709">
        <v>0</v>
      </c>
      <c r="BR709">
        <v>0</v>
      </c>
      <c r="BS709">
        <v>0</v>
      </c>
      <c r="BT709">
        <v>0</v>
      </c>
      <c r="BU709">
        <v>0</v>
      </c>
      <c r="BV709">
        <v>0</v>
      </c>
      <c r="BW709">
        <v>0</v>
      </c>
      <c r="CX709">
        <f>Y709*Source!I614</f>
        <v>0.05</v>
      </c>
      <c r="CY709">
        <f>AB709</f>
        <v>431.06</v>
      </c>
      <c r="CZ709">
        <f>AF709</f>
        <v>65.709999999999994</v>
      </c>
      <c r="DA709">
        <f>AJ709</f>
        <v>6.56</v>
      </c>
      <c r="DB709">
        <f t="shared" si="133"/>
        <v>0.66</v>
      </c>
      <c r="DC709">
        <f t="shared" si="134"/>
        <v>0.12</v>
      </c>
    </row>
    <row r="710" spans="1:107" x14ac:dyDescent="0.2">
      <c r="A710">
        <f>ROW(Source!A614)</f>
        <v>614</v>
      </c>
      <c r="B710">
        <v>16748969</v>
      </c>
      <c r="C710">
        <v>16753591</v>
      </c>
      <c r="D710">
        <v>15249377</v>
      </c>
      <c r="E710">
        <v>1</v>
      </c>
      <c r="F710">
        <v>1</v>
      </c>
      <c r="G710">
        <v>1</v>
      </c>
      <c r="H710">
        <v>2</v>
      </c>
      <c r="I710" t="s">
        <v>1100</v>
      </c>
      <c r="J710" t="s">
        <v>1101</v>
      </c>
      <c r="K710" t="s">
        <v>1102</v>
      </c>
      <c r="L710">
        <v>1368</v>
      </c>
      <c r="N710">
        <v>1011</v>
      </c>
      <c r="O710" t="s">
        <v>1078</v>
      </c>
      <c r="P710" t="s">
        <v>1078</v>
      </c>
      <c r="Q710">
        <v>1</v>
      </c>
      <c r="W710">
        <v>0</v>
      </c>
      <c r="X710">
        <v>-353815937</v>
      </c>
      <c r="Y710">
        <v>0.35</v>
      </c>
      <c r="AA710">
        <v>0</v>
      </c>
      <c r="AB710">
        <v>53.14</v>
      </c>
      <c r="AC710">
        <v>0</v>
      </c>
      <c r="AD710">
        <v>0</v>
      </c>
      <c r="AE710">
        <v>0</v>
      </c>
      <c r="AF710">
        <v>8.1</v>
      </c>
      <c r="AG710">
        <v>0</v>
      </c>
      <c r="AH710">
        <v>0</v>
      </c>
      <c r="AI710">
        <v>1</v>
      </c>
      <c r="AJ710">
        <v>6.56</v>
      </c>
      <c r="AK710">
        <v>1</v>
      </c>
      <c r="AL710">
        <v>1</v>
      </c>
      <c r="AN710">
        <v>0</v>
      </c>
      <c r="AO710">
        <v>1</v>
      </c>
      <c r="AP710">
        <v>0</v>
      </c>
      <c r="AQ710">
        <v>0</v>
      </c>
      <c r="AR710">
        <v>0</v>
      </c>
      <c r="AS710" t="s">
        <v>6</v>
      </c>
      <c r="AT710">
        <v>0.35</v>
      </c>
      <c r="AU710" t="s">
        <v>6</v>
      </c>
      <c r="AV710">
        <v>0</v>
      </c>
      <c r="AW710">
        <v>2</v>
      </c>
      <c r="AX710">
        <v>16753595</v>
      </c>
      <c r="AY710">
        <v>1</v>
      </c>
      <c r="AZ710">
        <v>0</v>
      </c>
      <c r="BA710">
        <v>655</v>
      </c>
      <c r="BB710">
        <v>0</v>
      </c>
      <c r="BC710">
        <v>0</v>
      </c>
      <c r="BD710">
        <v>0</v>
      </c>
      <c r="BE710">
        <v>0</v>
      </c>
      <c r="BF710">
        <v>0</v>
      </c>
      <c r="BG710">
        <v>0</v>
      </c>
      <c r="BH710">
        <v>0</v>
      </c>
      <c r="BI710">
        <v>0</v>
      </c>
      <c r="BJ710">
        <v>0</v>
      </c>
      <c r="BK710">
        <v>0</v>
      </c>
      <c r="BL710">
        <v>0</v>
      </c>
      <c r="BM710">
        <v>0</v>
      </c>
      <c r="BN710">
        <v>0</v>
      </c>
      <c r="BO710">
        <v>0</v>
      </c>
      <c r="BP710">
        <v>0</v>
      </c>
      <c r="BQ710">
        <v>0</v>
      </c>
      <c r="BR710">
        <v>0</v>
      </c>
      <c r="BS710">
        <v>0</v>
      </c>
      <c r="BT710">
        <v>0</v>
      </c>
      <c r="BU710">
        <v>0</v>
      </c>
      <c r="BV710">
        <v>0</v>
      </c>
      <c r="BW710">
        <v>0</v>
      </c>
      <c r="CX710">
        <f>Y710*Source!I614</f>
        <v>1.75</v>
      </c>
      <c r="CY710">
        <f>AB710</f>
        <v>53.14</v>
      </c>
      <c r="CZ710">
        <f>AF710</f>
        <v>8.1</v>
      </c>
      <c r="DA710">
        <f>AJ710</f>
        <v>6.56</v>
      </c>
      <c r="DB710">
        <f t="shared" si="133"/>
        <v>2.84</v>
      </c>
      <c r="DC710">
        <f t="shared" si="134"/>
        <v>0</v>
      </c>
    </row>
    <row r="711" spans="1:107" x14ac:dyDescent="0.2">
      <c r="A711">
        <f>ROW(Source!A614)</f>
        <v>614</v>
      </c>
      <c r="B711">
        <v>16748969</v>
      </c>
      <c r="C711">
        <v>16753591</v>
      </c>
      <c r="D711">
        <v>15165267</v>
      </c>
      <c r="E711">
        <v>1</v>
      </c>
      <c r="F711">
        <v>1</v>
      </c>
      <c r="G711">
        <v>1</v>
      </c>
      <c r="H711">
        <v>3</v>
      </c>
      <c r="I711" t="s">
        <v>1540</v>
      </c>
      <c r="J711" t="s">
        <v>1541</v>
      </c>
      <c r="K711" t="s">
        <v>1542</v>
      </c>
      <c r="L711">
        <v>1356</v>
      </c>
      <c r="N711">
        <v>1010</v>
      </c>
      <c r="O711" t="s">
        <v>288</v>
      </c>
      <c r="P711" t="s">
        <v>288</v>
      </c>
      <c r="Q711">
        <v>1000</v>
      </c>
      <c r="W711">
        <v>0</v>
      </c>
      <c r="X711">
        <v>-1705143825</v>
      </c>
      <c r="Y711">
        <v>2E-3</v>
      </c>
      <c r="AA711">
        <v>22632</v>
      </c>
      <c r="AB711">
        <v>0</v>
      </c>
      <c r="AC711">
        <v>0</v>
      </c>
      <c r="AD711">
        <v>0</v>
      </c>
      <c r="AE711">
        <v>3450</v>
      </c>
      <c r="AF711">
        <v>0</v>
      </c>
      <c r="AG711">
        <v>0</v>
      </c>
      <c r="AH711">
        <v>0</v>
      </c>
      <c r="AI711">
        <v>6.56</v>
      </c>
      <c r="AJ711">
        <v>1</v>
      </c>
      <c r="AK711">
        <v>1</v>
      </c>
      <c r="AL711">
        <v>1</v>
      </c>
      <c r="AN711">
        <v>0</v>
      </c>
      <c r="AO711">
        <v>1</v>
      </c>
      <c r="AP711">
        <v>0</v>
      </c>
      <c r="AQ711">
        <v>0</v>
      </c>
      <c r="AR711">
        <v>0</v>
      </c>
      <c r="AS711" t="s">
        <v>6</v>
      </c>
      <c r="AT711">
        <v>2E-3</v>
      </c>
      <c r="AU711" t="s">
        <v>6</v>
      </c>
      <c r="AV711">
        <v>0</v>
      </c>
      <c r="AW711">
        <v>2</v>
      </c>
      <c r="AX711">
        <v>16753596</v>
      </c>
      <c r="AY711">
        <v>1</v>
      </c>
      <c r="AZ711">
        <v>0</v>
      </c>
      <c r="BA711">
        <v>656</v>
      </c>
      <c r="BB711">
        <v>0</v>
      </c>
      <c r="BC711">
        <v>0</v>
      </c>
      <c r="BD711">
        <v>0</v>
      </c>
      <c r="BE711">
        <v>0</v>
      </c>
      <c r="BF711">
        <v>0</v>
      </c>
      <c r="BG711">
        <v>0</v>
      </c>
      <c r="BH711">
        <v>0</v>
      </c>
      <c r="BI711">
        <v>0</v>
      </c>
      <c r="BJ711">
        <v>0</v>
      </c>
      <c r="BK711">
        <v>0</v>
      </c>
      <c r="BL711">
        <v>0</v>
      </c>
      <c r="BM711">
        <v>0</v>
      </c>
      <c r="BN711">
        <v>0</v>
      </c>
      <c r="BO711">
        <v>0</v>
      </c>
      <c r="BP711">
        <v>0</v>
      </c>
      <c r="BQ711">
        <v>0</v>
      </c>
      <c r="BR711">
        <v>0</v>
      </c>
      <c r="BS711">
        <v>0</v>
      </c>
      <c r="BT711">
        <v>0</v>
      </c>
      <c r="BU711">
        <v>0</v>
      </c>
      <c r="BV711">
        <v>0</v>
      </c>
      <c r="BW711">
        <v>0</v>
      </c>
      <c r="CX711">
        <f>Y711*Source!I614</f>
        <v>0.01</v>
      </c>
      <c r="CY711">
        <f>AA711</f>
        <v>22632</v>
      </c>
      <c r="CZ711">
        <f>AE711</f>
        <v>3450</v>
      </c>
      <c r="DA711">
        <f>AI711</f>
        <v>6.56</v>
      </c>
      <c r="DB711">
        <f t="shared" si="133"/>
        <v>6.9</v>
      </c>
      <c r="DC711">
        <f t="shared" si="134"/>
        <v>0</v>
      </c>
    </row>
    <row r="712" spans="1:107" x14ac:dyDescent="0.2">
      <c r="A712">
        <f>ROW(Source!A614)</f>
        <v>614</v>
      </c>
      <c r="B712">
        <v>16748969</v>
      </c>
      <c r="C712">
        <v>16753591</v>
      </c>
      <c r="D712">
        <v>15168763</v>
      </c>
      <c r="E712">
        <v>1</v>
      </c>
      <c r="F712">
        <v>1</v>
      </c>
      <c r="G712">
        <v>1</v>
      </c>
      <c r="H712">
        <v>3</v>
      </c>
      <c r="I712" t="s">
        <v>1286</v>
      </c>
      <c r="J712" t="s">
        <v>1287</v>
      </c>
      <c r="K712" t="s">
        <v>1288</v>
      </c>
      <c r="L712">
        <v>1348</v>
      </c>
      <c r="N712">
        <v>1009</v>
      </c>
      <c r="O712" t="s">
        <v>71</v>
      </c>
      <c r="P712" t="s">
        <v>71</v>
      </c>
      <c r="Q712">
        <v>1000</v>
      </c>
      <c r="W712">
        <v>0</v>
      </c>
      <c r="X712">
        <v>-1068056325</v>
      </c>
      <c r="Y712">
        <v>1.3999999999999999E-4</v>
      </c>
      <c r="AA712">
        <v>67974.720000000001</v>
      </c>
      <c r="AB712">
        <v>0</v>
      </c>
      <c r="AC712">
        <v>0</v>
      </c>
      <c r="AD712">
        <v>0</v>
      </c>
      <c r="AE712">
        <v>10362</v>
      </c>
      <c r="AF712">
        <v>0</v>
      </c>
      <c r="AG712">
        <v>0</v>
      </c>
      <c r="AH712">
        <v>0</v>
      </c>
      <c r="AI712">
        <v>6.56</v>
      </c>
      <c r="AJ712">
        <v>1</v>
      </c>
      <c r="AK712">
        <v>1</v>
      </c>
      <c r="AL712">
        <v>1</v>
      </c>
      <c r="AN712">
        <v>0</v>
      </c>
      <c r="AO712">
        <v>1</v>
      </c>
      <c r="AP712">
        <v>0</v>
      </c>
      <c r="AQ712">
        <v>0</v>
      </c>
      <c r="AR712">
        <v>0</v>
      </c>
      <c r="AS712" t="s">
        <v>6</v>
      </c>
      <c r="AT712">
        <v>1.3999999999999999E-4</v>
      </c>
      <c r="AU712" t="s">
        <v>6</v>
      </c>
      <c r="AV712">
        <v>0</v>
      </c>
      <c r="AW712">
        <v>2</v>
      </c>
      <c r="AX712">
        <v>16753597</v>
      </c>
      <c r="AY712">
        <v>1</v>
      </c>
      <c r="AZ712">
        <v>0</v>
      </c>
      <c r="BA712">
        <v>657</v>
      </c>
      <c r="BB712">
        <v>0</v>
      </c>
      <c r="BC712">
        <v>0</v>
      </c>
      <c r="BD712">
        <v>0</v>
      </c>
      <c r="BE712">
        <v>0</v>
      </c>
      <c r="BF712">
        <v>0</v>
      </c>
      <c r="BG712">
        <v>0</v>
      </c>
      <c r="BH712">
        <v>0</v>
      </c>
      <c r="BI712">
        <v>0</v>
      </c>
      <c r="BJ712">
        <v>0</v>
      </c>
      <c r="BK712">
        <v>0</v>
      </c>
      <c r="BL712">
        <v>0</v>
      </c>
      <c r="BM712">
        <v>0</v>
      </c>
      <c r="BN712">
        <v>0</v>
      </c>
      <c r="BO712">
        <v>0</v>
      </c>
      <c r="BP712">
        <v>0</v>
      </c>
      <c r="BQ712">
        <v>0</v>
      </c>
      <c r="BR712">
        <v>0</v>
      </c>
      <c r="BS712">
        <v>0</v>
      </c>
      <c r="BT712">
        <v>0</v>
      </c>
      <c r="BU712">
        <v>0</v>
      </c>
      <c r="BV712">
        <v>0</v>
      </c>
      <c r="BW712">
        <v>0</v>
      </c>
      <c r="CX712">
        <f>Y712*Source!I614</f>
        <v>6.9999999999999988E-4</v>
      </c>
      <c r="CY712">
        <f>AA712</f>
        <v>67974.720000000001</v>
      </c>
      <c r="CZ712">
        <f>AE712</f>
        <v>10362</v>
      </c>
      <c r="DA712">
        <f>AI712</f>
        <v>6.56</v>
      </c>
      <c r="DB712">
        <f t="shared" si="133"/>
        <v>1.45</v>
      </c>
      <c r="DC712">
        <f t="shared" si="134"/>
        <v>0</v>
      </c>
    </row>
    <row r="713" spans="1:107" x14ac:dyDescent="0.2">
      <c r="A713">
        <f>ROW(Source!A614)</f>
        <v>614</v>
      </c>
      <c r="B713">
        <v>16748969</v>
      </c>
      <c r="C713">
        <v>16753591</v>
      </c>
      <c r="D713">
        <v>15169923</v>
      </c>
      <c r="E713">
        <v>1</v>
      </c>
      <c r="F713">
        <v>1</v>
      </c>
      <c r="G713">
        <v>1</v>
      </c>
      <c r="H713">
        <v>3</v>
      </c>
      <c r="I713" t="s">
        <v>1543</v>
      </c>
      <c r="J713" t="s">
        <v>1544</v>
      </c>
      <c r="K713" t="s">
        <v>1545</v>
      </c>
      <c r="L713">
        <v>1348</v>
      </c>
      <c r="N713">
        <v>1009</v>
      </c>
      <c r="O713" t="s">
        <v>71</v>
      </c>
      <c r="P713" t="s">
        <v>71</v>
      </c>
      <c r="Q713">
        <v>1000</v>
      </c>
      <c r="W713">
        <v>0</v>
      </c>
      <c r="X713">
        <v>56621460</v>
      </c>
      <c r="Y713">
        <v>1.1000000000000001E-3</v>
      </c>
      <c r="AA713">
        <v>100518.88</v>
      </c>
      <c r="AB713">
        <v>0</v>
      </c>
      <c r="AC713">
        <v>0</v>
      </c>
      <c r="AD713">
        <v>0</v>
      </c>
      <c r="AE713">
        <v>15323</v>
      </c>
      <c r="AF713">
        <v>0</v>
      </c>
      <c r="AG713">
        <v>0</v>
      </c>
      <c r="AH713">
        <v>0</v>
      </c>
      <c r="AI713">
        <v>6.56</v>
      </c>
      <c r="AJ713">
        <v>1</v>
      </c>
      <c r="AK713">
        <v>1</v>
      </c>
      <c r="AL713">
        <v>1</v>
      </c>
      <c r="AN713">
        <v>0</v>
      </c>
      <c r="AO713">
        <v>1</v>
      </c>
      <c r="AP713">
        <v>0</v>
      </c>
      <c r="AQ713">
        <v>0</v>
      </c>
      <c r="AR713">
        <v>0</v>
      </c>
      <c r="AS713" t="s">
        <v>6</v>
      </c>
      <c r="AT713">
        <v>1.1000000000000001E-3</v>
      </c>
      <c r="AU713" t="s">
        <v>6</v>
      </c>
      <c r="AV713">
        <v>0</v>
      </c>
      <c r="AW713">
        <v>2</v>
      </c>
      <c r="AX713">
        <v>16753598</v>
      </c>
      <c r="AY713">
        <v>1</v>
      </c>
      <c r="AZ713">
        <v>0</v>
      </c>
      <c r="BA713">
        <v>658</v>
      </c>
      <c r="BB713">
        <v>0</v>
      </c>
      <c r="BC713">
        <v>0</v>
      </c>
      <c r="BD713">
        <v>0</v>
      </c>
      <c r="BE713">
        <v>0</v>
      </c>
      <c r="BF713">
        <v>0</v>
      </c>
      <c r="BG713">
        <v>0</v>
      </c>
      <c r="BH713">
        <v>0</v>
      </c>
      <c r="BI713">
        <v>0</v>
      </c>
      <c r="BJ713">
        <v>0</v>
      </c>
      <c r="BK713">
        <v>0</v>
      </c>
      <c r="BL713">
        <v>0</v>
      </c>
      <c r="BM713">
        <v>0</v>
      </c>
      <c r="BN713">
        <v>0</v>
      </c>
      <c r="BO713">
        <v>0</v>
      </c>
      <c r="BP713">
        <v>0</v>
      </c>
      <c r="BQ713">
        <v>0</v>
      </c>
      <c r="BR713">
        <v>0</v>
      </c>
      <c r="BS713">
        <v>0</v>
      </c>
      <c r="BT713">
        <v>0</v>
      </c>
      <c r="BU713">
        <v>0</v>
      </c>
      <c r="BV713">
        <v>0</v>
      </c>
      <c r="BW713">
        <v>0</v>
      </c>
      <c r="CX713">
        <f>Y713*Source!I614</f>
        <v>5.5000000000000005E-3</v>
      </c>
      <c r="CY713">
        <f>AA713</f>
        <v>100518.88</v>
      </c>
      <c r="CZ713">
        <f>AE713</f>
        <v>15323</v>
      </c>
      <c r="DA713">
        <f>AI713</f>
        <v>6.56</v>
      </c>
      <c r="DB713">
        <f t="shared" si="133"/>
        <v>16.86</v>
      </c>
      <c r="DC713">
        <f t="shared" si="134"/>
        <v>0</v>
      </c>
    </row>
    <row r="714" spans="1:107" x14ac:dyDescent="0.2">
      <c r="A714">
        <f>ROW(Source!A614)</f>
        <v>614</v>
      </c>
      <c r="B714">
        <v>16748969</v>
      </c>
      <c r="C714">
        <v>16753591</v>
      </c>
      <c r="D714">
        <v>15210852</v>
      </c>
      <c r="E714">
        <v>1</v>
      </c>
      <c r="F714">
        <v>1</v>
      </c>
      <c r="G714">
        <v>1</v>
      </c>
      <c r="H714">
        <v>3</v>
      </c>
      <c r="I714" t="s">
        <v>906</v>
      </c>
      <c r="J714" t="s">
        <v>908</v>
      </c>
      <c r="K714" t="s">
        <v>925</v>
      </c>
      <c r="L714">
        <v>1354</v>
      </c>
      <c r="N714">
        <v>1010</v>
      </c>
      <c r="O714" t="s">
        <v>53</v>
      </c>
      <c r="P714" t="s">
        <v>53</v>
      </c>
      <c r="Q714">
        <v>1</v>
      </c>
      <c r="W714">
        <v>0</v>
      </c>
      <c r="X714">
        <v>-1182410368</v>
      </c>
      <c r="Y714">
        <v>1</v>
      </c>
      <c r="AA714">
        <v>271.64999999999998</v>
      </c>
      <c r="AB714">
        <v>0</v>
      </c>
      <c r="AC714">
        <v>0</v>
      </c>
      <c r="AD714">
        <v>0</v>
      </c>
      <c r="AE714">
        <v>41.41</v>
      </c>
      <c r="AF714">
        <v>0</v>
      </c>
      <c r="AG714">
        <v>0</v>
      </c>
      <c r="AH714">
        <v>0</v>
      </c>
      <c r="AI714">
        <v>6.56</v>
      </c>
      <c r="AJ714">
        <v>1</v>
      </c>
      <c r="AK714">
        <v>1</v>
      </c>
      <c r="AL714">
        <v>1</v>
      </c>
      <c r="AN714">
        <v>0</v>
      </c>
      <c r="AO714">
        <v>0</v>
      </c>
      <c r="AP714">
        <v>0</v>
      </c>
      <c r="AQ714">
        <v>0</v>
      </c>
      <c r="AR714">
        <v>0</v>
      </c>
      <c r="AS714" t="s">
        <v>6</v>
      </c>
      <c r="AT714">
        <v>1</v>
      </c>
      <c r="AU714" t="s">
        <v>6</v>
      </c>
      <c r="AV714">
        <v>0</v>
      </c>
      <c r="AW714">
        <v>1</v>
      </c>
      <c r="AX714">
        <v>-1</v>
      </c>
      <c r="AY714">
        <v>0</v>
      </c>
      <c r="AZ714">
        <v>0</v>
      </c>
      <c r="BA714" t="s">
        <v>6</v>
      </c>
      <c r="BB714">
        <v>0</v>
      </c>
      <c r="BC714">
        <v>0</v>
      </c>
      <c r="BD714">
        <v>0</v>
      </c>
      <c r="BE714">
        <v>0</v>
      </c>
      <c r="BF714">
        <v>0</v>
      </c>
      <c r="BG714">
        <v>0</v>
      </c>
      <c r="BH714">
        <v>0</v>
      </c>
      <c r="BI714">
        <v>0</v>
      </c>
      <c r="BJ714">
        <v>0</v>
      </c>
      <c r="BK714">
        <v>0</v>
      </c>
      <c r="BL714">
        <v>0</v>
      </c>
      <c r="BM714">
        <v>0</v>
      </c>
      <c r="BN714">
        <v>0</v>
      </c>
      <c r="BO714">
        <v>0</v>
      </c>
      <c r="BP714">
        <v>0</v>
      </c>
      <c r="BQ714">
        <v>0</v>
      </c>
      <c r="BR714">
        <v>0</v>
      </c>
      <c r="BS714">
        <v>0</v>
      </c>
      <c r="BT714">
        <v>0</v>
      </c>
      <c r="BU714">
        <v>0</v>
      </c>
      <c r="BV714">
        <v>0</v>
      </c>
      <c r="BW714">
        <v>0</v>
      </c>
      <c r="CX714">
        <f>Y714*Source!I614</f>
        <v>5</v>
      </c>
      <c r="CY714">
        <f>AA714</f>
        <v>271.64999999999998</v>
      </c>
      <c r="CZ714">
        <f>AE714</f>
        <v>41.41</v>
      </c>
      <c r="DA714">
        <f>AI714</f>
        <v>6.56</v>
      </c>
      <c r="DB714">
        <f t="shared" si="133"/>
        <v>41.41</v>
      </c>
      <c r="DC714">
        <f t="shared" si="134"/>
        <v>0</v>
      </c>
    </row>
    <row r="715" spans="1:107" x14ac:dyDescent="0.2">
      <c r="A715">
        <f>ROW(Source!A616)</f>
        <v>616</v>
      </c>
      <c r="B715">
        <v>16748969</v>
      </c>
      <c r="C715">
        <v>16751864</v>
      </c>
      <c r="D715">
        <v>15436556</v>
      </c>
      <c r="E715">
        <v>1</v>
      </c>
      <c r="F715">
        <v>1</v>
      </c>
      <c r="G715">
        <v>1</v>
      </c>
      <c r="H715">
        <v>1</v>
      </c>
      <c r="I715" t="s">
        <v>1265</v>
      </c>
      <c r="J715" t="s">
        <v>6</v>
      </c>
      <c r="K715" t="s">
        <v>1266</v>
      </c>
      <c r="L715">
        <v>1191</v>
      </c>
      <c r="N715">
        <v>1013</v>
      </c>
      <c r="O715" t="s">
        <v>1072</v>
      </c>
      <c r="P715" t="s">
        <v>1072</v>
      </c>
      <c r="Q715">
        <v>1</v>
      </c>
      <c r="W715">
        <v>0</v>
      </c>
      <c r="X715">
        <v>1069510174</v>
      </c>
      <c r="Y715">
        <v>10.3385</v>
      </c>
      <c r="AA715">
        <v>0</v>
      </c>
      <c r="AB715">
        <v>0</v>
      </c>
      <c r="AC715">
        <v>0</v>
      </c>
      <c r="AD715">
        <v>63.11</v>
      </c>
      <c r="AE715">
        <v>0</v>
      </c>
      <c r="AF715">
        <v>0</v>
      </c>
      <c r="AG715">
        <v>0</v>
      </c>
      <c r="AH715">
        <v>9.6199999999999992</v>
      </c>
      <c r="AI715">
        <v>1</v>
      </c>
      <c r="AJ715">
        <v>1</v>
      </c>
      <c r="AK715">
        <v>1</v>
      </c>
      <c r="AL715">
        <v>6.56</v>
      </c>
      <c r="AN715">
        <v>0</v>
      </c>
      <c r="AO715">
        <v>1</v>
      </c>
      <c r="AP715">
        <v>1</v>
      </c>
      <c r="AQ715">
        <v>0</v>
      </c>
      <c r="AR715">
        <v>0</v>
      </c>
      <c r="AS715" t="s">
        <v>6</v>
      </c>
      <c r="AT715">
        <v>8.99</v>
      </c>
      <c r="AU715" t="s">
        <v>173</v>
      </c>
      <c r="AV715">
        <v>1</v>
      </c>
      <c r="AW715">
        <v>2</v>
      </c>
      <c r="AX715">
        <v>16751877</v>
      </c>
      <c r="AY715">
        <v>1</v>
      </c>
      <c r="AZ715">
        <v>0</v>
      </c>
      <c r="BA715">
        <v>661</v>
      </c>
      <c r="BB715">
        <v>0</v>
      </c>
      <c r="BC715">
        <v>0</v>
      </c>
      <c r="BD715">
        <v>0</v>
      </c>
      <c r="BE715">
        <v>0</v>
      </c>
      <c r="BF715">
        <v>0</v>
      </c>
      <c r="BG715">
        <v>0</v>
      </c>
      <c r="BH715">
        <v>0</v>
      </c>
      <c r="BI715">
        <v>0</v>
      </c>
      <c r="BJ715">
        <v>0</v>
      </c>
      <c r="BK715">
        <v>0</v>
      </c>
      <c r="BL715">
        <v>0</v>
      </c>
      <c r="BM715">
        <v>0</v>
      </c>
      <c r="BN715">
        <v>0</v>
      </c>
      <c r="BO715">
        <v>0</v>
      </c>
      <c r="BP715">
        <v>0</v>
      </c>
      <c r="BQ715">
        <v>0</v>
      </c>
      <c r="BR715">
        <v>0</v>
      </c>
      <c r="BS715">
        <v>0</v>
      </c>
      <c r="BT715">
        <v>0</v>
      </c>
      <c r="BU715">
        <v>0</v>
      </c>
      <c r="BV715">
        <v>0</v>
      </c>
      <c r="BW715">
        <v>0</v>
      </c>
      <c r="CX715">
        <f>Y715*Source!I616</f>
        <v>2.0676999999999999</v>
      </c>
      <c r="CY715">
        <f>AD715</f>
        <v>63.11</v>
      </c>
      <c r="CZ715">
        <f>AH715</f>
        <v>9.6199999999999992</v>
      </c>
      <c r="DA715">
        <f>AL715</f>
        <v>6.56</v>
      </c>
      <c r="DB715">
        <f>ROUND((ROUND(AT715*CZ715,2)*1.15),2)</f>
        <v>99.45</v>
      </c>
      <c r="DC715">
        <f>ROUND((ROUND(AT715*AG715,2)*1.15),2)</f>
        <v>0</v>
      </c>
    </row>
    <row r="716" spans="1:107" x14ac:dyDescent="0.2">
      <c r="A716">
        <f>ROW(Source!A616)</f>
        <v>616</v>
      </c>
      <c r="B716">
        <v>16748969</v>
      </c>
      <c r="C716">
        <v>16751864</v>
      </c>
      <c r="D716">
        <v>15430395</v>
      </c>
      <c r="E716">
        <v>1</v>
      </c>
      <c r="F716">
        <v>1</v>
      </c>
      <c r="G716">
        <v>1</v>
      </c>
      <c r="H716">
        <v>1</v>
      </c>
      <c r="I716" t="s">
        <v>1073</v>
      </c>
      <c r="J716" t="s">
        <v>6</v>
      </c>
      <c r="K716" t="s">
        <v>1074</v>
      </c>
      <c r="L716">
        <v>1191</v>
      </c>
      <c r="N716">
        <v>1013</v>
      </c>
      <c r="O716" t="s">
        <v>1072</v>
      </c>
      <c r="P716" t="s">
        <v>1072</v>
      </c>
      <c r="Q716">
        <v>1</v>
      </c>
      <c r="W716">
        <v>0</v>
      </c>
      <c r="X716">
        <v>-1417349443</v>
      </c>
      <c r="Y716">
        <v>0.21</v>
      </c>
      <c r="AA716">
        <v>0</v>
      </c>
      <c r="AB716">
        <v>0</v>
      </c>
      <c r="AC716">
        <v>0</v>
      </c>
      <c r="AD716">
        <v>0</v>
      </c>
      <c r="AE716">
        <v>0</v>
      </c>
      <c r="AF716">
        <v>0</v>
      </c>
      <c r="AG716">
        <v>0</v>
      </c>
      <c r="AH716">
        <v>0</v>
      </c>
      <c r="AI716">
        <v>1</v>
      </c>
      <c r="AJ716">
        <v>1</v>
      </c>
      <c r="AK716">
        <v>6.56</v>
      </c>
      <c r="AL716">
        <v>1</v>
      </c>
      <c r="AN716">
        <v>0</v>
      </c>
      <c r="AO716">
        <v>1</v>
      </c>
      <c r="AP716">
        <v>0</v>
      </c>
      <c r="AQ716">
        <v>0</v>
      </c>
      <c r="AR716">
        <v>0</v>
      </c>
      <c r="AS716" t="s">
        <v>6</v>
      </c>
      <c r="AT716">
        <v>0.21</v>
      </c>
      <c r="AU716" t="s">
        <v>6</v>
      </c>
      <c r="AV716">
        <v>2</v>
      </c>
      <c r="AW716">
        <v>2</v>
      </c>
      <c r="AX716">
        <v>16751878</v>
      </c>
      <c r="AY716">
        <v>1</v>
      </c>
      <c r="AZ716">
        <v>2048</v>
      </c>
      <c r="BA716">
        <v>662</v>
      </c>
      <c r="BB716">
        <v>0</v>
      </c>
      <c r="BC716">
        <v>0</v>
      </c>
      <c r="BD716">
        <v>0</v>
      </c>
      <c r="BE716">
        <v>0</v>
      </c>
      <c r="BF716">
        <v>0</v>
      </c>
      <c r="BG716">
        <v>0</v>
      </c>
      <c r="BH716">
        <v>0</v>
      </c>
      <c r="BI716">
        <v>0</v>
      </c>
      <c r="BJ716">
        <v>0</v>
      </c>
      <c r="BK716">
        <v>0</v>
      </c>
      <c r="BL716">
        <v>0</v>
      </c>
      <c r="BM716">
        <v>0</v>
      </c>
      <c r="BN716">
        <v>0</v>
      </c>
      <c r="BO716">
        <v>0</v>
      </c>
      <c r="BP716">
        <v>0</v>
      </c>
      <c r="BQ716">
        <v>0</v>
      </c>
      <c r="BR716">
        <v>0</v>
      </c>
      <c r="BS716">
        <v>0</v>
      </c>
      <c r="BT716">
        <v>0</v>
      </c>
      <c r="BU716">
        <v>0</v>
      </c>
      <c r="BV716">
        <v>0</v>
      </c>
      <c r="BW716">
        <v>0</v>
      </c>
      <c r="CX716">
        <f>Y716*Source!I616</f>
        <v>4.2000000000000003E-2</v>
      </c>
      <c r="CY716">
        <f>AD716</f>
        <v>0</v>
      </c>
      <c r="CZ716">
        <f>AH716</f>
        <v>0</v>
      </c>
      <c r="DA716">
        <f>AL716</f>
        <v>1</v>
      </c>
      <c r="DB716">
        <f>ROUND(ROUND(AT716*CZ716,2),2)</f>
        <v>0</v>
      </c>
      <c r="DC716">
        <f>ROUND(ROUND(AT716*AG716,2),2)</f>
        <v>0</v>
      </c>
    </row>
    <row r="717" spans="1:107" x14ac:dyDescent="0.2">
      <c r="A717">
        <f>ROW(Source!A616)</f>
        <v>616</v>
      </c>
      <c r="B717">
        <v>16748969</v>
      </c>
      <c r="C717">
        <v>16751864</v>
      </c>
      <c r="D717">
        <v>15247974</v>
      </c>
      <c r="E717">
        <v>1</v>
      </c>
      <c r="F717">
        <v>1</v>
      </c>
      <c r="G717">
        <v>1</v>
      </c>
      <c r="H717">
        <v>2</v>
      </c>
      <c r="I717" t="s">
        <v>1075</v>
      </c>
      <c r="J717" t="s">
        <v>1076</v>
      </c>
      <c r="K717" t="s">
        <v>1077</v>
      </c>
      <c r="L717">
        <v>1368</v>
      </c>
      <c r="N717">
        <v>1011</v>
      </c>
      <c r="O717" t="s">
        <v>1078</v>
      </c>
      <c r="P717" t="s">
        <v>1078</v>
      </c>
      <c r="Q717">
        <v>1</v>
      </c>
      <c r="W717">
        <v>0</v>
      </c>
      <c r="X717">
        <v>1188625873</v>
      </c>
      <c r="Y717">
        <v>8.7500000000000008E-2</v>
      </c>
      <c r="AA717">
        <v>0</v>
      </c>
      <c r="AB717">
        <v>205.07</v>
      </c>
      <c r="AC717">
        <v>13.5</v>
      </c>
      <c r="AD717">
        <v>0</v>
      </c>
      <c r="AE717">
        <v>0</v>
      </c>
      <c r="AF717">
        <v>31.26</v>
      </c>
      <c r="AG717">
        <v>13.5</v>
      </c>
      <c r="AH717">
        <v>0</v>
      </c>
      <c r="AI717">
        <v>1</v>
      </c>
      <c r="AJ717">
        <v>6.56</v>
      </c>
      <c r="AK717">
        <v>1</v>
      </c>
      <c r="AL717">
        <v>1</v>
      </c>
      <c r="AN717">
        <v>0</v>
      </c>
      <c r="AO717">
        <v>1</v>
      </c>
      <c r="AP717">
        <v>1</v>
      </c>
      <c r="AQ717">
        <v>0</v>
      </c>
      <c r="AR717">
        <v>0</v>
      </c>
      <c r="AS717" t="s">
        <v>6</v>
      </c>
      <c r="AT717">
        <v>7.0000000000000007E-2</v>
      </c>
      <c r="AU717" t="s">
        <v>172</v>
      </c>
      <c r="AV717">
        <v>0</v>
      </c>
      <c r="AW717">
        <v>2</v>
      </c>
      <c r="AX717">
        <v>16751879</v>
      </c>
      <c r="AY717">
        <v>1</v>
      </c>
      <c r="AZ717">
        <v>0</v>
      </c>
      <c r="BA717">
        <v>663</v>
      </c>
      <c r="BB717">
        <v>0</v>
      </c>
      <c r="BC717">
        <v>0</v>
      </c>
      <c r="BD717">
        <v>0</v>
      </c>
      <c r="BE717">
        <v>0</v>
      </c>
      <c r="BF717">
        <v>0</v>
      </c>
      <c r="BG717">
        <v>0</v>
      </c>
      <c r="BH717">
        <v>0</v>
      </c>
      <c r="BI717">
        <v>0</v>
      </c>
      <c r="BJ717">
        <v>0</v>
      </c>
      <c r="BK717">
        <v>0</v>
      </c>
      <c r="BL717">
        <v>0</v>
      </c>
      <c r="BM717">
        <v>0</v>
      </c>
      <c r="BN717">
        <v>0</v>
      </c>
      <c r="BO717">
        <v>0</v>
      </c>
      <c r="BP717">
        <v>0</v>
      </c>
      <c r="BQ717">
        <v>0</v>
      </c>
      <c r="BR717">
        <v>0</v>
      </c>
      <c r="BS717">
        <v>0</v>
      </c>
      <c r="BT717">
        <v>0</v>
      </c>
      <c r="BU717">
        <v>0</v>
      </c>
      <c r="BV717">
        <v>0</v>
      </c>
      <c r="BW717">
        <v>0</v>
      </c>
      <c r="CX717">
        <f>Y717*Source!I616</f>
        <v>1.7500000000000002E-2</v>
      </c>
      <c r="CY717">
        <f>AB717</f>
        <v>205.07</v>
      </c>
      <c r="CZ717">
        <f>AF717</f>
        <v>31.26</v>
      </c>
      <c r="DA717">
        <f>AJ717</f>
        <v>6.56</v>
      </c>
      <c r="DB717">
        <f>ROUND((ROUND(AT717*CZ717,2)*1.25),2)</f>
        <v>2.74</v>
      </c>
      <c r="DC717">
        <f>ROUND((ROUND(AT717*AG717,2)*1.25),2)</f>
        <v>1.19</v>
      </c>
    </row>
    <row r="718" spans="1:107" x14ac:dyDescent="0.2">
      <c r="A718">
        <f>ROW(Source!A616)</f>
        <v>616</v>
      </c>
      <c r="B718">
        <v>16748969</v>
      </c>
      <c r="C718">
        <v>16751864</v>
      </c>
      <c r="D718">
        <v>15249073</v>
      </c>
      <c r="E718">
        <v>1</v>
      </c>
      <c r="F718">
        <v>1</v>
      </c>
      <c r="G718">
        <v>1</v>
      </c>
      <c r="H718">
        <v>2</v>
      </c>
      <c r="I718" t="s">
        <v>1097</v>
      </c>
      <c r="J718" t="s">
        <v>1098</v>
      </c>
      <c r="K718" t="s">
        <v>1099</v>
      </c>
      <c r="L718">
        <v>1368</v>
      </c>
      <c r="N718">
        <v>1011</v>
      </c>
      <c r="O718" t="s">
        <v>1078</v>
      </c>
      <c r="P718" t="s">
        <v>1078</v>
      </c>
      <c r="Q718">
        <v>1</v>
      </c>
      <c r="W718">
        <v>0</v>
      </c>
      <c r="X718">
        <v>1372534845</v>
      </c>
      <c r="Y718">
        <v>0.17500000000000002</v>
      </c>
      <c r="AA718">
        <v>0</v>
      </c>
      <c r="AB718">
        <v>431.06</v>
      </c>
      <c r="AC718">
        <v>11.6</v>
      </c>
      <c r="AD718">
        <v>0</v>
      </c>
      <c r="AE718">
        <v>0</v>
      </c>
      <c r="AF718">
        <v>65.709999999999994</v>
      </c>
      <c r="AG718">
        <v>11.6</v>
      </c>
      <c r="AH718">
        <v>0</v>
      </c>
      <c r="AI718">
        <v>1</v>
      </c>
      <c r="AJ718">
        <v>6.56</v>
      </c>
      <c r="AK718">
        <v>1</v>
      </c>
      <c r="AL718">
        <v>1</v>
      </c>
      <c r="AN718">
        <v>0</v>
      </c>
      <c r="AO718">
        <v>1</v>
      </c>
      <c r="AP718">
        <v>1</v>
      </c>
      <c r="AQ718">
        <v>0</v>
      </c>
      <c r="AR718">
        <v>0</v>
      </c>
      <c r="AS718" t="s">
        <v>6</v>
      </c>
      <c r="AT718">
        <v>0.14000000000000001</v>
      </c>
      <c r="AU718" t="s">
        <v>172</v>
      </c>
      <c r="AV718">
        <v>0</v>
      </c>
      <c r="AW718">
        <v>2</v>
      </c>
      <c r="AX718">
        <v>16751880</v>
      </c>
      <c r="AY718">
        <v>1</v>
      </c>
      <c r="AZ718">
        <v>0</v>
      </c>
      <c r="BA718">
        <v>664</v>
      </c>
      <c r="BB718">
        <v>0</v>
      </c>
      <c r="BC718">
        <v>0</v>
      </c>
      <c r="BD718">
        <v>0</v>
      </c>
      <c r="BE718">
        <v>0</v>
      </c>
      <c r="BF718">
        <v>0</v>
      </c>
      <c r="BG718">
        <v>0</v>
      </c>
      <c r="BH718">
        <v>0</v>
      </c>
      <c r="BI718">
        <v>0</v>
      </c>
      <c r="BJ718">
        <v>0</v>
      </c>
      <c r="BK718">
        <v>0</v>
      </c>
      <c r="BL718">
        <v>0</v>
      </c>
      <c r="BM718">
        <v>0</v>
      </c>
      <c r="BN718">
        <v>0</v>
      </c>
      <c r="BO718">
        <v>0</v>
      </c>
      <c r="BP718">
        <v>0</v>
      </c>
      <c r="BQ718">
        <v>0</v>
      </c>
      <c r="BR718">
        <v>0</v>
      </c>
      <c r="BS718">
        <v>0</v>
      </c>
      <c r="BT718">
        <v>0</v>
      </c>
      <c r="BU718">
        <v>0</v>
      </c>
      <c r="BV718">
        <v>0</v>
      </c>
      <c r="BW718">
        <v>0</v>
      </c>
      <c r="CX718">
        <f>Y718*Source!I616</f>
        <v>3.5000000000000003E-2</v>
      </c>
      <c r="CY718">
        <f>AB718</f>
        <v>431.06</v>
      </c>
      <c r="CZ718">
        <f>AF718</f>
        <v>65.709999999999994</v>
      </c>
      <c r="DA718">
        <f>AJ718</f>
        <v>6.56</v>
      </c>
      <c r="DB718">
        <f>ROUND((ROUND(AT718*CZ718,2)*1.25),2)</f>
        <v>11.5</v>
      </c>
      <c r="DC718">
        <f>ROUND((ROUND(AT718*AG718,2)*1.25),2)</f>
        <v>2.0299999999999998</v>
      </c>
    </row>
    <row r="719" spans="1:107" x14ac:dyDescent="0.2">
      <c r="A719">
        <f>ROW(Source!A616)</f>
        <v>616</v>
      </c>
      <c r="B719">
        <v>16748969</v>
      </c>
      <c r="C719">
        <v>16751864</v>
      </c>
      <c r="D719">
        <v>15167955</v>
      </c>
      <c r="E719">
        <v>1</v>
      </c>
      <c r="F719">
        <v>1</v>
      </c>
      <c r="G719">
        <v>1</v>
      </c>
      <c r="H719">
        <v>3</v>
      </c>
      <c r="I719" t="s">
        <v>1546</v>
      </c>
      <c r="J719" t="s">
        <v>1547</v>
      </c>
      <c r="K719" t="s">
        <v>1548</v>
      </c>
      <c r="L719">
        <v>1348</v>
      </c>
      <c r="N719">
        <v>1009</v>
      </c>
      <c r="O719" t="s">
        <v>71</v>
      </c>
      <c r="P719" t="s">
        <v>71</v>
      </c>
      <c r="Q719">
        <v>1000</v>
      </c>
      <c r="W719">
        <v>0</v>
      </c>
      <c r="X719">
        <v>-1699345571</v>
      </c>
      <c r="Y719">
        <v>1.4E-3</v>
      </c>
      <c r="AA719">
        <v>196996.8</v>
      </c>
      <c r="AB719">
        <v>0</v>
      </c>
      <c r="AC719">
        <v>0</v>
      </c>
      <c r="AD719">
        <v>0</v>
      </c>
      <c r="AE719">
        <v>30030</v>
      </c>
      <c r="AF719">
        <v>0</v>
      </c>
      <c r="AG719">
        <v>0</v>
      </c>
      <c r="AH719">
        <v>0</v>
      </c>
      <c r="AI719">
        <v>6.56</v>
      </c>
      <c r="AJ719">
        <v>1</v>
      </c>
      <c r="AK719">
        <v>1</v>
      </c>
      <c r="AL719">
        <v>1</v>
      </c>
      <c r="AN719">
        <v>0</v>
      </c>
      <c r="AO719">
        <v>1</v>
      </c>
      <c r="AP719">
        <v>0</v>
      </c>
      <c r="AQ719">
        <v>0</v>
      </c>
      <c r="AR719">
        <v>0</v>
      </c>
      <c r="AS719" t="s">
        <v>6</v>
      </c>
      <c r="AT719">
        <v>1.4E-3</v>
      </c>
      <c r="AU719" t="s">
        <v>6</v>
      </c>
      <c r="AV719">
        <v>0</v>
      </c>
      <c r="AW719">
        <v>2</v>
      </c>
      <c r="AX719">
        <v>16751881</v>
      </c>
      <c r="AY719">
        <v>1</v>
      </c>
      <c r="AZ719">
        <v>0</v>
      </c>
      <c r="BA719">
        <v>665</v>
      </c>
      <c r="BB719">
        <v>0</v>
      </c>
      <c r="BC719">
        <v>0</v>
      </c>
      <c r="BD719">
        <v>0</v>
      </c>
      <c r="BE719">
        <v>0</v>
      </c>
      <c r="BF719">
        <v>0</v>
      </c>
      <c r="BG719">
        <v>0</v>
      </c>
      <c r="BH719">
        <v>0</v>
      </c>
      <c r="BI719">
        <v>0</v>
      </c>
      <c r="BJ719">
        <v>0</v>
      </c>
      <c r="BK719">
        <v>0</v>
      </c>
      <c r="BL719">
        <v>0</v>
      </c>
      <c r="BM719">
        <v>0</v>
      </c>
      <c r="BN719">
        <v>0</v>
      </c>
      <c r="BO719">
        <v>0</v>
      </c>
      <c r="BP719">
        <v>0</v>
      </c>
      <c r="BQ719">
        <v>0</v>
      </c>
      <c r="BR719">
        <v>0</v>
      </c>
      <c r="BS719">
        <v>0</v>
      </c>
      <c r="BT719">
        <v>0</v>
      </c>
      <c r="BU719">
        <v>0</v>
      </c>
      <c r="BV719">
        <v>0</v>
      </c>
      <c r="BW719">
        <v>0</v>
      </c>
      <c r="CX719">
        <f>Y719*Source!I616</f>
        <v>2.8000000000000003E-4</v>
      </c>
      <c r="CY719">
        <f t="shared" ref="CY719:CY726" si="135">AA719</f>
        <v>196996.8</v>
      </c>
      <c r="CZ719">
        <f t="shared" ref="CZ719:CZ726" si="136">AE719</f>
        <v>30030</v>
      </c>
      <c r="DA719">
        <f t="shared" ref="DA719:DA726" si="137">AI719</f>
        <v>6.56</v>
      </c>
      <c r="DB719">
        <f t="shared" ref="DB719:DB726" si="138">ROUND(ROUND(AT719*CZ719,2),2)</f>
        <v>42.04</v>
      </c>
      <c r="DC719">
        <f t="shared" ref="DC719:DC726" si="139">ROUND(ROUND(AT719*AG719,2),2)</f>
        <v>0</v>
      </c>
    </row>
    <row r="720" spans="1:107" x14ac:dyDescent="0.2">
      <c r="A720">
        <f>ROW(Source!A616)</f>
        <v>616</v>
      </c>
      <c r="B720">
        <v>16748969</v>
      </c>
      <c r="C720">
        <v>16751864</v>
      </c>
      <c r="D720">
        <v>15167963</v>
      </c>
      <c r="E720">
        <v>1</v>
      </c>
      <c r="F720">
        <v>1</v>
      </c>
      <c r="G720">
        <v>1</v>
      </c>
      <c r="H720">
        <v>3</v>
      </c>
      <c r="I720" t="s">
        <v>1549</v>
      </c>
      <c r="J720" t="s">
        <v>1550</v>
      </c>
      <c r="K720" t="s">
        <v>1551</v>
      </c>
      <c r="L720">
        <v>1346</v>
      </c>
      <c r="N720">
        <v>1009</v>
      </c>
      <c r="O720" t="s">
        <v>323</v>
      </c>
      <c r="P720" t="s">
        <v>323</v>
      </c>
      <c r="Q720">
        <v>1</v>
      </c>
      <c r="W720">
        <v>0</v>
      </c>
      <c r="X720">
        <v>-490687590</v>
      </c>
      <c r="Y720">
        <v>0.02</v>
      </c>
      <c r="AA720">
        <v>244.62</v>
      </c>
      <c r="AB720">
        <v>0</v>
      </c>
      <c r="AC720">
        <v>0</v>
      </c>
      <c r="AD720">
        <v>0</v>
      </c>
      <c r="AE720">
        <v>37.29</v>
      </c>
      <c r="AF720">
        <v>0</v>
      </c>
      <c r="AG720">
        <v>0</v>
      </c>
      <c r="AH720">
        <v>0</v>
      </c>
      <c r="AI720">
        <v>6.56</v>
      </c>
      <c r="AJ720">
        <v>1</v>
      </c>
      <c r="AK720">
        <v>1</v>
      </c>
      <c r="AL720">
        <v>1</v>
      </c>
      <c r="AN720">
        <v>0</v>
      </c>
      <c r="AO720">
        <v>1</v>
      </c>
      <c r="AP720">
        <v>0</v>
      </c>
      <c r="AQ720">
        <v>0</v>
      </c>
      <c r="AR720">
        <v>0</v>
      </c>
      <c r="AS720" t="s">
        <v>6</v>
      </c>
      <c r="AT720">
        <v>0.02</v>
      </c>
      <c r="AU720" t="s">
        <v>6</v>
      </c>
      <c r="AV720">
        <v>0</v>
      </c>
      <c r="AW720">
        <v>2</v>
      </c>
      <c r="AX720">
        <v>16751882</v>
      </c>
      <c r="AY720">
        <v>1</v>
      </c>
      <c r="AZ720">
        <v>0</v>
      </c>
      <c r="BA720">
        <v>666</v>
      </c>
      <c r="BB720">
        <v>0</v>
      </c>
      <c r="BC720">
        <v>0</v>
      </c>
      <c r="BD720">
        <v>0</v>
      </c>
      <c r="BE720">
        <v>0</v>
      </c>
      <c r="BF720">
        <v>0</v>
      </c>
      <c r="BG720">
        <v>0</v>
      </c>
      <c r="BH720">
        <v>0</v>
      </c>
      <c r="BI720">
        <v>0</v>
      </c>
      <c r="BJ720">
        <v>0</v>
      </c>
      <c r="BK720">
        <v>0</v>
      </c>
      <c r="BL720">
        <v>0</v>
      </c>
      <c r="BM720">
        <v>0</v>
      </c>
      <c r="BN720">
        <v>0</v>
      </c>
      <c r="BO720">
        <v>0</v>
      </c>
      <c r="BP720">
        <v>0</v>
      </c>
      <c r="BQ720">
        <v>0</v>
      </c>
      <c r="BR720">
        <v>0</v>
      </c>
      <c r="BS720">
        <v>0</v>
      </c>
      <c r="BT720">
        <v>0</v>
      </c>
      <c r="BU720">
        <v>0</v>
      </c>
      <c r="BV720">
        <v>0</v>
      </c>
      <c r="BW720">
        <v>0</v>
      </c>
      <c r="CX720">
        <f>Y720*Source!I616</f>
        <v>4.0000000000000001E-3</v>
      </c>
      <c r="CY720">
        <f t="shared" si="135"/>
        <v>244.62</v>
      </c>
      <c r="CZ720">
        <f t="shared" si="136"/>
        <v>37.29</v>
      </c>
      <c r="DA720">
        <f t="shared" si="137"/>
        <v>6.56</v>
      </c>
      <c r="DB720">
        <f t="shared" si="138"/>
        <v>0.75</v>
      </c>
      <c r="DC720">
        <f t="shared" si="139"/>
        <v>0</v>
      </c>
    </row>
    <row r="721" spans="1:107" x14ac:dyDescent="0.2">
      <c r="A721">
        <f>ROW(Source!A616)</f>
        <v>616</v>
      </c>
      <c r="B721">
        <v>16748969</v>
      </c>
      <c r="C721">
        <v>16751864</v>
      </c>
      <c r="D721">
        <v>15172117</v>
      </c>
      <c r="E721">
        <v>1</v>
      </c>
      <c r="F721">
        <v>1</v>
      </c>
      <c r="G721">
        <v>1</v>
      </c>
      <c r="H721">
        <v>3</v>
      </c>
      <c r="I721" t="s">
        <v>1552</v>
      </c>
      <c r="J721" t="s">
        <v>1553</v>
      </c>
      <c r="K721" t="s">
        <v>1554</v>
      </c>
      <c r="L721">
        <v>1348</v>
      </c>
      <c r="N721">
        <v>1009</v>
      </c>
      <c r="O721" t="s">
        <v>71</v>
      </c>
      <c r="P721" t="s">
        <v>71</v>
      </c>
      <c r="Q721">
        <v>1000</v>
      </c>
      <c r="W721">
        <v>0</v>
      </c>
      <c r="X721">
        <v>1529337430</v>
      </c>
      <c r="Y721">
        <v>2E-3</v>
      </c>
      <c r="AA721">
        <v>12044.16</v>
      </c>
      <c r="AB721">
        <v>0</v>
      </c>
      <c r="AC721">
        <v>0</v>
      </c>
      <c r="AD721">
        <v>0</v>
      </c>
      <c r="AE721">
        <v>1836</v>
      </c>
      <c r="AF721">
        <v>0</v>
      </c>
      <c r="AG721">
        <v>0</v>
      </c>
      <c r="AH721">
        <v>0</v>
      </c>
      <c r="AI721">
        <v>6.56</v>
      </c>
      <c r="AJ721">
        <v>1</v>
      </c>
      <c r="AK721">
        <v>1</v>
      </c>
      <c r="AL721">
        <v>1</v>
      </c>
      <c r="AN721">
        <v>0</v>
      </c>
      <c r="AO721">
        <v>1</v>
      </c>
      <c r="AP721">
        <v>0</v>
      </c>
      <c r="AQ721">
        <v>0</v>
      </c>
      <c r="AR721">
        <v>0</v>
      </c>
      <c r="AS721" t="s">
        <v>6</v>
      </c>
      <c r="AT721">
        <v>2E-3</v>
      </c>
      <c r="AU721" t="s">
        <v>6</v>
      </c>
      <c r="AV721">
        <v>0</v>
      </c>
      <c r="AW721">
        <v>2</v>
      </c>
      <c r="AX721">
        <v>16751885</v>
      </c>
      <c r="AY721">
        <v>1</v>
      </c>
      <c r="AZ721">
        <v>0</v>
      </c>
      <c r="BA721">
        <v>669</v>
      </c>
      <c r="BB721">
        <v>0</v>
      </c>
      <c r="BC721">
        <v>0</v>
      </c>
      <c r="BD721">
        <v>0</v>
      </c>
      <c r="BE721">
        <v>0</v>
      </c>
      <c r="BF721">
        <v>0</v>
      </c>
      <c r="BG721">
        <v>0</v>
      </c>
      <c r="BH721">
        <v>0</v>
      </c>
      <c r="BI721">
        <v>0</v>
      </c>
      <c r="BJ721">
        <v>0</v>
      </c>
      <c r="BK721">
        <v>0</v>
      </c>
      <c r="BL721">
        <v>0</v>
      </c>
      <c r="BM721">
        <v>0</v>
      </c>
      <c r="BN721">
        <v>0</v>
      </c>
      <c r="BO721">
        <v>0</v>
      </c>
      <c r="BP721">
        <v>0</v>
      </c>
      <c r="BQ721">
        <v>0</v>
      </c>
      <c r="BR721">
        <v>0</v>
      </c>
      <c r="BS721">
        <v>0</v>
      </c>
      <c r="BT721">
        <v>0</v>
      </c>
      <c r="BU721">
        <v>0</v>
      </c>
      <c r="BV721">
        <v>0</v>
      </c>
      <c r="BW721">
        <v>0</v>
      </c>
      <c r="CX721">
        <f>Y721*Source!I616</f>
        <v>4.0000000000000002E-4</v>
      </c>
      <c r="CY721">
        <f t="shared" si="135"/>
        <v>12044.16</v>
      </c>
      <c r="CZ721">
        <f t="shared" si="136"/>
        <v>1836</v>
      </c>
      <c r="DA721">
        <f t="shared" si="137"/>
        <v>6.56</v>
      </c>
      <c r="DB721">
        <f t="shared" si="138"/>
        <v>3.67</v>
      </c>
      <c r="DC721">
        <f t="shared" si="139"/>
        <v>0</v>
      </c>
    </row>
    <row r="722" spans="1:107" x14ac:dyDescent="0.2">
      <c r="A722">
        <f>ROW(Source!A616)</f>
        <v>616</v>
      </c>
      <c r="B722">
        <v>16748969</v>
      </c>
      <c r="C722">
        <v>16751864</v>
      </c>
      <c r="D722">
        <v>15203740</v>
      </c>
      <c r="E722">
        <v>1</v>
      </c>
      <c r="F722">
        <v>1</v>
      </c>
      <c r="G722">
        <v>1</v>
      </c>
      <c r="H722">
        <v>3</v>
      </c>
      <c r="I722" t="s">
        <v>1555</v>
      </c>
      <c r="J722" t="s">
        <v>1556</v>
      </c>
      <c r="K722" t="s">
        <v>1557</v>
      </c>
      <c r="L722">
        <v>1348</v>
      </c>
      <c r="N722">
        <v>1009</v>
      </c>
      <c r="O722" t="s">
        <v>71</v>
      </c>
      <c r="P722" t="s">
        <v>71</v>
      </c>
      <c r="Q722">
        <v>1000</v>
      </c>
      <c r="W722">
        <v>0</v>
      </c>
      <c r="X722">
        <v>570223526</v>
      </c>
      <c r="Y722">
        <v>4.0000000000000002E-4</v>
      </c>
      <c r="AA722">
        <v>99180.64</v>
      </c>
      <c r="AB722">
        <v>0</v>
      </c>
      <c r="AC722">
        <v>0</v>
      </c>
      <c r="AD722">
        <v>0</v>
      </c>
      <c r="AE722">
        <v>15119</v>
      </c>
      <c r="AF722">
        <v>0</v>
      </c>
      <c r="AG722">
        <v>0</v>
      </c>
      <c r="AH722">
        <v>0</v>
      </c>
      <c r="AI722">
        <v>6.56</v>
      </c>
      <c r="AJ722">
        <v>1</v>
      </c>
      <c r="AK722">
        <v>1</v>
      </c>
      <c r="AL722">
        <v>1</v>
      </c>
      <c r="AN722">
        <v>0</v>
      </c>
      <c r="AO722">
        <v>1</v>
      </c>
      <c r="AP722">
        <v>0</v>
      </c>
      <c r="AQ722">
        <v>0</v>
      </c>
      <c r="AR722">
        <v>0</v>
      </c>
      <c r="AS722" t="s">
        <v>6</v>
      </c>
      <c r="AT722">
        <v>4.0000000000000002E-4</v>
      </c>
      <c r="AU722" t="s">
        <v>6</v>
      </c>
      <c r="AV722">
        <v>0</v>
      </c>
      <c r="AW722">
        <v>2</v>
      </c>
      <c r="AX722">
        <v>16751886</v>
      </c>
      <c r="AY722">
        <v>1</v>
      </c>
      <c r="AZ722">
        <v>0</v>
      </c>
      <c r="BA722">
        <v>670</v>
      </c>
      <c r="BB722">
        <v>0</v>
      </c>
      <c r="BC722">
        <v>0</v>
      </c>
      <c r="BD722">
        <v>0</v>
      </c>
      <c r="BE722">
        <v>0</v>
      </c>
      <c r="BF722">
        <v>0</v>
      </c>
      <c r="BG722">
        <v>0</v>
      </c>
      <c r="BH722">
        <v>0</v>
      </c>
      <c r="BI722">
        <v>0</v>
      </c>
      <c r="BJ722">
        <v>0</v>
      </c>
      <c r="BK722">
        <v>0</v>
      </c>
      <c r="BL722">
        <v>0</v>
      </c>
      <c r="BM722">
        <v>0</v>
      </c>
      <c r="BN722">
        <v>0</v>
      </c>
      <c r="BO722">
        <v>0</v>
      </c>
      <c r="BP722">
        <v>0</v>
      </c>
      <c r="BQ722">
        <v>0</v>
      </c>
      <c r="BR722">
        <v>0</v>
      </c>
      <c r="BS722">
        <v>0</v>
      </c>
      <c r="BT722">
        <v>0</v>
      </c>
      <c r="BU722">
        <v>0</v>
      </c>
      <c r="BV722">
        <v>0</v>
      </c>
      <c r="BW722">
        <v>0</v>
      </c>
      <c r="CX722">
        <f>Y722*Source!I616</f>
        <v>8.0000000000000007E-5</v>
      </c>
      <c r="CY722">
        <f t="shared" si="135"/>
        <v>99180.64</v>
      </c>
      <c r="CZ722">
        <f t="shared" si="136"/>
        <v>15119</v>
      </c>
      <c r="DA722">
        <f t="shared" si="137"/>
        <v>6.56</v>
      </c>
      <c r="DB722">
        <f t="shared" si="138"/>
        <v>6.05</v>
      </c>
      <c r="DC722">
        <f t="shared" si="139"/>
        <v>0</v>
      </c>
    </row>
    <row r="723" spans="1:107" x14ac:dyDescent="0.2">
      <c r="A723">
        <f>ROW(Source!A616)</f>
        <v>616</v>
      </c>
      <c r="B723">
        <v>16748969</v>
      </c>
      <c r="C723">
        <v>16751864</v>
      </c>
      <c r="D723">
        <v>15204468</v>
      </c>
      <c r="E723">
        <v>1</v>
      </c>
      <c r="F723">
        <v>1</v>
      </c>
      <c r="G723">
        <v>1</v>
      </c>
      <c r="H723">
        <v>3</v>
      </c>
      <c r="I723" t="s">
        <v>1558</v>
      </c>
      <c r="J723" t="s">
        <v>1559</v>
      </c>
      <c r="K723" t="s">
        <v>1560</v>
      </c>
      <c r="L723">
        <v>1348</v>
      </c>
      <c r="N723">
        <v>1009</v>
      </c>
      <c r="O723" t="s">
        <v>71</v>
      </c>
      <c r="P723" t="s">
        <v>71</v>
      </c>
      <c r="Q723">
        <v>1000</v>
      </c>
      <c r="W723">
        <v>0</v>
      </c>
      <c r="X723">
        <v>-909021926</v>
      </c>
      <c r="Y723">
        <v>2.0000000000000001E-4</v>
      </c>
      <c r="AA723">
        <v>111192</v>
      </c>
      <c r="AB723">
        <v>0</v>
      </c>
      <c r="AC723">
        <v>0</v>
      </c>
      <c r="AD723">
        <v>0</v>
      </c>
      <c r="AE723">
        <v>16950</v>
      </c>
      <c r="AF723">
        <v>0</v>
      </c>
      <c r="AG723">
        <v>0</v>
      </c>
      <c r="AH723">
        <v>0</v>
      </c>
      <c r="AI723">
        <v>6.56</v>
      </c>
      <c r="AJ723">
        <v>1</v>
      </c>
      <c r="AK723">
        <v>1</v>
      </c>
      <c r="AL723">
        <v>1</v>
      </c>
      <c r="AN723">
        <v>0</v>
      </c>
      <c r="AO723">
        <v>1</v>
      </c>
      <c r="AP723">
        <v>0</v>
      </c>
      <c r="AQ723">
        <v>0</v>
      </c>
      <c r="AR723">
        <v>0</v>
      </c>
      <c r="AS723" t="s">
        <v>6</v>
      </c>
      <c r="AT723">
        <v>2.0000000000000001E-4</v>
      </c>
      <c r="AU723" t="s">
        <v>6</v>
      </c>
      <c r="AV723">
        <v>0</v>
      </c>
      <c r="AW723">
        <v>2</v>
      </c>
      <c r="AX723">
        <v>16751888</v>
      </c>
      <c r="AY723">
        <v>1</v>
      </c>
      <c r="AZ723">
        <v>0</v>
      </c>
      <c r="BA723">
        <v>672</v>
      </c>
      <c r="BB723">
        <v>0</v>
      </c>
      <c r="BC723">
        <v>0</v>
      </c>
      <c r="BD723">
        <v>0</v>
      </c>
      <c r="BE723">
        <v>0</v>
      </c>
      <c r="BF723">
        <v>0</v>
      </c>
      <c r="BG723">
        <v>0</v>
      </c>
      <c r="BH723">
        <v>0</v>
      </c>
      <c r="BI723">
        <v>0</v>
      </c>
      <c r="BJ723">
        <v>0</v>
      </c>
      <c r="BK723">
        <v>0</v>
      </c>
      <c r="BL723">
        <v>0</v>
      </c>
      <c r="BM723">
        <v>0</v>
      </c>
      <c r="BN723">
        <v>0</v>
      </c>
      <c r="BO723">
        <v>0</v>
      </c>
      <c r="BP723">
        <v>0</v>
      </c>
      <c r="BQ723">
        <v>0</v>
      </c>
      <c r="BR723">
        <v>0</v>
      </c>
      <c r="BS723">
        <v>0</v>
      </c>
      <c r="BT723">
        <v>0</v>
      </c>
      <c r="BU723">
        <v>0</v>
      </c>
      <c r="BV723">
        <v>0</v>
      </c>
      <c r="BW723">
        <v>0</v>
      </c>
      <c r="CX723">
        <f>Y723*Source!I616</f>
        <v>4.0000000000000003E-5</v>
      </c>
      <c r="CY723">
        <f t="shared" si="135"/>
        <v>111192</v>
      </c>
      <c r="CZ723">
        <f t="shared" si="136"/>
        <v>16950</v>
      </c>
      <c r="DA723">
        <f t="shared" si="137"/>
        <v>6.56</v>
      </c>
      <c r="DB723">
        <f t="shared" si="138"/>
        <v>3.39</v>
      </c>
      <c r="DC723">
        <f t="shared" si="139"/>
        <v>0</v>
      </c>
    </row>
    <row r="724" spans="1:107" x14ac:dyDescent="0.2">
      <c r="A724">
        <f>ROW(Source!A616)</f>
        <v>616</v>
      </c>
      <c r="B724">
        <v>16748969</v>
      </c>
      <c r="C724">
        <v>16751864</v>
      </c>
      <c r="D724">
        <v>15211688</v>
      </c>
      <c r="E724">
        <v>1</v>
      </c>
      <c r="F724">
        <v>1</v>
      </c>
      <c r="G724">
        <v>1</v>
      </c>
      <c r="H724">
        <v>3</v>
      </c>
      <c r="I724" t="s">
        <v>938</v>
      </c>
      <c r="J724" t="s">
        <v>940</v>
      </c>
      <c r="K724" t="s">
        <v>939</v>
      </c>
      <c r="L724">
        <v>1035</v>
      </c>
      <c r="N724">
        <v>1013</v>
      </c>
      <c r="O724" t="s">
        <v>230</v>
      </c>
      <c r="P724" t="s">
        <v>230</v>
      </c>
      <c r="Q724">
        <v>1</v>
      </c>
      <c r="W724">
        <v>0</v>
      </c>
      <c r="X724">
        <v>311523077</v>
      </c>
      <c r="Y724">
        <v>10</v>
      </c>
      <c r="AA724">
        <v>2341.92</v>
      </c>
      <c r="AB724">
        <v>0</v>
      </c>
      <c r="AC724">
        <v>0</v>
      </c>
      <c r="AD724">
        <v>0</v>
      </c>
      <c r="AE724">
        <v>357</v>
      </c>
      <c r="AF724">
        <v>0</v>
      </c>
      <c r="AG724">
        <v>0</v>
      </c>
      <c r="AH724">
        <v>0</v>
      </c>
      <c r="AI724">
        <v>6.56</v>
      </c>
      <c r="AJ724">
        <v>1</v>
      </c>
      <c r="AK724">
        <v>1</v>
      </c>
      <c r="AL724">
        <v>1</v>
      </c>
      <c r="AN724">
        <v>0</v>
      </c>
      <c r="AO724">
        <v>0</v>
      </c>
      <c r="AP724">
        <v>0</v>
      </c>
      <c r="AQ724">
        <v>0</v>
      </c>
      <c r="AR724">
        <v>0</v>
      </c>
      <c r="AS724" t="s">
        <v>6</v>
      </c>
      <c r="AT724">
        <v>10</v>
      </c>
      <c r="AU724" t="s">
        <v>6</v>
      </c>
      <c r="AV724">
        <v>0</v>
      </c>
      <c r="AW724">
        <v>1</v>
      </c>
      <c r="AX724">
        <v>-1</v>
      </c>
      <c r="AY724">
        <v>0</v>
      </c>
      <c r="AZ724">
        <v>0</v>
      </c>
      <c r="BA724" t="s">
        <v>6</v>
      </c>
      <c r="BB724">
        <v>0</v>
      </c>
      <c r="BC724">
        <v>0</v>
      </c>
      <c r="BD724">
        <v>0</v>
      </c>
      <c r="BE724">
        <v>0</v>
      </c>
      <c r="BF724">
        <v>0</v>
      </c>
      <c r="BG724">
        <v>0</v>
      </c>
      <c r="BH724">
        <v>0</v>
      </c>
      <c r="BI724">
        <v>0</v>
      </c>
      <c r="BJ724">
        <v>0</v>
      </c>
      <c r="BK724">
        <v>0</v>
      </c>
      <c r="BL724">
        <v>0</v>
      </c>
      <c r="BM724">
        <v>0</v>
      </c>
      <c r="BN724">
        <v>0</v>
      </c>
      <c r="BO724">
        <v>0</v>
      </c>
      <c r="BP724">
        <v>0</v>
      </c>
      <c r="BQ724">
        <v>0</v>
      </c>
      <c r="BR724">
        <v>0</v>
      </c>
      <c r="BS724">
        <v>0</v>
      </c>
      <c r="BT724">
        <v>0</v>
      </c>
      <c r="BU724">
        <v>0</v>
      </c>
      <c r="BV724">
        <v>0</v>
      </c>
      <c r="BW724">
        <v>0</v>
      </c>
      <c r="CX724">
        <f>Y724*Source!I616</f>
        <v>2</v>
      </c>
      <c r="CY724">
        <f t="shared" si="135"/>
        <v>2341.92</v>
      </c>
      <c r="CZ724">
        <f t="shared" si="136"/>
        <v>357</v>
      </c>
      <c r="DA724">
        <f t="shared" si="137"/>
        <v>6.56</v>
      </c>
      <c r="DB724">
        <f t="shared" si="138"/>
        <v>3570</v>
      </c>
      <c r="DC724">
        <f t="shared" si="139"/>
        <v>0</v>
      </c>
    </row>
    <row r="725" spans="1:107" x14ac:dyDescent="0.2">
      <c r="A725">
        <f>ROW(Source!A616)</f>
        <v>616</v>
      </c>
      <c r="B725">
        <v>16748969</v>
      </c>
      <c r="C725">
        <v>16751864</v>
      </c>
      <c r="D725">
        <v>15211966</v>
      </c>
      <c r="E725">
        <v>1</v>
      </c>
      <c r="F725">
        <v>1</v>
      </c>
      <c r="G725">
        <v>1</v>
      </c>
      <c r="H725">
        <v>3</v>
      </c>
      <c r="I725" t="s">
        <v>942</v>
      </c>
      <c r="J725" t="s">
        <v>944</v>
      </c>
      <c r="K725" t="s">
        <v>943</v>
      </c>
      <c r="L725">
        <v>1358</v>
      </c>
      <c r="N725">
        <v>1010</v>
      </c>
      <c r="O725" t="s">
        <v>615</v>
      </c>
      <c r="P725" t="s">
        <v>615</v>
      </c>
      <c r="Q725">
        <v>10</v>
      </c>
      <c r="W725">
        <v>0</v>
      </c>
      <c r="X725">
        <v>-62785007</v>
      </c>
      <c r="Y725">
        <v>1</v>
      </c>
      <c r="AA725">
        <v>1050.9100000000001</v>
      </c>
      <c r="AB725">
        <v>0</v>
      </c>
      <c r="AC725">
        <v>0</v>
      </c>
      <c r="AD725">
        <v>0</v>
      </c>
      <c r="AE725">
        <v>160.19999999999999</v>
      </c>
      <c r="AF725">
        <v>0</v>
      </c>
      <c r="AG725">
        <v>0</v>
      </c>
      <c r="AH725">
        <v>0</v>
      </c>
      <c r="AI725">
        <v>6.56</v>
      </c>
      <c r="AJ725">
        <v>1</v>
      </c>
      <c r="AK725">
        <v>1</v>
      </c>
      <c r="AL725">
        <v>1</v>
      </c>
      <c r="AN725">
        <v>0</v>
      </c>
      <c r="AO725">
        <v>0</v>
      </c>
      <c r="AP725">
        <v>0</v>
      </c>
      <c r="AQ725">
        <v>0</v>
      </c>
      <c r="AR725">
        <v>0</v>
      </c>
      <c r="AS725" t="s">
        <v>6</v>
      </c>
      <c r="AT725">
        <v>1</v>
      </c>
      <c r="AU725" t="s">
        <v>6</v>
      </c>
      <c r="AV725">
        <v>0</v>
      </c>
      <c r="AW725">
        <v>1</v>
      </c>
      <c r="AX725">
        <v>-1</v>
      </c>
      <c r="AY725">
        <v>0</v>
      </c>
      <c r="AZ725">
        <v>0</v>
      </c>
      <c r="BA725" t="s">
        <v>6</v>
      </c>
      <c r="BB725">
        <v>0</v>
      </c>
      <c r="BC725">
        <v>0</v>
      </c>
      <c r="BD725">
        <v>0</v>
      </c>
      <c r="BE725">
        <v>0</v>
      </c>
      <c r="BF725">
        <v>0</v>
      </c>
      <c r="BG725">
        <v>0</v>
      </c>
      <c r="BH725">
        <v>0</v>
      </c>
      <c r="BI725">
        <v>0</v>
      </c>
      <c r="BJ725">
        <v>0</v>
      </c>
      <c r="BK725">
        <v>0</v>
      </c>
      <c r="BL725">
        <v>0</v>
      </c>
      <c r="BM725">
        <v>0</v>
      </c>
      <c r="BN725">
        <v>0</v>
      </c>
      <c r="BO725">
        <v>0</v>
      </c>
      <c r="BP725">
        <v>0</v>
      </c>
      <c r="BQ725">
        <v>0</v>
      </c>
      <c r="BR725">
        <v>0</v>
      </c>
      <c r="BS725">
        <v>0</v>
      </c>
      <c r="BT725">
        <v>0</v>
      </c>
      <c r="BU725">
        <v>0</v>
      </c>
      <c r="BV725">
        <v>0</v>
      </c>
      <c r="BW725">
        <v>0</v>
      </c>
      <c r="CX725">
        <f>Y725*Source!I616</f>
        <v>0.2</v>
      </c>
      <c r="CY725">
        <f t="shared" si="135"/>
        <v>1050.9100000000001</v>
      </c>
      <c r="CZ725">
        <f t="shared" si="136"/>
        <v>160.19999999999999</v>
      </c>
      <c r="DA725">
        <f t="shared" si="137"/>
        <v>6.56</v>
      </c>
      <c r="DB725">
        <f t="shared" si="138"/>
        <v>160.19999999999999</v>
      </c>
      <c r="DC725">
        <f t="shared" si="139"/>
        <v>0</v>
      </c>
    </row>
    <row r="726" spans="1:107" x14ac:dyDescent="0.2">
      <c r="A726">
        <f>ROW(Source!A616)</f>
        <v>616</v>
      </c>
      <c r="B726">
        <v>16748969</v>
      </c>
      <c r="C726">
        <v>16751864</v>
      </c>
      <c r="D726">
        <v>15212000</v>
      </c>
      <c r="E726">
        <v>1</v>
      </c>
      <c r="F726">
        <v>1</v>
      </c>
      <c r="G726">
        <v>1</v>
      </c>
      <c r="H726">
        <v>3</v>
      </c>
      <c r="I726" t="s">
        <v>934</v>
      </c>
      <c r="J726" t="s">
        <v>936</v>
      </c>
      <c r="K726" t="s">
        <v>935</v>
      </c>
      <c r="L726">
        <v>1354</v>
      </c>
      <c r="N726">
        <v>1010</v>
      </c>
      <c r="O726" t="s">
        <v>53</v>
      </c>
      <c r="P726" t="s">
        <v>53</v>
      </c>
      <c r="Q726">
        <v>1</v>
      </c>
      <c r="W726">
        <v>0</v>
      </c>
      <c r="X726">
        <v>1658146140</v>
      </c>
      <c r="Y726">
        <v>10</v>
      </c>
      <c r="AA726">
        <v>856.28</v>
      </c>
      <c r="AB726">
        <v>0</v>
      </c>
      <c r="AC726">
        <v>0</v>
      </c>
      <c r="AD726">
        <v>0</v>
      </c>
      <c r="AE726">
        <v>130.53</v>
      </c>
      <c r="AF726">
        <v>0</v>
      </c>
      <c r="AG726">
        <v>0</v>
      </c>
      <c r="AH726">
        <v>0</v>
      </c>
      <c r="AI726">
        <v>6.56</v>
      </c>
      <c r="AJ726">
        <v>1</v>
      </c>
      <c r="AK726">
        <v>1</v>
      </c>
      <c r="AL726">
        <v>1</v>
      </c>
      <c r="AN726">
        <v>0</v>
      </c>
      <c r="AO726">
        <v>0</v>
      </c>
      <c r="AP726">
        <v>0</v>
      </c>
      <c r="AQ726">
        <v>0</v>
      </c>
      <c r="AR726">
        <v>0</v>
      </c>
      <c r="AS726" t="s">
        <v>6</v>
      </c>
      <c r="AT726">
        <v>10</v>
      </c>
      <c r="AU726" t="s">
        <v>6</v>
      </c>
      <c r="AV726">
        <v>0</v>
      </c>
      <c r="AW726">
        <v>1</v>
      </c>
      <c r="AX726">
        <v>-1</v>
      </c>
      <c r="AY726">
        <v>0</v>
      </c>
      <c r="AZ726">
        <v>0</v>
      </c>
      <c r="BA726" t="s">
        <v>6</v>
      </c>
      <c r="BB726">
        <v>0</v>
      </c>
      <c r="BC726">
        <v>0</v>
      </c>
      <c r="BD726">
        <v>0</v>
      </c>
      <c r="BE726">
        <v>0</v>
      </c>
      <c r="BF726">
        <v>0</v>
      </c>
      <c r="BG726">
        <v>0</v>
      </c>
      <c r="BH726">
        <v>0</v>
      </c>
      <c r="BI726">
        <v>0</v>
      </c>
      <c r="BJ726">
        <v>0</v>
      </c>
      <c r="BK726">
        <v>0</v>
      </c>
      <c r="BL726">
        <v>0</v>
      </c>
      <c r="BM726">
        <v>0</v>
      </c>
      <c r="BN726">
        <v>0</v>
      </c>
      <c r="BO726">
        <v>0</v>
      </c>
      <c r="BP726">
        <v>0</v>
      </c>
      <c r="BQ726">
        <v>0</v>
      </c>
      <c r="BR726">
        <v>0</v>
      </c>
      <c r="BS726">
        <v>0</v>
      </c>
      <c r="BT726">
        <v>0</v>
      </c>
      <c r="BU726">
        <v>0</v>
      </c>
      <c r="BV726">
        <v>0</v>
      </c>
      <c r="BW726">
        <v>0</v>
      </c>
      <c r="CX726">
        <f>Y726*Source!I616</f>
        <v>2</v>
      </c>
      <c r="CY726">
        <f t="shared" si="135"/>
        <v>856.28</v>
      </c>
      <c r="CZ726">
        <f t="shared" si="136"/>
        <v>130.53</v>
      </c>
      <c r="DA726">
        <f t="shared" si="137"/>
        <v>6.56</v>
      </c>
      <c r="DB726">
        <f t="shared" si="138"/>
        <v>1305.3</v>
      </c>
      <c r="DC726">
        <f t="shared" si="139"/>
        <v>0</v>
      </c>
    </row>
    <row r="727" spans="1:107" x14ac:dyDescent="0.2">
      <c r="A727">
        <f>ROW(Source!A620)</f>
        <v>620</v>
      </c>
      <c r="B727">
        <v>16748969</v>
      </c>
      <c r="C727">
        <v>16751893</v>
      </c>
      <c r="D727">
        <v>15436556</v>
      </c>
      <c r="E727">
        <v>1</v>
      </c>
      <c r="F727">
        <v>1</v>
      </c>
      <c r="G727">
        <v>1</v>
      </c>
      <c r="H727">
        <v>1</v>
      </c>
      <c r="I727" t="s">
        <v>1265</v>
      </c>
      <c r="J727" t="s">
        <v>6</v>
      </c>
      <c r="K727" t="s">
        <v>1266</v>
      </c>
      <c r="L727">
        <v>1191</v>
      </c>
      <c r="N727">
        <v>1013</v>
      </c>
      <c r="O727" t="s">
        <v>1072</v>
      </c>
      <c r="P727" t="s">
        <v>1072</v>
      </c>
      <c r="Q727">
        <v>1</v>
      </c>
      <c r="W727">
        <v>0</v>
      </c>
      <c r="X727">
        <v>1069510174</v>
      </c>
      <c r="Y727">
        <v>8.0499999999999989</v>
      </c>
      <c r="AA727">
        <v>0</v>
      </c>
      <c r="AB727">
        <v>0</v>
      </c>
      <c r="AC727">
        <v>0</v>
      </c>
      <c r="AD727">
        <v>63.11</v>
      </c>
      <c r="AE727">
        <v>0</v>
      </c>
      <c r="AF727">
        <v>0</v>
      </c>
      <c r="AG727">
        <v>0</v>
      </c>
      <c r="AH727">
        <v>9.6199999999999992</v>
      </c>
      <c r="AI727">
        <v>1</v>
      </c>
      <c r="AJ727">
        <v>1</v>
      </c>
      <c r="AK727">
        <v>1</v>
      </c>
      <c r="AL727">
        <v>6.56</v>
      </c>
      <c r="AN727">
        <v>0</v>
      </c>
      <c r="AO727">
        <v>1</v>
      </c>
      <c r="AP727">
        <v>1</v>
      </c>
      <c r="AQ727">
        <v>0</v>
      </c>
      <c r="AR727">
        <v>0</v>
      </c>
      <c r="AS727" t="s">
        <v>6</v>
      </c>
      <c r="AT727">
        <v>7</v>
      </c>
      <c r="AU727" t="s">
        <v>173</v>
      </c>
      <c r="AV727">
        <v>1</v>
      </c>
      <c r="AW727">
        <v>2</v>
      </c>
      <c r="AX727">
        <v>16751898</v>
      </c>
      <c r="AY727">
        <v>1</v>
      </c>
      <c r="AZ727">
        <v>0</v>
      </c>
      <c r="BA727">
        <v>674</v>
      </c>
      <c r="BB727">
        <v>0</v>
      </c>
      <c r="BC727">
        <v>0</v>
      </c>
      <c r="BD727">
        <v>0</v>
      </c>
      <c r="BE727">
        <v>0</v>
      </c>
      <c r="BF727">
        <v>0</v>
      </c>
      <c r="BG727">
        <v>0</v>
      </c>
      <c r="BH727">
        <v>0</v>
      </c>
      <c r="BI727">
        <v>0</v>
      </c>
      <c r="BJ727">
        <v>0</v>
      </c>
      <c r="BK727">
        <v>0</v>
      </c>
      <c r="BL727">
        <v>0</v>
      </c>
      <c r="BM727">
        <v>0</v>
      </c>
      <c r="BN727">
        <v>0</v>
      </c>
      <c r="BO727">
        <v>0</v>
      </c>
      <c r="BP727">
        <v>0</v>
      </c>
      <c r="BQ727">
        <v>0</v>
      </c>
      <c r="BR727">
        <v>0</v>
      </c>
      <c r="BS727">
        <v>0</v>
      </c>
      <c r="BT727">
        <v>0</v>
      </c>
      <c r="BU727">
        <v>0</v>
      </c>
      <c r="BV727">
        <v>0</v>
      </c>
      <c r="BW727">
        <v>0</v>
      </c>
      <c r="CX727">
        <f>Y727*Source!I620</f>
        <v>1.6099999999999999</v>
      </c>
      <c r="CY727">
        <f>AD727</f>
        <v>63.11</v>
      </c>
      <c r="CZ727">
        <f>AH727</f>
        <v>9.6199999999999992</v>
      </c>
      <c r="DA727">
        <f>AL727</f>
        <v>6.56</v>
      </c>
      <c r="DB727">
        <f>ROUND((ROUND(AT727*CZ727,2)*1.15),2)</f>
        <v>77.44</v>
      </c>
      <c r="DC727">
        <f>ROUND((ROUND(AT727*AG727,2)*1.15),2)</f>
        <v>0</v>
      </c>
    </row>
    <row r="728" spans="1:107" x14ac:dyDescent="0.2">
      <c r="A728">
        <f>ROW(Source!A620)</f>
        <v>620</v>
      </c>
      <c r="B728">
        <v>16748969</v>
      </c>
      <c r="C728">
        <v>16751893</v>
      </c>
      <c r="D728">
        <v>15167963</v>
      </c>
      <c r="E728">
        <v>1</v>
      </c>
      <c r="F728">
        <v>1</v>
      </c>
      <c r="G728">
        <v>1</v>
      </c>
      <c r="H728">
        <v>3</v>
      </c>
      <c r="I728" t="s">
        <v>1549</v>
      </c>
      <c r="J728" t="s">
        <v>1550</v>
      </c>
      <c r="K728" t="s">
        <v>1551</v>
      </c>
      <c r="L728">
        <v>1346</v>
      </c>
      <c r="N728">
        <v>1009</v>
      </c>
      <c r="O728" t="s">
        <v>323</v>
      </c>
      <c r="P728" t="s">
        <v>323</v>
      </c>
      <c r="Q728">
        <v>1</v>
      </c>
      <c r="W728">
        <v>0</v>
      </c>
      <c r="X728">
        <v>-490687590</v>
      </c>
      <c r="Y728">
        <v>0.13</v>
      </c>
      <c r="AA728">
        <v>244.62</v>
      </c>
      <c r="AB728">
        <v>0</v>
      </c>
      <c r="AC728">
        <v>0</v>
      </c>
      <c r="AD728">
        <v>0</v>
      </c>
      <c r="AE728">
        <v>37.29</v>
      </c>
      <c r="AF728">
        <v>0</v>
      </c>
      <c r="AG728">
        <v>0</v>
      </c>
      <c r="AH728">
        <v>0</v>
      </c>
      <c r="AI728">
        <v>6.56</v>
      </c>
      <c r="AJ728">
        <v>1</v>
      </c>
      <c r="AK728">
        <v>1</v>
      </c>
      <c r="AL728">
        <v>1</v>
      </c>
      <c r="AN728">
        <v>0</v>
      </c>
      <c r="AO728">
        <v>1</v>
      </c>
      <c r="AP728">
        <v>0</v>
      </c>
      <c r="AQ728">
        <v>0</v>
      </c>
      <c r="AR728">
        <v>0</v>
      </c>
      <c r="AS728" t="s">
        <v>6</v>
      </c>
      <c r="AT728">
        <v>0.13</v>
      </c>
      <c r="AU728" t="s">
        <v>6</v>
      </c>
      <c r="AV728">
        <v>0</v>
      </c>
      <c r="AW728">
        <v>2</v>
      </c>
      <c r="AX728">
        <v>16751899</v>
      </c>
      <c r="AY728">
        <v>1</v>
      </c>
      <c r="AZ728">
        <v>0</v>
      </c>
      <c r="BA728">
        <v>675</v>
      </c>
      <c r="BB728">
        <v>0</v>
      </c>
      <c r="BC728">
        <v>0</v>
      </c>
      <c r="BD728">
        <v>0</v>
      </c>
      <c r="BE728">
        <v>0</v>
      </c>
      <c r="BF728">
        <v>0</v>
      </c>
      <c r="BG728">
        <v>0</v>
      </c>
      <c r="BH728">
        <v>0</v>
      </c>
      <c r="BI728">
        <v>0</v>
      </c>
      <c r="BJ728">
        <v>0</v>
      </c>
      <c r="BK728">
        <v>0</v>
      </c>
      <c r="BL728">
        <v>0</v>
      </c>
      <c r="BM728">
        <v>0</v>
      </c>
      <c r="BN728">
        <v>0</v>
      </c>
      <c r="BO728">
        <v>0</v>
      </c>
      <c r="BP728">
        <v>0</v>
      </c>
      <c r="BQ728">
        <v>0</v>
      </c>
      <c r="BR728">
        <v>0</v>
      </c>
      <c r="BS728">
        <v>0</v>
      </c>
      <c r="BT728">
        <v>0</v>
      </c>
      <c r="BU728">
        <v>0</v>
      </c>
      <c r="BV728">
        <v>0</v>
      </c>
      <c r="BW728">
        <v>0</v>
      </c>
      <c r="CX728">
        <f>Y728*Source!I620</f>
        <v>2.6000000000000002E-2</v>
      </c>
      <c r="CY728">
        <f>AA728</f>
        <v>244.62</v>
      </c>
      <c r="CZ728">
        <f>AE728</f>
        <v>37.29</v>
      </c>
      <c r="DA728">
        <f>AI728</f>
        <v>6.56</v>
      </c>
      <c r="DB728">
        <f>ROUND(ROUND(AT728*CZ728,2),2)</f>
        <v>4.8499999999999996</v>
      </c>
      <c r="DC728">
        <f>ROUND(ROUND(AT728*AG728,2),2)</f>
        <v>0</v>
      </c>
    </row>
    <row r="729" spans="1:107" x14ac:dyDescent="0.2">
      <c r="A729">
        <f>ROW(Source!A620)</f>
        <v>620</v>
      </c>
      <c r="B729">
        <v>16748969</v>
      </c>
      <c r="C729">
        <v>16751893</v>
      </c>
      <c r="D729">
        <v>15203740</v>
      </c>
      <c r="E729">
        <v>1</v>
      </c>
      <c r="F729">
        <v>1</v>
      </c>
      <c r="G729">
        <v>1</v>
      </c>
      <c r="H729">
        <v>3</v>
      </c>
      <c r="I729" t="s">
        <v>1555</v>
      </c>
      <c r="J729" t="s">
        <v>1556</v>
      </c>
      <c r="K729" t="s">
        <v>1557</v>
      </c>
      <c r="L729">
        <v>1348</v>
      </c>
      <c r="N729">
        <v>1009</v>
      </c>
      <c r="O729" t="s">
        <v>71</v>
      </c>
      <c r="P729" t="s">
        <v>71</v>
      </c>
      <c r="Q729">
        <v>1000</v>
      </c>
      <c r="W729">
        <v>0</v>
      </c>
      <c r="X729">
        <v>570223526</v>
      </c>
      <c r="Y729">
        <v>2.5999999999999998E-4</v>
      </c>
      <c r="AA729">
        <v>99180.64</v>
      </c>
      <c r="AB729">
        <v>0</v>
      </c>
      <c r="AC729">
        <v>0</v>
      </c>
      <c r="AD729">
        <v>0</v>
      </c>
      <c r="AE729">
        <v>15119</v>
      </c>
      <c r="AF729">
        <v>0</v>
      </c>
      <c r="AG729">
        <v>0</v>
      </c>
      <c r="AH729">
        <v>0</v>
      </c>
      <c r="AI729">
        <v>6.56</v>
      </c>
      <c r="AJ729">
        <v>1</v>
      </c>
      <c r="AK729">
        <v>1</v>
      </c>
      <c r="AL729">
        <v>1</v>
      </c>
      <c r="AN729">
        <v>0</v>
      </c>
      <c r="AO729">
        <v>1</v>
      </c>
      <c r="AP729">
        <v>0</v>
      </c>
      <c r="AQ729">
        <v>0</v>
      </c>
      <c r="AR729">
        <v>0</v>
      </c>
      <c r="AS729" t="s">
        <v>6</v>
      </c>
      <c r="AT729">
        <v>2.5999999999999998E-4</v>
      </c>
      <c r="AU729" t="s">
        <v>6</v>
      </c>
      <c r="AV729">
        <v>0</v>
      </c>
      <c r="AW729">
        <v>2</v>
      </c>
      <c r="AX729">
        <v>16751902</v>
      </c>
      <c r="AY729">
        <v>1</v>
      </c>
      <c r="AZ729">
        <v>0</v>
      </c>
      <c r="BA729">
        <v>678</v>
      </c>
      <c r="BB729">
        <v>0</v>
      </c>
      <c r="BC729">
        <v>0</v>
      </c>
      <c r="BD729">
        <v>0</v>
      </c>
      <c r="BE729">
        <v>0</v>
      </c>
      <c r="BF729">
        <v>0</v>
      </c>
      <c r="BG729">
        <v>0</v>
      </c>
      <c r="BH729">
        <v>0</v>
      </c>
      <c r="BI729">
        <v>0</v>
      </c>
      <c r="BJ729">
        <v>0</v>
      </c>
      <c r="BK729">
        <v>0</v>
      </c>
      <c r="BL729">
        <v>0</v>
      </c>
      <c r="BM729">
        <v>0</v>
      </c>
      <c r="BN729">
        <v>0</v>
      </c>
      <c r="BO729">
        <v>0</v>
      </c>
      <c r="BP729">
        <v>0</v>
      </c>
      <c r="BQ729">
        <v>0</v>
      </c>
      <c r="BR729">
        <v>0</v>
      </c>
      <c r="BS729">
        <v>0</v>
      </c>
      <c r="BT729">
        <v>0</v>
      </c>
      <c r="BU729">
        <v>0</v>
      </c>
      <c r="BV729">
        <v>0</v>
      </c>
      <c r="BW729">
        <v>0</v>
      </c>
      <c r="CX729">
        <f>Y729*Source!I620</f>
        <v>5.1999999999999997E-5</v>
      </c>
      <c r="CY729">
        <f>AA729</f>
        <v>99180.64</v>
      </c>
      <c r="CZ729">
        <f>AE729</f>
        <v>15119</v>
      </c>
      <c r="DA729">
        <f>AI729</f>
        <v>6.56</v>
      </c>
      <c r="DB729">
        <f>ROUND(ROUND(AT729*CZ729,2),2)</f>
        <v>3.93</v>
      </c>
      <c r="DC729">
        <f>ROUND(ROUND(AT729*AG729,2),2)</f>
        <v>0</v>
      </c>
    </row>
    <row r="730" spans="1:107" x14ac:dyDescent="0.2">
      <c r="A730">
        <f>ROW(Source!A620)</f>
        <v>620</v>
      </c>
      <c r="B730">
        <v>16748969</v>
      </c>
      <c r="C730">
        <v>16751893</v>
      </c>
      <c r="D730">
        <v>15204468</v>
      </c>
      <c r="E730">
        <v>1</v>
      </c>
      <c r="F730">
        <v>1</v>
      </c>
      <c r="G730">
        <v>1</v>
      </c>
      <c r="H730">
        <v>3</v>
      </c>
      <c r="I730" t="s">
        <v>1558</v>
      </c>
      <c r="J730" t="s">
        <v>1559</v>
      </c>
      <c r="K730" t="s">
        <v>1560</v>
      </c>
      <c r="L730">
        <v>1348</v>
      </c>
      <c r="N730">
        <v>1009</v>
      </c>
      <c r="O730" t="s">
        <v>71</v>
      </c>
      <c r="P730" t="s">
        <v>71</v>
      </c>
      <c r="Q730">
        <v>1000</v>
      </c>
      <c r="W730">
        <v>0</v>
      </c>
      <c r="X730">
        <v>-909021926</v>
      </c>
      <c r="Y730">
        <v>1.2999999999999999E-4</v>
      </c>
      <c r="AA730">
        <v>111192</v>
      </c>
      <c r="AB730">
        <v>0</v>
      </c>
      <c r="AC730">
        <v>0</v>
      </c>
      <c r="AD730">
        <v>0</v>
      </c>
      <c r="AE730">
        <v>16950</v>
      </c>
      <c r="AF730">
        <v>0</v>
      </c>
      <c r="AG730">
        <v>0</v>
      </c>
      <c r="AH730">
        <v>0</v>
      </c>
      <c r="AI730">
        <v>6.56</v>
      </c>
      <c r="AJ730">
        <v>1</v>
      </c>
      <c r="AK730">
        <v>1</v>
      </c>
      <c r="AL730">
        <v>1</v>
      </c>
      <c r="AN730">
        <v>0</v>
      </c>
      <c r="AO730">
        <v>1</v>
      </c>
      <c r="AP730">
        <v>0</v>
      </c>
      <c r="AQ730">
        <v>0</v>
      </c>
      <c r="AR730">
        <v>0</v>
      </c>
      <c r="AS730" t="s">
        <v>6</v>
      </c>
      <c r="AT730">
        <v>1.2999999999999999E-4</v>
      </c>
      <c r="AU730" t="s">
        <v>6</v>
      </c>
      <c r="AV730">
        <v>0</v>
      </c>
      <c r="AW730">
        <v>2</v>
      </c>
      <c r="AX730">
        <v>16751903</v>
      </c>
      <c r="AY730">
        <v>1</v>
      </c>
      <c r="AZ730">
        <v>0</v>
      </c>
      <c r="BA730">
        <v>679</v>
      </c>
      <c r="BB730">
        <v>0</v>
      </c>
      <c r="BC730">
        <v>0</v>
      </c>
      <c r="BD730">
        <v>0</v>
      </c>
      <c r="BE730">
        <v>0</v>
      </c>
      <c r="BF730">
        <v>0</v>
      </c>
      <c r="BG730">
        <v>0</v>
      </c>
      <c r="BH730">
        <v>0</v>
      </c>
      <c r="BI730">
        <v>0</v>
      </c>
      <c r="BJ730">
        <v>0</v>
      </c>
      <c r="BK730">
        <v>0</v>
      </c>
      <c r="BL730">
        <v>0</v>
      </c>
      <c r="BM730">
        <v>0</v>
      </c>
      <c r="BN730">
        <v>0</v>
      </c>
      <c r="BO730">
        <v>0</v>
      </c>
      <c r="BP730">
        <v>0</v>
      </c>
      <c r="BQ730">
        <v>0</v>
      </c>
      <c r="BR730">
        <v>0</v>
      </c>
      <c r="BS730">
        <v>0</v>
      </c>
      <c r="BT730">
        <v>0</v>
      </c>
      <c r="BU730">
        <v>0</v>
      </c>
      <c r="BV730">
        <v>0</v>
      </c>
      <c r="BW730">
        <v>0</v>
      </c>
      <c r="CX730">
        <f>Y730*Source!I620</f>
        <v>2.5999999999999998E-5</v>
      </c>
      <c r="CY730">
        <f>AA730</f>
        <v>111192</v>
      </c>
      <c r="CZ730">
        <f>AE730</f>
        <v>16950</v>
      </c>
      <c r="DA730">
        <f>AI730</f>
        <v>6.56</v>
      </c>
      <c r="DB730">
        <f>ROUND(ROUND(AT730*CZ730,2),2)</f>
        <v>2.2000000000000002</v>
      </c>
      <c r="DC730">
        <f>ROUND(ROUND(AT730*AG730,2),2)</f>
        <v>0</v>
      </c>
    </row>
    <row r="731" spans="1:107" x14ac:dyDescent="0.2">
      <c r="A731">
        <f>ROW(Source!A655)</f>
        <v>655</v>
      </c>
      <c r="B731">
        <v>16748969</v>
      </c>
      <c r="C731">
        <v>16751926</v>
      </c>
      <c r="D731">
        <v>15436556</v>
      </c>
      <c r="E731">
        <v>1</v>
      </c>
      <c r="F731">
        <v>1</v>
      </c>
      <c r="G731">
        <v>1</v>
      </c>
      <c r="H731">
        <v>1</v>
      </c>
      <c r="I731" t="s">
        <v>1265</v>
      </c>
      <c r="J731" t="s">
        <v>6</v>
      </c>
      <c r="K731" t="s">
        <v>1266</v>
      </c>
      <c r="L731">
        <v>1191</v>
      </c>
      <c r="N731">
        <v>1013</v>
      </c>
      <c r="O731" t="s">
        <v>1072</v>
      </c>
      <c r="P731" t="s">
        <v>1072</v>
      </c>
      <c r="Q731">
        <v>1</v>
      </c>
      <c r="W731">
        <v>0</v>
      </c>
      <c r="X731">
        <v>1069510174</v>
      </c>
      <c r="Y731">
        <v>3.508</v>
      </c>
      <c r="AA731">
        <v>0</v>
      </c>
      <c r="AB731">
        <v>0</v>
      </c>
      <c r="AC731">
        <v>0</v>
      </c>
      <c r="AD731">
        <v>63.11</v>
      </c>
      <c r="AE731">
        <v>0</v>
      </c>
      <c r="AF731">
        <v>0</v>
      </c>
      <c r="AG731">
        <v>0</v>
      </c>
      <c r="AH731">
        <v>9.6199999999999992</v>
      </c>
      <c r="AI731">
        <v>1</v>
      </c>
      <c r="AJ731">
        <v>1</v>
      </c>
      <c r="AK731">
        <v>1</v>
      </c>
      <c r="AL731">
        <v>6.56</v>
      </c>
      <c r="AN731">
        <v>0</v>
      </c>
      <c r="AO731">
        <v>1</v>
      </c>
      <c r="AP731">
        <v>1</v>
      </c>
      <c r="AQ731">
        <v>0</v>
      </c>
      <c r="AR731">
        <v>0</v>
      </c>
      <c r="AS731" t="s">
        <v>6</v>
      </c>
      <c r="AT731">
        <v>8.77</v>
      </c>
      <c r="AU731" t="s">
        <v>956</v>
      </c>
      <c r="AV731">
        <v>1</v>
      </c>
      <c r="AW731">
        <v>2</v>
      </c>
      <c r="AX731">
        <v>16751933</v>
      </c>
      <c r="AY731">
        <v>1</v>
      </c>
      <c r="AZ731">
        <v>0</v>
      </c>
      <c r="BA731">
        <v>681</v>
      </c>
      <c r="BB731">
        <v>0</v>
      </c>
      <c r="BC731">
        <v>0</v>
      </c>
      <c r="BD731">
        <v>0</v>
      </c>
      <c r="BE731">
        <v>0</v>
      </c>
      <c r="BF731">
        <v>0</v>
      </c>
      <c r="BG731">
        <v>0</v>
      </c>
      <c r="BH731">
        <v>0</v>
      </c>
      <c r="BI731">
        <v>0</v>
      </c>
      <c r="BJ731">
        <v>0</v>
      </c>
      <c r="BK731">
        <v>0</v>
      </c>
      <c r="BL731">
        <v>0</v>
      </c>
      <c r="BM731">
        <v>0</v>
      </c>
      <c r="BN731">
        <v>0</v>
      </c>
      <c r="BO731">
        <v>0</v>
      </c>
      <c r="BP731">
        <v>0</v>
      </c>
      <c r="BQ731">
        <v>0</v>
      </c>
      <c r="BR731">
        <v>0</v>
      </c>
      <c r="BS731">
        <v>0</v>
      </c>
      <c r="BT731">
        <v>0</v>
      </c>
      <c r="BU731">
        <v>0</v>
      </c>
      <c r="BV731">
        <v>0</v>
      </c>
      <c r="BW731">
        <v>0</v>
      </c>
      <c r="CX731">
        <f>Y731*Source!I655</f>
        <v>0.3508</v>
      </c>
      <c r="CY731">
        <f>AD731</f>
        <v>63.11</v>
      </c>
      <c r="CZ731">
        <f>AH731</f>
        <v>9.6199999999999992</v>
      </c>
      <c r="DA731">
        <f>AL731</f>
        <v>6.56</v>
      </c>
      <c r="DB731">
        <f>ROUND((ROUND(AT731*CZ731,2)*0.4),2)</f>
        <v>33.75</v>
      </c>
      <c r="DC731">
        <f>ROUND((ROUND(AT731*AG731,2)*0.4),2)</f>
        <v>0</v>
      </c>
    </row>
    <row r="732" spans="1:107" x14ac:dyDescent="0.2">
      <c r="A732">
        <f>ROW(Source!A655)</f>
        <v>655</v>
      </c>
      <c r="B732">
        <v>16748969</v>
      </c>
      <c r="C732">
        <v>16751926</v>
      </c>
      <c r="D732">
        <v>15430395</v>
      </c>
      <c r="E732">
        <v>1</v>
      </c>
      <c r="F732">
        <v>1</v>
      </c>
      <c r="G732">
        <v>1</v>
      </c>
      <c r="H732">
        <v>1</v>
      </c>
      <c r="I732" t="s">
        <v>1073</v>
      </c>
      <c r="J732" t="s">
        <v>6</v>
      </c>
      <c r="K732" t="s">
        <v>1074</v>
      </c>
      <c r="L732">
        <v>1191</v>
      </c>
      <c r="N732">
        <v>1013</v>
      </c>
      <c r="O732" t="s">
        <v>1072</v>
      </c>
      <c r="P732" t="s">
        <v>1072</v>
      </c>
      <c r="Q732">
        <v>1</v>
      </c>
      <c r="W732">
        <v>0</v>
      </c>
      <c r="X732">
        <v>-1417349443</v>
      </c>
      <c r="Y732">
        <v>0.28999999999999998</v>
      </c>
      <c r="AA732">
        <v>0</v>
      </c>
      <c r="AB732">
        <v>0</v>
      </c>
      <c r="AC732">
        <v>0</v>
      </c>
      <c r="AD732">
        <v>0</v>
      </c>
      <c r="AE732">
        <v>0</v>
      </c>
      <c r="AF732">
        <v>0</v>
      </c>
      <c r="AG732">
        <v>0</v>
      </c>
      <c r="AH732">
        <v>0</v>
      </c>
      <c r="AI732">
        <v>1</v>
      </c>
      <c r="AJ732">
        <v>1</v>
      </c>
      <c r="AK732">
        <v>6.56</v>
      </c>
      <c r="AL732">
        <v>1</v>
      </c>
      <c r="AN732">
        <v>0</v>
      </c>
      <c r="AO732">
        <v>1</v>
      </c>
      <c r="AP732">
        <v>0</v>
      </c>
      <c r="AQ732">
        <v>0</v>
      </c>
      <c r="AR732">
        <v>0</v>
      </c>
      <c r="AS732" t="s">
        <v>6</v>
      </c>
      <c r="AT732">
        <v>0.28999999999999998</v>
      </c>
      <c r="AU732" t="s">
        <v>6</v>
      </c>
      <c r="AV732">
        <v>2</v>
      </c>
      <c r="AW732">
        <v>2</v>
      </c>
      <c r="AX732">
        <v>16751934</v>
      </c>
      <c r="AY732">
        <v>1</v>
      </c>
      <c r="AZ732">
        <v>2048</v>
      </c>
      <c r="BA732">
        <v>682</v>
      </c>
      <c r="BB732">
        <v>0</v>
      </c>
      <c r="BC732">
        <v>0</v>
      </c>
      <c r="BD732">
        <v>0</v>
      </c>
      <c r="BE732">
        <v>0</v>
      </c>
      <c r="BF732">
        <v>0</v>
      </c>
      <c r="BG732">
        <v>0</v>
      </c>
      <c r="BH732">
        <v>0</v>
      </c>
      <c r="BI732">
        <v>0</v>
      </c>
      <c r="BJ732">
        <v>0</v>
      </c>
      <c r="BK732">
        <v>0</v>
      </c>
      <c r="BL732">
        <v>0</v>
      </c>
      <c r="BM732">
        <v>0</v>
      </c>
      <c r="BN732">
        <v>0</v>
      </c>
      <c r="BO732">
        <v>0</v>
      </c>
      <c r="BP732">
        <v>0</v>
      </c>
      <c r="BQ732">
        <v>0</v>
      </c>
      <c r="BR732">
        <v>0</v>
      </c>
      <c r="BS732">
        <v>0</v>
      </c>
      <c r="BT732">
        <v>0</v>
      </c>
      <c r="BU732">
        <v>0</v>
      </c>
      <c r="BV732">
        <v>0</v>
      </c>
      <c r="BW732">
        <v>0</v>
      </c>
      <c r="CX732">
        <f>Y732*Source!I655</f>
        <v>2.8999999999999998E-2</v>
      </c>
      <c r="CY732">
        <f>AD732</f>
        <v>0</v>
      </c>
      <c r="CZ732">
        <f>AH732</f>
        <v>0</v>
      </c>
      <c r="DA732">
        <f>AL732</f>
        <v>1</v>
      </c>
      <c r="DB732">
        <f>ROUND(ROUND(AT732*CZ732,2),2)</f>
        <v>0</v>
      </c>
      <c r="DC732">
        <f>ROUND(ROUND(AT732*AG732,2),2)</f>
        <v>0</v>
      </c>
    </row>
    <row r="733" spans="1:107" x14ac:dyDescent="0.2">
      <c r="A733">
        <f>ROW(Source!A655)</f>
        <v>655</v>
      </c>
      <c r="B733">
        <v>16748969</v>
      </c>
      <c r="C733">
        <v>16751926</v>
      </c>
      <c r="D733">
        <v>15247974</v>
      </c>
      <c r="E733">
        <v>1</v>
      </c>
      <c r="F733">
        <v>1</v>
      </c>
      <c r="G733">
        <v>1</v>
      </c>
      <c r="H733">
        <v>2</v>
      </c>
      <c r="I733" t="s">
        <v>1075</v>
      </c>
      <c r="J733" t="s">
        <v>1076</v>
      </c>
      <c r="K733" t="s">
        <v>1077</v>
      </c>
      <c r="L733">
        <v>1368</v>
      </c>
      <c r="N733">
        <v>1011</v>
      </c>
      <c r="O733" t="s">
        <v>1078</v>
      </c>
      <c r="P733" t="s">
        <v>1078</v>
      </c>
      <c r="Q733">
        <v>1</v>
      </c>
      <c r="W733">
        <v>0</v>
      </c>
      <c r="X733">
        <v>1188625873</v>
      </c>
      <c r="Y733">
        <v>4.0000000000000008E-2</v>
      </c>
      <c r="AA733">
        <v>0</v>
      </c>
      <c r="AB733">
        <v>205.07</v>
      </c>
      <c r="AC733">
        <v>13.5</v>
      </c>
      <c r="AD733">
        <v>0</v>
      </c>
      <c r="AE733">
        <v>0</v>
      </c>
      <c r="AF733">
        <v>31.26</v>
      </c>
      <c r="AG733">
        <v>13.5</v>
      </c>
      <c r="AH733">
        <v>0</v>
      </c>
      <c r="AI733">
        <v>1</v>
      </c>
      <c r="AJ733">
        <v>6.56</v>
      </c>
      <c r="AK733">
        <v>1</v>
      </c>
      <c r="AL733">
        <v>1</v>
      </c>
      <c r="AN733">
        <v>0</v>
      </c>
      <c r="AO733">
        <v>1</v>
      </c>
      <c r="AP733">
        <v>1</v>
      </c>
      <c r="AQ733">
        <v>0</v>
      </c>
      <c r="AR733">
        <v>0</v>
      </c>
      <c r="AS733" t="s">
        <v>6</v>
      </c>
      <c r="AT733">
        <v>0.1</v>
      </c>
      <c r="AU733" t="s">
        <v>956</v>
      </c>
      <c r="AV733">
        <v>0</v>
      </c>
      <c r="AW733">
        <v>2</v>
      </c>
      <c r="AX733">
        <v>16751935</v>
      </c>
      <c r="AY733">
        <v>1</v>
      </c>
      <c r="AZ733">
        <v>0</v>
      </c>
      <c r="BA733">
        <v>683</v>
      </c>
      <c r="BB733">
        <v>0</v>
      </c>
      <c r="BC733">
        <v>0</v>
      </c>
      <c r="BD733">
        <v>0</v>
      </c>
      <c r="BE733">
        <v>0</v>
      </c>
      <c r="BF733">
        <v>0</v>
      </c>
      <c r="BG733">
        <v>0</v>
      </c>
      <c r="BH733">
        <v>0</v>
      </c>
      <c r="BI733">
        <v>0</v>
      </c>
      <c r="BJ733">
        <v>0</v>
      </c>
      <c r="BK733">
        <v>0</v>
      </c>
      <c r="BL733">
        <v>0</v>
      </c>
      <c r="BM733">
        <v>0</v>
      </c>
      <c r="BN733">
        <v>0</v>
      </c>
      <c r="BO733">
        <v>0</v>
      </c>
      <c r="BP733">
        <v>0</v>
      </c>
      <c r="BQ733">
        <v>0</v>
      </c>
      <c r="BR733">
        <v>0</v>
      </c>
      <c r="BS733">
        <v>0</v>
      </c>
      <c r="BT733">
        <v>0</v>
      </c>
      <c r="BU733">
        <v>0</v>
      </c>
      <c r="BV733">
        <v>0</v>
      </c>
      <c r="BW733">
        <v>0</v>
      </c>
      <c r="CX733">
        <f>Y733*Source!I655</f>
        <v>4.000000000000001E-3</v>
      </c>
      <c r="CY733">
        <f>AB733</f>
        <v>205.07</v>
      </c>
      <c r="CZ733">
        <f>AF733</f>
        <v>31.26</v>
      </c>
      <c r="DA733">
        <f>AJ733</f>
        <v>6.56</v>
      </c>
      <c r="DB733">
        <f>ROUND((ROUND(AT733*CZ733,2)*0.4),2)</f>
        <v>1.25</v>
      </c>
      <c r="DC733">
        <f>ROUND((ROUND(AT733*AG733,2)*0.4),2)</f>
        <v>0.54</v>
      </c>
    </row>
    <row r="734" spans="1:107" x14ac:dyDescent="0.2">
      <c r="A734">
        <f>ROW(Source!A655)</f>
        <v>655</v>
      </c>
      <c r="B734">
        <v>16748969</v>
      </c>
      <c r="C734">
        <v>16751926</v>
      </c>
      <c r="D734">
        <v>15249073</v>
      </c>
      <c r="E734">
        <v>1</v>
      </c>
      <c r="F734">
        <v>1</v>
      </c>
      <c r="G734">
        <v>1</v>
      </c>
      <c r="H734">
        <v>2</v>
      </c>
      <c r="I734" t="s">
        <v>1097</v>
      </c>
      <c r="J734" t="s">
        <v>1098</v>
      </c>
      <c r="K734" t="s">
        <v>1099</v>
      </c>
      <c r="L734">
        <v>1368</v>
      </c>
      <c r="N734">
        <v>1011</v>
      </c>
      <c r="O734" t="s">
        <v>1078</v>
      </c>
      <c r="P734" t="s">
        <v>1078</v>
      </c>
      <c r="Q734">
        <v>1</v>
      </c>
      <c r="W734">
        <v>0</v>
      </c>
      <c r="X734">
        <v>1372534845</v>
      </c>
      <c r="Y734">
        <v>7.6000000000000012E-2</v>
      </c>
      <c r="AA734">
        <v>0</v>
      </c>
      <c r="AB734">
        <v>431.06</v>
      </c>
      <c r="AC734">
        <v>11.6</v>
      </c>
      <c r="AD734">
        <v>0</v>
      </c>
      <c r="AE734">
        <v>0</v>
      </c>
      <c r="AF734">
        <v>65.709999999999994</v>
      </c>
      <c r="AG734">
        <v>11.6</v>
      </c>
      <c r="AH734">
        <v>0</v>
      </c>
      <c r="AI734">
        <v>1</v>
      </c>
      <c r="AJ734">
        <v>6.56</v>
      </c>
      <c r="AK734">
        <v>1</v>
      </c>
      <c r="AL734">
        <v>1</v>
      </c>
      <c r="AN734">
        <v>0</v>
      </c>
      <c r="AO734">
        <v>1</v>
      </c>
      <c r="AP734">
        <v>1</v>
      </c>
      <c r="AQ734">
        <v>0</v>
      </c>
      <c r="AR734">
        <v>0</v>
      </c>
      <c r="AS734" t="s">
        <v>6</v>
      </c>
      <c r="AT734">
        <v>0.19</v>
      </c>
      <c r="AU734" t="s">
        <v>956</v>
      </c>
      <c r="AV734">
        <v>0</v>
      </c>
      <c r="AW734">
        <v>2</v>
      </c>
      <c r="AX734">
        <v>16751936</v>
      </c>
      <c r="AY734">
        <v>1</v>
      </c>
      <c r="AZ734">
        <v>0</v>
      </c>
      <c r="BA734">
        <v>684</v>
      </c>
      <c r="BB734">
        <v>0</v>
      </c>
      <c r="BC734">
        <v>0</v>
      </c>
      <c r="BD734">
        <v>0</v>
      </c>
      <c r="BE734">
        <v>0</v>
      </c>
      <c r="BF734">
        <v>0</v>
      </c>
      <c r="BG734">
        <v>0</v>
      </c>
      <c r="BH734">
        <v>0</v>
      </c>
      <c r="BI734">
        <v>0</v>
      </c>
      <c r="BJ734">
        <v>0</v>
      </c>
      <c r="BK734">
        <v>0</v>
      </c>
      <c r="BL734">
        <v>0</v>
      </c>
      <c r="BM734">
        <v>0</v>
      </c>
      <c r="BN734">
        <v>0</v>
      </c>
      <c r="BO734">
        <v>0</v>
      </c>
      <c r="BP734">
        <v>0</v>
      </c>
      <c r="BQ734">
        <v>0</v>
      </c>
      <c r="BR734">
        <v>0</v>
      </c>
      <c r="BS734">
        <v>0</v>
      </c>
      <c r="BT734">
        <v>0</v>
      </c>
      <c r="BU734">
        <v>0</v>
      </c>
      <c r="BV734">
        <v>0</v>
      </c>
      <c r="BW734">
        <v>0</v>
      </c>
      <c r="CX734">
        <f>Y734*Source!I655</f>
        <v>7.6000000000000017E-3</v>
      </c>
      <c r="CY734">
        <f>AB734</f>
        <v>431.06</v>
      </c>
      <c r="CZ734">
        <f>AF734</f>
        <v>65.709999999999994</v>
      </c>
      <c r="DA734">
        <f>AJ734</f>
        <v>6.56</v>
      </c>
      <c r="DB734">
        <f>ROUND((ROUND(AT734*CZ734,2)*0.4),2)</f>
        <v>4.99</v>
      </c>
      <c r="DC734">
        <f>ROUND((ROUND(AT734*AG734,2)*0.4),2)</f>
        <v>0.88</v>
      </c>
    </row>
    <row r="735" spans="1:107" x14ac:dyDescent="0.2">
      <c r="A735">
        <f>ROW(Source!A655)</f>
        <v>655</v>
      </c>
      <c r="B735">
        <v>16748969</v>
      </c>
      <c r="C735">
        <v>16751926</v>
      </c>
      <c r="D735">
        <v>15167955</v>
      </c>
      <c r="E735">
        <v>1</v>
      </c>
      <c r="F735">
        <v>1</v>
      </c>
      <c r="G735">
        <v>1</v>
      </c>
      <c r="H735">
        <v>3</v>
      </c>
      <c r="I735" t="s">
        <v>1546</v>
      </c>
      <c r="J735" t="s">
        <v>1547</v>
      </c>
      <c r="K735" t="s">
        <v>1548</v>
      </c>
      <c r="L735">
        <v>1348</v>
      </c>
      <c r="N735">
        <v>1009</v>
      </c>
      <c r="O735" t="s">
        <v>71</v>
      </c>
      <c r="P735" t="s">
        <v>71</v>
      </c>
      <c r="Q735">
        <v>1000</v>
      </c>
      <c r="W735">
        <v>0</v>
      </c>
      <c r="X735">
        <v>-1699345571</v>
      </c>
      <c r="Y735">
        <v>0</v>
      </c>
      <c r="AA735">
        <v>196996.8</v>
      </c>
      <c r="AB735">
        <v>0</v>
      </c>
      <c r="AC735">
        <v>0</v>
      </c>
      <c r="AD735">
        <v>0</v>
      </c>
      <c r="AE735">
        <v>30030</v>
      </c>
      <c r="AF735">
        <v>0</v>
      </c>
      <c r="AG735">
        <v>0</v>
      </c>
      <c r="AH735">
        <v>0</v>
      </c>
      <c r="AI735">
        <v>6.56</v>
      </c>
      <c r="AJ735">
        <v>1</v>
      </c>
      <c r="AK735">
        <v>1</v>
      </c>
      <c r="AL735">
        <v>1</v>
      </c>
      <c r="AN735">
        <v>0</v>
      </c>
      <c r="AO735">
        <v>1</v>
      </c>
      <c r="AP735">
        <v>1</v>
      </c>
      <c r="AQ735">
        <v>0</v>
      </c>
      <c r="AR735">
        <v>0</v>
      </c>
      <c r="AS735" t="s">
        <v>6</v>
      </c>
      <c r="AT735">
        <v>1.1999999999999999E-3</v>
      </c>
      <c r="AU735" t="s">
        <v>92</v>
      </c>
      <c r="AV735">
        <v>0</v>
      </c>
      <c r="AW735">
        <v>2</v>
      </c>
      <c r="AX735">
        <v>16751937</v>
      </c>
      <c r="AY735">
        <v>1</v>
      </c>
      <c r="AZ735">
        <v>0</v>
      </c>
      <c r="BA735">
        <v>685</v>
      </c>
      <c r="BB735">
        <v>0</v>
      </c>
      <c r="BC735">
        <v>0</v>
      </c>
      <c r="BD735">
        <v>0</v>
      </c>
      <c r="BE735">
        <v>0</v>
      </c>
      <c r="BF735">
        <v>0</v>
      </c>
      <c r="BG735">
        <v>0</v>
      </c>
      <c r="BH735">
        <v>0</v>
      </c>
      <c r="BI735">
        <v>0</v>
      </c>
      <c r="BJ735">
        <v>0</v>
      </c>
      <c r="BK735">
        <v>0</v>
      </c>
      <c r="BL735">
        <v>0</v>
      </c>
      <c r="BM735">
        <v>0</v>
      </c>
      <c r="BN735">
        <v>0</v>
      </c>
      <c r="BO735">
        <v>0</v>
      </c>
      <c r="BP735">
        <v>0</v>
      </c>
      <c r="BQ735">
        <v>0</v>
      </c>
      <c r="BR735">
        <v>0</v>
      </c>
      <c r="BS735">
        <v>0</v>
      </c>
      <c r="BT735">
        <v>0</v>
      </c>
      <c r="BU735">
        <v>0</v>
      </c>
      <c r="BV735">
        <v>0</v>
      </c>
      <c r="BW735">
        <v>0</v>
      </c>
      <c r="CX735">
        <f>Y735*Source!I655</f>
        <v>0</v>
      </c>
      <c r="CY735">
        <f>AA735</f>
        <v>196996.8</v>
      </c>
      <c r="CZ735">
        <f>AE735</f>
        <v>30030</v>
      </c>
      <c r="DA735">
        <f>AI735</f>
        <v>6.56</v>
      </c>
      <c r="DB735">
        <f>ROUND((ROUND(AT735*CZ735,2)*0),2)</f>
        <v>0</v>
      </c>
      <c r="DC735">
        <f>ROUND((ROUND(AT735*AG735,2)*0),2)</f>
        <v>0</v>
      </c>
    </row>
    <row r="736" spans="1:107" x14ac:dyDescent="0.2">
      <c r="A736">
        <f>ROW(Source!A655)</f>
        <v>655</v>
      </c>
      <c r="B736">
        <v>16748969</v>
      </c>
      <c r="C736">
        <v>16751926</v>
      </c>
      <c r="D736">
        <v>15172117</v>
      </c>
      <c r="E736">
        <v>1</v>
      </c>
      <c r="F736">
        <v>1</v>
      </c>
      <c r="G736">
        <v>1</v>
      </c>
      <c r="H736">
        <v>3</v>
      </c>
      <c r="I736" t="s">
        <v>1552</v>
      </c>
      <c r="J736" t="s">
        <v>1553</v>
      </c>
      <c r="K736" t="s">
        <v>1554</v>
      </c>
      <c r="L736">
        <v>1348</v>
      </c>
      <c r="N736">
        <v>1009</v>
      </c>
      <c r="O736" t="s">
        <v>71</v>
      </c>
      <c r="P736" t="s">
        <v>71</v>
      </c>
      <c r="Q736">
        <v>1000</v>
      </c>
      <c r="W736">
        <v>0</v>
      </c>
      <c r="X736">
        <v>1529337430</v>
      </c>
      <c r="Y736">
        <v>0</v>
      </c>
      <c r="AA736">
        <v>12044.16</v>
      </c>
      <c r="AB736">
        <v>0</v>
      </c>
      <c r="AC736">
        <v>0</v>
      </c>
      <c r="AD736">
        <v>0</v>
      </c>
      <c r="AE736">
        <v>1836</v>
      </c>
      <c r="AF736">
        <v>0</v>
      </c>
      <c r="AG736">
        <v>0</v>
      </c>
      <c r="AH736">
        <v>0</v>
      </c>
      <c r="AI736">
        <v>6.56</v>
      </c>
      <c r="AJ736">
        <v>1</v>
      </c>
      <c r="AK736">
        <v>1</v>
      </c>
      <c r="AL736">
        <v>1</v>
      </c>
      <c r="AN736">
        <v>0</v>
      </c>
      <c r="AO736">
        <v>1</v>
      </c>
      <c r="AP736">
        <v>1</v>
      </c>
      <c r="AQ736">
        <v>0</v>
      </c>
      <c r="AR736">
        <v>0</v>
      </c>
      <c r="AS736" t="s">
        <v>6</v>
      </c>
      <c r="AT736">
        <v>3.2000000000000002E-3</v>
      </c>
      <c r="AU736" t="s">
        <v>92</v>
      </c>
      <c r="AV736">
        <v>0</v>
      </c>
      <c r="AW736">
        <v>2</v>
      </c>
      <c r="AX736">
        <v>16751938</v>
      </c>
      <c r="AY736">
        <v>1</v>
      </c>
      <c r="AZ736">
        <v>0</v>
      </c>
      <c r="BA736">
        <v>686</v>
      </c>
      <c r="BB736">
        <v>0</v>
      </c>
      <c r="BC736">
        <v>0</v>
      </c>
      <c r="BD736">
        <v>0</v>
      </c>
      <c r="BE736">
        <v>0</v>
      </c>
      <c r="BF736">
        <v>0</v>
      </c>
      <c r="BG736">
        <v>0</v>
      </c>
      <c r="BH736">
        <v>0</v>
      </c>
      <c r="BI736">
        <v>0</v>
      </c>
      <c r="BJ736">
        <v>0</v>
      </c>
      <c r="BK736">
        <v>0</v>
      </c>
      <c r="BL736">
        <v>0</v>
      </c>
      <c r="BM736">
        <v>0</v>
      </c>
      <c r="BN736">
        <v>0</v>
      </c>
      <c r="BO736">
        <v>0</v>
      </c>
      <c r="BP736">
        <v>0</v>
      </c>
      <c r="BQ736">
        <v>0</v>
      </c>
      <c r="BR736">
        <v>0</v>
      </c>
      <c r="BS736">
        <v>0</v>
      </c>
      <c r="BT736">
        <v>0</v>
      </c>
      <c r="BU736">
        <v>0</v>
      </c>
      <c r="BV736">
        <v>0</v>
      </c>
      <c r="BW736">
        <v>0</v>
      </c>
      <c r="CX736">
        <f>Y736*Source!I655</f>
        <v>0</v>
      </c>
      <c r="CY736">
        <f>AA736</f>
        <v>12044.16</v>
      </c>
      <c r="CZ736">
        <f>AE736</f>
        <v>1836</v>
      </c>
      <c r="DA736">
        <f>AI736</f>
        <v>6.56</v>
      </c>
      <c r="DB736">
        <f>ROUND((ROUND(AT736*CZ736,2)*0),2)</f>
        <v>0</v>
      </c>
      <c r="DC736">
        <f>ROUND((ROUND(AT736*AG736,2)*0),2)</f>
        <v>0</v>
      </c>
    </row>
    <row r="737" spans="1:107" x14ac:dyDescent="0.2">
      <c r="A737">
        <f>ROW(Source!A656)</f>
        <v>656</v>
      </c>
      <c r="B737">
        <v>16748969</v>
      </c>
      <c r="C737">
        <v>16751940</v>
      </c>
      <c r="D737">
        <v>15430767</v>
      </c>
      <c r="E737">
        <v>1</v>
      </c>
      <c r="F737">
        <v>1</v>
      </c>
      <c r="G737">
        <v>1</v>
      </c>
      <c r="H737">
        <v>1</v>
      </c>
      <c r="I737" t="s">
        <v>1070</v>
      </c>
      <c r="J737" t="s">
        <v>6</v>
      </c>
      <c r="K737" t="s">
        <v>1071</v>
      </c>
      <c r="L737">
        <v>1191</v>
      </c>
      <c r="N737">
        <v>1013</v>
      </c>
      <c r="O737" t="s">
        <v>1072</v>
      </c>
      <c r="P737" t="s">
        <v>1072</v>
      </c>
      <c r="Q737">
        <v>1</v>
      </c>
      <c r="W737">
        <v>0</v>
      </c>
      <c r="X737">
        <v>-400197608</v>
      </c>
      <c r="Y737">
        <v>63.84</v>
      </c>
      <c r="AA737">
        <v>0</v>
      </c>
      <c r="AB737">
        <v>0</v>
      </c>
      <c r="AC737">
        <v>0</v>
      </c>
      <c r="AD737">
        <v>55.96</v>
      </c>
      <c r="AE737">
        <v>0</v>
      </c>
      <c r="AF737">
        <v>0</v>
      </c>
      <c r="AG737">
        <v>0</v>
      </c>
      <c r="AH737">
        <v>8.5299999999999994</v>
      </c>
      <c r="AI737">
        <v>1</v>
      </c>
      <c r="AJ737">
        <v>1</v>
      </c>
      <c r="AK737">
        <v>1</v>
      </c>
      <c r="AL737">
        <v>6.56</v>
      </c>
      <c r="AN737">
        <v>0</v>
      </c>
      <c r="AO737">
        <v>1</v>
      </c>
      <c r="AP737">
        <v>0</v>
      </c>
      <c r="AQ737">
        <v>0</v>
      </c>
      <c r="AR737">
        <v>0</v>
      </c>
      <c r="AS737" t="s">
        <v>6</v>
      </c>
      <c r="AT737">
        <v>63.84</v>
      </c>
      <c r="AU737" t="s">
        <v>6</v>
      </c>
      <c r="AV737">
        <v>1</v>
      </c>
      <c r="AW737">
        <v>2</v>
      </c>
      <c r="AX737">
        <v>16751944</v>
      </c>
      <c r="AY737">
        <v>1</v>
      </c>
      <c r="AZ737">
        <v>0</v>
      </c>
      <c r="BA737">
        <v>688</v>
      </c>
      <c r="BB737">
        <v>0</v>
      </c>
      <c r="BC737">
        <v>0</v>
      </c>
      <c r="BD737">
        <v>0</v>
      </c>
      <c r="BE737">
        <v>0</v>
      </c>
      <c r="BF737">
        <v>0</v>
      </c>
      <c r="BG737">
        <v>0</v>
      </c>
      <c r="BH737">
        <v>0</v>
      </c>
      <c r="BI737">
        <v>0</v>
      </c>
      <c r="BJ737">
        <v>0</v>
      </c>
      <c r="BK737">
        <v>0</v>
      </c>
      <c r="BL737">
        <v>0</v>
      </c>
      <c r="BM737">
        <v>0</v>
      </c>
      <c r="BN737">
        <v>0</v>
      </c>
      <c r="BO737">
        <v>0</v>
      </c>
      <c r="BP737">
        <v>0</v>
      </c>
      <c r="BQ737">
        <v>0</v>
      </c>
      <c r="BR737">
        <v>0</v>
      </c>
      <c r="BS737">
        <v>0</v>
      </c>
      <c r="BT737">
        <v>0</v>
      </c>
      <c r="BU737">
        <v>0</v>
      </c>
      <c r="BV737">
        <v>0</v>
      </c>
      <c r="BW737">
        <v>0</v>
      </c>
      <c r="CX737">
        <f>Y737*Source!I656</f>
        <v>1.2768000000000002</v>
      </c>
      <c r="CY737">
        <f>AD737</f>
        <v>55.96</v>
      </c>
      <c r="CZ737">
        <f>AH737</f>
        <v>8.5299999999999994</v>
      </c>
      <c r="DA737">
        <f>AL737</f>
        <v>6.56</v>
      </c>
      <c r="DB737">
        <f>ROUND(ROUND(AT737*CZ737,2),2)</f>
        <v>544.55999999999995</v>
      </c>
      <c r="DC737">
        <f>ROUND(ROUND(AT737*AG737,2),2)</f>
        <v>0</v>
      </c>
    </row>
    <row r="738" spans="1:107" x14ac:dyDescent="0.2">
      <c r="A738">
        <f>ROW(Source!A656)</f>
        <v>656</v>
      </c>
      <c r="B738">
        <v>16748969</v>
      </c>
      <c r="C738">
        <v>16751940</v>
      </c>
      <c r="D738">
        <v>15430395</v>
      </c>
      <c r="E738">
        <v>1</v>
      </c>
      <c r="F738">
        <v>1</v>
      </c>
      <c r="G738">
        <v>1</v>
      </c>
      <c r="H738">
        <v>1</v>
      </c>
      <c r="I738" t="s">
        <v>1073</v>
      </c>
      <c r="J738" t="s">
        <v>6</v>
      </c>
      <c r="K738" t="s">
        <v>1074</v>
      </c>
      <c r="L738">
        <v>1191</v>
      </c>
      <c r="N738">
        <v>1013</v>
      </c>
      <c r="O738" t="s">
        <v>1072</v>
      </c>
      <c r="P738" t="s">
        <v>1072</v>
      </c>
      <c r="Q738">
        <v>1</v>
      </c>
      <c r="W738">
        <v>0</v>
      </c>
      <c r="X738">
        <v>-1417349443</v>
      </c>
      <c r="Y738">
        <v>0.28999999999999998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0</v>
      </c>
      <c r="AG738">
        <v>0</v>
      </c>
      <c r="AH738">
        <v>0</v>
      </c>
      <c r="AI738">
        <v>1</v>
      </c>
      <c r="AJ738">
        <v>1</v>
      </c>
      <c r="AK738">
        <v>6.56</v>
      </c>
      <c r="AL738">
        <v>1</v>
      </c>
      <c r="AN738">
        <v>0</v>
      </c>
      <c r="AO738">
        <v>1</v>
      </c>
      <c r="AP738">
        <v>0</v>
      </c>
      <c r="AQ738">
        <v>0</v>
      </c>
      <c r="AR738">
        <v>0</v>
      </c>
      <c r="AS738" t="s">
        <v>6</v>
      </c>
      <c r="AT738">
        <v>0.28999999999999998</v>
      </c>
      <c r="AU738" t="s">
        <v>6</v>
      </c>
      <c r="AV738">
        <v>2</v>
      </c>
      <c r="AW738">
        <v>2</v>
      </c>
      <c r="AX738">
        <v>16751945</v>
      </c>
      <c r="AY738">
        <v>1</v>
      </c>
      <c r="AZ738">
        <v>0</v>
      </c>
      <c r="BA738">
        <v>689</v>
      </c>
      <c r="BB738">
        <v>0</v>
      </c>
      <c r="BC738">
        <v>0</v>
      </c>
      <c r="BD738">
        <v>0</v>
      </c>
      <c r="BE738">
        <v>0</v>
      </c>
      <c r="BF738">
        <v>0</v>
      </c>
      <c r="BG738">
        <v>0</v>
      </c>
      <c r="BH738">
        <v>0</v>
      </c>
      <c r="BI738">
        <v>0</v>
      </c>
      <c r="BJ738">
        <v>0</v>
      </c>
      <c r="BK738">
        <v>0</v>
      </c>
      <c r="BL738">
        <v>0</v>
      </c>
      <c r="BM738">
        <v>0</v>
      </c>
      <c r="BN738">
        <v>0</v>
      </c>
      <c r="BO738">
        <v>0</v>
      </c>
      <c r="BP738">
        <v>0</v>
      </c>
      <c r="BQ738">
        <v>0</v>
      </c>
      <c r="BR738">
        <v>0</v>
      </c>
      <c r="BS738">
        <v>0</v>
      </c>
      <c r="BT738">
        <v>0</v>
      </c>
      <c r="BU738">
        <v>0</v>
      </c>
      <c r="BV738">
        <v>0</v>
      </c>
      <c r="BW738">
        <v>0</v>
      </c>
      <c r="CX738">
        <f>Y738*Source!I656</f>
        <v>5.7999999999999996E-3</v>
      </c>
      <c r="CY738">
        <f>AD738</f>
        <v>0</v>
      </c>
      <c r="CZ738">
        <f>AH738</f>
        <v>0</v>
      </c>
      <c r="DA738">
        <f>AL738</f>
        <v>1</v>
      </c>
      <c r="DB738">
        <f>ROUND(ROUND(AT738*CZ738,2),2)</f>
        <v>0</v>
      </c>
      <c r="DC738">
        <f>ROUND(ROUND(AT738*AG738,2),2)</f>
        <v>0</v>
      </c>
    </row>
    <row r="739" spans="1:107" x14ac:dyDescent="0.2">
      <c r="A739">
        <f>ROW(Source!A656)</f>
        <v>656</v>
      </c>
      <c r="B739">
        <v>16748969</v>
      </c>
      <c r="C739">
        <v>16751940</v>
      </c>
      <c r="D739">
        <v>15247974</v>
      </c>
      <c r="E739">
        <v>1</v>
      </c>
      <c r="F739">
        <v>1</v>
      </c>
      <c r="G739">
        <v>1</v>
      </c>
      <c r="H739">
        <v>2</v>
      </c>
      <c r="I739" t="s">
        <v>1075</v>
      </c>
      <c r="J739" t="s">
        <v>1076</v>
      </c>
      <c r="K739" t="s">
        <v>1077</v>
      </c>
      <c r="L739">
        <v>1368</v>
      </c>
      <c r="N739">
        <v>1011</v>
      </c>
      <c r="O739" t="s">
        <v>1078</v>
      </c>
      <c r="P739" t="s">
        <v>1078</v>
      </c>
      <c r="Q739">
        <v>1</v>
      </c>
      <c r="W739">
        <v>0</v>
      </c>
      <c r="X739">
        <v>1188625873</v>
      </c>
      <c r="Y739">
        <v>0.28999999999999998</v>
      </c>
      <c r="AA739">
        <v>0</v>
      </c>
      <c r="AB739">
        <v>205.07</v>
      </c>
      <c r="AC739">
        <v>13.5</v>
      </c>
      <c r="AD739">
        <v>0</v>
      </c>
      <c r="AE739">
        <v>0</v>
      </c>
      <c r="AF739">
        <v>31.26</v>
      </c>
      <c r="AG739">
        <v>13.5</v>
      </c>
      <c r="AH739">
        <v>0</v>
      </c>
      <c r="AI739">
        <v>1</v>
      </c>
      <c r="AJ739">
        <v>6.56</v>
      </c>
      <c r="AK739">
        <v>1</v>
      </c>
      <c r="AL739">
        <v>1</v>
      </c>
      <c r="AN739">
        <v>0</v>
      </c>
      <c r="AO739">
        <v>1</v>
      </c>
      <c r="AP739">
        <v>0</v>
      </c>
      <c r="AQ739">
        <v>0</v>
      </c>
      <c r="AR739">
        <v>0</v>
      </c>
      <c r="AS739" t="s">
        <v>6</v>
      </c>
      <c r="AT739">
        <v>0.28999999999999998</v>
      </c>
      <c r="AU739" t="s">
        <v>6</v>
      </c>
      <c r="AV739">
        <v>0</v>
      </c>
      <c r="AW739">
        <v>2</v>
      </c>
      <c r="AX739">
        <v>16751946</v>
      </c>
      <c r="AY739">
        <v>1</v>
      </c>
      <c r="AZ739">
        <v>0</v>
      </c>
      <c r="BA739">
        <v>690</v>
      </c>
      <c r="BB739">
        <v>0</v>
      </c>
      <c r="BC739">
        <v>0</v>
      </c>
      <c r="BD739">
        <v>0</v>
      </c>
      <c r="BE739">
        <v>0</v>
      </c>
      <c r="BF739">
        <v>0</v>
      </c>
      <c r="BG739">
        <v>0</v>
      </c>
      <c r="BH739">
        <v>0</v>
      </c>
      <c r="BI739">
        <v>0</v>
      </c>
      <c r="BJ739">
        <v>0</v>
      </c>
      <c r="BK739">
        <v>0</v>
      </c>
      <c r="BL739">
        <v>0</v>
      </c>
      <c r="BM739">
        <v>0</v>
      </c>
      <c r="BN739">
        <v>0</v>
      </c>
      <c r="BO739">
        <v>0</v>
      </c>
      <c r="BP739">
        <v>0</v>
      </c>
      <c r="BQ739">
        <v>0</v>
      </c>
      <c r="BR739">
        <v>0</v>
      </c>
      <c r="BS739">
        <v>0</v>
      </c>
      <c r="BT739">
        <v>0</v>
      </c>
      <c r="BU739">
        <v>0</v>
      </c>
      <c r="BV739">
        <v>0</v>
      </c>
      <c r="BW739">
        <v>0</v>
      </c>
      <c r="CX739">
        <f>Y739*Source!I656</f>
        <v>5.7999999999999996E-3</v>
      </c>
      <c r="CY739">
        <f>AB739</f>
        <v>205.07</v>
      </c>
      <c r="CZ739">
        <f>AF739</f>
        <v>31.26</v>
      </c>
      <c r="DA739">
        <f>AJ739</f>
        <v>6.56</v>
      </c>
      <c r="DB739">
        <f>ROUND(ROUND(AT739*CZ739,2),2)</f>
        <v>9.07</v>
      </c>
      <c r="DC739">
        <f>ROUND(ROUND(AT739*AG739,2),2)</f>
        <v>3.92</v>
      </c>
    </row>
    <row r="740" spans="1:107" x14ac:dyDescent="0.2">
      <c r="A740">
        <f>ROW(Source!A657)</f>
        <v>657</v>
      </c>
      <c r="B740">
        <v>16748969</v>
      </c>
      <c r="C740">
        <v>16751948</v>
      </c>
      <c r="D740">
        <v>15435721</v>
      </c>
      <c r="E740">
        <v>1</v>
      </c>
      <c r="F740">
        <v>1</v>
      </c>
      <c r="G740">
        <v>1</v>
      </c>
      <c r="H740">
        <v>1</v>
      </c>
      <c r="I740" t="s">
        <v>1353</v>
      </c>
      <c r="J740" t="s">
        <v>6</v>
      </c>
      <c r="K740" t="s">
        <v>1354</v>
      </c>
      <c r="L740">
        <v>1191</v>
      </c>
      <c r="N740">
        <v>1013</v>
      </c>
      <c r="O740" t="s">
        <v>1072</v>
      </c>
      <c r="P740" t="s">
        <v>1072</v>
      </c>
      <c r="Q740">
        <v>1</v>
      </c>
      <c r="W740">
        <v>0</v>
      </c>
      <c r="X740">
        <v>1983201532</v>
      </c>
      <c r="Y740">
        <v>28.335999999999999</v>
      </c>
      <c r="AA740">
        <v>0</v>
      </c>
      <c r="AB740">
        <v>0</v>
      </c>
      <c r="AC740">
        <v>0</v>
      </c>
      <c r="AD740">
        <v>62.39</v>
      </c>
      <c r="AE740">
        <v>0</v>
      </c>
      <c r="AF740">
        <v>0</v>
      </c>
      <c r="AG740">
        <v>0</v>
      </c>
      <c r="AH740">
        <v>9.51</v>
      </c>
      <c r="AI740">
        <v>1</v>
      </c>
      <c r="AJ740">
        <v>1</v>
      </c>
      <c r="AK740">
        <v>1</v>
      </c>
      <c r="AL740">
        <v>6.56</v>
      </c>
      <c r="AN740">
        <v>0</v>
      </c>
      <c r="AO740">
        <v>1</v>
      </c>
      <c r="AP740">
        <v>1</v>
      </c>
      <c r="AQ740">
        <v>0</v>
      </c>
      <c r="AR740">
        <v>0</v>
      </c>
      <c r="AS740" t="s">
        <v>6</v>
      </c>
      <c r="AT740">
        <v>24.64</v>
      </c>
      <c r="AU740" t="s">
        <v>173</v>
      </c>
      <c r="AV740">
        <v>1</v>
      </c>
      <c r="AW740">
        <v>2</v>
      </c>
      <c r="AX740">
        <v>16751962</v>
      </c>
      <c r="AY740">
        <v>1</v>
      </c>
      <c r="AZ740">
        <v>0</v>
      </c>
      <c r="BA740">
        <v>692</v>
      </c>
      <c r="BB740">
        <v>0</v>
      </c>
      <c r="BC740">
        <v>0</v>
      </c>
      <c r="BD740">
        <v>0</v>
      </c>
      <c r="BE740">
        <v>0</v>
      </c>
      <c r="BF740">
        <v>0</v>
      </c>
      <c r="BG740">
        <v>0</v>
      </c>
      <c r="BH740">
        <v>0</v>
      </c>
      <c r="BI740">
        <v>0</v>
      </c>
      <c r="BJ740">
        <v>0</v>
      </c>
      <c r="BK740">
        <v>0</v>
      </c>
      <c r="BL740">
        <v>0</v>
      </c>
      <c r="BM740">
        <v>0</v>
      </c>
      <c r="BN740">
        <v>0</v>
      </c>
      <c r="BO740">
        <v>0</v>
      </c>
      <c r="BP740">
        <v>0</v>
      </c>
      <c r="BQ740">
        <v>0</v>
      </c>
      <c r="BR740">
        <v>0</v>
      </c>
      <c r="BS740">
        <v>0</v>
      </c>
      <c r="BT740">
        <v>0</v>
      </c>
      <c r="BU740">
        <v>0</v>
      </c>
      <c r="BV740">
        <v>0</v>
      </c>
      <c r="BW740">
        <v>0</v>
      </c>
      <c r="CX740">
        <f>Y740*Source!I657</f>
        <v>8.5007999999999999</v>
      </c>
      <c r="CY740">
        <f>AD740</f>
        <v>62.39</v>
      </c>
      <c r="CZ740">
        <f>AH740</f>
        <v>9.51</v>
      </c>
      <c r="DA740">
        <f>AL740</f>
        <v>6.56</v>
      </c>
      <c r="DB740">
        <f>ROUND((ROUND(AT740*CZ740,2)*1.15),2)</f>
        <v>269.48</v>
      </c>
      <c r="DC740">
        <f>ROUND((ROUND(AT740*AG740,2)*1.15),2)</f>
        <v>0</v>
      </c>
    </row>
    <row r="741" spans="1:107" x14ac:dyDescent="0.2">
      <c r="A741">
        <f>ROW(Source!A657)</f>
        <v>657</v>
      </c>
      <c r="B741">
        <v>16748969</v>
      </c>
      <c r="C741">
        <v>16751948</v>
      </c>
      <c r="D741">
        <v>15430395</v>
      </c>
      <c r="E741">
        <v>1</v>
      </c>
      <c r="F741">
        <v>1</v>
      </c>
      <c r="G741">
        <v>1</v>
      </c>
      <c r="H741">
        <v>1</v>
      </c>
      <c r="I741" t="s">
        <v>1073</v>
      </c>
      <c r="J741" t="s">
        <v>6</v>
      </c>
      <c r="K741" t="s">
        <v>1074</v>
      </c>
      <c r="L741">
        <v>1191</v>
      </c>
      <c r="N741">
        <v>1013</v>
      </c>
      <c r="O741" t="s">
        <v>1072</v>
      </c>
      <c r="P741" t="s">
        <v>1072</v>
      </c>
      <c r="Q741">
        <v>1</v>
      </c>
      <c r="W741">
        <v>0</v>
      </c>
      <c r="X741">
        <v>-1417349443</v>
      </c>
      <c r="Y741">
        <v>0.71</v>
      </c>
      <c r="AA741">
        <v>0</v>
      </c>
      <c r="AB741">
        <v>0</v>
      </c>
      <c r="AC741">
        <v>0</v>
      </c>
      <c r="AD741">
        <v>0</v>
      </c>
      <c r="AE741">
        <v>0</v>
      </c>
      <c r="AF741">
        <v>0</v>
      </c>
      <c r="AG741">
        <v>0</v>
      </c>
      <c r="AH741">
        <v>0</v>
      </c>
      <c r="AI741">
        <v>1</v>
      </c>
      <c r="AJ741">
        <v>1</v>
      </c>
      <c r="AK741">
        <v>6.56</v>
      </c>
      <c r="AL741">
        <v>1</v>
      </c>
      <c r="AN741">
        <v>0</v>
      </c>
      <c r="AO741">
        <v>1</v>
      </c>
      <c r="AP741">
        <v>0</v>
      </c>
      <c r="AQ741">
        <v>0</v>
      </c>
      <c r="AR741">
        <v>0</v>
      </c>
      <c r="AS741" t="s">
        <v>6</v>
      </c>
      <c r="AT741">
        <v>0.71</v>
      </c>
      <c r="AU741" t="s">
        <v>6</v>
      </c>
      <c r="AV741">
        <v>2</v>
      </c>
      <c r="AW741">
        <v>2</v>
      </c>
      <c r="AX741">
        <v>16751963</v>
      </c>
      <c r="AY741">
        <v>1</v>
      </c>
      <c r="AZ741">
        <v>2048</v>
      </c>
      <c r="BA741">
        <v>693</v>
      </c>
      <c r="BB741">
        <v>0</v>
      </c>
      <c r="BC741">
        <v>0</v>
      </c>
      <c r="BD741">
        <v>0</v>
      </c>
      <c r="BE741">
        <v>0</v>
      </c>
      <c r="BF741">
        <v>0</v>
      </c>
      <c r="BG741">
        <v>0</v>
      </c>
      <c r="BH741">
        <v>0</v>
      </c>
      <c r="BI741">
        <v>0</v>
      </c>
      <c r="BJ741">
        <v>0</v>
      </c>
      <c r="BK741">
        <v>0</v>
      </c>
      <c r="BL741">
        <v>0</v>
      </c>
      <c r="BM741">
        <v>0</v>
      </c>
      <c r="BN741">
        <v>0</v>
      </c>
      <c r="BO741">
        <v>0</v>
      </c>
      <c r="BP741">
        <v>0</v>
      </c>
      <c r="BQ741">
        <v>0</v>
      </c>
      <c r="BR741">
        <v>0</v>
      </c>
      <c r="BS741">
        <v>0</v>
      </c>
      <c r="BT741">
        <v>0</v>
      </c>
      <c r="BU741">
        <v>0</v>
      </c>
      <c r="BV741">
        <v>0</v>
      </c>
      <c r="BW741">
        <v>0</v>
      </c>
      <c r="CX741">
        <f>Y741*Source!I657</f>
        <v>0.21299999999999999</v>
      </c>
      <c r="CY741">
        <f>AD741</f>
        <v>0</v>
      </c>
      <c r="CZ741">
        <f>AH741</f>
        <v>0</v>
      </c>
      <c r="DA741">
        <f>AL741</f>
        <v>1</v>
      </c>
      <c r="DB741">
        <f>ROUND(ROUND(AT741*CZ741,2),2)</f>
        <v>0</v>
      </c>
      <c r="DC741">
        <f>ROUND(ROUND(AT741*AG741,2),2)</f>
        <v>0</v>
      </c>
    </row>
    <row r="742" spans="1:107" x14ac:dyDescent="0.2">
      <c r="A742">
        <f>ROW(Source!A657)</f>
        <v>657</v>
      </c>
      <c r="B742">
        <v>16748969</v>
      </c>
      <c r="C742">
        <v>16751948</v>
      </c>
      <c r="D742">
        <v>15247974</v>
      </c>
      <c r="E742">
        <v>1</v>
      </c>
      <c r="F742">
        <v>1</v>
      </c>
      <c r="G742">
        <v>1</v>
      </c>
      <c r="H742">
        <v>2</v>
      </c>
      <c r="I742" t="s">
        <v>1075</v>
      </c>
      <c r="J742" t="s">
        <v>1076</v>
      </c>
      <c r="K742" t="s">
        <v>1077</v>
      </c>
      <c r="L742">
        <v>1368</v>
      </c>
      <c r="N742">
        <v>1011</v>
      </c>
      <c r="O742" t="s">
        <v>1078</v>
      </c>
      <c r="P742" t="s">
        <v>1078</v>
      </c>
      <c r="Q742">
        <v>1</v>
      </c>
      <c r="W742">
        <v>0</v>
      </c>
      <c r="X742">
        <v>1188625873</v>
      </c>
      <c r="Y742">
        <v>0.4</v>
      </c>
      <c r="AA742">
        <v>0</v>
      </c>
      <c r="AB742">
        <v>205.07</v>
      </c>
      <c r="AC742">
        <v>13.5</v>
      </c>
      <c r="AD742">
        <v>0</v>
      </c>
      <c r="AE742">
        <v>0</v>
      </c>
      <c r="AF742">
        <v>31.26</v>
      </c>
      <c r="AG742">
        <v>13.5</v>
      </c>
      <c r="AH742">
        <v>0</v>
      </c>
      <c r="AI742">
        <v>1</v>
      </c>
      <c r="AJ742">
        <v>6.56</v>
      </c>
      <c r="AK742">
        <v>1</v>
      </c>
      <c r="AL742">
        <v>1</v>
      </c>
      <c r="AN742">
        <v>0</v>
      </c>
      <c r="AO742">
        <v>1</v>
      </c>
      <c r="AP742">
        <v>1</v>
      </c>
      <c r="AQ742">
        <v>0</v>
      </c>
      <c r="AR742">
        <v>0</v>
      </c>
      <c r="AS742" t="s">
        <v>6</v>
      </c>
      <c r="AT742">
        <v>0.32</v>
      </c>
      <c r="AU742" t="s">
        <v>172</v>
      </c>
      <c r="AV742">
        <v>0</v>
      </c>
      <c r="AW742">
        <v>2</v>
      </c>
      <c r="AX742">
        <v>16751964</v>
      </c>
      <c r="AY742">
        <v>1</v>
      </c>
      <c r="AZ742">
        <v>0</v>
      </c>
      <c r="BA742">
        <v>694</v>
      </c>
      <c r="BB742">
        <v>0</v>
      </c>
      <c r="BC742">
        <v>0</v>
      </c>
      <c r="BD742">
        <v>0</v>
      </c>
      <c r="BE742">
        <v>0</v>
      </c>
      <c r="BF742">
        <v>0</v>
      </c>
      <c r="BG742">
        <v>0</v>
      </c>
      <c r="BH742">
        <v>0</v>
      </c>
      <c r="BI742">
        <v>0</v>
      </c>
      <c r="BJ742">
        <v>0</v>
      </c>
      <c r="BK742">
        <v>0</v>
      </c>
      <c r="BL742">
        <v>0</v>
      </c>
      <c r="BM742">
        <v>0</v>
      </c>
      <c r="BN742">
        <v>0</v>
      </c>
      <c r="BO742">
        <v>0</v>
      </c>
      <c r="BP742">
        <v>0</v>
      </c>
      <c r="BQ742">
        <v>0</v>
      </c>
      <c r="BR742">
        <v>0</v>
      </c>
      <c r="BS742">
        <v>0</v>
      </c>
      <c r="BT742">
        <v>0</v>
      </c>
      <c r="BU742">
        <v>0</v>
      </c>
      <c r="BV742">
        <v>0</v>
      </c>
      <c r="BW742">
        <v>0</v>
      </c>
      <c r="CX742">
        <f>Y742*Source!I657</f>
        <v>0.12</v>
      </c>
      <c r="CY742">
        <f>AB742</f>
        <v>205.07</v>
      </c>
      <c r="CZ742">
        <f>AF742</f>
        <v>31.26</v>
      </c>
      <c r="DA742">
        <f>AJ742</f>
        <v>6.56</v>
      </c>
      <c r="DB742">
        <f>ROUND((ROUND(AT742*CZ742,2)*1.25),2)</f>
        <v>12.5</v>
      </c>
      <c r="DC742">
        <f>ROUND((ROUND(AT742*AG742,2)*1.25),2)</f>
        <v>5.4</v>
      </c>
    </row>
    <row r="743" spans="1:107" x14ac:dyDescent="0.2">
      <c r="A743">
        <f>ROW(Source!A657)</f>
        <v>657</v>
      </c>
      <c r="B743">
        <v>16748969</v>
      </c>
      <c r="C743">
        <v>16751948</v>
      </c>
      <c r="D743">
        <v>15249073</v>
      </c>
      <c r="E743">
        <v>1</v>
      </c>
      <c r="F743">
        <v>1</v>
      </c>
      <c r="G743">
        <v>1</v>
      </c>
      <c r="H743">
        <v>2</v>
      </c>
      <c r="I743" t="s">
        <v>1097</v>
      </c>
      <c r="J743" t="s">
        <v>1098</v>
      </c>
      <c r="K743" t="s">
        <v>1099</v>
      </c>
      <c r="L743">
        <v>1368</v>
      </c>
      <c r="N743">
        <v>1011</v>
      </c>
      <c r="O743" t="s">
        <v>1078</v>
      </c>
      <c r="P743" t="s">
        <v>1078</v>
      </c>
      <c r="Q743">
        <v>1</v>
      </c>
      <c r="W743">
        <v>0</v>
      </c>
      <c r="X743">
        <v>1372534845</v>
      </c>
      <c r="Y743">
        <v>0.48750000000000004</v>
      </c>
      <c r="AA743">
        <v>0</v>
      </c>
      <c r="AB743">
        <v>431.06</v>
      </c>
      <c r="AC743">
        <v>11.6</v>
      </c>
      <c r="AD743">
        <v>0</v>
      </c>
      <c r="AE743">
        <v>0</v>
      </c>
      <c r="AF743">
        <v>65.709999999999994</v>
      </c>
      <c r="AG743">
        <v>11.6</v>
      </c>
      <c r="AH743">
        <v>0</v>
      </c>
      <c r="AI743">
        <v>1</v>
      </c>
      <c r="AJ743">
        <v>6.56</v>
      </c>
      <c r="AK743">
        <v>1</v>
      </c>
      <c r="AL743">
        <v>1</v>
      </c>
      <c r="AN743">
        <v>0</v>
      </c>
      <c r="AO743">
        <v>1</v>
      </c>
      <c r="AP743">
        <v>1</v>
      </c>
      <c r="AQ743">
        <v>0</v>
      </c>
      <c r="AR743">
        <v>0</v>
      </c>
      <c r="AS743" t="s">
        <v>6</v>
      </c>
      <c r="AT743">
        <v>0.39</v>
      </c>
      <c r="AU743" t="s">
        <v>172</v>
      </c>
      <c r="AV743">
        <v>0</v>
      </c>
      <c r="AW743">
        <v>2</v>
      </c>
      <c r="AX743">
        <v>16751965</v>
      </c>
      <c r="AY743">
        <v>1</v>
      </c>
      <c r="AZ743">
        <v>0</v>
      </c>
      <c r="BA743">
        <v>695</v>
      </c>
      <c r="BB743">
        <v>0</v>
      </c>
      <c r="BC743">
        <v>0</v>
      </c>
      <c r="BD743">
        <v>0</v>
      </c>
      <c r="BE743">
        <v>0</v>
      </c>
      <c r="BF743">
        <v>0</v>
      </c>
      <c r="BG743">
        <v>0</v>
      </c>
      <c r="BH743">
        <v>0</v>
      </c>
      <c r="BI743">
        <v>0</v>
      </c>
      <c r="BJ743">
        <v>0</v>
      </c>
      <c r="BK743">
        <v>0</v>
      </c>
      <c r="BL743">
        <v>0</v>
      </c>
      <c r="BM743">
        <v>0</v>
      </c>
      <c r="BN743">
        <v>0</v>
      </c>
      <c r="BO743">
        <v>0</v>
      </c>
      <c r="BP743">
        <v>0</v>
      </c>
      <c r="BQ743">
        <v>0</v>
      </c>
      <c r="BR743">
        <v>0</v>
      </c>
      <c r="BS743">
        <v>0</v>
      </c>
      <c r="BT743">
        <v>0</v>
      </c>
      <c r="BU743">
        <v>0</v>
      </c>
      <c r="BV743">
        <v>0</v>
      </c>
      <c r="BW743">
        <v>0</v>
      </c>
      <c r="CX743">
        <f>Y743*Source!I657</f>
        <v>0.14625000000000002</v>
      </c>
      <c r="CY743">
        <f>AB743</f>
        <v>431.06</v>
      </c>
      <c r="CZ743">
        <f>AF743</f>
        <v>65.709999999999994</v>
      </c>
      <c r="DA743">
        <f>AJ743</f>
        <v>6.56</v>
      </c>
      <c r="DB743">
        <f>ROUND((ROUND(AT743*CZ743,2)*1.25),2)</f>
        <v>32.04</v>
      </c>
      <c r="DC743">
        <f>ROUND((ROUND(AT743*AG743,2)*1.25),2)</f>
        <v>5.65</v>
      </c>
    </row>
    <row r="744" spans="1:107" x14ac:dyDescent="0.2">
      <c r="A744">
        <f>ROW(Source!A657)</f>
        <v>657</v>
      </c>
      <c r="B744">
        <v>16748969</v>
      </c>
      <c r="C744">
        <v>16751948</v>
      </c>
      <c r="D744">
        <v>15167955</v>
      </c>
      <c r="E744">
        <v>1</v>
      </c>
      <c r="F744">
        <v>1</v>
      </c>
      <c r="G744">
        <v>1</v>
      </c>
      <c r="H744">
        <v>3</v>
      </c>
      <c r="I744" t="s">
        <v>1546</v>
      </c>
      <c r="J744" t="s">
        <v>1547</v>
      </c>
      <c r="K744" t="s">
        <v>1548</v>
      </c>
      <c r="L744">
        <v>1348</v>
      </c>
      <c r="N744">
        <v>1009</v>
      </c>
      <c r="O744" t="s">
        <v>71</v>
      </c>
      <c r="P744" t="s">
        <v>71</v>
      </c>
      <c r="Q744">
        <v>1000</v>
      </c>
      <c r="W744">
        <v>0</v>
      </c>
      <c r="X744">
        <v>-1699345571</v>
      </c>
      <c r="Y744">
        <v>1E-3</v>
      </c>
      <c r="AA744">
        <v>196996.8</v>
      </c>
      <c r="AB744">
        <v>0</v>
      </c>
      <c r="AC744">
        <v>0</v>
      </c>
      <c r="AD744">
        <v>0</v>
      </c>
      <c r="AE744">
        <v>30030</v>
      </c>
      <c r="AF744">
        <v>0</v>
      </c>
      <c r="AG744">
        <v>0</v>
      </c>
      <c r="AH744">
        <v>0</v>
      </c>
      <c r="AI744">
        <v>6.56</v>
      </c>
      <c r="AJ744">
        <v>1</v>
      </c>
      <c r="AK744">
        <v>1</v>
      </c>
      <c r="AL744">
        <v>1</v>
      </c>
      <c r="AN744">
        <v>0</v>
      </c>
      <c r="AO744">
        <v>1</v>
      </c>
      <c r="AP744">
        <v>0</v>
      </c>
      <c r="AQ744">
        <v>0</v>
      </c>
      <c r="AR744">
        <v>0</v>
      </c>
      <c r="AS744" t="s">
        <v>6</v>
      </c>
      <c r="AT744">
        <v>1E-3</v>
      </c>
      <c r="AU744" t="s">
        <v>6</v>
      </c>
      <c r="AV744">
        <v>0</v>
      </c>
      <c r="AW744">
        <v>2</v>
      </c>
      <c r="AX744">
        <v>16751966</v>
      </c>
      <c r="AY744">
        <v>1</v>
      </c>
      <c r="AZ744">
        <v>0</v>
      </c>
      <c r="BA744">
        <v>696</v>
      </c>
      <c r="BB744">
        <v>0</v>
      </c>
      <c r="BC744">
        <v>0</v>
      </c>
      <c r="BD744">
        <v>0</v>
      </c>
      <c r="BE744">
        <v>0</v>
      </c>
      <c r="BF744">
        <v>0</v>
      </c>
      <c r="BG744">
        <v>0</v>
      </c>
      <c r="BH744">
        <v>0</v>
      </c>
      <c r="BI744">
        <v>0</v>
      </c>
      <c r="BJ744">
        <v>0</v>
      </c>
      <c r="BK744">
        <v>0</v>
      </c>
      <c r="BL744">
        <v>0</v>
      </c>
      <c r="BM744">
        <v>0</v>
      </c>
      <c r="BN744">
        <v>0</v>
      </c>
      <c r="BO744">
        <v>0</v>
      </c>
      <c r="BP744">
        <v>0</v>
      </c>
      <c r="BQ744">
        <v>0</v>
      </c>
      <c r="BR744">
        <v>0</v>
      </c>
      <c r="BS744">
        <v>0</v>
      </c>
      <c r="BT744">
        <v>0</v>
      </c>
      <c r="BU744">
        <v>0</v>
      </c>
      <c r="BV744">
        <v>0</v>
      </c>
      <c r="BW744">
        <v>0</v>
      </c>
      <c r="CX744">
        <f>Y744*Source!I657</f>
        <v>2.9999999999999997E-4</v>
      </c>
      <c r="CY744">
        <f t="shared" ref="CY744:CY752" si="140">AA744</f>
        <v>196996.8</v>
      </c>
      <c r="CZ744">
        <f t="shared" ref="CZ744:CZ752" si="141">AE744</f>
        <v>30030</v>
      </c>
      <c r="DA744">
        <f t="shared" ref="DA744:DA752" si="142">AI744</f>
        <v>6.56</v>
      </c>
      <c r="DB744">
        <f t="shared" ref="DB744:DB752" si="143">ROUND(ROUND(AT744*CZ744,2),2)</f>
        <v>30.03</v>
      </c>
      <c r="DC744">
        <f t="shared" ref="DC744:DC752" si="144">ROUND(ROUND(AT744*AG744,2),2)</f>
        <v>0</v>
      </c>
    </row>
    <row r="745" spans="1:107" x14ac:dyDescent="0.2">
      <c r="A745">
        <f>ROW(Source!A657)</f>
        <v>657</v>
      </c>
      <c r="B745">
        <v>16748969</v>
      </c>
      <c r="C745">
        <v>16751948</v>
      </c>
      <c r="D745">
        <v>15167963</v>
      </c>
      <c r="E745">
        <v>1</v>
      </c>
      <c r="F745">
        <v>1</v>
      </c>
      <c r="G745">
        <v>1</v>
      </c>
      <c r="H745">
        <v>3</v>
      </c>
      <c r="I745" t="s">
        <v>1549</v>
      </c>
      <c r="J745" t="s">
        <v>1550</v>
      </c>
      <c r="K745" t="s">
        <v>1551</v>
      </c>
      <c r="L745">
        <v>1346</v>
      </c>
      <c r="N745">
        <v>1009</v>
      </c>
      <c r="O745" t="s">
        <v>323</v>
      </c>
      <c r="P745" t="s">
        <v>323</v>
      </c>
      <c r="Q745">
        <v>1</v>
      </c>
      <c r="W745">
        <v>0</v>
      </c>
      <c r="X745">
        <v>-490687590</v>
      </c>
      <c r="Y745">
        <v>0.04</v>
      </c>
      <c r="AA745">
        <v>244.62</v>
      </c>
      <c r="AB745">
        <v>0</v>
      </c>
      <c r="AC745">
        <v>0</v>
      </c>
      <c r="AD745">
        <v>0</v>
      </c>
      <c r="AE745">
        <v>37.29</v>
      </c>
      <c r="AF745">
        <v>0</v>
      </c>
      <c r="AG745">
        <v>0</v>
      </c>
      <c r="AH745">
        <v>0</v>
      </c>
      <c r="AI745">
        <v>6.56</v>
      </c>
      <c r="AJ745">
        <v>1</v>
      </c>
      <c r="AK745">
        <v>1</v>
      </c>
      <c r="AL745">
        <v>1</v>
      </c>
      <c r="AN745">
        <v>0</v>
      </c>
      <c r="AO745">
        <v>1</v>
      </c>
      <c r="AP745">
        <v>0</v>
      </c>
      <c r="AQ745">
        <v>0</v>
      </c>
      <c r="AR745">
        <v>0</v>
      </c>
      <c r="AS745" t="s">
        <v>6</v>
      </c>
      <c r="AT745">
        <v>0.04</v>
      </c>
      <c r="AU745" t="s">
        <v>6</v>
      </c>
      <c r="AV745">
        <v>0</v>
      </c>
      <c r="AW745">
        <v>2</v>
      </c>
      <c r="AX745">
        <v>16751967</v>
      </c>
      <c r="AY745">
        <v>1</v>
      </c>
      <c r="AZ745">
        <v>0</v>
      </c>
      <c r="BA745">
        <v>697</v>
      </c>
      <c r="BB745">
        <v>0</v>
      </c>
      <c r="BC745">
        <v>0</v>
      </c>
      <c r="BD745">
        <v>0</v>
      </c>
      <c r="BE745">
        <v>0</v>
      </c>
      <c r="BF745">
        <v>0</v>
      </c>
      <c r="BG745">
        <v>0</v>
      </c>
      <c r="BH745">
        <v>0</v>
      </c>
      <c r="BI745">
        <v>0</v>
      </c>
      <c r="BJ745">
        <v>0</v>
      </c>
      <c r="BK745">
        <v>0</v>
      </c>
      <c r="BL745">
        <v>0</v>
      </c>
      <c r="BM745">
        <v>0</v>
      </c>
      <c r="BN745">
        <v>0</v>
      </c>
      <c r="BO745">
        <v>0</v>
      </c>
      <c r="BP745">
        <v>0</v>
      </c>
      <c r="BQ745">
        <v>0</v>
      </c>
      <c r="BR745">
        <v>0</v>
      </c>
      <c r="BS745">
        <v>0</v>
      </c>
      <c r="BT745">
        <v>0</v>
      </c>
      <c r="BU745">
        <v>0</v>
      </c>
      <c r="BV745">
        <v>0</v>
      </c>
      <c r="BW745">
        <v>0</v>
      </c>
      <c r="CX745">
        <f>Y745*Source!I657</f>
        <v>1.2E-2</v>
      </c>
      <c r="CY745">
        <f t="shared" si="140"/>
        <v>244.62</v>
      </c>
      <c r="CZ745">
        <f t="shared" si="141"/>
        <v>37.29</v>
      </c>
      <c r="DA745">
        <f t="shared" si="142"/>
        <v>6.56</v>
      </c>
      <c r="DB745">
        <f t="shared" si="143"/>
        <v>1.49</v>
      </c>
      <c r="DC745">
        <f t="shared" si="144"/>
        <v>0</v>
      </c>
    </row>
    <row r="746" spans="1:107" x14ac:dyDescent="0.2">
      <c r="A746">
        <f>ROW(Source!A657)</f>
        <v>657</v>
      </c>
      <c r="B746">
        <v>16748969</v>
      </c>
      <c r="C746">
        <v>16751948</v>
      </c>
      <c r="D746">
        <v>15170213</v>
      </c>
      <c r="E746">
        <v>1</v>
      </c>
      <c r="F746">
        <v>1</v>
      </c>
      <c r="G746">
        <v>1</v>
      </c>
      <c r="H746">
        <v>3</v>
      </c>
      <c r="I746" t="s">
        <v>1561</v>
      </c>
      <c r="J746" t="s">
        <v>1562</v>
      </c>
      <c r="K746" t="s">
        <v>1563</v>
      </c>
      <c r="L746">
        <v>1346</v>
      </c>
      <c r="N746">
        <v>1009</v>
      </c>
      <c r="O746" t="s">
        <v>323</v>
      </c>
      <c r="P746" t="s">
        <v>323</v>
      </c>
      <c r="Q746">
        <v>1</v>
      </c>
      <c r="W746">
        <v>0</v>
      </c>
      <c r="X746">
        <v>686856996</v>
      </c>
      <c r="Y746">
        <v>20</v>
      </c>
      <c r="AA746">
        <v>42.64</v>
      </c>
      <c r="AB746">
        <v>0</v>
      </c>
      <c r="AC746">
        <v>0</v>
      </c>
      <c r="AD746">
        <v>0</v>
      </c>
      <c r="AE746">
        <v>6.5</v>
      </c>
      <c r="AF746">
        <v>0</v>
      </c>
      <c r="AG746">
        <v>0</v>
      </c>
      <c r="AH746">
        <v>0</v>
      </c>
      <c r="AI746">
        <v>6.56</v>
      </c>
      <c r="AJ746">
        <v>1</v>
      </c>
      <c r="AK746">
        <v>1</v>
      </c>
      <c r="AL746">
        <v>1</v>
      </c>
      <c r="AN746">
        <v>0</v>
      </c>
      <c r="AO746">
        <v>1</v>
      </c>
      <c r="AP746">
        <v>0</v>
      </c>
      <c r="AQ746">
        <v>0</v>
      </c>
      <c r="AR746">
        <v>0</v>
      </c>
      <c r="AS746" t="s">
        <v>6</v>
      </c>
      <c r="AT746">
        <v>20</v>
      </c>
      <c r="AU746" t="s">
        <v>6</v>
      </c>
      <c r="AV746">
        <v>0</v>
      </c>
      <c r="AW746">
        <v>2</v>
      </c>
      <c r="AX746">
        <v>16751969</v>
      </c>
      <c r="AY746">
        <v>1</v>
      </c>
      <c r="AZ746">
        <v>0</v>
      </c>
      <c r="BA746">
        <v>699</v>
      </c>
      <c r="BB746">
        <v>0</v>
      </c>
      <c r="BC746">
        <v>0</v>
      </c>
      <c r="BD746">
        <v>0</v>
      </c>
      <c r="BE746">
        <v>0</v>
      </c>
      <c r="BF746">
        <v>0</v>
      </c>
      <c r="BG746">
        <v>0</v>
      </c>
      <c r="BH746">
        <v>0</v>
      </c>
      <c r="BI746">
        <v>0</v>
      </c>
      <c r="BJ746">
        <v>0</v>
      </c>
      <c r="BK746">
        <v>0</v>
      </c>
      <c r="BL746">
        <v>0</v>
      </c>
      <c r="BM746">
        <v>0</v>
      </c>
      <c r="BN746">
        <v>0</v>
      </c>
      <c r="BO746">
        <v>0</v>
      </c>
      <c r="BP746">
        <v>0</v>
      </c>
      <c r="BQ746">
        <v>0</v>
      </c>
      <c r="BR746">
        <v>0</v>
      </c>
      <c r="BS746">
        <v>0</v>
      </c>
      <c r="BT746">
        <v>0</v>
      </c>
      <c r="BU746">
        <v>0</v>
      </c>
      <c r="BV746">
        <v>0</v>
      </c>
      <c r="BW746">
        <v>0</v>
      </c>
      <c r="CX746">
        <f>Y746*Source!I657</f>
        <v>6</v>
      </c>
      <c r="CY746">
        <f t="shared" si="140"/>
        <v>42.64</v>
      </c>
      <c r="CZ746">
        <f t="shared" si="141"/>
        <v>6.5</v>
      </c>
      <c r="DA746">
        <f t="shared" si="142"/>
        <v>6.56</v>
      </c>
      <c r="DB746">
        <f t="shared" si="143"/>
        <v>130</v>
      </c>
      <c r="DC746">
        <f t="shared" si="144"/>
        <v>0</v>
      </c>
    </row>
    <row r="747" spans="1:107" x14ac:dyDescent="0.2">
      <c r="A747">
        <f>ROW(Source!A657)</f>
        <v>657</v>
      </c>
      <c r="B747">
        <v>16748969</v>
      </c>
      <c r="C747">
        <v>16751948</v>
      </c>
      <c r="D747">
        <v>15170815</v>
      </c>
      <c r="E747">
        <v>1</v>
      </c>
      <c r="F747">
        <v>1</v>
      </c>
      <c r="G747">
        <v>1</v>
      </c>
      <c r="H747">
        <v>3</v>
      </c>
      <c r="I747" t="s">
        <v>1564</v>
      </c>
      <c r="J747" t="s">
        <v>1565</v>
      </c>
      <c r="K747" t="s">
        <v>1566</v>
      </c>
      <c r="L747">
        <v>1346</v>
      </c>
      <c r="N747">
        <v>1009</v>
      </c>
      <c r="O747" t="s">
        <v>323</v>
      </c>
      <c r="P747" t="s">
        <v>323</v>
      </c>
      <c r="Q747">
        <v>1</v>
      </c>
      <c r="W747">
        <v>0</v>
      </c>
      <c r="X747">
        <v>1706192078</v>
      </c>
      <c r="Y747">
        <v>0.8</v>
      </c>
      <c r="AA747">
        <v>88.95</v>
      </c>
      <c r="AB747">
        <v>0</v>
      </c>
      <c r="AC747">
        <v>0</v>
      </c>
      <c r="AD747">
        <v>0</v>
      </c>
      <c r="AE747">
        <v>13.56</v>
      </c>
      <c r="AF747">
        <v>0</v>
      </c>
      <c r="AG747">
        <v>0</v>
      </c>
      <c r="AH747">
        <v>0</v>
      </c>
      <c r="AI747">
        <v>6.56</v>
      </c>
      <c r="AJ747">
        <v>1</v>
      </c>
      <c r="AK747">
        <v>1</v>
      </c>
      <c r="AL747">
        <v>1</v>
      </c>
      <c r="AN747">
        <v>0</v>
      </c>
      <c r="AO747">
        <v>1</v>
      </c>
      <c r="AP747">
        <v>0</v>
      </c>
      <c r="AQ747">
        <v>0</v>
      </c>
      <c r="AR747">
        <v>0</v>
      </c>
      <c r="AS747" t="s">
        <v>6</v>
      </c>
      <c r="AT747">
        <v>0.8</v>
      </c>
      <c r="AU747" t="s">
        <v>6</v>
      </c>
      <c r="AV747">
        <v>0</v>
      </c>
      <c r="AW747">
        <v>2</v>
      </c>
      <c r="AX747">
        <v>16751971</v>
      </c>
      <c r="AY747">
        <v>1</v>
      </c>
      <c r="AZ747">
        <v>0</v>
      </c>
      <c r="BA747">
        <v>701</v>
      </c>
      <c r="BB747">
        <v>0</v>
      </c>
      <c r="BC747">
        <v>0</v>
      </c>
      <c r="BD747">
        <v>0</v>
      </c>
      <c r="BE747">
        <v>0</v>
      </c>
      <c r="BF747">
        <v>0</v>
      </c>
      <c r="BG747">
        <v>0</v>
      </c>
      <c r="BH747">
        <v>0</v>
      </c>
      <c r="BI747">
        <v>0</v>
      </c>
      <c r="BJ747">
        <v>0</v>
      </c>
      <c r="BK747">
        <v>0</v>
      </c>
      <c r="BL747">
        <v>0</v>
      </c>
      <c r="BM747">
        <v>0</v>
      </c>
      <c r="BN747">
        <v>0</v>
      </c>
      <c r="BO747">
        <v>0</v>
      </c>
      <c r="BP747">
        <v>0</v>
      </c>
      <c r="BQ747">
        <v>0</v>
      </c>
      <c r="BR747">
        <v>0</v>
      </c>
      <c r="BS747">
        <v>0</v>
      </c>
      <c r="BT747">
        <v>0</v>
      </c>
      <c r="BU747">
        <v>0</v>
      </c>
      <c r="BV747">
        <v>0</v>
      </c>
      <c r="BW747">
        <v>0</v>
      </c>
      <c r="CX747">
        <f>Y747*Source!I657</f>
        <v>0.24</v>
      </c>
      <c r="CY747">
        <f t="shared" si="140"/>
        <v>88.95</v>
      </c>
      <c r="CZ747">
        <f t="shared" si="141"/>
        <v>13.56</v>
      </c>
      <c r="DA747">
        <f t="shared" si="142"/>
        <v>6.56</v>
      </c>
      <c r="DB747">
        <f t="shared" si="143"/>
        <v>10.85</v>
      </c>
      <c r="DC747">
        <f t="shared" si="144"/>
        <v>0</v>
      </c>
    </row>
    <row r="748" spans="1:107" x14ac:dyDescent="0.2">
      <c r="A748">
        <f>ROW(Source!A657)</f>
        <v>657</v>
      </c>
      <c r="B748">
        <v>16748969</v>
      </c>
      <c r="C748">
        <v>16751948</v>
      </c>
      <c r="D748">
        <v>15202525</v>
      </c>
      <c r="E748">
        <v>1</v>
      </c>
      <c r="F748">
        <v>1</v>
      </c>
      <c r="G748">
        <v>1</v>
      </c>
      <c r="H748">
        <v>3</v>
      </c>
      <c r="I748" t="s">
        <v>1567</v>
      </c>
      <c r="J748" t="s">
        <v>1568</v>
      </c>
      <c r="K748" t="s">
        <v>1569</v>
      </c>
      <c r="L748">
        <v>1348</v>
      </c>
      <c r="N748">
        <v>1009</v>
      </c>
      <c r="O748" t="s">
        <v>71</v>
      </c>
      <c r="P748" t="s">
        <v>71</v>
      </c>
      <c r="Q748">
        <v>1000</v>
      </c>
      <c r="W748">
        <v>0</v>
      </c>
      <c r="X748">
        <v>1676970864</v>
      </c>
      <c r="Y748">
        <v>8.0000000000000004E-4</v>
      </c>
      <c r="AA748">
        <v>80884.800000000003</v>
      </c>
      <c r="AB748">
        <v>0</v>
      </c>
      <c r="AC748">
        <v>0</v>
      </c>
      <c r="AD748">
        <v>0</v>
      </c>
      <c r="AE748">
        <v>12330</v>
      </c>
      <c r="AF748">
        <v>0</v>
      </c>
      <c r="AG748">
        <v>0</v>
      </c>
      <c r="AH748">
        <v>0</v>
      </c>
      <c r="AI748">
        <v>6.56</v>
      </c>
      <c r="AJ748">
        <v>1</v>
      </c>
      <c r="AK748">
        <v>1</v>
      </c>
      <c r="AL748">
        <v>1</v>
      </c>
      <c r="AN748">
        <v>0</v>
      </c>
      <c r="AO748">
        <v>1</v>
      </c>
      <c r="AP748">
        <v>0</v>
      </c>
      <c r="AQ748">
        <v>0</v>
      </c>
      <c r="AR748">
        <v>0</v>
      </c>
      <c r="AS748" t="s">
        <v>6</v>
      </c>
      <c r="AT748">
        <v>8.0000000000000004E-4</v>
      </c>
      <c r="AU748" t="s">
        <v>6</v>
      </c>
      <c r="AV748">
        <v>0</v>
      </c>
      <c r="AW748">
        <v>2</v>
      </c>
      <c r="AX748">
        <v>16751972</v>
      </c>
      <c r="AY748">
        <v>1</v>
      </c>
      <c r="AZ748">
        <v>0</v>
      </c>
      <c r="BA748">
        <v>702</v>
      </c>
      <c r="BB748">
        <v>0</v>
      </c>
      <c r="BC748">
        <v>0</v>
      </c>
      <c r="BD748">
        <v>0</v>
      </c>
      <c r="BE748">
        <v>0</v>
      </c>
      <c r="BF748">
        <v>0</v>
      </c>
      <c r="BG748">
        <v>0</v>
      </c>
      <c r="BH748">
        <v>0</v>
      </c>
      <c r="BI748">
        <v>0</v>
      </c>
      <c r="BJ748">
        <v>0</v>
      </c>
      <c r="BK748">
        <v>0</v>
      </c>
      <c r="BL748">
        <v>0</v>
      </c>
      <c r="BM748">
        <v>0</v>
      </c>
      <c r="BN748">
        <v>0</v>
      </c>
      <c r="BO748">
        <v>0</v>
      </c>
      <c r="BP748">
        <v>0</v>
      </c>
      <c r="BQ748">
        <v>0</v>
      </c>
      <c r="BR748">
        <v>0</v>
      </c>
      <c r="BS748">
        <v>0</v>
      </c>
      <c r="BT748">
        <v>0</v>
      </c>
      <c r="BU748">
        <v>0</v>
      </c>
      <c r="BV748">
        <v>0</v>
      </c>
      <c r="BW748">
        <v>0</v>
      </c>
      <c r="CX748">
        <f>Y748*Source!I657</f>
        <v>2.4000000000000001E-4</v>
      </c>
      <c r="CY748">
        <f t="shared" si="140"/>
        <v>80884.800000000003</v>
      </c>
      <c r="CZ748">
        <f t="shared" si="141"/>
        <v>12330</v>
      </c>
      <c r="DA748">
        <f t="shared" si="142"/>
        <v>6.56</v>
      </c>
      <c r="DB748">
        <f t="shared" si="143"/>
        <v>9.86</v>
      </c>
      <c r="DC748">
        <f t="shared" si="144"/>
        <v>0</v>
      </c>
    </row>
    <row r="749" spans="1:107" x14ac:dyDescent="0.2">
      <c r="A749">
        <f>ROW(Source!A657)</f>
        <v>657</v>
      </c>
      <c r="B749">
        <v>16748969</v>
      </c>
      <c r="C749">
        <v>16751948</v>
      </c>
      <c r="D749">
        <v>15203740</v>
      </c>
      <c r="E749">
        <v>1</v>
      </c>
      <c r="F749">
        <v>1</v>
      </c>
      <c r="G749">
        <v>1</v>
      </c>
      <c r="H749">
        <v>3</v>
      </c>
      <c r="I749" t="s">
        <v>1555</v>
      </c>
      <c r="J749" t="s">
        <v>1556</v>
      </c>
      <c r="K749" t="s">
        <v>1557</v>
      </c>
      <c r="L749">
        <v>1348</v>
      </c>
      <c r="N749">
        <v>1009</v>
      </c>
      <c r="O749" t="s">
        <v>71</v>
      </c>
      <c r="P749" t="s">
        <v>71</v>
      </c>
      <c r="Q749">
        <v>1000</v>
      </c>
      <c r="W749">
        <v>0</v>
      </c>
      <c r="X749">
        <v>570223526</v>
      </c>
      <c r="Y749">
        <v>4.0000000000000002E-4</v>
      </c>
      <c r="AA749">
        <v>99180.64</v>
      </c>
      <c r="AB749">
        <v>0</v>
      </c>
      <c r="AC749">
        <v>0</v>
      </c>
      <c r="AD749">
        <v>0</v>
      </c>
      <c r="AE749">
        <v>15119</v>
      </c>
      <c r="AF749">
        <v>0</v>
      </c>
      <c r="AG749">
        <v>0</v>
      </c>
      <c r="AH749">
        <v>0</v>
      </c>
      <c r="AI749">
        <v>6.56</v>
      </c>
      <c r="AJ749">
        <v>1</v>
      </c>
      <c r="AK749">
        <v>1</v>
      </c>
      <c r="AL749">
        <v>1</v>
      </c>
      <c r="AN749">
        <v>0</v>
      </c>
      <c r="AO749">
        <v>1</v>
      </c>
      <c r="AP749">
        <v>0</v>
      </c>
      <c r="AQ749">
        <v>0</v>
      </c>
      <c r="AR749">
        <v>0</v>
      </c>
      <c r="AS749" t="s">
        <v>6</v>
      </c>
      <c r="AT749">
        <v>4.0000000000000002E-4</v>
      </c>
      <c r="AU749" t="s">
        <v>6</v>
      </c>
      <c r="AV749">
        <v>0</v>
      </c>
      <c r="AW749">
        <v>2</v>
      </c>
      <c r="AX749">
        <v>16751973</v>
      </c>
      <c r="AY749">
        <v>1</v>
      </c>
      <c r="AZ749">
        <v>0</v>
      </c>
      <c r="BA749">
        <v>703</v>
      </c>
      <c r="BB749">
        <v>0</v>
      </c>
      <c r="BC749">
        <v>0</v>
      </c>
      <c r="BD749">
        <v>0</v>
      </c>
      <c r="BE749">
        <v>0</v>
      </c>
      <c r="BF749">
        <v>0</v>
      </c>
      <c r="BG749">
        <v>0</v>
      </c>
      <c r="BH749">
        <v>0</v>
      </c>
      <c r="BI749">
        <v>0</v>
      </c>
      <c r="BJ749">
        <v>0</v>
      </c>
      <c r="BK749">
        <v>0</v>
      </c>
      <c r="BL749">
        <v>0</v>
      </c>
      <c r="BM749">
        <v>0</v>
      </c>
      <c r="BN749">
        <v>0</v>
      </c>
      <c r="BO749">
        <v>0</v>
      </c>
      <c r="BP749">
        <v>0</v>
      </c>
      <c r="BQ749">
        <v>0</v>
      </c>
      <c r="BR749">
        <v>0</v>
      </c>
      <c r="BS749">
        <v>0</v>
      </c>
      <c r="BT749">
        <v>0</v>
      </c>
      <c r="BU749">
        <v>0</v>
      </c>
      <c r="BV749">
        <v>0</v>
      </c>
      <c r="BW749">
        <v>0</v>
      </c>
      <c r="CX749">
        <f>Y749*Source!I657</f>
        <v>1.2E-4</v>
      </c>
      <c r="CY749">
        <f t="shared" si="140"/>
        <v>99180.64</v>
      </c>
      <c r="CZ749">
        <f t="shared" si="141"/>
        <v>15119</v>
      </c>
      <c r="DA749">
        <f t="shared" si="142"/>
        <v>6.56</v>
      </c>
      <c r="DB749">
        <f t="shared" si="143"/>
        <v>6.05</v>
      </c>
      <c r="DC749">
        <f t="shared" si="144"/>
        <v>0</v>
      </c>
    </row>
    <row r="750" spans="1:107" x14ac:dyDescent="0.2">
      <c r="A750">
        <f>ROW(Source!A657)</f>
        <v>657</v>
      </c>
      <c r="B750">
        <v>16748969</v>
      </c>
      <c r="C750">
        <v>16751948</v>
      </c>
      <c r="D750">
        <v>15204468</v>
      </c>
      <c r="E750">
        <v>1</v>
      </c>
      <c r="F750">
        <v>1</v>
      </c>
      <c r="G750">
        <v>1</v>
      </c>
      <c r="H750">
        <v>3</v>
      </c>
      <c r="I750" t="s">
        <v>1558</v>
      </c>
      <c r="J750" t="s">
        <v>1559</v>
      </c>
      <c r="K750" t="s">
        <v>1560</v>
      </c>
      <c r="L750">
        <v>1348</v>
      </c>
      <c r="N750">
        <v>1009</v>
      </c>
      <c r="O750" t="s">
        <v>71</v>
      </c>
      <c r="P750" t="s">
        <v>71</v>
      </c>
      <c r="Q750">
        <v>1000</v>
      </c>
      <c r="W750">
        <v>0</v>
      </c>
      <c r="X750">
        <v>-909021926</v>
      </c>
      <c r="Y750">
        <v>2.0000000000000001E-4</v>
      </c>
      <c r="AA750">
        <v>111192</v>
      </c>
      <c r="AB750">
        <v>0</v>
      </c>
      <c r="AC750">
        <v>0</v>
      </c>
      <c r="AD750">
        <v>0</v>
      </c>
      <c r="AE750">
        <v>16950</v>
      </c>
      <c r="AF750">
        <v>0</v>
      </c>
      <c r="AG750">
        <v>0</v>
      </c>
      <c r="AH750">
        <v>0</v>
      </c>
      <c r="AI750">
        <v>6.56</v>
      </c>
      <c r="AJ750">
        <v>1</v>
      </c>
      <c r="AK750">
        <v>1</v>
      </c>
      <c r="AL750">
        <v>1</v>
      </c>
      <c r="AN750">
        <v>0</v>
      </c>
      <c r="AO750">
        <v>1</v>
      </c>
      <c r="AP750">
        <v>0</v>
      </c>
      <c r="AQ750">
        <v>0</v>
      </c>
      <c r="AR750">
        <v>0</v>
      </c>
      <c r="AS750" t="s">
        <v>6</v>
      </c>
      <c r="AT750">
        <v>2.0000000000000001E-4</v>
      </c>
      <c r="AU750" t="s">
        <v>6</v>
      </c>
      <c r="AV750">
        <v>0</v>
      </c>
      <c r="AW750">
        <v>2</v>
      </c>
      <c r="AX750">
        <v>16751975</v>
      </c>
      <c r="AY750">
        <v>1</v>
      </c>
      <c r="AZ750">
        <v>0</v>
      </c>
      <c r="BA750">
        <v>705</v>
      </c>
      <c r="BB750">
        <v>0</v>
      </c>
      <c r="BC750">
        <v>0</v>
      </c>
      <c r="BD750">
        <v>0</v>
      </c>
      <c r="BE750">
        <v>0</v>
      </c>
      <c r="BF750">
        <v>0</v>
      </c>
      <c r="BG750">
        <v>0</v>
      </c>
      <c r="BH750">
        <v>0</v>
      </c>
      <c r="BI750">
        <v>0</v>
      </c>
      <c r="BJ750">
        <v>0</v>
      </c>
      <c r="BK750">
        <v>0</v>
      </c>
      <c r="BL750">
        <v>0</v>
      </c>
      <c r="BM750">
        <v>0</v>
      </c>
      <c r="BN750">
        <v>0</v>
      </c>
      <c r="BO750">
        <v>0</v>
      </c>
      <c r="BP750">
        <v>0</v>
      </c>
      <c r="BQ750">
        <v>0</v>
      </c>
      <c r="BR750">
        <v>0</v>
      </c>
      <c r="BS750">
        <v>0</v>
      </c>
      <c r="BT750">
        <v>0</v>
      </c>
      <c r="BU750">
        <v>0</v>
      </c>
      <c r="BV750">
        <v>0</v>
      </c>
      <c r="BW750">
        <v>0</v>
      </c>
      <c r="CX750">
        <f>Y750*Source!I657</f>
        <v>6.0000000000000002E-5</v>
      </c>
      <c r="CY750">
        <f t="shared" si="140"/>
        <v>111192</v>
      </c>
      <c r="CZ750">
        <f t="shared" si="141"/>
        <v>16950</v>
      </c>
      <c r="DA750">
        <f t="shared" si="142"/>
        <v>6.56</v>
      </c>
      <c r="DB750">
        <f t="shared" si="143"/>
        <v>3.39</v>
      </c>
      <c r="DC750">
        <f t="shared" si="144"/>
        <v>0</v>
      </c>
    </row>
    <row r="751" spans="1:107" x14ac:dyDescent="0.2">
      <c r="A751">
        <f>ROW(Source!A657)</f>
        <v>657</v>
      </c>
      <c r="B751">
        <v>16748969</v>
      </c>
      <c r="C751">
        <v>16751948</v>
      </c>
      <c r="D751">
        <v>15211695</v>
      </c>
      <c r="E751">
        <v>1</v>
      </c>
      <c r="F751">
        <v>1</v>
      </c>
      <c r="G751">
        <v>1</v>
      </c>
      <c r="H751">
        <v>3</v>
      </c>
      <c r="I751" t="s">
        <v>968</v>
      </c>
      <c r="J751" t="s">
        <v>970</v>
      </c>
      <c r="K751" t="s">
        <v>969</v>
      </c>
      <c r="L751">
        <v>1035</v>
      </c>
      <c r="N751">
        <v>1013</v>
      </c>
      <c r="O751" t="s">
        <v>230</v>
      </c>
      <c r="P751" t="s">
        <v>230</v>
      </c>
      <c r="Q751">
        <v>1</v>
      </c>
      <c r="W751">
        <v>0</v>
      </c>
      <c r="X751">
        <v>1607095739</v>
      </c>
      <c r="Y751">
        <v>10</v>
      </c>
      <c r="AA751">
        <v>2086.08</v>
      </c>
      <c r="AB751">
        <v>0</v>
      </c>
      <c r="AC751">
        <v>0</v>
      </c>
      <c r="AD751">
        <v>0</v>
      </c>
      <c r="AE751">
        <v>318</v>
      </c>
      <c r="AF751">
        <v>0</v>
      </c>
      <c r="AG751">
        <v>0</v>
      </c>
      <c r="AH751">
        <v>0</v>
      </c>
      <c r="AI751">
        <v>6.56</v>
      </c>
      <c r="AJ751">
        <v>1</v>
      </c>
      <c r="AK751">
        <v>1</v>
      </c>
      <c r="AL751">
        <v>1</v>
      </c>
      <c r="AN751">
        <v>0</v>
      </c>
      <c r="AO751">
        <v>0</v>
      </c>
      <c r="AP751">
        <v>0</v>
      </c>
      <c r="AQ751">
        <v>0</v>
      </c>
      <c r="AR751">
        <v>0</v>
      </c>
      <c r="AS751" t="s">
        <v>6</v>
      </c>
      <c r="AT751">
        <v>10</v>
      </c>
      <c r="AU751" t="s">
        <v>6</v>
      </c>
      <c r="AV751">
        <v>0</v>
      </c>
      <c r="AW751">
        <v>1</v>
      </c>
      <c r="AX751">
        <v>-1</v>
      </c>
      <c r="AY751">
        <v>0</v>
      </c>
      <c r="AZ751">
        <v>0</v>
      </c>
      <c r="BA751" t="s">
        <v>6</v>
      </c>
      <c r="BB751">
        <v>0</v>
      </c>
      <c r="BC751">
        <v>0</v>
      </c>
      <c r="BD751">
        <v>0</v>
      </c>
      <c r="BE751">
        <v>0</v>
      </c>
      <c r="BF751">
        <v>0</v>
      </c>
      <c r="BG751">
        <v>0</v>
      </c>
      <c r="BH751">
        <v>0</v>
      </c>
      <c r="BI751">
        <v>0</v>
      </c>
      <c r="BJ751">
        <v>0</v>
      </c>
      <c r="BK751">
        <v>0</v>
      </c>
      <c r="BL751">
        <v>0</v>
      </c>
      <c r="BM751">
        <v>0</v>
      </c>
      <c r="BN751">
        <v>0</v>
      </c>
      <c r="BO751">
        <v>0</v>
      </c>
      <c r="BP751">
        <v>0</v>
      </c>
      <c r="BQ751">
        <v>0</v>
      </c>
      <c r="BR751">
        <v>0</v>
      </c>
      <c r="BS751">
        <v>0</v>
      </c>
      <c r="BT751">
        <v>0</v>
      </c>
      <c r="BU751">
        <v>0</v>
      </c>
      <c r="BV751">
        <v>0</v>
      </c>
      <c r="BW751">
        <v>0</v>
      </c>
      <c r="CX751">
        <f>Y751*Source!I657</f>
        <v>3</v>
      </c>
      <c r="CY751">
        <f t="shared" si="140"/>
        <v>2086.08</v>
      </c>
      <c r="CZ751">
        <f t="shared" si="141"/>
        <v>318</v>
      </c>
      <c r="DA751">
        <f t="shared" si="142"/>
        <v>6.56</v>
      </c>
      <c r="DB751">
        <f t="shared" si="143"/>
        <v>3180</v>
      </c>
      <c r="DC751">
        <f t="shared" si="144"/>
        <v>0</v>
      </c>
    </row>
    <row r="752" spans="1:107" x14ac:dyDescent="0.2">
      <c r="A752">
        <f>ROW(Source!A657)</f>
        <v>657</v>
      </c>
      <c r="B752">
        <v>16748969</v>
      </c>
      <c r="C752">
        <v>16751948</v>
      </c>
      <c r="D752">
        <v>15211966</v>
      </c>
      <c r="E752">
        <v>1</v>
      </c>
      <c r="F752">
        <v>1</v>
      </c>
      <c r="G752">
        <v>1</v>
      </c>
      <c r="H752">
        <v>3</v>
      </c>
      <c r="I752" t="s">
        <v>942</v>
      </c>
      <c r="J752" t="s">
        <v>944</v>
      </c>
      <c r="K752" t="s">
        <v>943</v>
      </c>
      <c r="L752">
        <v>1358</v>
      </c>
      <c r="N752">
        <v>1010</v>
      </c>
      <c r="O752" t="s">
        <v>615</v>
      </c>
      <c r="P752" t="s">
        <v>615</v>
      </c>
      <c r="Q752">
        <v>10</v>
      </c>
      <c r="W752">
        <v>0</v>
      </c>
      <c r="X752">
        <v>-62785007</v>
      </c>
      <c r="Y752">
        <v>1</v>
      </c>
      <c r="AA752">
        <v>1050.9100000000001</v>
      </c>
      <c r="AB752">
        <v>0</v>
      </c>
      <c r="AC752">
        <v>0</v>
      </c>
      <c r="AD752">
        <v>0</v>
      </c>
      <c r="AE752">
        <v>160.19999999999999</v>
      </c>
      <c r="AF752">
        <v>0</v>
      </c>
      <c r="AG752">
        <v>0</v>
      </c>
      <c r="AH752">
        <v>0</v>
      </c>
      <c r="AI752">
        <v>6.56</v>
      </c>
      <c r="AJ752">
        <v>1</v>
      </c>
      <c r="AK752">
        <v>1</v>
      </c>
      <c r="AL752">
        <v>1</v>
      </c>
      <c r="AN752">
        <v>0</v>
      </c>
      <c r="AO752">
        <v>0</v>
      </c>
      <c r="AP752">
        <v>0</v>
      </c>
      <c r="AQ752">
        <v>0</v>
      </c>
      <c r="AR752">
        <v>0</v>
      </c>
      <c r="AS752" t="s">
        <v>6</v>
      </c>
      <c r="AT752">
        <v>1</v>
      </c>
      <c r="AU752" t="s">
        <v>6</v>
      </c>
      <c r="AV752">
        <v>0</v>
      </c>
      <c r="AW752">
        <v>1</v>
      </c>
      <c r="AX752">
        <v>-1</v>
      </c>
      <c r="AY752">
        <v>0</v>
      </c>
      <c r="AZ752">
        <v>0</v>
      </c>
      <c r="BA752" t="s">
        <v>6</v>
      </c>
      <c r="BB752">
        <v>0</v>
      </c>
      <c r="BC752">
        <v>0</v>
      </c>
      <c r="BD752">
        <v>0</v>
      </c>
      <c r="BE752">
        <v>0</v>
      </c>
      <c r="BF752">
        <v>0</v>
      </c>
      <c r="BG752">
        <v>0</v>
      </c>
      <c r="BH752">
        <v>0</v>
      </c>
      <c r="BI752">
        <v>0</v>
      </c>
      <c r="BJ752">
        <v>0</v>
      </c>
      <c r="BK752">
        <v>0</v>
      </c>
      <c r="BL752">
        <v>0</v>
      </c>
      <c r="BM752">
        <v>0</v>
      </c>
      <c r="BN752">
        <v>0</v>
      </c>
      <c r="BO752">
        <v>0</v>
      </c>
      <c r="BP752">
        <v>0</v>
      </c>
      <c r="BQ752">
        <v>0</v>
      </c>
      <c r="BR752">
        <v>0</v>
      </c>
      <c r="BS752">
        <v>0</v>
      </c>
      <c r="BT752">
        <v>0</v>
      </c>
      <c r="BU752">
        <v>0</v>
      </c>
      <c r="BV752">
        <v>0</v>
      </c>
      <c r="BW752">
        <v>0</v>
      </c>
      <c r="CX752">
        <f>Y752*Source!I657</f>
        <v>0.3</v>
      </c>
      <c r="CY752">
        <f t="shared" si="140"/>
        <v>1050.9100000000001</v>
      </c>
      <c r="CZ752">
        <f t="shared" si="141"/>
        <v>160.19999999999999</v>
      </c>
      <c r="DA752">
        <f t="shared" si="142"/>
        <v>6.56</v>
      </c>
      <c r="DB752">
        <f t="shared" si="143"/>
        <v>160.19999999999999</v>
      </c>
      <c r="DC752">
        <f t="shared" si="144"/>
        <v>0</v>
      </c>
    </row>
    <row r="753" spans="1:107" x14ac:dyDescent="0.2">
      <c r="A753">
        <f>ROW(Source!A660)</f>
        <v>660</v>
      </c>
      <c r="B753">
        <v>16748969</v>
      </c>
      <c r="C753">
        <v>16751979</v>
      </c>
      <c r="D753">
        <v>15436556</v>
      </c>
      <c r="E753">
        <v>1</v>
      </c>
      <c r="F753">
        <v>1</v>
      </c>
      <c r="G753">
        <v>1</v>
      </c>
      <c r="H753">
        <v>1</v>
      </c>
      <c r="I753" t="s">
        <v>1265</v>
      </c>
      <c r="J753" t="s">
        <v>6</v>
      </c>
      <c r="K753" t="s">
        <v>1266</v>
      </c>
      <c r="L753">
        <v>1191</v>
      </c>
      <c r="N753">
        <v>1013</v>
      </c>
      <c r="O753" t="s">
        <v>1072</v>
      </c>
      <c r="P753" t="s">
        <v>1072</v>
      </c>
      <c r="Q753">
        <v>1</v>
      </c>
      <c r="W753">
        <v>0</v>
      </c>
      <c r="X753">
        <v>1069510174</v>
      </c>
      <c r="Y753">
        <v>10.085499999999998</v>
      </c>
      <c r="AA753">
        <v>0</v>
      </c>
      <c r="AB753">
        <v>0</v>
      </c>
      <c r="AC753">
        <v>0</v>
      </c>
      <c r="AD753">
        <v>63.11</v>
      </c>
      <c r="AE753">
        <v>0</v>
      </c>
      <c r="AF753">
        <v>0</v>
      </c>
      <c r="AG753">
        <v>0</v>
      </c>
      <c r="AH753">
        <v>9.6199999999999992</v>
      </c>
      <c r="AI753">
        <v>1</v>
      </c>
      <c r="AJ753">
        <v>1</v>
      </c>
      <c r="AK753">
        <v>1</v>
      </c>
      <c r="AL753">
        <v>6.56</v>
      </c>
      <c r="AN753">
        <v>0</v>
      </c>
      <c r="AO753">
        <v>1</v>
      </c>
      <c r="AP753">
        <v>1</v>
      </c>
      <c r="AQ753">
        <v>0</v>
      </c>
      <c r="AR753">
        <v>0</v>
      </c>
      <c r="AS753" t="s">
        <v>6</v>
      </c>
      <c r="AT753">
        <v>8.77</v>
      </c>
      <c r="AU753" t="s">
        <v>173</v>
      </c>
      <c r="AV753">
        <v>1</v>
      </c>
      <c r="AW753">
        <v>2</v>
      </c>
      <c r="AX753">
        <v>16751987</v>
      </c>
      <c r="AY753">
        <v>1</v>
      </c>
      <c r="AZ753">
        <v>0</v>
      </c>
      <c r="BA753">
        <v>707</v>
      </c>
      <c r="BB753">
        <v>0</v>
      </c>
      <c r="BC753">
        <v>0</v>
      </c>
      <c r="BD753">
        <v>0</v>
      </c>
      <c r="BE753">
        <v>0</v>
      </c>
      <c r="BF753">
        <v>0</v>
      </c>
      <c r="BG753">
        <v>0</v>
      </c>
      <c r="BH753">
        <v>0</v>
      </c>
      <c r="BI753">
        <v>0</v>
      </c>
      <c r="BJ753">
        <v>0</v>
      </c>
      <c r="BK753">
        <v>0</v>
      </c>
      <c r="BL753">
        <v>0</v>
      </c>
      <c r="BM753">
        <v>0</v>
      </c>
      <c r="BN753">
        <v>0</v>
      </c>
      <c r="BO753">
        <v>0</v>
      </c>
      <c r="BP753">
        <v>0</v>
      </c>
      <c r="BQ753">
        <v>0</v>
      </c>
      <c r="BR753">
        <v>0</v>
      </c>
      <c r="BS753">
        <v>0</v>
      </c>
      <c r="BT753">
        <v>0</v>
      </c>
      <c r="BU753">
        <v>0</v>
      </c>
      <c r="BV753">
        <v>0</v>
      </c>
      <c r="BW753">
        <v>0</v>
      </c>
      <c r="CX753">
        <f>Y753*Source!I660</f>
        <v>1.0085499999999998</v>
      </c>
      <c r="CY753">
        <f>AD753</f>
        <v>63.11</v>
      </c>
      <c r="CZ753">
        <f>AH753</f>
        <v>9.6199999999999992</v>
      </c>
      <c r="DA753">
        <f>AL753</f>
        <v>6.56</v>
      </c>
      <c r="DB753">
        <f>ROUND((ROUND(AT753*CZ753,2)*1.15),2)</f>
        <v>97.03</v>
      </c>
      <c r="DC753">
        <f>ROUND((ROUND(AT753*AG753,2)*1.15),2)</f>
        <v>0</v>
      </c>
    </row>
    <row r="754" spans="1:107" x14ac:dyDescent="0.2">
      <c r="A754">
        <f>ROW(Source!A660)</f>
        <v>660</v>
      </c>
      <c r="B754">
        <v>16748969</v>
      </c>
      <c r="C754">
        <v>16751979</v>
      </c>
      <c r="D754">
        <v>15430395</v>
      </c>
      <c r="E754">
        <v>1</v>
      </c>
      <c r="F754">
        <v>1</v>
      </c>
      <c r="G754">
        <v>1</v>
      </c>
      <c r="H754">
        <v>1</v>
      </c>
      <c r="I754" t="s">
        <v>1073</v>
      </c>
      <c r="J754" t="s">
        <v>6</v>
      </c>
      <c r="K754" t="s">
        <v>1074</v>
      </c>
      <c r="L754">
        <v>1191</v>
      </c>
      <c r="N754">
        <v>1013</v>
      </c>
      <c r="O754" t="s">
        <v>1072</v>
      </c>
      <c r="P754" t="s">
        <v>1072</v>
      </c>
      <c r="Q754">
        <v>1</v>
      </c>
      <c r="W754">
        <v>0</v>
      </c>
      <c r="X754">
        <v>-1417349443</v>
      </c>
      <c r="Y754">
        <v>0.28999999999999998</v>
      </c>
      <c r="AA754">
        <v>0</v>
      </c>
      <c r="AB754">
        <v>0</v>
      </c>
      <c r="AC754">
        <v>0</v>
      </c>
      <c r="AD754">
        <v>0</v>
      </c>
      <c r="AE754">
        <v>0</v>
      </c>
      <c r="AF754">
        <v>0</v>
      </c>
      <c r="AG754">
        <v>0</v>
      </c>
      <c r="AH754">
        <v>0</v>
      </c>
      <c r="AI754">
        <v>1</v>
      </c>
      <c r="AJ754">
        <v>1</v>
      </c>
      <c r="AK754">
        <v>6.56</v>
      </c>
      <c r="AL754">
        <v>1</v>
      </c>
      <c r="AN754">
        <v>0</v>
      </c>
      <c r="AO754">
        <v>1</v>
      </c>
      <c r="AP754">
        <v>0</v>
      </c>
      <c r="AQ754">
        <v>0</v>
      </c>
      <c r="AR754">
        <v>0</v>
      </c>
      <c r="AS754" t="s">
        <v>6</v>
      </c>
      <c r="AT754">
        <v>0.28999999999999998</v>
      </c>
      <c r="AU754" t="s">
        <v>6</v>
      </c>
      <c r="AV754">
        <v>2</v>
      </c>
      <c r="AW754">
        <v>2</v>
      </c>
      <c r="AX754">
        <v>16751988</v>
      </c>
      <c r="AY754">
        <v>1</v>
      </c>
      <c r="AZ754">
        <v>2048</v>
      </c>
      <c r="BA754">
        <v>708</v>
      </c>
      <c r="BB754">
        <v>0</v>
      </c>
      <c r="BC754">
        <v>0</v>
      </c>
      <c r="BD754">
        <v>0</v>
      </c>
      <c r="BE754">
        <v>0</v>
      </c>
      <c r="BF754">
        <v>0</v>
      </c>
      <c r="BG754">
        <v>0</v>
      </c>
      <c r="BH754">
        <v>0</v>
      </c>
      <c r="BI754">
        <v>0</v>
      </c>
      <c r="BJ754">
        <v>0</v>
      </c>
      <c r="BK754">
        <v>0</v>
      </c>
      <c r="BL754">
        <v>0</v>
      </c>
      <c r="BM754">
        <v>0</v>
      </c>
      <c r="BN754">
        <v>0</v>
      </c>
      <c r="BO754">
        <v>0</v>
      </c>
      <c r="BP754">
        <v>0</v>
      </c>
      <c r="BQ754">
        <v>0</v>
      </c>
      <c r="BR754">
        <v>0</v>
      </c>
      <c r="BS754">
        <v>0</v>
      </c>
      <c r="BT754">
        <v>0</v>
      </c>
      <c r="BU754">
        <v>0</v>
      </c>
      <c r="BV754">
        <v>0</v>
      </c>
      <c r="BW754">
        <v>0</v>
      </c>
      <c r="CX754">
        <f>Y754*Source!I660</f>
        <v>2.8999999999999998E-2</v>
      </c>
      <c r="CY754">
        <f>AD754</f>
        <v>0</v>
      </c>
      <c r="CZ754">
        <f>AH754</f>
        <v>0</v>
      </c>
      <c r="DA754">
        <f>AL754</f>
        <v>1</v>
      </c>
      <c r="DB754">
        <f>ROUND(ROUND(AT754*CZ754,2),2)</f>
        <v>0</v>
      </c>
      <c r="DC754">
        <f>ROUND(ROUND(AT754*AG754,2),2)</f>
        <v>0</v>
      </c>
    </row>
    <row r="755" spans="1:107" x14ac:dyDescent="0.2">
      <c r="A755">
        <f>ROW(Source!A660)</f>
        <v>660</v>
      </c>
      <c r="B755">
        <v>16748969</v>
      </c>
      <c r="C755">
        <v>16751979</v>
      </c>
      <c r="D755">
        <v>15247974</v>
      </c>
      <c r="E755">
        <v>1</v>
      </c>
      <c r="F755">
        <v>1</v>
      </c>
      <c r="G755">
        <v>1</v>
      </c>
      <c r="H755">
        <v>2</v>
      </c>
      <c r="I755" t="s">
        <v>1075</v>
      </c>
      <c r="J755" t="s">
        <v>1076</v>
      </c>
      <c r="K755" t="s">
        <v>1077</v>
      </c>
      <c r="L755">
        <v>1368</v>
      </c>
      <c r="N755">
        <v>1011</v>
      </c>
      <c r="O755" t="s">
        <v>1078</v>
      </c>
      <c r="P755" t="s">
        <v>1078</v>
      </c>
      <c r="Q755">
        <v>1</v>
      </c>
      <c r="W755">
        <v>0</v>
      </c>
      <c r="X755">
        <v>1188625873</v>
      </c>
      <c r="Y755">
        <v>0.125</v>
      </c>
      <c r="AA755">
        <v>0</v>
      </c>
      <c r="AB755">
        <v>205.07</v>
      </c>
      <c r="AC755">
        <v>13.5</v>
      </c>
      <c r="AD755">
        <v>0</v>
      </c>
      <c r="AE755">
        <v>0</v>
      </c>
      <c r="AF755">
        <v>31.26</v>
      </c>
      <c r="AG755">
        <v>13.5</v>
      </c>
      <c r="AH755">
        <v>0</v>
      </c>
      <c r="AI755">
        <v>1</v>
      </c>
      <c r="AJ755">
        <v>6.56</v>
      </c>
      <c r="AK755">
        <v>1</v>
      </c>
      <c r="AL755">
        <v>1</v>
      </c>
      <c r="AN755">
        <v>0</v>
      </c>
      <c r="AO755">
        <v>1</v>
      </c>
      <c r="AP755">
        <v>1</v>
      </c>
      <c r="AQ755">
        <v>0</v>
      </c>
      <c r="AR755">
        <v>0</v>
      </c>
      <c r="AS755" t="s">
        <v>6</v>
      </c>
      <c r="AT755">
        <v>0.1</v>
      </c>
      <c r="AU755" t="s">
        <v>172</v>
      </c>
      <c r="AV755">
        <v>0</v>
      </c>
      <c r="AW755">
        <v>2</v>
      </c>
      <c r="AX755">
        <v>16751989</v>
      </c>
      <c r="AY755">
        <v>1</v>
      </c>
      <c r="AZ755">
        <v>0</v>
      </c>
      <c r="BA755">
        <v>709</v>
      </c>
      <c r="BB755">
        <v>0</v>
      </c>
      <c r="BC755">
        <v>0</v>
      </c>
      <c r="BD755">
        <v>0</v>
      </c>
      <c r="BE755">
        <v>0</v>
      </c>
      <c r="BF755">
        <v>0</v>
      </c>
      <c r="BG755">
        <v>0</v>
      </c>
      <c r="BH755">
        <v>0</v>
      </c>
      <c r="BI755">
        <v>0</v>
      </c>
      <c r="BJ755">
        <v>0</v>
      </c>
      <c r="BK755">
        <v>0</v>
      </c>
      <c r="BL755">
        <v>0</v>
      </c>
      <c r="BM755">
        <v>0</v>
      </c>
      <c r="BN755">
        <v>0</v>
      </c>
      <c r="BO755">
        <v>0</v>
      </c>
      <c r="BP755">
        <v>0</v>
      </c>
      <c r="BQ755">
        <v>0</v>
      </c>
      <c r="BR755">
        <v>0</v>
      </c>
      <c r="BS755">
        <v>0</v>
      </c>
      <c r="BT755">
        <v>0</v>
      </c>
      <c r="BU755">
        <v>0</v>
      </c>
      <c r="BV755">
        <v>0</v>
      </c>
      <c r="BW755">
        <v>0</v>
      </c>
      <c r="CX755">
        <f>Y755*Source!I660</f>
        <v>1.2500000000000001E-2</v>
      </c>
      <c r="CY755">
        <f>AB755</f>
        <v>205.07</v>
      </c>
      <c r="CZ755">
        <f>AF755</f>
        <v>31.26</v>
      </c>
      <c r="DA755">
        <f>AJ755</f>
        <v>6.56</v>
      </c>
      <c r="DB755">
        <f>ROUND((ROUND(AT755*CZ755,2)*1.25),2)</f>
        <v>3.91</v>
      </c>
      <c r="DC755">
        <f>ROUND((ROUND(AT755*AG755,2)*1.25),2)</f>
        <v>1.69</v>
      </c>
    </row>
    <row r="756" spans="1:107" x14ac:dyDescent="0.2">
      <c r="A756">
        <f>ROW(Source!A660)</f>
        <v>660</v>
      </c>
      <c r="B756">
        <v>16748969</v>
      </c>
      <c r="C756">
        <v>16751979</v>
      </c>
      <c r="D756">
        <v>15249073</v>
      </c>
      <c r="E756">
        <v>1</v>
      </c>
      <c r="F756">
        <v>1</v>
      </c>
      <c r="G756">
        <v>1</v>
      </c>
      <c r="H756">
        <v>2</v>
      </c>
      <c r="I756" t="s">
        <v>1097</v>
      </c>
      <c r="J756" t="s">
        <v>1098</v>
      </c>
      <c r="K756" t="s">
        <v>1099</v>
      </c>
      <c r="L756">
        <v>1368</v>
      </c>
      <c r="N756">
        <v>1011</v>
      </c>
      <c r="O756" t="s">
        <v>1078</v>
      </c>
      <c r="P756" t="s">
        <v>1078</v>
      </c>
      <c r="Q756">
        <v>1</v>
      </c>
      <c r="W756">
        <v>0</v>
      </c>
      <c r="X756">
        <v>1372534845</v>
      </c>
      <c r="Y756">
        <v>0.23749999999999999</v>
      </c>
      <c r="AA756">
        <v>0</v>
      </c>
      <c r="AB756">
        <v>431.06</v>
      </c>
      <c r="AC756">
        <v>11.6</v>
      </c>
      <c r="AD756">
        <v>0</v>
      </c>
      <c r="AE756">
        <v>0</v>
      </c>
      <c r="AF756">
        <v>65.709999999999994</v>
      </c>
      <c r="AG756">
        <v>11.6</v>
      </c>
      <c r="AH756">
        <v>0</v>
      </c>
      <c r="AI756">
        <v>1</v>
      </c>
      <c r="AJ756">
        <v>6.56</v>
      </c>
      <c r="AK756">
        <v>1</v>
      </c>
      <c r="AL756">
        <v>1</v>
      </c>
      <c r="AN756">
        <v>0</v>
      </c>
      <c r="AO756">
        <v>1</v>
      </c>
      <c r="AP756">
        <v>1</v>
      </c>
      <c r="AQ756">
        <v>0</v>
      </c>
      <c r="AR756">
        <v>0</v>
      </c>
      <c r="AS756" t="s">
        <v>6</v>
      </c>
      <c r="AT756">
        <v>0.19</v>
      </c>
      <c r="AU756" t="s">
        <v>172</v>
      </c>
      <c r="AV756">
        <v>0</v>
      </c>
      <c r="AW756">
        <v>2</v>
      </c>
      <c r="AX756">
        <v>16751990</v>
      </c>
      <c r="AY756">
        <v>1</v>
      </c>
      <c r="AZ756">
        <v>0</v>
      </c>
      <c r="BA756">
        <v>710</v>
      </c>
      <c r="BB756">
        <v>0</v>
      </c>
      <c r="BC756">
        <v>0</v>
      </c>
      <c r="BD756">
        <v>0</v>
      </c>
      <c r="BE756">
        <v>0</v>
      </c>
      <c r="BF756">
        <v>0</v>
      </c>
      <c r="BG756">
        <v>0</v>
      </c>
      <c r="BH756">
        <v>0</v>
      </c>
      <c r="BI756">
        <v>0</v>
      </c>
      <c r="BJ756">
        <v>0</v>
      </c>
      <c r="BK756">
        <v>0</v>
      </c>
      <c r="BL756">
        <v>0</v>
      </c>
      <c r="BM756">
        <v>0</v>
      </c>
      <c r="BN756">
        <v>0</v>
      </c>
      <c r="BO756">
        <v>0</v>
      </c>
      <c r="BP756">
        <v>0</v>
      </c>
      <c r="BQ756">
        <v>0</v>
      </c>
      <c r="BR756">
        <v>0</v>
      </c>
      <c r="BS756">
        <v>0</v>
      </c>
      <c r="BT756">
        <v>0</v>
      </c>
      <c r="BU756">
        <v>0</v>
      </c>
      <c r="BV756">
        <v>0</v>
      </c>
      <c r="BW756">
        <v>0</v>
      </c>
      <c r="CX756">
        <f>Y756*Source!I660</f>
        <v>2.375E-2</v>
      </c>
      <c r="CY756">
        <f>AB756</f>
        <v>431.06</v>
      </c>
      <c r="CZ756">
        <f>AF756</f>
        <v>65.709999999999994</v>
      </c>
      <c r="DA756">
        <f>AJ756</f>
        <v>6.56</v>
      </c>
      <c r="DB756">
        <f>ROUND((ROUND(AT756*CZ756,2)*1.25),2)</f>
        <v>15.6</v>
      </c>
      <c r="DC756">
        <f>ROUND((ROUND(AT756*AG756,2)*1.25),2)</f>
        <v>2.75</v>
      </c>
    </row>
    <row r="757" spans="1:107" x14ac:dyDescent="0.2">
      <c r="A757">
        <f>ROW(Source!A660)</f>
        <v>660</v>
      </c>
      <c r="B757">
        <v>16748969</v>
      </c>
      <c r="C757">
        <v>16751979</v>
      </c>
      <c r="D757">
        <v>15167955</v>
      </c>
      <c r="E757">
        <v>1</v>
      </c>
      <c r="F757">
        <v>1</v>
      </c>
      <c r="G757">
        <v>1</v>
      </c>
      <c r="H757">
        <v>3</v>
      </c>
      <c r="I757" t="s">
        <v>1546</v>
      </c>
      <c r="J757" t="s">
        <v>1547</v>
      </c>
      <c r="K757" t="s">
        <v>1548</v>
      </c>
      <c r="L757">
        <v>1348</v>
      </c>
      <c r="N757">
        <v>1009</v>
      </c>
      <c r="O757" t="s">
        <v>71</v>
      </c>
      <c r="P757" t="s">
        <v>71</v>
      </c>
      <c r="Q757">
        <v>1000</v>
      </c>
      <c r="W757">
        <v>0</v>
      </c>
      <c r="X757">
        <v>-1699345571</v>
      </c>
      <c r="Y757">
        <v>1.1999999999999999E-3</v>
      </c>
      <c r="AA757">
        <v>196996.8</v>
      </c>
      <c r="AB757">
        <v>0</v>
      </c>
      <c r="AC757">
        <v>0</v>
      </c>
      <c r="AD757">
        <v>0</v>
      </c>
      <c r="AE757">
        <v>30030</v>
      </c>
      <c r="AF757">
        <v>0</v>
      </c>
      <c r="AG757">
        <v>0</v>
      </c>
      <c r="AH757">
        <v>0</v>
      </c>
      <c r="AI757">
        <v>6.56</v>
      </c>
      <c r="AJ757">
        <v>1</v>
      </c>
      <c r="AK757">
        <v>1</v>
      </c>
      <c r="AL757">
        <v>1</v>
      </c>
      <c r="AN757">
        <v>0</v>
      </c>
      <c r="AO757">
        <v>1</v>
      </c>
      <c r="AP757">
        <v>0</v>
      </c>
      <c r="AQ757">
        <v>0</v>
      </c>
      <c r="AR757">
        <v>0</v>
      </c>
      <c r="AS757" t="s">
        <v>6</v>
      </c>
      <c r="AT757">
        <v>1.1999999999999999E-3</v>
      </c>
      <c r="AU757" t="s">
        <v>6</v>
      </c>
      <c r="AV757">
        <v>0</v>
      </c>
      <c r="AW757">
        <v>2</v>
      </c>
      <c r="AX757">
        <v>16751991</v>
      </c>
      <c r="AY757">
        <v>1</v>
      </c>
      <c r="AZ757">
        <v>0</v>
      </c>
      <c r="BA757">
        <v>711</v>
      </c>
      <c r="BB757">
        <v>0</v>
      </c>
      <c r="BC757">
        <v>0</v>
      </c>
      <c r="BD757">
        <v>0</v>
      </c>
      <c r="BE757">
        <v>0</v>
      </c>
      <c r="BF757">
        <v>0</v>
      </c>
      <c r="BG757">
        <v>0</v>
      </c>
      <c r="BH757">
        <v>0</v>
      </c>
      <c r="BI757">
        <v>0</v>
      </c>
      <c r="BJ757">
        <v>0</v>
      </c>
      <c r="BK757">
        <v>0</v>
      </c>
      <c r="BL757">
        <v>0</v>
      </c>
      <c r="BM757">
        <v>0</v>
      </c>
      <c r="BN757">
        <v>0</v>
      </c>
      <c r="BO757">
        <v>0</v>
      </c>
      <c r="BP757">
        <v>0</v>
      </c>
      <c r="BQ757">
        <v>0</v>
      </c>
      <c r="BR757">
        <v>0</v>
      </c>
      <c r="BS757">
        <v>0</v>
      </c>
      <c r="BT757">
        <v>0</v>
      </c>
      <c r="BU757">
        <v>0</v>
      </c>
      <c r="BV757">
        <v>0</v>
      </c>
      <c r="BW757">
        <v>0</v>
      </c>
      <c r="CX757">
        <f>Y757*Source!I660</f>
        <v>1.1999999999999999E-4</v>
      </c>
      <c r="CY757">
        <f>AA757</f>
        <v>196996.8</v>
      </c>
      <c r="CZ757">
        <f>AE757</f>
        <v>30030</v>
      </c>
      <c r="DA757">
        <f>AI757</f>
        <v>6.56</v>
      </c>
      <c r="DB757">
        <f>ROUND(ROUND(AT757*CZ757,2),2)</f>
        <v>36.04</v>
      </c>
      <c r="DC757">
        <f>ROUND(ROUND(AT757*AG757,2),2)</f>
        <v>0</v>
      </c>
    </row>
    <row r="758" spans="1:107" x14ac:dyDescent="0.2">
      <c r="A758">
        <f>ROW(Source!A660)</f>
        <v>660</v>
      </c>
      <c r="B758">
        <v>16748969</v>
      </c>
      <c r="C758">
        <v>16751979</v>
      </c>
      <c r="D758">
        <v>15172117</v>
      </c>
      <c r="E758">
        <v>1</v>
      </c>
      <c r="F758">
        <v>1</v>
      </c>
      <c r="G758">
        <v>1</v>
      </c>
      <c r="H758">
        <v>3</v>
      </c>
      <c r="I758" t="s">
        <v>1552</v>
      </c>
      <c r="J758" t="s">
        <v>1553</v>
      </c>
      <c r="K758" t="s">
        <v>1554</v>
      </c>
      <c r="L758">
        <v>1348</v>
      </c>
      <c r="N758">
        <v>1009</v>
      </c>
      <c r="O758" t="s">
        <v>71</v>
      </c>
      <c r="P758" t="s">
        <v>71</v>
      </c>
      <c r="Q758">
        <v>1000</v>
      </c>
      <c r="W758">
        <v>0</v>
      </c>
      <c r="X758">
        <v>1529337430</v>
      </c>
      <c r="Y758">
        <v>3.2000000000000002E-3</v>
      </c>
      <c r="AA758">
        <v>12044.16</v>
      </c>
      <c r="AB758">
        <v>0</v>
      </c>
      <c r="AC758">
        <v>0</v>
      </c>
      <c r="AD758">
        <v>0</v>
      </c>
      <c r="AE758">
        <v>1836</v>
      </c>
      <c r="AF758">
        <v>0</v>
      </c>
      <c r="AG758">
        <v>0</v>
      </c>
      <c r="AH758">
        <v>0</v>
      </c>
      <c r="AI758">
        <v>6.56</v>
      </c>
      <c r="AJ758">
        <v>1</v>
      </c>
      <c r="AK758">
        <v>1</v>
      </c>
      <c r="AL758">
        <v>1</v>
      </c>
      <c r="AN758">
        <v>0</v>
      </c>
      <c r="AO758">
        <v>1</v>
      </c>
      <c r="AP758">
        <v>0</v>
      </c>
      <c r="AQ758">
        <v>0</v>
      </c>
      <c r="AR758">
        <v>0</v>
      </c>
      <c r="AS758" t="s">
        <v>6</v>
      </c>
      <c r="AT758">
        <v>3.2000000000000002E-3</v>
      </c>
      <c r="AU758" t="s">
        <v>6</v>
      </c>
      <c r="AV758">
        <v>0</v>
      </c>
      <c r="AW758">
        <v>2</v>
      </c>
      <c r="AX758">
        <v>16751992</v>
      </c>
      <c r="AY758">
        <v>1</v>
      </c>
      <c r="AZ758">
        <v>0</v>
      </c>
      <c r="BA758">
        <v>712</v>
      </c>
      <c r="BB758">
        <v>0</v>
      </c>
      <c r="BC758">
        <v>0</v>
      </c>
      <c r="BD758">
        <v>0</v>
      </c>
      <c r="BE758">
        <v>0</v>
      </c>
      <c r="BF758">
        <v>0</v>
      </c>
      <c r="BG758">
        <v>0</v>
      </c>
      <c r="BH758">
        <v>0</v>
      </c>
      <c r="BI758">
        <v>0</v>
      </c>
      <c r="BJ758">
        <v>0</v>
      </c>
      <c r="BK758">
        <v>0</v>
      </c>
      <c r="BL758">
        <v>0</v>
      </c>
      <c r="BM758">
        <v>0</v>
      </c>
      <c r="BN758">
        <v>0</v>
      </c>
      <c r="BO758">
        <v>0</v>
      </c>
      <c r="BP758">
        <v>0</v>
      </c>
      <c r="BQ758">
        <v>0</v>
      </c>
      <c r="BR758">
        <v>0</v>
      </c>
      <c r="BS758">
        <v>0</v>
      </c>
      <c r="BT758">
        <v>0</v>
      </c>
      <c r="BU758">
        <v>0</v>
      </c>
      <c r="BV758">
        <v>0</v>
      </c>
      <c r="BW758">
        <v>0</v>
      </c>
      <c r="CX758">
        <f>Y758*Source!I660</f>
        <v>3.2000000000000003E-4</v>
      </c>
      <c r="CY758">
        <f>AA758</f>
        <v>12044.16</v>
      </c>
      <c r="CZ758">
        <f>AE758</f>
        <v>1836</v>
      </c>
      <c r="DA758">
        <f>AI758</f>
        <v>6.56</v>
      </c>
      <c r="DB758">
        <f>ROUND(ROUND(AT758*CZ758,2),2)</f>
        <v>5.88</v>
      </c>
      <c r="DC758">
        <f>ROUND(ROUND(AT758*AG758,2),2)</f>
        <v>0</v>
      </c>
    </row>
    <row r="759" spans="1:107" x14ac:dyDescent="0.2">
      <c r="A759">
        <f>ROW(Source!A660)</f>
        <v>660</v>
      </c>
      <c r="B759">
        <v>16748969</v>
      </c>
      <c r="C759">
        <v>16751979</v>
      </c>
      <c r="D759">
        <v>15211990</v>
      </c>
      <c r="E759">
        <v>1</v>
      </c>
      <c r="F759">
        <v>1</v>
      </c>
      <c r="G759">
        <v>1</v>
      </c>
      <c r="H759">
        <v>3</v>
      </c>
      <c r="I759" t="s">
        <v>974</v>
      </c>
      <c r="J759" t="s">
        <v>976</v>
      </c>
      <c r="K759" t="s">
        <v>975</v>
      </c>
      <c r="L759">
        <v>1035</v>
      </c>
      <c r="N759">
        <v>1013</v>
      </c>
      <c r="O759" t="s">
        <v>230</v>
      </c>
      <c r="P759" t="s">
        <v>230</v>
      </c>
      <c r="Q759">
        <v>1</v>
      </c>
      <c r="W759">
        <v>0</v>
      </c>
      <c r="X759">
        <v>1295986805</v>
      </c>
      <c r="Y759">
        <v>10</v>
      </c>
      <c r="AA759">
        <v>2032.68</v>
      </c>
      <c r="AB759">
        <v>0</v>
      </c>
      <c r="AC759">
        <v>0</v>
      </c>
      <c r="AD759">
        <v>0</v>
      </c>
      <c r="AE759">
        <v>309.86</v>
      </c>
      <c r="AF759">
        <v>0</v>
      </c>
      <c r="AG759">
        <v>0</v>
      </c>
      <c r="AH759">
        <v>0</v>
      </c>
      <c r="AI759">
        <v>6.56</v>
      </c>
      <c r="AJ759">
        <v>1</v>
      </c>
      <c r="AK759">
        <v>1</v>
      </c>
      <c r="AL759">
        <v>1</v>
      </c>
      <c r="AN759">
        <v>0</v>
      </c>
      <c r="AO759">
        <v>0</v>
      </c>
      <c r="AP759">
        <v>0</v>
      </c>
      <c r="AQ759">
        <v>0</v>
      </c>
      <c r="AR759">
        <v>0</v>
      </c>
      <c r="AS759" t="s">
        <v>6</v>
      </c>
      <c r="AT759">
        <v>10</v>
      </c>
      <c r="AU759" t="s">
        <v>6</v>
      </c>
      <c r="AV759">
        <v>0</v>
      </c>
      <c r="AW759">
        <v>1</v>
      </c>
      <c r="AX759">
        <v>-1</v>
      </c>
      <c r="AY759">
        <v>0</v>
      </c>
      <c r="AZ759">
        <v>0</v>
      </c>
      <c r="BA759" t="s">
        <v>6</v>
      </c>
      <c r="BB759">
        <v>0</v>
      </c>
      <c r="BC759">
        <v>0</v>
      </c>
      <c r="BD759">
        <v>0</v>
      </c>
      <c r="BE759">
        <v>0</v>
      </c>
      <c r="BF759">
        <v>0</v>
      </c>
      <c r="BG759">
        <v>0</v>
      </c>
      <c r="BH759">
        <v>0</v>
      </c>
      <c r="BI759">
        <v>0</v>
      </c>
      <c r="BJ759">
        <v>0</v>
      </c>
      <c r="BK759">
        <v>0</v>
      </c>
      <c r="BL759">
        <v>0</v>
      </c>
      <c r="BM759">
        <v>0</v>
      </c>
      <c r="BN759">
        <v>0</v>
      </c>
      <c r="BO759">
        <v>0</v>
      </c>
      <c r="BP759">
        <v>0</v>
      </c>
      <c r="BQ759">
        <v>0</v>
      </c>
      <c r="BR759">
        <v>0</v>
      </c>
      <c r="BS759">
        <v>0</v>
      </c>
      <c r="BT759">
        <v>0</v>
      </c>
      <c r="BU759">
        <v>0</v>
      </c>
      <c r="BV759">
        <v>0</v>
      </c>
      <c r="BW759">
        <v>0</v>
      </c>
      <c r="CX759">
        <f>Y759*Source!I660</f>
        <v>1</v>
      </c>
      <c r="CY759">
        <f>AA759</f>
        <v>2032.68</v>
      </c>
      <c r="CZ759">
        <f>AE759</f>
        <v>309.86</v>
      </c>
      <c r="DA759">
        <f>AI759</f>
        <v>6.56</v>
      </c>
      <c r="DB759">
        <f>ROUND(ROUND(AT759*CZ759,2),2)</f>
        <v>3098.6</v>
      </c>
      <c r="DC759">
        <f>ROUND(ROUND(AT759*AG759,2),2)</f>
        <v>0</v>
      </c>
    </row>
    <row r="760" spans="1:107" x14ac:dyDescent="0.2">
      <c r="A760">
        <f>ROW(Source!A662)</f>
        <v>662</v>
      </c>
      <c r="B760">
        <v>16748969</v>
      </c>
      <c r="C760">
        <v>16751995</v>
      </c>
      <c r="D760">
        <v>15446300</v>
      </c>
      <c r="E760">
        <v>1</v>
      </c>
      <c r="F760">
        <v>1</v>
      </c>
      <c r="G760">
        <v>1</v>
      </c>
      <c r="H760">
        <v>1</v>
      </c>
      <c r="I760" t="s">
        <v>1095</v>
      </c>
      <c r="J760" t="s">
        <v>6</v>
      </c>
      <c r="K760" t="s">
        <v>1096</v>
      </c>
      <c r="L760">
        <v>1191</v>
      </c>
      <c r="N760">
        <v>1013</v>
      </c>
      <c r="O760" t="s">
        <v>1072</v>
      </c>
      <c r="P760" t="s">
        <v>1072</v>
      </c>
      <c r="Q760">
        <v>1</v>
      </c>
      <c r="W760">
        <v>0</v>
      </c>
      <c r="X760">
        <v>912892513</v>
      </c>
      <c r="Y760">
        <v>70.839999999999989</v>
      </c>
      <c r="AA760">
        <v>0</v>
      </c>
      <c r="AB760">
        <v>0</v>
      </c>
      <c r="AC760">
        <v>0</v>
      </c>
      <c r="AD760">
        <v>65.08</v>
      </c>
      <c r="AE760">
        <v>0</v>
      </c>
      <c r="AF760">
        <v>0</v>
      </c>
      <c r="AG760">
        <v>0</v>
      </c>
      <c r="AH760">
        <v>9.92</v>
      </c>
      <c r="AI760">
        <v>1</v>
      </c>
      <c r="AJ760">
        <v>1</v>
      </c>
      <c r="AK760">
        <v>1</v>
      </c>
      <c r="AL760">
        <v>6.56</v>
      </c>
      <c r="AN760">
        <v>0</v>
      </c>
      <c r="AO760">
        <v>1</v>
      </c>
      <c r="AP760">
        <v>1</v>
      </c>
      <c r="AQ760">
        <v>0</v>
      </c>
      <c r="AR760">
        <v>0</v>
      </c>
      <c r="AS760" t="s">
        <v>6</v>
      </c>
      <c r="AT760">
        <v>61.6</v>
      </c>
      <c r="AU760" t="s">
        <v>173</v>
      </c>
      <c r="AV760">
        <v>1</v>
      </c>
      <c r="AW760">
        <v>2</v>
      </c>
      <c r="AX760">
        <v>16752006</v>
      </c>
      <c r="AY760">
        <v>1</v>
      </c>
      <c r="AZ760">
        <v>0</v>
      </c>
      <c r="BA760">
        <v>714</v>
      </c>
      <c r="BB760">
        <v>0</v>
      </c>
      <c r="BC760">
        <v>0</v>
      </c>
      <c r="BD760">
        <v>0</v>
      </c>
      <c r="BE760">
        <v>0</v>
      </c>
      <c r="BF760">
        <v>0</v>
      </c>
      <c r="BG760">
        <v>0</v>
      </c>
      <c r="BH760">
        <v>0</v>
      </c>
      <c r="BI760">
        <v>0</v>
      </c>
      <c r="BJ760">
        <v>0</v>
      </c>
      <c r="BK760">
        <v>0</v>
      </c>
      <c r="BL760">
        <v>0</v>
      </c>
      <c r="BM760">
        <v>0</v>
      </c>
      <c r="BN760">
        <v>0</v>
      </c>
      <c r="BO760">
        <v>0</v>
      </c>
      <c r="BP760">
        <v>0</v>
      </c>
      <c r="BQ760">
        <v>0</v>
      </c>
      <c r="BR760">
        <v>0</v>
      </c>
      <c r="BS760">
        <v>0</v>
      </c>
      <c r="BT760">
        <v>0</v>
      </c>
      <c r="BU760">
        <v>0</v>
      </c>
      <c r="BV760">
        <v>0</v>
      </c>
      <c r="BW760">
        <v>0</v>
      </c>
      <c r="CX760">
        <f>Y760*Source!I662</f>
        <v>4.2503999999999991</v>
      </c>
      <c r="CY760">
        <f>AD760</f>
        <v>65.08</v>
      </c>
      <c r="CZ760">
        <f>AH760</f>
        <v>9.92</v>
      </c>
      <c r="DA760">
        <f>AL760</f>
        <v>6.56</v>
      </c>
      <c r="DB760">
        <f>ROUND((ROUND(AT760*CZ760,2)*1.15),2)</f>
        <v>702.73</v>
      </c>
      <c r="DC760">
        <f>ROUND((ROUND(AT760*AG760,2)*1.15),2)</f>
        <v>0</v>
      </c>
    </row>
    <row r="761" spans="1:107" x14ac:dyDescent="0.2">
      <c r="A761">
        <f>ROW(Source!A662)</f>
        <v>662</v>
      </c>
      <c r="B761">
        <v>16748969</v>
      </c>
      <c r="C761">
        <v>16751995</v>
      </c>
      <c r="D761">
        <v>15430395</v>
      </c>
      <c r="E761">
        <v>1</v>
      </c>
      <c r="F761">
        <v>1</v>
      </c>
      <c r="G761">
        <v>1</v>
      </c>
      <c r="H761">
        <v>1</v>
      </c>
      <c r="I761" t="s">
        <v>1073</v>
      </c>
      <c r="J761" t="s">
        <v>6</v>
      </c>
      <c r="K761" t="s">
        <v>1074</v>
      </c>
      <c r="L761">
        <v>1191</v>
      </c>
      <c r="N761">
        <v>1013</v>
      </c>
      <c r="O761" t="s">
        <v>1072</v>
      </c>
      <c r="P761" t="s">
        <v>1072</v>
      </c>
      <c r="Q761">
        <v>1</v>
      </c>
      <c r="W761">
        <v>0</v>
      </c>
      <c r="X761">
        <v>-1417349443</v>
      </c>
      <c r="Y761">
        <v>7.0000000000000007E-2</v>
      </c>
      <c r="AA761">
        <v>0</v>
      </c>
      <c r="AB761">
        <v>0</v>
      </c>
      <c r="AC761">
        <v>0</v>
      </c>
      <c r="AD761">
        <v>0</v>
      </c>
      <c r="AE761">
        <v>0</v>
      </c>
      <c r="AF761">
        <v>0</v>
      </c>
      <c r="AG761">
        <v>0</v>
      </c>
      <c r="AH761">
        <v>0</v>
      </c>
      <c r="AI761">
        <v>1</v>
      </c>
      <c r="AJ761">
        <v>1</v>
      </c>
      <c r="AK761">
        <v>6.56</v>
      </c>
      <c r="AL761">
        <v>1</v>
      </c>
      <c r="AN761">
        <v>0</v>
      </c>
      <c r="AO761">
        <v>1</v>
      </c>
      <c r="AP761">
        <v>0</v>
      </c>
      <c r="AQ761">
        <v>0</v>
      </c>
      <c r="AR761">
        <v>0</v>
      </c>
      <c r="AS761" t="s">
        <v>6</v>
      </c>
      <c r="AT761">
        <v>7.0000000000000007E-2</v>
      </c>
      <c r="AU761" t="s">
        <v>6</v>
      </c>
      <c r="AV761">
        <v>2</v>
      </c>
      <c r="AW761">
        <v>2</v>
      </c>
      <c r="AX761">
        <v>16752007</v>
      </c>
      <c r="AY761">
        <v>1</v>
      </c>
      <c r="AZ761">
        <v>2048</v>
      </c>
      <c r="BA761">
        <v>715</v>
      </c>
      <c r="BB761">
        <v>0</v>
      </c>
      <c r="BC761">
        <v>0</v>
      </c>
      <c r="BD761">
        <v>0</v>
      </c>
      <c r="BE761">
        <v>0</v>
      </c>
      <c r="BF761">
        <v>0</v>
      </c>
      <c r="BG761">
        <v>0</v>
      </c>
      <c r="BH761">
        <v>0</v>
      </c>
      <c r="BI761">
        <v>0</v>
      </c>
      <c r="BJ761">
        <v>0</v>
      </c>
      <c r="BK761">
        <v>0</v>
      </c>
      <c r="BL761">
        <v>0</v>
      </c>
      <c r="BM761">
        <v>0</v>
      </c>
      <c r="BN761">
        <v>0</v>
      </c>
      <c r="BO761">
        <v>0</v>
      </c>
      <c r="BP761">
        <v>0</v>
      </c>
      <c r="BQ761">
        <v>0</v>
      </c>
      <c r="BR761">
        <v>0</v>
      </c>
      <c r="BS761">
        <v>0</v>
      </c>
      <c r="BT761">
        <v>0</v>
      </c>
      <c r="BU761">
        <v>0</v>
      </c>
      <c r="BV761">
        <v>0</v>
      </c>
      <c r="BW761">
        <v>0</v>
      </c>
      <c r="CX761">
        <f>Y761*Source!I662</f>
        <v>4.2000000000000006E-3</v>
      </c>
      <c r="CY761">
        <f>AD761</f>
        <v>0</v>
      </c>
      <c r="CZ761">
        <f>AH761</f>
        <v>0</v>
      </c>
      <c r="DA761">
        <f>AL761</f>
        <v>1</v>
      </c>
      <c r="DB761">
        <f>ROUND(ROUND(AT761*CZ761,2),2)</f>
        <v>0</v>
      </c>
      <c r="DC761">
        <f>ROUND(ROUND(AT761*AG761,2),2)</f>
        <v>0</v>
      </c>
    </row>
    <row r="762" spans="1:107" x14ac:dyDescent="0.2">
      <c r="A762">
        <f>ROW(Source!A662)</f>
        <v>662</v>
      </c>
      <c r="B762">
        <v>16748969</v>
      </c>
      <c r="C762">
        <v>16751995</v>
      </c>
      <c r="D762">
        <v>15247578</v>
      </c>
      <c r="E762">
        <v>1</v>
      </c>
      <c r="F762">
        <v>1</v>
      </c>
      <c r="G762">
        <v>1</v>
      </c>
      <c r="H762">
        <v>2</v>
      </c>
      <c r="I762" t="s">
        <v>1143</v>
      </c>
      <c r="J762" t="s">
        <v>1144</v>
      </c>
      <c r="K762" t="s">
        <v>1145</v>
      </c>
      <c r="L762">
        <v>1368</v>
      </c>
      <c r="N762">
        <v>1011</v>
      </c>
      <c r="O762" t="s">
        <v>1078</v>
      </c>
      <c r="P762" t="s">
        <v>1078</v>
      </c>
      <c r="Q762">
        <v>1</v>
      </c>
      <c r="W762">
        <v>0</v>
      </c>
      <c r="X762">
        <v>-1460065968</v>
      </c>
      <c r="Y762">
        <v>3.7499999999999999E-2</v>
      </c>
      <c r="AA762">
        <v>0</v>
      </c>
      <c r="AB762">
        <v>566.78</v>
      </c>
      <c r="AC762">
        <v>13.5</v>
      </c>
      <c r="AD762">
        <v>0</v>
      </c>
      <c r="AE762">
        <v>0</v>
      </c>
      <c r="AF762">
        <v>86.4</v>
      </c>
      <c r="AG762">
        <v>13.5</v>
      </c>
      <c r="AH762">
        <v>0</v>
      </c>
      <c r="AI762">
        <v>1</v>
      </c>
      <c r="AJ762">
        <v>6.56</v>
      </c>
      <c r="AK762">
        <v>1</v>
      </c>
      <c r="AL762">
        <v>1</v>
      </c>
      <c r="AN762">
        <v>0</v>
      </c>
      <c r="AO762">
        <v>1</v>
      </c>
      <c r="AP762">
        <v>1</v>
      </c>
      <c r="AQ762">
        <v>0</v>
      </c>
      <c r="AR762">
        <v>0</v>
      </c>
      <c r="AS762" t="s">
        <v>6</v>
      </c>
      <c r="AT762">
        <v>0.03</v>
      </c>
      <c r="AU762" t="s">
        <v>172</v>
      </c>
      <c r="AV762">
        <v>0</v>
      </c>
      <c r="AW762">
        <v>2</v>
      </c>
      <c r="AX762">
        <v>16752008</v>
      </c>
      <c r="AY762">
        <v>1</v>
      </c>
      <c r="AZ762">
        <v>0</v>
      </c>
      <c r="BA762">
        <v>716</v>
      </c>
      <c r="BB762">
        <v>0</v>
      </c>
      <c r="BC762">
        <v>0</v>
      </c>
      <c r="BD762">
        <v>0</v>
      </c>
      <c r="BE762">
        <v>0</v>
      </c>
      <c r="BF762">
        <v>0</v>
      </c>
      <c r="BG762">
        <v>0</v>
      </c>
      <c r="BH762">
        <v>0</v>
      </c>
      <c r="BI762">
        <v>0</v>
      </c>
      <c r="BJ762">
        <v>0</v>
      </c>
      <c r="BK762">
        <v>0</v>
      </c>
      <c r="BL762">
        <v>0</v>
      </c>
      <c r="BM762">
        <v>0</v>
      </c>
      <c r="BN762">
        <v>0</v>
      </c>
      <c r="BO762">
        <v>0</v>
      </c>
      <c r="BP762">
        <v>0</v>
      </c>
      <c r="BQ762">
        <v>0</v>
      </c>
      <c r="BR762">
        <v>0</v>
      </c>
      <c r="BS762">
        <v>0</v>
      </c>
      <c r="BT762">
        <v>0</v>
      </c>
      <c r="BU762">
        <v>0</v>
      </c>
      <c r="BV762">
        <v>0</v>
      </c>
      <c r="BW762">
        <v>0</v>
      </c>
      <c r="CX762">
        <f>Y762*Source!I662</f>
        <v>2.2499999999999998E-3</v>
      </c>
      <c r="CY762">
        <f>AB762</f>
        <v>566.78</v>
      </c>
      <c r="CZ762">
        <f>AF762</f>
        <v>86.4</v>
      </c>
      <c r="DA762">
        <f>AJ762</f>
        <v>6.56</v>
      </c>
      <c r="DB762">
        <f>ROUND((ROUND(AT762*CZ762,2)*1.25),2)</f>
        <v>3.24</v>
      </c>
      <c r="DC762">
        <f>ROUND((ROUND(AT762*AG762,2)*1.25),2)</f>
        <v>0.51</v>
      </c>
    </row>
    <row r="763" spans="1:107" x14ac:dyDescent="0.2">
      <c r="A763">
        <f>ROW(Source!A662)</f>
        <v>662</v>
      </c>
      <c r="B763">
        <v>16748969</v>
      </c>
      <c r="C763">
        <v>16751995</v>
      </c>
      <c r="D763">
        <v>15247680</v>
      </c>
      <c r="E763">
        <v>1</v>
      </c>
      <c r="F763">
        <v>1</v>
      </c>
      <c r="G763">
        <v>1</v>
      </c>
      <c r="H763">
        <v>2</v>
      </c>
      <c r="I763" t="s">
        <v>1211</v>
      </c>
      <c r="J763" t="s">
        <v>1212</v>
      </c>
      <c r="K763" t="s">
        <v>1213</v>
      </c>
      <c r="L763">
        <v>1368</v>
      </c>
      <c r="N763">
        <v>1011</v>
      </c>
      <c r="O763" t="s">
        <v>1078</v>
      </c>
      <c r="P763" t="s">
        <v>1078</v>
      </c>
      <c r="Q763">
        <v>1</v>
      </c>
      <c r="W763">
        <v>0</v>
      </c>
      <c r="X763">
        <v>-1718674368</v>
      </c>
      <c r="Y763">
        <v>2.5000000000000001E-2</v>
      </c>
      <c r="AA763">
        <v>0</v>
      </c>
      <c r="AB763">
        <v>734.65</v>
      </c>
      <c r="AC763">
        <v>13.5</v>
      </c>
      <c r="AD763">
        <v>0</v>
      </c>
      <c r="AE763">
        <v>0</v>
      </c>
      <c r="AF763">
        <v>111.99</v>
      </c>
      <c r="AG763">
        <v>13.5</v>
      </c>
      <c r="AH763">
        <v>0</v>
      </c>
      <c r="AI763">
        <v>1</v>
      </c>
      <c r="AJ763">
        <v>6.56</v>
      </c>
      <c r="AK763">
        <v>1</v>
      </c>
      <c r="AL763">
        <v>1</v>
      </c>
      <c r="AN763">
        <v>0</v>
      </c>
      <c r="AO763">
        <v>1</v>
      </c>
      <c r="AP763">
        <v>1</v>
      </c>
      <c r="AQ763">
        <v>0</v>
      </c>
      <c r="AR763">
        <v>0</v>
      </c>
      <c r="AS763" t="s">
        <v>6</v>
      </c>
      <c r="AT763">
        <v>0.02</v>
      </c>
      <c r="AU763" t="s">
        <v>172</v>
      </c>
      <c r="AV763">
        <v>0</v>
      </c>
      <c r="AW763">
        <v>2</v>
      </c>
      <c r="AX763">
        <v>16752009</v>
      </c>
      <c r="AY763">
        <v>1</v>
      </c>
      <c r="AZ763">
        <v>0</v>
      </c>
      <c r="BA763">
        <v>717</v>
      </c>
      <c r="BB763">
        <v>0</v>
      </c>
      <c r="BC763">
        <v>0</v>
      </c>
      <c r="BD763">
        <v>0</v>
      </c>
      <c r="BE763">
        <v>0</v>
      </c>
      <c r="BF763">
        <v>0</v>
      </c>
      <c r="BG763">
        <v>0</v>
      </c>
      <c r="BH763">
        <v>0</v>
      </c>
      <c r="BI763">
        <v>0</v>
      </c>
      <c r="BJ763">
        <v>0</v>
      </c>
      <c r="BK763">
        <v>0</v>
      </c>
      <c r="BL763">
        <v>0</v>
      </c>
      <c r="BM763">
        <v>0</v>
      </c>
      <c r="BN763">
        <v>0</v>
      </c>
      <c r="BO763">
        <v>0</v>
      </c>
      <c r="BP763">
        <v>0</v>
      </c>
      <c r="BQ763">
        <v>0</v>
      </c>
      <c r="BR763">
        <v>0</v>
      </c>
      <c r="BS763">
        <v>0</v>
      </c>
      <c r="BT763">
        <v>0</v>
      </c>
      <c r="BU763">
        <v>0</v>
      </c>
      <c r="BV763">
        <v>0</v>
      </c>
      <c r="BW763">
        <v>0</v>
      </c>
      <c r="CX763">
        <f>Y763*Source!I662</f>
        <v>1.5E-3</v>
      </c>
      <c r="CY763">
        <f>AB763</f>
        <v>734.65</v>
      </c>
      <c r="CZ763">
        <f>AF763</f>
        <v>111.99</v>
      </c>
      <c r="DA763">
        <f>AJ763</f>
        <v>6.56</v>
      </c>
      <c r="DB763">
        <f>ROUND((ROUND(AT763*CZ763,2)*1.25),2)</f>
        <v>2.8</v>
      </c>
      <c r="DC763">
        <f>ROUND((ROUND(AT763*AG763,2)*1.25),2)</f>
        <v>0.34</v>
      </c>
    </row>
    <row r="764" spans="1:107" x14ac:dyDescent="0.2">
      <c r="A764">
        <f>ROW(Source!A662)</f>
        <v>662</v>
      </c>
      <c r="B764">
        <v>16748969</v>
      </c>
      <c r="C764">
        <v>16751995</v>
      </c>
      <c r="D764">
        <v>15249073</v>
      </c>
      <c r="E764">
        <v>1</v>
      </c>
      <c r="F764">
        <v>1</v>
      </c>
      <c r="G764">
        <v>1</v>
      </c>
      <c r="H764">
        <v>2</v>
      </c>
      <c r="I764" t="s">
        <v>1097</v>
      </c>
      <c r="J764" t="s">
        <v>1098</v>
      </c>
      <c r="K764" t="s">
        <v>1099</v>
      </c>
      <c r="L764">
        <v>1368</v>
      </c>
      <c r="N764">
        <v>1011</v>
      </c>
      <c r="O764" t="s">
        <v>1078</v>
      </c>
      <c r="P764" t="s">
        <v>1078</v>
      </c>
      <c r="Q764">
        <v>1</v>
      </c>
      <c r="W764">
        <v>0</v>
      </c>
      <c r="X764">
        <v>1372534845</v>
      </c>
      <c r="Y764">
        <v>2.5000000000000001E-2</v>
      </c>
      <c r="AA764">
        <v>0</v>
      </c>
      <c r="AB764">
        <v>431.06</v>
      </c>
      <c r="AC764">
        <v>11.6</v>
      </c>
      <c r="AD764">
        <v>0</v>
      </c>
      <c r="AE764">
        <v>0</v>
      </c>
      <c r="AF764">
        <v>65.709999999999994</v>
      </c>
      <c r="AG764">
        <v>11.6</v>
      </c>
      <c r="AH764">
        <v>0</v>
      </c>
      <c r="AI764">
        <v>1</v>
      </c>
      <c r="AJ764">
        <v>6.56</v>
      </c>
      <c r="AK764">
        <v>1</v>
      </c>
      <c r="AL764">
        <v>1</v>
      </c>
      <c r="AN764">
        <v>0</v>
      </c>
      <c r="AO764">
        <v>1</v>
      </c>
      <c r="AP764">
        <v>1</v>
      </c>
      <c r="AQ764">
        <v>0</v>
      </c>
      <c r="AR764">
        <v>0</v>
      </c>
      <c r="AS764" t="s">
        <v>6</v>
      </c>
      <c r="AT764">
        <v>0.02</v>
      </c>
      <c r="AU764" t="s">
        <v>172</v>
      </c>
      <c r="AV764">
        <v>0</v>
      </c>
      <c r="AW764">
        <v>2</v>
      </c>
      <c r="AX764">
        <v>16752010</v>
      </c>
      <c r="AY764">
        <v>1</v>
      </c>
      <c r="AZ764">
        <v>0</v>
      </c>
      <c r="BA764">
        <v>718</v>
      </c>
      <c r="BB764">
        <v>0</v>
      </c>
      <c r="BC764">
        <v>0</v>
      </c>
      <c r="BD764">
        <v>0</v>
      </c>
      <c r="BE764">
        <v>0</v>
      </c>
      <c r="BF764">
        <v>0</v>
      </c>
      <c r="BG764">
        <v>0</v>
      </c>
      <c r="BH764">
        <v>0</v>
      </c>
      <c r="BI764">
        <v>0</v>
      </c>
      <c r="BJ764">
        <v>0</v>
      </c>
      <c r="BK764">
        <v>0</v>
      </c>
      <c r="BL764">
        <v>0</v>
      </c>
      <c r="BM764">
        <v>0</v>
      </c>
      <c r="BN764">
        <v>0</v>
      </c>
      <c r="BO764">
        <v>0</v>
      </c>
      <c r="BP764">
        <v>0</v>
      </c>
      <c r="BQ764">
        <v>0</v>
      </c>
      <c r="BR764">
        <v>0</v>
      </c>
      <c r="BS764">
        <v>0</v>
      </c>
      <c r="BT764">
        <v>0</v>
      </c>
      <c r="BU764">
        <v>0</v>
      </c>
      <c r="BV764">
        <v>0</v>
      </c>
      <c r="BW764">
        <v>0</v>
      </c>
      <c r="CX764">
        <f>Y764*Source!I662</f>
        <v>1.5E-3</v>
      </c>
      <c r="CY764">
        <f>AB764</f>
        <v>431.06</v>
      </c>
      <c r="CZ764">
        <f>AF764</f>
        <v>65.709999999999994</v>
      </c>
      <c r="DA764">
        <f>AJ764</f>
        <v>6.56</v>
      </c>
      <c r="DB764">
        <f>ROUND((ROUND(AT764*CZ764,2)*1.25),2)</f>
        <v>1.64</v>
      </c>
      <c r="DC764">
        <f>ROUND((ROUND(AT764*AG764,2)*1.25),2)</f>
        <v>0.28999999999999998</v>
      </c>
    </row>
    <row r="765" spans="1:107" x14ac:dyDescent="0.2">
      <c r="A765">
        <f>ROW(Source!A662)</f>
        <v>662</v>
      </c>
      <c r="B765">
        <v>16748969</v>
      </c>
      <c r="C765">
        <v>16751995</v>
      </c>
      <c r="D765">
        <v>15167286</v>
      </c>
      <c r="E765">
        <v>1</v>
      </c>
      <c r="F765">
        <v>1</v>
      </c>
      <c r="G765">
        <v>1</v>
      </c>
      <c r="H765">
        <v>3</v>
      </c>
      <c r="I765" t="s">
        <v>1079</v>
      </c>
      <c r="J765" t="s">
        <v>1080</v>
      </c>
      <c r="K765" t="s">
        <v>1081</v>
      </c>
      <c r="L765">
        <v>1339</v>
      </c>
      <c r="N765">
        <v>1007</v>
      </c>
      <c r="O765" t="s">
        <v>283</v>
      </c>
      <c r="P765" t="s">
        <v>283</v>
      </c>
      <c r="Q765">
        <v>1</v>
      </c>
      <c r="W765">
        <v>0</v>
      </c>
      <c r="X765">
        <v>-1660354250</v>
      </c>
      <c r="Y765">
        <v>1.57</v>
      </c>
      <c r="AA765">
        <v>16.010000000000002</v>
      </c>
      <c r="AB765">
        <v>0</v>
      </c>
      <c r="AC765">
        <v>0</v>
      </c>
      <c r="AD765">
        <v>0</v>
      </c>
      <c r="AE765">
        <v>2.44</v>
      </c>
      <c r="AF765">
        <v>0</v>
      </c>
      <c r="AG765">
        <v>0</v>
      </c>
      <c r="AH765">
        <v>0</v>
      </c>
      <c r="AI765">
        <v>6.56</v>
      </c>
      <c r="AJ765">
        <v>1</v>
      </c>
      <c r="AK765">
        <v>1</v>
      </c>
      <c r="AL765">
        <v>1</v>
      </c>
      <c r="AN765">
        <v>0</v>
      </c>
      <c r="AO765">
        <v>1</v>
      </c>
      <c r="AP765">
        <v>0</v>
      </c>
      <c r="AQ765">
        <v>0</v>
      </c>
      <c r="AR765">
        <v>0</v>
      </c>
      <c r="AS765" t="s">
        <v>6</v>
      </c>
      <c r="AT765">
        <v>1.57</v>
      </c>
      <c r="AU765" t="s">
        <v>6</v>
      </c>
      <c r="AV765">
        <v>0</v>
      </c>
      <c r="AW765">
        <v>2</v>
      </c>
      <c r="AX765">
        <v>16752011</v>
      </c>
      <c r="AY765">
        <v>1</v>
      </c>
      <c r="AZ765">
        <v>0</v>
      </c>
      <c r="BA765">
        <v>719</v>
      </c>
      <c r="BB765">
        <v>0</v>
      </c>
      <c r="BC765">
        <v>0</v>
      </c>
      <c r="BD765">
        <v>0</v>
      </c>
      <c r="BE765">
        <v>0</v>
      </c>
      <c r="BF765">
        <v>0</v>
      </c>
      <c r="BG765">
        <v>0</v>
      </c>
      <c r="BH765">
        <v>0</v>
      </c>
      <c r="BI765">
        <v>0</v>
      </c>
      <c r="BJ765">
        <v>0</v>
      </c>
      <c r="BK765">
        <v>0</v>
      </c>
      <c r="BL765">
        <v>0</v>
      </c>
      <c r="BM765">
        <v>0</v>
      </c>
      <c r="BN765">
        <v>0</v>
      </c>
      <c r="BO765">
        <v>0</v>
      </c>
      <c r="BP765">
        <v>0</v>
      </c>
      <c r="BQ765">
        <v>0</v>
      </c>
      <c r="BR765">
        <v>0</v>
      </c>
      <c r="BS765">
        <v>0</v>
      </c>
      <c r="BT765">
        <v>0</v>
      </c>
      <c r="BU765">
        <v>0</v>
      </c>
      <c r="BV765">
        <v>0</v>
      </c>
      <c r="BW765">
        <v>0</v>
      </c>
      <c r="CX765">
        <f>Y765*Source!I662</f>
        <v>9.4200000000000006E-2</v>
      </c>
      <c r="CY765">
        <f>AA765</f>
        <v>16.010000000000002</v>
      </c>
      <c r="CZ765">
        <f>AE765</f>
        <v>2.44</v>
      </c>
      <c r="DA765">
        <f>AI765</f>
        <v>6.56</v>
      </c>
      <c r="DB765">
        <f>ROUND(ROUND(AT765*CZ765,2),2)</f>
        <v>3.83</v>
      </c>
      <c r="DC765">
        <f>ROUND(ROUND(AT765*AG765,2),2)</f>
        <v>0</v>
      </c>
    </row>
    <row r="766" spans="1:107" x14ac:dyDescent="0.2">
      <c r="A766">
        <f>ROW(Source!A662)</f>
        <v>662</v>
      </c>
      <c r="B766">
        <v>16748969</v>
      </c>
      <c r="C766">
        <v>16751995</v>
      </c>
      <c r="D766">
        <v>15169924</v>
      </c>
      <c r="E766">
        <v>1</v>
      </c>
      <c r="F766">
        <v>1</v>
      </c>
      <c r="G766">
        <v>1</v>
      </c>
      <c r="H766">
        <v>3</v>
      </c>
      <c r="I766" t="s">
        <v>1570</v>
      </c>
      <c r="J766" t="s">
        <v>1571</v>
      </c>
      <c r="K766" t="s">
        <v>1572</v>
      </c>
      <c r="L766">
        <v>1348</v>
      </c>
      <c r="N766">
        <v>1009</v>
      </c>
      <c r="O766" t="s">
        <v>71</v>
      </c>
      <c r="P766" t="s">
        <v>71</v>
      </c>
      <c r="Q766">
        <v>1000</v>
      </c>
      <c r="W766">
        <v>0</v>
      </c>
      <c r="X766">
        <v>-405065451</v>
      </c>
      <c r="Y766">
        <v>2.66E-3</v>
      </c>
      <c r="AA766">
        <v>97284.800000000003</v>
      </c>
      <c r="AB766">
        <v>0</v>
      </c>
      <c r="AC766">
        <v>0</v>
      </c>
      <c r="AD766">
        <v>0</v>
      </c>
      <c r="AE766">
        <v>14830</v>
      </c>
      <c r="AF766">
        <v>0</v>
      </c>
      <c r="AG766">
        <v>0</v>
      </c>
      <c r="AH766">
        <v>0</v>
      </c>
      <c r="AI766">
        <v>6.56</v>
      </c>
      <c r="AJ766">
        <v>1</v>
      </c>
      <c r="AK766">
        <v>1</v>
      </c>
      <c r="AL766">
        <v>1</v>
      </c>
      <c r="AN766">
        <v>0</v>
      </c>
      <c r="AO766">
        <v>1</v>
      </c>
      <c r="AP766">
        <v>0</v>
      </c>
      <c r="AQ766">
        <v>0</v>
      </c>
      <c r="AR766">
        <v>0</v>
      </c>
      <c r="AS766" t="s">
        <v>6</v>
      </c>
      <c r="AT766">
        <v>2.66E-3</v>
      </c>
      <c r="AU766" t="s">
        <v>6</v>
      </c>
      <c r="AV766">
        <v>0</v>
      </c>
      <c r="AW766">
        <v>2</v>
      </c>
      <c r="AX766">
        <v>16752012</v>
      </c>
      <c r="AY766">
        <v>1</v>
      </c>
      <c r="AZ766">
        <v>0</v>
      </c>
      <c r="BA766">
        <v>720</v>
      </c>
      <c r="BB766">
        <v>0</v>
      </c>
      <c r="BC766">
        <v>0</v>
      </c>
      <c r="BD766">
        <v>0</v>
      </c>
      <c r="BE766">
        <v>0</v>
      </c>
      <c r="BF766">
        <v>0</v>
      </c>
      <c r="BG766">
        <v>0</v>
      </c>
      <c r="BH766">
        <v>0</v>
      </c>
      <c r="BI766">
        <v>0</v>
      </c>
      <c r="BJ766">
        <v>0</v>
      </c>
      <c r="BK766">
        <v>0</v>
      </c>
      <c r="BL766">
        <v>0</v>
      </c>
      <c r="BM766">
        <v>0</v>
      </c>
      <c r="BN766">
        <v>0</v>
      </c>
      <c r="BO766">
        <v>0</v>
      </c>
      <c r="BP766">
        <v>0</v>
      </c>
      <c r="BQ766">
        <v>0</v>
      </c>
      <c r="BR766">
        <v>0</v>
      </c>
      <c r="BS766">
        <v>0</v>
      </c>
      <c r="BT766">
        <v>0</v>
      </c>
      <c r="BU766">
        <v>0</v>
      </c>
      <c r="BV766">
        <v>0</v>
      </c>
      <c r="BW766">
        <v>0</v>
      </c>
      <c r="CX766">
        <f>Y766*Source!I662</f>
        <v>1.596E-4</v>
      </c>
      <c r="CY766">
        <f>AA766</f>
        <v>97284.800000000003</v>
      </c>
      <c r="CZ766">
        <f>AE766</f>
        <v>14830</v>
      </c>
      <c r="DA766">
        <f>AI766</f>
        <v>6.56</v>
      </c>
      <c r="DB766">
        <f>ROUND(ROUND(AT766*CZ766,2),2)</f>
        <v>39.450000000000003</v>
      </c>
      <c r="DC766">
        <f>ROUND(ROUND(AT766*AG766,2),2)</f>
        <v>0</v>
      </c>
    </row>
    <row r="767" spans="1:107" x14ac:dyDescent="0.2">
      <c r="A767">
        <f>ROW(Source!A662)</f>
        <v>662</v>
      </c>
      <c r="B767">
        <v>16748969</v>
      </c>
      <c r="C767">
        <v>16751995</v>
      </c>
      <c r="D767">
        <v>15170781</v>
      </c>
      <c r="E767">
        <v>1</v>
      </c>
      <c r="F767">
        <v>1</v>
      </c>
      <c r="G767">
        <v>1</v>
      </c>
      <c r="H767">
        <v>3</v>
      </c>
      <c r="I767" t="s">
        <v>1573</v>
      </c>
      <c r="J767" t="s">
        <v>1574</v>
      </c>
      <c r="K767" t="s">
        <v>1575</v>
      </c>
      <c r="L767">
        <v>1346</v>
      </c>
      <c r="N767">
        <v>1009</v>
      </c>
      <c r="O767" t="s">
        <v>323</v>
      </c>
      <c r="P767" t="s">
        <v>323</v>
      </c>
      <c r="Q767">
        <v>1</v>
      </c>
      <c r="W767">
        <v>0</v>
      </c>
      <c r="X767">
        <v>1537401615</v>
      </c>
      <c r="Y767">
        <v>4</v>
      </c>
      <c r="AA767">
        <v>160.13</v>
      </c>
      <c r="AB767">
        <v>0</v>
      </c>
      <c r="AC767">
        <v>0</v>
      </c>
      <c r="AD767">
        <v>0</v>
      </c>
      <c r="AE767">
        <v>24.41</v>
      </c>
      <c r="AF767">
        <v>0</v>
      </c>
      <c r="AG767">
        <v>0</v>
      </c>
      <c r="AH767">
        <v>0</v>
      </c>
      <c r="AI767">
        <v>6.56</v>
      </c>
      <c r="AJ767">
        <v>1</v>
      </c>
      <c r="AK767">
        <v>1</v>
      </c>
      <c r="AL767">
        <v>1</v>
      </c>
      <c r="AN767">
        <v>0</v>
      </c>
      <c r="AO767">
        <v>1</v>
      </c>
      <c r="AP767">
        <v>0</v>
      </c>
      <c r="AQ767">
        <v>0</v>
      </c>
      <c r="AR767">
        <v>0</v>
      </c>
      <c r="AS767" t="s">
        <v>6</v>
      </c>
      <c r="AT767">
        <v>4</v>
      </c>
      <c r="AU767" t="s">
        <v>6</v>
      </c>
      <c r="AV767">
        <v>0</v>
      </c>
      <c r="AW767">
        <v>2</v>
      </c>
      <c r="AX767">
        <v>16752013</v>
      </c>
      <c r="AY767">
        <v>1</v>
      </c>
      <c r="AZ767">
        <v>0</v>
      </c>
      <c r="BA767">
        <v>721</v>
      </c>
      <c r="BB767">
        <v>0</v>
      </c>
      <c r="BC767">
        <v>0</v>
      </c>
      <c r="BD767">
        <v>0</v>
      </c>
      <c r="BE767">
        <v>0</v>
      </c>
      <c r="BF767">
        <v>0</v>
      </c>
      <c r="BG767">
        <v>0</v>
      </c>
      <c r="BH767">
        <v>0</v>
      </c>
      <c r="BI767">
        <v>0</v>
      </c>
      <c r="BJ767">
        <v>0</v>
      </c>
      <c r="BK767">
        <v>0</v>
      </c>
      <c r="BL767">
        <v>0</v>
      </c>
      <c r="BM767">
        <v>0</v>
      </c>
      <c r="BN767">
        <v>0</v>
      </c>
      <c r="BO767">
        <v>0</v>
      </c>
      <c r="BP767">
        <v>0</v>
      </c>
      <c r="BQ767">
        <v>0</v>
      </c>
      <c r="BR767">
        <v>0</v>
      </c>
      <c r="BS767">
        <v>0</v>
      </c>
      <c r="BT767">
        <v>0</v>
      </c>
      <c r="BU767">
        <v>0</v>
      </c>
      <c r="BV767">
        <v>0</v>
      </c>
      <c r="BW767">
        <v>0</v>
      </c>
      <c r="CX767">
        <f>Y767*Source!I662</f>
        <v>0.24</v>
      </c>
      <c r="CY767">
        <f>AA767</f>
        <v>160.13</v>
      </c>
      <c r="CZ767">
        <f>AE767</f>
        <v>24.41</v>
      </c>
      <c r="DA767">
        <f>AI767</f>
        <v>6.56</v>
      </c>
      <c r="DB767">
        <f>ROUND(ROUND(AT767*CZ767,2),2)</f>
        <v>97.64</v>
      </c>
      <c r="DC767">
        <f>ROUND(ROUND(AT767*AG767,2),2)</f>
        <v>0</v>
      </c>
    </row>
    <row r="768" spans="1:107" x14ac:dyDescent="0.2">
      <c r="A768">
        <f>ROW(Source!A662)</f>
        <v>662</v>
      </c>
      <c r="B768">
        <v>16748969</v>
      </c>
      <c r="C768">
        <v>16751995</v>
      </c>
      <c r="D768">
        <v>15232881</v>
      </c>
      <c r="E768">
        <v>1</v>
      </c>
      <c r="F768">
        <v>1</v>
      </c>
      <c r="G768">
        <v>1</v>
      </c>
      <c r="H768">
        <v>3</v>
      </c>
      <c r="I768" t="s">
        <v>982</v>
      </c>
      <c r="J768" t="s">
        <v>984</v>
      </c>
      <c r="K768" t="s">
        <v>983</v>
      </c>
      <c r="L768">
        <v>1348</v>
      </c>
      <c r="N768">
        <v>1009</v>
      </c>
      <c r="O768" t="s">
        <v>71</v>
      </c>
      <c r="P768" t="s">
        <v>71</v>
      </c>
      <c r="Q768">
        <v>1000</v>
      </c>
      <c r="W768">
        <v>0</v>
      </c>
      <c r="X768">
        <v>351021885</v>
      </c>
      <c r="Y768">
        <v>2.7169999999999998E-3</v>
      </c>
      <c r="AA768">
        <v>246191.22</v>
      </c>
      <c r="AB768">
        <v>0</v>
      </c>
      <c r="AC768">
        <v>0</v>
      </c>
      <c r="AD768">
        <v>0</v>
      </c>
      <c r="AE768">
        <v>37529.15</v>
      </c>
      <c r="AF768">
        <v>0</v>
      </c>
      <c r="AG768">
        <v>0</v>
      </c>
      <c r="AH768">
        <v>0</v>
      </c>
      <c r="AI768">
        <v>6.56</v>
      </c>
      <c r="AJ768">
        <v>1</v>
      </c>
      <c r="AK768">
        <v>1</v>
      </c>
      <c r="AL768">
        <v>1</v>
      </c>
      <c r="AN768">
        <v>0</v>
      </c>
      <c r="AO768">
        <v>0</v>
      </c>
      <c r="AP768">
        <v>0</v>
      </c>
      <c r="AQ768">
        <v>0</v>
      </c>
      <c r="AR768">
        <v>0</v>
      </c>
      <c r="AS768" t="s">
        <v>6</v>
      </c>
      <c r="AT768">
        <v>2.7169999999999998E-3</v>
      </c>
      <c r="AU768" t="s">
        <v>6</v>
      </c>
      <c r="AV768">
        <v>0</v>
      </c>
      <c r="AW768">
        <v>1</v>
      </c>
      <c r="AX768">
        <v>-1</v>
      </c>
      <c r="AY768">
        <v>0</v>
      </c>
      <c r="AZ768">
        <v>0</v>
      </c>
      <c r="BA768" t="s">
        <v>6</v>
      </c>
      <c r="BB768">
        <v>0</v>
      </c>
      <c r="BC768">
        <v>0</v>
      </c>
      <c r="BD768">
        <v>0</v>
      </c>
      <c r="BE768">
        <v>0</v>
      </c>
      <c r="BF768">
        <v>0</v>
      </c>
      <c r="BG768">
        <v>0</v>
      </c>
      <c r="BH768">
        <v>0</v>
      </c>
      <c r="BI768">
        <v>0</v>
      </c>
      <c r="BJ768">
        <v>0</v>
      </c>
      <c r="BK768">
        <v>0</v>
      </c>
      <c r="BL768">
        <v>0</v>
      </c>
      <c r="BM768">
        <v>0</v>
      </c>
      <c r="BN768">
        <v>0</v>
      </c>
      <c r="BO768">
        <v>0</v>
      </c>
      <c r="BP768">
        <v>0</v>
      </c>
      <c r="BQ768">
        <v>0</v>
      </c>
      <c r="BR768">
        <v>0</v>
      </c>
      <c r="BS768">
        <v>0</v>
      </c>
      <c r="BT768">
        <v>0</v>
      </c>
      <c r="BU768">
        <v>0</v>
      </c>
      <c r="BV768">
        <v>0</v>
      </c>
      <c r="BW768">
        <v>0</v>
      </c>
      <c r="CX768">
        <f>Y768*Source!I662</f>
        <v>1.6301999999999999E-4</v>
      </c>
      <c r="CY768">
        <f>AA768</f>
        <v>246191.22</v>
      </c>
      <c r="CZ768">
        <f>AE768</f>
        <v>37529.15</v>
      </c>
      <c r="DA768">
        <f>AI768</f>
        <v>6.56</v>
      </c>
      <c r="DB768">
        <f>ROUND(ROUND(AT768*CZ768,2),2)</f>
        <v>101.97</v>
      </c>
      <c r="DC768">
        <f>ROUND(ROUND(AT768*AG768,2),2)</f>
        <v>0</v>
      </c>
    </row>
    <row r="769" spans="1:107" x14ac:dyDescent="0.2">
      <c r="A769">
        <f>ROW(Source!A662)</f>
        <v>662</v>
      </c>
      <c r="B769">
        <v>16748969</v>
      </c>
      <c r="C769">
        <v>16751995</v>
      </c>
      <c r="D769">
        <v>15233464</v>
      </c>
      <c r="E769">
        <v>1</v>
      </c>
      <c r="F769">
        <v>1</v>
      </c>
      <c r="G769">
        <v>1</v>
      </c>
      <c r="H769">
        <v>3</v>
      </c>
      <c r="I769" t="s">
        <v>986</v>
      </c>
      <c r="J769" t="s">
        <v>988</v>
      </c>
      <c r="K769" t="s">
        <v>987</v>
      </c>
      <c r="L769">
        <v>1301</v>
      </c>
      <c r="N769">
        <v>1003</v>
      </c>
      <c r="O769" t="s">
        <v>206</v>
      </c>
      <c r="P769" t="s">
        <v>206</v>
      </c>
      <c r="Q769">
        <v>1</v>
      </c>
      <c r="W769">
        <v>0</v>
      </c>
      <c r="X769">
        <v>-1622480074</v>
      </c>
      <c r="Y769">
        <v>100</v>
      </c>
      <c r="AA769">
        <v>682.7</v>
      </c>
      <c r="AB769">
        <v>0</v>
      </c>
      <c r="AC769">
        <v>0</v>
      </c>
      <c r="AD769">
        <v>0</v>
      </c>
      <c r="AE769">
        <v>104.07</v>
      </c>
      <c r="AF769">
        <v>0</v>
      </c>
      <c r="AG769">
        <v>0</v>
      </c>
      <c r="AH769">
        <v>0</v>
      </c>
      <c r="AI769">
        <v>6.56</v>
      </c>
      <c r="AJ769">
        <v>1</v>
      </c>
      <c r="AK769">
        <v>1</v>
      </c>
      <c r="AL769">
        <v>1</v>
      </c>
      <c r="AN769">
        <v>0</v>
      </c>
      <c r="AO769">
        <v>0</v>
      </c>
      <c r="AP769">
        <v>0</v>
      </c>
      <c r="AQ769">
        <v>0</v>
      </c>
      <c r="AR769">
        <v>0</v>
      </c>
      <c r="AS769" t="s">
        <v>6</v>
      </c>
      <c r="AT769">
        <v>100</v>
      </c>
      <c r="AU769" t="s">
        <v>6</v>
      </c>
      <c r="AV769">
        <v>0</v>
      </c>
      <c r="AW769">
        <v>1</v>
      </c>
      <c r="AX769">
        <v>-1</v>
      </c>
      <c r="AY769">
        <v>0</v>
      </c>
      <c r="AZ769">
        <v>0</v>
      </c>
      <c r="BA769" t="s">
        <v>6</v>
      </c>
      <c r="BB769">
        <v>0</v>
      </c>
      <c r="BC769">
        <v>0</v>
      </c>
      <c r="BD769">
        <v>0</v>
      </c>
      <c r="BE769">
        <v>0</v>
      </c>
      <c r="BF769">
        <v>0</v>
      </c>
      <c r="BG769">
        <v>0</v>
      </c>
      <c r="BH769">
        <v>0</v>
      </c>
      <c r="BI769">
        <v>0</v>
      </c>
      <c r="BJ769">
        <v>0</v>
      </c>
      <c r="BK769">
        <v>0</v>
      </c>
      <c r="BL769">
        <v>0</v>
      </c>
      <c r="BM769">
        <v>0</v>
      </c>
      <c r="BN769">
        <v>0</v>
      </c>
      <c r="BO769">
        <v>0</v>
      </c>
      <c r="BP769">
        <v>0</v>
      </c>
      <c r="BQ769">
        <v>0</v>
      </c>
      <c r="BR769">
        <v>0</v>
      </c>
      <c r="BS769">
        <v>0</v>
      </c>
      <c r="BT769">
        <v>0</v>
      </c>
      <c r="BU769">
        <v>0</v>
      </c>
      <c r="BV769">
        <v>0</v>
      </c>
      <c r="BW769">
        <v>0</v>
      </c>
      <c r="CX769">
        <f>Y769*Source!I662</f>
        <v>6</v>
      </c>
      <c r="CY769">
        <f>AA769</f>
        <v>682.7</v>
      </c>
      <c r="CZ769">
        <f>AE769</f>
        <v>104.07</v>
      </c>
      <c r="DA769">
        <f>AI769</f>
        <v>6.56</v>
      </c>
      <c r="DB769">
        <f>ROUND(ROUND(AT769*CZ769,2),2)</f>
        <v>10407</v>
      </c>
      <c r="DC769">
        <f>ROUND(ROUND(AT769*AG769,2),2)</f>
        <v>0</v>
      </c>
    </row>
    <row r="770" spans="1:107" x14ac:dyDescent="0.2">
      <c r="A770">
        <f>ROW(Source!A665)</f>
        <v>665</v>
      </c>
      <c r="B770">
        <v>16748969</v>
      </c>
      <c r="C770">
        <v>16752019</v>
      </c>
      <c r="D770">
        <v>15446300</v>
      </c>
      <c r="E770">
        <v>1</v>
      </c>
      <c r="F770">
        <v>1</v>
      </c>
      <c r="G770">
        <v>1</v>
      </c>
      <c r="H770">
        <v>1</v>
      </c>
      <c r="I770" t="s">
        <v>1095</v>
      </c>
      <c r="J770" t="s">
        <v>6</v>
      </c>
      <c r="K770" t="s">
        <v>1096</v>
      </c>
      <c r="L770">
        <v>1191</v>
      </c>
      <c r="N770">
        <v>1013</v>
      </c>
      <c r="O770" t="s">
        <v>1072</v>
      </c>
      <c r="P770" t="s">
        <v>1072</v>
      </c>
      <c r="Q770">
        <v>1</v>
      </c>
      <c r="W770">
        <v>0</v>
      </c>
      <c r="X770">
        <v>912892513</v>
      </c>
      <c r="Y770">
        <v>73.875999999999991</v>
      </c>
      <c r="AA770">
        <v>0</v>
      </c>
      <c r="AB770">
        <v>0</v>
      </c>
      <c r="AC770">
        <v>0</v>
      </c>
      <c r="AD770">
        <v>65.08</v>
      </c>
      <c r="AE770">
        <v>0</v>
      </c>
      <c r="AF770">
        <v>0</v>
      </c>
      <c r="AG770">
        <v>0</v>
      </c>
      <c r="AH770">
        <v>9.92</v>
      </c>
      <c r="AI770">
        <v>1</v>
      </c>
      <c r="AJ770">
        <v>1</v>
      </c>
      <c r="AK770">
        <v>1</v>
      </c>
      <c r="AL770">
        <v>6.56</v>
      </c>
      <c r="AN770">
        <v>0</v>
      </c>
      <c r="AO770">
        <v>1</v>
      </c>
      <c r="AP770">
        <v>1</v>
      </c>
      <c r="AQ770">
        <v>0</v>
      </c>
      <c r="AR770">
        <v>0</v>
      </c>
      <c r="AS770" t="s">
        <v>6</v>
      </c>
      <c r="AT770">
        <v>64.239999999999995</v>
      </c>
      <c r="AU770" t="s">
        <v>173</v>
      </c>
      <c r="AV770">
        <v>1</v>
      </c>
      <c r="AW770">
        <v>2</v>
      </c>
      <c r="AX770">
        <v>16752030</v>
      </c>
      <c r="AY770">
        <v>1</v>
      </c>
      <c r="AZ770">
        <v>0</v>
      </c>
      <c r="BA770">
        <v>725</v>
      </c>
      <c r="BB770">
        <v>0</v>
      </c>
      <c r="BC770">
        <v>0</v>
      </c>
      <c r="BD770">
        <v>0</v>
      </c>
      <c r="BE770">
        <v>0</v>
      </c>
      <c r="BF770">
        <v>0</v>
      </c>
      <c r="BG770">
        <v>0</v>
      </c>
      <c r="BH770">
        <v>0</v>
      </c>
      <c r="BI770">
        <v>0</v>
      </c>
      <c r="BJ770">
        <v>0</v>
      </c>
      <c r="BK770">
        <v>0</v>
      </c>
      <c r="BL770">
        <v>0</v>
      </c>
      <c r="BM770">
        <v>0</v>
      </c>
      <c r="BN770">
        <v>0</v>
      </c>
      <c r="BO770">
        <v>0</v>
      </c>
      <c r="BP770">
        <v>0</v>
      </c>
      <c r="BQ770">
        <v>0</v>
      </c>
      <c r="BR770">
        <v>0</v>
      </c>
      <c r="BS770">
        <v>0</v>
      </c>
      <c r="BT770">
        <v>0</v>
      </c>
      <c r="BU770">
        <v>0</v>
      </c>
      <c r="BV770">
        <v>0</v>
      </c>
      <c r="BW770">
        <v>0</v>
      </c>
      <c r="CX770">
        <f>Y770*Source!I665</f>
        <v>5.9100799999999998</v>
      </c>
      <c r="CY770">
        <f>AD770</f>
        <v>65.08</v>
      </c>
      <c r="CZ770">
        <f>AH770</f>
        <v>9.92</v>
      </c>
      <c r="DA770">
        <f>AL770</f>
        <v>6.56</v>
      </c>
      <c r="DB770">
        <f>ROUND((ROUND(AT770*CZ770,2)*1.15),2)</f>
        <v>732.85</v>
      </c>
      <c r="DC770">
        <f>ROUND((ROUND(AT770*AG770,2)*1.15),2)</f>
        <v>0</v>
      </c>
    </row>
    <row r="771" spans="1:107" x14ac:dyDescent="0.2">
      <c r="A771">
        <f>ROW(Source!A665)</f>
        <v>665</v>
      </c>
      <c r="B771">
        <v>16748969</v>
      </c>
      <c r="C771">
        <v>16752019</v>
      </c>
      <c r="D771">
        <v>15430395</v>
      </c>
      <c r="E771">
        <v>1</v>
      </c>
      <c r="F771">
        <v>1</v>
      </c>
      <c r="G771">
        <v>1</v>
      </c>
      <c r="H771">
        <v>1</v>
      </c>
      <c r="I771" t="s">
        <v>1073</v>
      </c>
      <c r="J771" t="s">
        <v>6</v>
      </c>
      <c r="K771" t="s">
        <v>1074</v>
      </c>
      <c r="L771">
        <v>1191</v>
      </c>
      <c r="N771">
        <v>1013</v>
      </c>
      <c r="O771" t="s">
        <v>1072</v>
      </c>
      <c r="P771" t="s">
        <v>1072</v>
      </c>
      <c r="Q771">
        <v>1</v>
      </c>
      <c r="W771">
        <v>0</v>
      </c>
      <c r="X771">
        <v>-1417349443</v>
      </c>
      <c r="Y771">
        <v>0.03</v>
      </c>
      <c r="AA771">
        <v>0</v>
      </c>
      <c r="AB771">
        <v>0</v>
      </c>
      <c r="AC771">
        <v>0</v>
      </c>
      <c r="AD771">
        <v>0</v>
      </c>
      <c r="AE771">
        <v>0</v>
      </c>
      <c r="AF771">
        <v>0</v>
      </c>
      <c r="AG771">
        <v>0</v>
      </c>
      <c r="AH771">
        <v>0</v>
      </c>
      <c r="AI771">
        <v>1</v>
      </c>
      <c r="AJ771">
        <v>1</v>
      </c>
      <c r="AK771">
        <v>6.56</v>
      </c>
      <c r="AL771">
        <v>1</v>
      </c>
      <c r="AN771">
        <v>0</v>
      </c>
      <c r="AO771">
        <v>1</v>
      </c>
      <c r="AP771">
        <v>0</v>
      </c>
      <c r="AQ771">
        <v>0</v>
      </c>
      <c r="AR771">
        <v>0</v>
      </c>
      <c r="AS771" t="s">
        <v>6</v>
      </c>
      <c r="AT771">
        <v>0.03</v>
      </c>
      <c r="AU771" t="s">
        <v>6</v>
      </c>
      <c r="AV771">
        <v>2</v>
      </c>
      <c r="AW771">
        <v>2</v>
      </c>
      <c r="AX771">
        <v>16752031</v>
      </c>
      <c r="AY771">
        <v>1</v>
      </c>
      <c r="AZ771">
        <v>2048</v>
      </c>
      <c r="BA771">
        <v>726</v>
      </c>
      <c r="BB771">
        <v>0</v>
      </c>
      <c r="BC771">
        <v>0</v>
      </c>
      <c r="BD771">
        <v>0</v>
      </c>
      <c r="BE771">
        <v>0</v>
      </c>
      <c r="BF771">
        <v>0</v>
      </c>
      <c r="BG771">
        <v>0</v>
      </c>
      <c r="BH771">
        <v>0</v>
      </c>
      <c r="BI771">
        <v>0</v>
      </c>
      <c r="BJ771">
        <v>0</v>
      </c>
      <c r="BK771">
        <v>0</v>
      </c>
      <c r="BL771">
        <v>0</v>
      </c>
      <c r="BM771">
        <v>0</v>
      </c>
      <c r="BN771">
        <v>0</v>
      </c>
      <c r="BO771">
        <v>0</v>
      </c>
      <c r="BP771">
        <v>0</v>
      </c>
      <c r="BQ771">
        <v>0</v>
      </c>
      <c r="BR771">
        <v>0</v>
      </c>
      <c r="BS771">
        <v>0</v>
      </c>
      <c r="BT771">
        <v>0</v>
      </c>
      <c r="BU771">
        <v>0</v>
      </c>
      <c r="BV771">
        <v>0</v>
      </c>
      <c r="BW771">
        <v>0</v>
      </c>
      <c r="CX771">
        <f>Y771*Source!I665</f>
        <v>2.3999999999999998E-3</v>
      </c>
      <c r="CY771">
        <f>AD771</f>
        <v>0</v>
      </c>
      <c r="CZ771">
        <f>AH771</f>
        <v>0</v>
      </c>
      <c r="DA771">
        <f>AL771</f>
        <v>1</v>
      </c>
      <c r="DB771">
        <f>ROUND(ROUND(AT771*CZ771,2),2)</f>
        <v>0</v>
      </c>
      <c r="DC771">
        <f>ROUND(ROUND(AT771*AG771,2),2)</f>
        <v>0</v>
      </c>
    </row>
    <row r="772" spans="1:107" x14ac:dyDescent="0.2">
      <c r="A772">
        <f>ROW(Source!A665)</f>
        <v>665</v>
      </c>
      <c r="B772">
        <v>16748969</v>
      </c>
      <c r="C772">
        <v>16752019</v>
      </c>
      <c r="D772">
        <v>15247578</v>
      </c>
      <c r="E772">
        <v>1</v>
      </c>
      <c r="F772">
        <v>1</v>
      </c>
      <c r="G772">
        <v>1</v>
      </c>
      <c r="H772">
        <v>2</v>
      </c>
      <c r="I772" t="s">
        <v>1143</v>
      </c>
      <c r="J772" t="s">
        <v>1144</v>
      </c>
      <c r="K772" t="s">
        <v>1145</v>
      </c>
      <c r="L772">
        <v>1368</v>
      </c>
      <c r="N772">
        <v>1011</v>
      </c>
      <c r="O772" t="s">
        <v>1078</v>
      </c>
      <c r="P772" t="s">
        <v>1078</v>
      </c>
      <c r="Q772">
        <v>1</v>
      </c>
      <c r="W772">
        <v>0</v>
      </c>
      <c r="X772">
        <v>-1460065968</v>
      </c>
      <c r="Y772">
        <v>1.2500000000000001E-2</v>
      </c>
      <c r="AA772">
        <v>0</v>
      </c>
      <c r="AB772">
        <v>566.78</v>
      </c>
      <c r="AC772">
        <v>13.5</v>
      </c>
      <c r="AD772">
        <v>0</v>
      </c>
      <c r="AE772">
        <v>0</v>
      </c>
      <c r="AF772">
        <v>86.4</v>
      </c>
      <c r="AG772">
        <v>13.5</v>
      </c>
      <c r="AH772">
        <v>0</v>
      </c>
      <c r="AI772">
        <v>1</v>
      </c>
      <c r="AJ772">
        <v>6.56</v>
      </c>
      <c r="AK772">
        <v>1</v>
      </c>
      <c r="AL772">
        <v>1</v>
      </c>
      <c r="AN772">
        <v>0</v>
      </c>
      <c r="AO772">
        <v>1</v>
      </c>
      <c r="AP772">
        <v>1</v>
      </c>
      <c r="AQ772">
        <v>0</v>
      </c>
      <c r="AR772">
        <v>0</v>
      </c>
      <c r="AS772" t="s">
        <v>6</v>
      </c>
      <c r="AT772">
        <v>0.01</v>
      </c>
      <c r="AU772" t="s">
        <v>172</v>
      </c>
      <c r="AV772">
        <v>0</v>
      </c>
      <c r="AW772">
        <v>2</v>
      </c>
      <c r="AX772">
        <v>16752032</v>
      </c>
      <c r="AY772">
        <v>1</v>
      </c>
      <c r="AZ772">
        <v>0</v>
      </c>
      <c r="BA772">
        <v>727</v>
      </c>
      <c r="BB772">
        <v>0</v>
      </c>
      <c r="BC772">
        <v>0</v>
      </c>
      <c r="BD772">
        <v>0</v>
      </c>
      <c r="BE772">
        <v>0</v>
      </c>
      <c r="BF772">
        <v>0</v>
      </c>
      <c r="BG772">
        <v>0</v>
      </c>
      <c r="BH772">
        <v>0</v>
      </c>
      <c r="BI772">
        <v>0</v>
      </c>
      <c r="BJ772">
        <v>0</v>
      </c>
      <c r="BK772">
        <v>0</v>
      </c>
      <c r="BL772">
        <v>0</v>
      </c>
      <c r="BM772">
        <v>0</v>
      </c>
      <c r="BN772">
        <v>0</v>
      </c>
      <c r="BO772">
        <v>0</v>
      </c>
      <c r="BP772">
        <v>0</v>
      </c>
      <c r="BQ772">
        <v>0</v>
      </c>
      <c r="BR772">
        <v>0</v>
      </c>
      <c r="BS772">
        <v>0</v>
      </c>
      <c r="BT772">
        <v>0</v>
      </c>
      <c r="BU772">
        <v>0</v>
      </c>
      <c r="BV772">
        <v>0</v>
      </c>
      <c r="BW772">
        <v>0</v>
      </c>
      <c r="CX772">
        <f>Y772*Source!I665</f>
        <v>1E-3</v>
      </c>
      <c r="CY772">
        <f>AB772</f>
        <v>566.78</v>
      </c>
      <c r="CZ772">
        <f>AF772</f>
        <v>86.4</v>
      </c>
      <c r="DA772">
        <f>AJ772</f>
        <v>6.56</v>
      </c>
      <c r="DB772">
        <f>ROUND((ROUND(AT772*CZ772,2)*1.25),2)</f>
        <v>1.08</v>
      </c>
      <c r="DC772">
        <f>ROUND((ROUND(AT772*AG772,2)*1.25),2)</f>
        <v>0.18</v>
      </c>
    </row>
    <row r="773" spans="1:107" x14ac:dyDescent="0.2">
      <c r="A773">
        <f>ROW(Source!A665)</f>
        <v>665</v>
      </c>
      <c r="B773">
        <v>16748969</v>
      </c>
      <c r="C773">
        <v>16752019</v>
      </c>
      <c r="D773">
        <v>15247680</v>
      </c>
      <c r="E773">
        <v>1</v>
      </c>
      <c r="F773">
        <v>1</v>
      </c>
      <c r="G773">
        <v>1</v>
      </c>
      <c r="H773">
        <v>2</v>
      </c>
      <c r="I773" t="s">
        <v>1211</v>
      </c>
      <c r="J773" t="s">
        <v>1212</v>
      </c>
      <c r="K773" t="s">
        <v>1213</v>
      </c>
      <c r="L773">
        <v>1368</v>
      </c>
      <c r="N773">
        <v>1011</v>
      </c>
      <c r="O773" t="s">
        <v>1078</v>
      </c>
      <c r="P773" t="s">
        <v>1078</v>
      </c>
      <c r="Q773">
        <v>1</v>
      </c>
      <c r="W773">
        <v>0</v>
      </c>
      <c r="X773">
        <v>-1718674368</v>
      </c>
      <c r="Y773">
        <v>1.2500000000000001E-2</v>
      </c>
      <c r="AA773">
        <v>0</v>
      </c>
      <c r="AB773">
        <v>734.65</v>
      </c>
      <c r="AC773">
        <v>13.5</v>
      </c>
      <c r="AD773">
        <v>0</v>
      </c>
      <c r="AE773">
        <v>0</v>
      </c>
      <c r="AF773">
        <v>111.99</v>
      </c>
      <c r="AG773">
        <v>13.5</v>
      </c>
      <c r="AH773">
        <v>0</v>
      </c>
      <c r="AI773">
        <v>1</v>
      </c>
      <c r="AJ773">
        <v>6.56</v>
      </c>
      <c r="AK773">
        <v>1</v>
      </c>
      <c r="AL773">
        <v>1</v>
      </c>
      <c r="AN773">
        <v>0</v>
      </c>
      <c r="AO773">
        <v>1</v>
      </c>
      <c r="AP773">
        <v>1</v>
      </c>
      <c r="AQ773">
        <v>0</v>
      </c>
      <c r="AR773">
        <v>0</v>
      </c>
      <c r="AS773" t="s">
        <v>6</v>
      </c>
      <c r="AT773">
        <v>0.01</v>
      </c>
      <c r="AU773" t="s">
        <v>172</v>
      </c>
      <c r="AV773">
        <v>0</v>
      </c>
      <c r="AW773">
        <v>2</v>
      </c>
      <c r="AX773">
        <v>16752033</v>
      </c>
      <c r="AY773">
        <v>1</v>
      </c>
      <c r="AZ773">
        <v>0</v>
      </c>
      <c r="BA773">
        <v>728</v>
      </c>
      <c r="BB773">
        <v>0</v>
      </c>
      <c r="BC773">
        <v>0</v>
      </c>
      <c r="BD773">
        <v>0</v>
      </c>
      <c r="BE773">
        <v>0</v>
      </c>
      <c r="BF773">
        <v>0</v>
      </c>
      <c r="BG773">
        <v>0</v>
      </c>
      <c r="BH773">
        <v>0</v>
      </c>
      <c r="BI773">
        <v>0</v>
      </c>
      <c r="BJ773">
        <v>0</v>
      </c>
      <c r="BK773">
        <v>0</v>
      </c>
      <c r="BL773">
        <v>0</v>
      </c>
      <c r="BM773">
        <v>0</v>
      </c>
      <c r="BN773">
        <v>0</v>
      </c>
      <c r="BO773">
        <v>0</v>
      </c>
      <c r="BP773">
        <v>0</v>
      </c>
      <c r="BQ773">
        <v>0</v>
      </c>
      <c r="BR773">
        <v>0</v>
      </c>
      <c r="BS773">
        <v>0</v>
      </c>
      <c r="BT773">
        <v>0</v>
      </c>
      <c r="BU773">
        <v>0</v>
      </c>
      <c r="BV773">
        <v>0</v>
      </c>
      <c r="BW773">
        <v>0</v>
      </c>
      <c r="CX773">
        <f>Y773*Source!I665</f>
        <v>1E-3</v>
      </c>
      <c r="CY773">
        <f>AB773</f>
        <v>734.65</v>
      </c>
      <c r="CZ773">
        <f>AF773</f>
        <v>111.99</v>
      </c>
      <c r="DA773">
        <f>AJ773</f>
        <v>6.56</v>
      </c>
      <c r="DB773">
        <f>ROUND((ROUND(AT773*CZ773,2)*1.25),2)</f>
        <v>1.4</v>
      </c>
      <c r="DC773">
        <f>ROUND((ROUND(AT773*AG773,2)*1.25),2)</f>
        <v>0.18</v>
      </c>
    </row>
    <row r="774" spans="1:107" x14ac:dyDescent="0.2">
      <c r="A774">
        <f>ROW(Source!A665)</f>
        <v>665</v>
      </c>
      <c r="B774">
        <v>16748969</v>
      </c>
      <c r="C774">
        <v>16752019</v>
      </c>
      <c r="D774">
        <v>15249073</v>
      </c>
      <c r="E774">
        <v>1</v>
      </c>
      <c r="F774">
        <v>1</v>
      </c>
      <c r="G774">
        <v>1</v>
      </c>
      <c r="H774">
        <v>2</v>
      </c>
      <c r="I774" t="s">
        <v>1097</v>
      </c>
      <c r="J774" t="s">
        <v>1098</v>
      </c>
      <c r="K774" t="s">
        <v>1099</v>
      </c>
      <c r="L774">
        <v>1368</v>
      </c>
      <c r="N774">
        <v>1011</v>
      </c>
      <c r="O774" t="s">
        <v>1078</v>
      </c>
      <c r="P774" t="s">
        <v>1078</v>
      </c>
      <c r="Q774">
        <v>1</v>
      </c>
      <c r="W774">
        <v>0</v>
      </c>
      <c r="X774">
        <v>1372534845</v>
      </c>
      <c r="Y774">
        <v>1.2500000000000001E-2</v>
      </c>
      <c r="AA774">
        <v>0</v>
      </c>
      <c r="AB774">
        <v>431.06</v>
      </c>
      <c r="AC774">
        <v>11.6</v>
      </c>
      <c r="AD774">
        <v>0</v>
      </c>
      <c r="AE774">
        <v>0</v>
      </c>
      <c r="AF774">
        <v>65.709999999999994</v>
      </c>
      <c r="AG774">
        <v>11.6</v>
      </c>
      <c r="AH774">
        <v>0</v>
      </c>
      <c r="AI774">
        <v>1</v>
      </c>
      <c r="AJ774">
        <v>6.56</v>
      </c>
      <c r="AK774">
        <v>1</v>
      </c>
      <c r="AL774">
        <v>1</v>
      </c>
      <c r="AN774">
        <v>0</v>
      </c>
      <c r="AO774">
        <v>1</v>
      </c>
      <c r="AP774">
        <v>1</v>
      </c>
      <c r="AQ774">
        <v>0</v>
      </c>
      <c r="AR774">
        <v>0</v>
      </c>
      <c r="AS774" t="s">
        <v>6</v>
      </c>
      <c r="AT774">
        <v>0.01</v>
      </c>
      <c r="AU774" t="s">
        <v>172</v>
      </c>
      <c r="AV774">
        <v>0</v>
      </c>
      <c r="AW774">
        <v>2</v>
      </c>
      <c r="AX774">
        <v>16752034</v>
      </c>
      <c r="AY774">
        <v>1</v>
      </c>
      <c r="AZ774">
        <v>0</v>
      </c>
      <c r="BA774">
        <v>729</v>
      </c>
      <c r="BB774">
        <v>0</v>
      </c>
      <c r="BC774">
        <v>0</v>
      </c>
      <c r="BD774">
        <v>0</v>
      </c>
      <c r="BE774">
        <v>0</v>
      </c>
      <c r="BF774">
        <v>0</v>
      </c>
      <c r="BG774">
        <v>0</v>
      </c>
      <c r="BH774">
        <v>0</v>
      </c>
      <c r="BI774">
        <v>0</v>
      </c>
      <c r="BJ774">
        <v>0</v>
      </c>
      <c r="BK774">
        <v>0</v>
      </c>
      <c r="BL774">
        <v>0</v>
      </c>
      <c r="BM774">
        <v>0</v>
      </c>
      <c r="BN774">
        <v>0</v>
      </c>
      <c r="BO774">
        <v>0</v>
      </c>
      <c r="BP774">
        <v>0</v>
      </c>
      <c r="BQ774">
        <v>0</v>
      </c>
      <c r="BR774">
        <v>0</v>
      </c>
      <c r="BS774">
        <v>0</v>
      </c>
      <c r="BT774">
        <v>0</v>
      </c>
      <c r="BU774">
        <v>0</v>
      </c>
      <c r="BV774">
        <v>0</v>
      </c>
      <c r="BW774">
        <v>0</v>
      </c>
      <c r="CX774">
        <f>Y774*Source!I665</f>
        <v>1E-3</v>
      </c>
      <c r="CY774">
        <f>AB774</f>
        <v>431.06</v>
      </c>
      <c r="CZ774">
        <f>AF774</f>
        <v>65.709999999999994</v>
      </c>
      <c r="DA774">
        <f>AJ774</f>
        <v>6.56</v>
      </c>
      <c r="DB774">
        <f>ROUND((ROUND(AT774*CZ774,2)*1.25),2)</f>
        <v>0.83</v>
      </c>
      <c r="DC774">
        <f>ROUND((ROUND(AT774*AG774,2)*1.25),2)</f>
        <v>0.15</v>
      </c>
    </row>
    <row r="775" spans="1:107" x14ac:dyDescent="0.2">
      <c r="A775">
        <f>ROW(Source!A665)</f>
        <v>665</v>
      </c>
      <c r="B775">
        <v>16748969</v>
      </c>
      <c r="C775">
        <v>16752019</v>
      </c>
      <c r="D775">
        <v>15167286</v>
      </c>
      <c r="E775">
        <v>1</v>
      </c>
      <c r="F775">
        <v>1</v>
      </c>
      <c r="G775">
        <v>1</v>
      </c>
      <c r="H775">
        <v>3</v>
      </c>
      <c r="I775" t="s">
        <v>1079</v>
      </c>
      <c r="J775" t="s">
        <v>1080</v>
      </c>
      <c r="K775" t="s">
        <v>1081</v>
      </c>
      <c r="L775">
        <v>1339</v>
      </c>
      <c r="N775">
        <v>1007</v>
      </c>
      <c r="O775" t="s">
        <v>283</v>
      </c>
      <c r="P775" t="s">
        <v>283</v>
      </c>
      <c r="Q775">
        <v>1</v>
      </c>
      <c r="W775">
        <v>0</v>
      </c>
      <c r="X775">
        <v>-1660354250</v>
      </c>
      <c r="Y775">
        <v>0.39</v>
      </c>
      <c r="AA775">
        <v>16.010000000000002</v>
      </c>
      <c r="AB775">
        <v>0</v>
      </c>
      <c r="AC775">
        <v>0</v>
      </c>
      <c r="AD775">
        <v>0</v>
      </c>
      <c r="AE775">
        <v>2.44</v>
      </c>
      <c r="AF775">
        <v>0</v>
      </c>
      <c r="AG775">
        <v>0</v>
      </c>
      <c r="AH775">
        <v>0</v>
      </c>
      <c r="AI775">
        <v>6.56</v>
      </c>
      <c r="AJ775">
        <v>1</v>
      </c>
      <c r="AK775">
        <v>1</v>
      </c>
      <c r="AL775">
        <v>1</v>
      </c>
      <c r="AN775">
        <v>0</v>
      </c>
      <c r="AO775">
        <v>1</v>
      </c>
      <c r="AP775">
        <v>0</v>
      </c>
      <c r="AQ775">
        <v>0</v>
      </c>
      <c r="AR775">
        <v>0</v>
      </c>
      <c r="AS775" t="s">
        <v>6</v>
      </c>
      <c r="AT775">
        <v>0.39</v>
      </c>
      <c r="AU775" t="s">
        <v>6</v>
      </c>
      <c r="AV775">
        <v>0</v>
      </c>
      <c r="AW775">
        <v>2</v>
      </c>
      <c r="AX775">
        <v>16752035</v>
      </c>
      <c r="AY775">
        <v>1</v>
      </c>
      <c r="AZ775">
        <v>0</v>
      </c>
      <c r="BA775">
        <v>730</v>
      </c>
      <c r="BB775">
        <v>0</v>
      </c>
      <c r="BC775">
        <v>0</v>
      </c>
      <c r="BD775">
        <v>0</v>
      </c>
      <c r="BE775">
        <v>0</v>
      </c>
      <c r="BF775">
        <v>0</v>
      </c>
      <c r="BG775">
        <v>0</v>
      </c>
      <c r="BH775">
        <v>0</v>
      </c>
      <c r="BI775">
        <v>0</v>
      </c>
      <c r="BJ775">
        <v>0</v>
      </c>
      <c r="BK775">
        <v>0</v>
      </c>
      <c r="BL775">
        <v>0</v>
      </c>
      <c r="BM775">
        <v>0</v>
      </c>
      <c r="BN775">
        <v>0</v>
      </c>
      <c r="BO775">
        <v>0</v>
      </c>
      <c r="BP775">
        <v>0</v>
      </c>
      <c r="BQ775">
        <v>0</v>
      </c>
      <c r="BR775">
        <v>0</v>
      </c>
      <c r="BS775">
        <v>0</v>
      </c>
      <c r="BT775">
        <v>0</v>
      </c>
      <c r="BU775">
        <v>0</v>
      </c>
      <c r="BV775">
        <v>0</v>
      </c>
      <c r="BW775">
        <v>0</v>
      </c>
      <c r="CX775">
        <f>Y775*Source!I665</f>
        <v>3.1200000000000002E-2</v>
      </c>
      <c r="CY775">
        <f>AA775</f>
        <v>16.010000000000002</v>
      </c>
      <c r="CZ775">
        <f>AE775</f>
        <v>2.44</v>
      </c>
      <c r="DA775">
        <f>AI775</f>
        <v>6.56</v>
      </c>
      <c r="DB775">
        <f>ROUND(ROUND(AT775*CZ775,2),2)</f>
        <v>0.95</v>
      </c>
      <c r="DC775">
        <f>ROUND(ROUND(AT775*AG775,2),2)</f>
        <v>0</v>
      </c>
    </row>
    <row r="776" spans="1:107" x14ac:dyDescent="0.2">
      <c r="A776">
        <f>ROW(Source!A665)</f>
        <v>665</v>
      </c>
      <c r="B776">
        <v>16748969</v>
      </c>
      <c r="C776">
        <v>16752019</v>
      </c>
      <c r="D776">
        <v>15169924</v>
      </c>
      <c r="E776">
        <v>1</v>
      </c>
      <c r="F776">
        <v>1</v>
      </c>
      <c r="G776">
        <v>1</v>
      </c>
      <c r="H776">
        <v>3</v>
      </c>
      <c r="I776" t="s">
        <v>1570</v>
      </c>
      <c r="J776" t="s">
        <v>1571</v>
      </c>
      <c r="K776" t="s">
        <v>1572</v>
      </c>
      <c r="L776">
        <v>1348</v>
      </c>
      <c r="N776">
        <v>1009</v>
      </c>
      <c r="O776" t="s">
        <v>71</v>
      </c>
      <c r="P776" t="s">
        <v>71</v>
      </c>
      <c r="Q776">
        <v>1000</v>
      </c>
      <c r="W776">
        <v>0</v>
      </c>
      <c r="X776">
        <v>-405065451</v>
      </c>
      <c r="Y776">
        <v>1.1999999999999999E-3</v>
      </c>
      <c r="AA776">
        <v>97284.800000000003</v>
      </c>
      <c r="AB776">
        <v>0</v>
      </c>
      <c r="AC776">
        <v>0</v>
      </c>
      <c r="AD776">
        <v>0</v>
      </c>
      <c r="AE776">
        <v>14830</v>
      </c>
      <c r="AF776">
        <v>0</v>
      </c>
      <c r="AG776">
        <v>0</v>
      </c>
      <c r="AH776">
        <v>0</v>
      </c>
      <c r="AI776">
        <v>6.56</v>
      </c>
      <c r="AJ776">
        <v>1</v>
      </c>
      <c r="AK776">
        <v>1</v>
      </c>
      <c r="AL776">
        <v>1</v>
      </c>
      <c r="AN776">
        <v>0</v>
      </c>
      <c r="AO776">
        <v>1</v>
      </c>
      <c r="AP776">
        <v>0</v>
      </c>
      <c r="AQ776">
        <v>0</v>
      </c>
      <c r="AR776">
        <v>0</v>
      </c>
      <c r="AS776" t="s">
        <v>6</v>
      </c>
      <c r="AT776">
        <v>1.1999999999999999E-3</v>
      </c>
      <c r="AU776" t="s">
        <v>6</v>
      </c>
      <c r="AV776">
        <v>0</v>
      </c>
      <c r="AW776">
        <v>2</v>
      </c>
      <c r="AX776">
        <v>16752036</v>
      </c>
      <c r="AY776">
        <v>1</v>
      </c>
      <c r="AZ776">
        <v>0</v>
      </c>
      <c r="BA776">
        <v>731</v>
      </c>
      <c r="BB776">
        <v>0</v>
      </c>
      <c r="BC776">
        <v>0</v>
      </c>
      <c r="BD776">
        <v>0</v>
      </c>
      <c r="BE776">
        <v>0</v>
      </c>
      <c r="BF776">
        <v>0</v>
      </c>
      <c r="BG776">
        <v>0</v>
      </c>
      <c r="BH776">
        <v>0</v>
      </c>
      <c r="BI776">
        <v>0</v>
      </c>
      <c r="BJ776">
        <v>0</v>
      </c>
      <c r="BK776">
        <v>0</v>
      </c>
      <c r="BL776">
        <v>0</v>
      </c>
      <c r="BM776">
        <v>0</v>
      </c>
      <c r="BN776">
        <v>0</v>
      </c>
      <c r="BO776">
        <v>0</v>
      </c>
      <c r="BP776">
        <v>0</v>
      </c>
      <c r="BQ776">
        <v>0</v>
      </c>
      <c r="BR776">
        <v>0</v>
      </c>
      <c r="BS776">
        <v>0</v>
      </c>
      <c r="BT776">
        <v>0</v>
      </c>
      <c r="BU776">
        <v>0</v>
      </c>
      <c r="BV776">
        <v>0</v>
      </c>
      <c r="BW776">
        <v>0</v>
      </c>
      <c r="CX776">
        <f>Y776*Source!I665</f>
        <v>9.5999999999999989E-5</v>
      </c>
      <c r="CY776">
        <f>AA776</f>
        <v>97284.800000000003</v>
      </c>
      <c r="CZ776">
        <f>AE776</f>
        <v>14830</v>
      </c>
      <c r="DA776">
        <f>AI776</f>
        <v>6.56</v>
      </c>
      <c r="DB776">
        <f>ROUND(ROUND(AT776*CZ776,2),2)</f>
        <v>17.8</v>
      </c>
      <c r="DC776">
        <f>ROUND(ROUND(AT776*AG776,2),2)</f>
        <v>0</v>
      </c>
    </row>
    <row r="777" spans="1:107" x14ac:dyDescent="0.2">
      <c r="A777">
        <f>ROW(Source!A665)</f>
        <v>665</v>
      </c>
      <c r="B777">
        <v>16748969</v>
      </c>
      <c r="C777">
        <v>16752019</v>
      </c>
      <c r="D777">
        <v>15170781</v>
      </c>
      <c r="E777">
        <v>1</v>
      </c>
      <c r="F777">
        <v>1</v>
      </c>
      <c r="G777">
        <v>1</v>
      </c>
      <c r="H777">
        <v>3</v>
      </c>
      <c r="I777" t="s">
        <v>1573</v>
      </c>
      <c r="J777" t="s">
        <v>1574</v>
      </c>
      <c r="K777" t="s">
        <v>1575</v>
      </c>
      <c r="L777">
        <v>1346</v>
      </c>
      <c r="N777">
        <v>1009</v>
      </c>
      <c r="O777" t="s">
        <v>323</v>
      </c>
      <c r="P777" t="s">
        <v>323</v>
      </c>
      <c r="Q777">
        <v>1</v>
      </c>
      <c r="W777">
        <v>0</v>
      </c>
      <c r="X777">
        <v>1537401615</v>
      </c>
      <c r="Y777">
        <v>1.5</v>
      </c>
      <c r="AA777">
        <v>160.13</v>
      </c>
      <c r="AB777">
        <v>0</v>
      </c>
      <c r="AC777">
        <v>0</v>
      </c>
      <c r="AD777">
        <v>0</v>
      </c>
      <c r="AE777">
        <v>24.41</v>
      </c>
      <c r="AF777">
        <v>0</v>
      </c>
      <c r="AG777">
        <v>0</v>
      </c>
      <c r="AH777">
        <v>0</v>
      </c>
      <c r="AI777">
        <v>6.56</v>
      </c>
      <c r="AJ777">
        <v>1</v>
      </c>
      <c r="AK777">
        <v>1</v>
      </c>
      <c r="AL777">
        <v>1</v>
      </c>
      <c r="AN777">
        <v>0</v>
      </c>
      <c r="AO777">
        <v>1</v>
      </c>
      <c r="AP777">
        <v>0</v>
      </c>
      <c r="AQ777">
        <v>0</v>
      </c>
      <c r="AR777">
        <v>0</v>
      </c>
      <c r="AS777" t="s">
        <v>6</v>
      </c>
      <c r="AT777">
        <v>1.5</v>
      </c>
      <c r="AU777" t="s">
        <v>6</v>
      </c>
      <c r="AV777">
        <v>0</v>
      </c>
      <c r="AW777">
        <v>2</v>
      </c>
      <c r="AX777">
        <v>16752037</v>
      </c>
      <c r="AY777">
        <v>1</v>
      </c>
      <c r="AZ777">
        <v>0</v>
      </c>
      <c r="BA777">
        <v>732</v>
      </c>
      <c r="BB777">
        <v>0</v>
      </c>
      <c r="BC777">
        <v>0</v>
      </c>
      <c r="BD777">
        <v>0</v>
      </c>
      <c r="BE777">
        <v>0</v>
      </c>
      <c r="BF777">
        <v>0</v>
      </c>
      <c r="BG777">
        <v>0</v>
      </c>
      <c r="BH777">
        <v>0</v>
      </c>
      <c r="BI777">
        <v>0</v>
      </c>
      <c r="BJ777">
        <v>0</v>
      </c>
      <c r="BK777">
        <v>0</v>
      </c>
      <c r="BL777">
        <v>0</v>
      </c>
      <c r="BM777">
        <v>0</v>
      </c>
      <c r="BN777">
        <v>0</v>
      </c>
      <c r="BO777">
        <v>0</v>
      </c>
      <c r="BP777">
        <v>0</v>
      </c>
      <c r="BQ777">
        <v>0</v>
      </c>
      <c r="BR777">
        <v>0</v>
      </c>
      <c r="BS777">
        <v>0</v>
      </c>
      <c r="BT777">
        <v>0</v>
      </c>
      <c r="BU777">
        <v>0</v>
      </c>
      <c r="BV777">
        <v>0</v>
      </c>
      <c r="BW777">
        <v>0</v>
      </c>
      <c r="CX777">
        <f>Y777*Source!I665</f>
        <v>0.12</v>
      </c>
      <c r="CY777">
        <f>AA777</f>
        <v>160.13</v>
      </c>
      <c r="CZ777">
        <f>AE777</f>
        <v>24.41</v>
      </c>
      <c r="DA777">
        <f>AI777</f>
        <v>6.56</v>
      </c>
      <c r="DB777">
        <f>ROUND(ROUND(AT777*CZ777,2),2)</f>
        <v>36.619999999999997</v>
      </c>
      <c r="DC777">
        <f>ROUND(ROUND(AT777*AG777,2),2)</f>
        <v>0</v>
      </c>
    </row>
    <row r="778" spans="1:107" x14ac:dyDescent="0.2">
      <c r="A778">
        <f>ROW(Source!A665)</f>
        <v>665</v>
      </c>
      <c r="B778">
        <v>16748969</v>
      </c>
      <c r="C778">
        <v>16752019</v>
      </c>
      <c r="D778">
        <v>15232880</v>
      </c>
      <c r="E778">
        <v>1</v>
      </c>
      <c r="F778">
        <v>1</v>
      </c>
      <c r="G778">
        <v>1</v>
      </c>
      <c r="H778">
        <v>3</v>
      </c>
      <c r="I778" t="s">
        <v>998</v>
      </c>
      <c r="J778" t="s">
        <v>1000</v>
      </c>
      <c r="K778" t="s">
        <v>999</v>
      </c>
      <c r="L778">
        <v>1348</v>
      </c>
      <c r="N778">
        <v>1009</v>
      </c>
      <c r="O778" t="s">
        <v>71</v>
      </c>
      <c r="P778" t="s">
        <v>71</v>
      </c>
      <c r="Q778">
        <v>1000</v>
      </c>
      <c r="W778">
        <v>0</v>
      </c>
      <c r="X778">
        <v>-1558467010</v>
      </c>
      <c r="Y778">
        <v>7.4999999999999997E-3</v>
      </c>
      <c r="AA778">
        <v>175344.67</v>
      </c>
      <c r="AB778">
        <v>0</v>
      </c>
      <c r="AC778">
        <v>0</v>
      </c>
      <c r="AD778">
        <v>0</v>
      </c>
      <c r="AE778">
        <v>26729.37</v>
      </c>
      <c r="AF778">
        <v>0</v>
      </c>
      <c r="AG778">
        <v>0</v>
      </c>
      <c r="AH778">
        <v>0</v>
      </c>
      <c r="AI778">
        <v>6.56</v>
      </c>
      <c r="AJ778">
        <v>1</v>
      </c>
      <c r="AK778">
        <v>1</v>
      </c>
      <c r="AL778">
        <v>1</v>
      </c>
      <c r="AN778">
        <v>0</v>
      </c>
      <c r="AO778">
        <v>0</v>
      </c>
      <c r="AP778">
        <v>0</v>
      </c>
      <c r="AQ778">
        <v>0</v>
      </c>
      <c r="AR778">
        <v>0</v>
      </c>
      <c r="AS778" t="s">
        <v>6</v>
      </c>
      <c r="AT778">
        <v>7.4999999999999997E-3</v>
      </c>
      <c r="AU778" t="s">
        <v>6</v>
      </c>
      <c r="AV778">
        <v>0</v>
      </c>
      <c r="AW778">
        <v>1</v>
      </c>
      <c r="AX778">
        <v>-1</v>
      </c>
      <c r="AY778">
        <v>0</v>
      </c>
      <c r="AZ778">
        <v>0</v>
      </c>
      <c r="BA778" t="s">
        <v>6</v>
      </c>
      <c r="BB778">
        <v>0</v>
      </c>
      <c r="BC778">
        <v>0</v>
      </c>
      <c r="BD778">
        <v>0</v>
      </c>
      <c r="BE778">
        <v>0</v>
      </c>
      <c r="BF778">
        <v>0</v>
      </c>
      <c r="BG778">
        <v>0</v>
      </c>
      <c r="BH778">
        <v>0</v>
      </c>
      <c r="BI778">
        <v>0</v>
      </c>
      <c r="BJ778">
        <v>0</v>
      </c>
      <c r="BK778">
        <v>0</v>
      </c>
      <c r="BL778">
        <v>0</v>
      </c>
      <c r="BM778">
        <v>0</v>
      </c>
      <c r="BN778">
        <v>0</v>
      </c>
      <c r="BO778">
        <v>0</v>
      </c>
      <c r="BP778">
        <v>0</v>
      </c>
      <c r="BQ778">
        <v>0</v>
      </c>
      <c r="BR778">
        <v>0</v>
      </c>
      <c r="BS778">
        <v>0</v>
      </c>
      <c r="BT778">
        <v>0</v>
      </c>
      <c r="BU778">
        <v>0</v>
      </c>
      <c r="BV778">
        <v>0</v>
      </c>
      <c r="BW778">
        <v>0</v>
      </c>
      <c r="CX778">
        <f>Y778*Source!I665</f>
        <v>5.9999999999999995E-4</v>
      </c>
      <c r="CY778">
        <f>AA778</f>
        <v>175344.67</v>
      </c>
      <c r="CZ778">
        <f>AE778</f>
        <v>26729.37</v>
      </c>
      <c r="DA778">
        <f>AI778</f>
        <v>6.56</v>
      </c>
      <c r="DB778">
        <f>ROUND(ROUND(AT778*CZ778,2),2)</f>
        <v>200.47</v>
      </c>
      <c r="DC778">
        <f>ROUND(ROUND(AT778*AG778,2),2)</f>
        <v>0</v>
      </c>
    </row>
    <row r="779" spans="1:107" x14ac:dyDescent="0.2">
      <c r="A779">
        <f>ROW(Source!A665)</f>
        <v>665</v>
      </c>
      <c r="B779">
        <v>16748969</v>
      </c>
      <c r="C779">
        <v>16752019</v>
      </c>
      <c r="D779">
        <v>15233463</v>
      </c>
      <c r="E779">
        <v>1</v>
      </c>
      <c r="F779">
        <v>1</v>
      </c>
      <c r="G779">
        <v>1</v>
      </c>
      <c r="H779">
        <v>3</v>
      </c>
      <c r="I779" t="s">
        <v>994</v>
      </c>
      <c r="J779" t="s">
        <v>996</v>
      </c>
      <c r="K779" t="s">
        <v>995</v>
      </c>
      <c r="L779">
        <v>1301</v>
      </c>
      <c r="N779">
        <v>1003</v>
      </c>
      <c r="O779" t="s">
        <v>206</v>
      </c>
      <c r="P779" t="s">
        <v>206</v>
      </c>
      <c r="Q779">
        <v>1</v>
      </c>
      <c r="W779">
        <v>0</v>
      </c>
      <c r="X779">
        <v>-1292047200</v>
      </c>
      <c r="Y779">
        <v>100</v>
      </c>
      <c r="AA779">
        <v>311.33999999999997</v>
      </c>
      <c r="AB779">
        <v>0</v>
      </c>
      <c r="AC779">
        <v>0</v>
      </c>
      <c r="AD779">
        <v>0</v>
      </c>
      <c r="AE779">
        <v>47.46</v>
      </c>
      <c r="AF779">
        <v>0</v>
      </c>
      <c r="AG779">
        <v>0</v>
      </c>
      <c r="AH779">
        <v>0</v>
      </c>
      <c r="AI779">
        <v>6.56</v>
      </c>
      <c r="AJ779">
        <v>1</v>
      </c>
      <c r="AK779">
        <v>1</v>
      </c>
      <c r="AL779">
        <v>1</v>
      </c>
      <c r="AN779">
        <v>0</v>
      </c>
      <c r="AO779">
        <v>0</v>
      </c>
      <c r="AP779">
        <v>0</v>
      </c>
      <c r="AQ779">
        <v>0</v>
      </c>
      <c r="AR779">
        <v>0</v>
      </c>
      <c r="AS779" t="s">
        <v>6</v>
      </c>
      <c r="AT779">
        <v>100</v>
      </c>
      <c r="AU779" t="s">
        <v>6</v>
      </c>
      <c r="AV779">
        <v>0</v>
      </c>
      <c r="AW779">
        <v>1</v>
      </c>
      <c r="AX779">
        <v>-1</v>
      </c>
      <c r="AY779">
        <v>0</v>
      </c>
      <c r="AZ779">
        <v>0</v>
      </c>
      <c r="BA779" t="s">
        <v>6</v>
      </c>
      <c r="BB779">
        <v>0</v>
      </c>
      <c r="BC779">
        <v>0</v>
      </c>
      <c r="BD779">
        <v>0</v>
      </c>
      <c r="BE779">
        <v>0</v>
      </c>
      <c r="BF779">
        <v>0</v>
      </c>
      <c r="BG779">
        <v>0</v>
      </c>
      <c r="BH779">
        <v>0</v>
      </c>
      <c r="BI779">
        <v>0</v>
      </c>
      <c r="BJ779">
        <v>0</v>
      </c>
      <c r="BK779">
        <v>0</v>
      </c>
      <c r="BL779">
        <v>0</v>
      </c>
      <c r="BM779">
        <v>0</v>
      </c>
      <c r="BN779">
        <v>0</v>
      </c>
      <c r="BO779">
        <v>0</v>
      </c>
      <c r="BP779">
        <v>0</v>
      </c>
      <c r="BQ779">
        <v>0</v>
      </c>
      <c r="BR779">
        <v>0</v>
      </c>
      <c r="BS779">
        <v>0</v>
      </c>
      <c r="BT779">
        <v>0</v>
      </c>
      <c r="BU779">
        <v>0</v>
      </c>
      <c r="BV779">
        <v>0</v>
      </c>
      <c r="BW779">
        <v>0</v>
      </c>
      <c r="CX779">
        <f>Y779*Source!I665</f>
        <v>8</v>
      </c>
      <c r="CY779">
        <f>AA779</f>
        <v>311.33999999999997</v>
      </c>
      <c r="CZ779">
        <f>AE779</f>
        <v>47.46</v>
      </c>
      <c r="DA779">
        <f>AI779</f>
        <v>6.56</v>
      </c>
      <c r="DB779">
        <f>ROUND(ROUND(AT779*CZ779,2),2)</f>
        <v>4746</v>
      </c>
      <c r="DC779">
        <f>ROUND(ROUND(AT779*AG779,2),2)</f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35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44" x14ac:dyDescent="0.2">
      <c r="A1">
        <f>ROW(Source!A36)</f>
        <v>36</v>
      </c>
      <c r="B1">
        <v>16749795</v>
      </c>
      <c r="C1">
        <v>16749787</v>
      </c>
      <c r="D1">
        <v>15430767</v>
      </c>
      <c r="E1">
        <v>1</v>
      </c>
      <c r="F1">
        <v>1</v>
      </c>
      <c r="G1">
        <v>1</v>
      </c>
      <c r="H1">
        <v>1</v>
      </c>
      <c r="I1" t="s">
        <v>1070</v>
      </c>
      <c r="J1" t="s">
        <v>6</v>
      </c>
      <c r="K1" t="s">
        <v>1071</v>
      </c>
      <c r="L1">
        <v>1191</v>
      </c>
      <c r="N1">
        <v>1013</v>
      </c>
      <c r="O1" t="s">
        <v>1072</v>
      </c>
      <c r="P1" t="s">
        <v>1072</v>
      </c>
      <c r="Q1">
        <v>1</v>
      </c>
      <c r="X1">
        <v>46.19</v>
      </c>
      <c r="Y1">
        <v>0</v>
      </c>
      <c r="Z1">
        <v>0</v>
      </c>
      <c r="AA1">
        <v>0</v>
      </c>
      <c r="AB1">
        <v>8.5299999999999994</v>
      </c>
      <c r="AC1">
        <v>0</v>
      </c>
      <c r="AD1">
        <v>1</v>
      </c>
      <c r="AE1">
        <v>1</v>
      </c>
      <c r="AF1" t="s">
        <v>6</v>
      </c>
      <c r="AG1">
        <v>46.19</v>
      </c>
      <c r="AH1">
        <v>2</v>
      </c>
      <c r="AI1">
        <v>16749788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 x14ac:dyDescent="0.2">
      <c r="A2">
        <f>ROW(Source!A36)</f>
        <v>36</v>
      </c>
      <c r="B2">
        <v>16749796</v>
      </c>
      <c r="C2">
        <v>16749787</v>
      </c>
      <c r="D2">
        <v>15430395</v>
      </c>
      <c r="E2">
        <v>1</v>
      </c>
      <c r="F2">
        <v>1</v>
      </c>
      <c r="G2">
        <v>1</v>
      </c>
      <c r="H2">
        <v>1</v>
      </c>
      <c r="I2" t="s">
        <v>1073</v>
      </c>
      <c r="J2" t="s">
        <v>6</v>
      </c>
      <c r="K2" t="s">
        <v>1074</v>
      </c>
      <c r="L2">
        <v>1191</v>
      </c>
      <c r="N2">
        <v>1013</v>
      </c>
      <c r="O2" t="s">
        <v>1072</v>
      </c>
      <c r="P2" t="s">
        <v>1072</v>
      </c>
      <c r="Q2">
        <v>1</v>
      </c>
      <c r="X2">
        <v>0.01</v>
      </c>
      <c r="Y2">
        <v>0</v>
      </c>
      <c r="Z2">
        <v>0</v>
      </c>
      <c r="AA2">
        <v>0</v>
      </c>
      <c r="AB2">
        <v>0</v>
      </c>
      <c r="AC2">
        <v>0</v>
      </c>
      <c r="AD2">
        <v>1</v>
      </c>
      <c r="AE2">
        <v>2</v>
      </c>
      <c r="AF2" t="s">
        <v>6</v>
      </c>
      <c r="AG2">
        <v>0.01</v>
      </c>
      <c r="AH2">
        <v>2</v>
      </c>
      <c r="AI2">
        <v>16749789</v>
      </c>
      <c r="AJ2">
        <v>2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 x14ac:dyDescent="0.2">
      <c r="A3">
        <f>ROW(Source!A36)</f>
        <v>36</v>
      </c>
      <c r="B3">
        <v>16749797</v>
      </c>
      <c r="C3">
        <v>16749787</v>
      </c>
      <c r="D3">
        <v>15247974</v>
      </c>
      <c r="E3">
        <v>1</v>
      </c>
      <c r="F3">
        <v>1</v>
      </c>
      <c r="G3">
        <v>1</v>
      </c>
      <c r="H3">
        <v>2</v>
      </c>
      <c r="I3" t="s">
        <v>1075</v>
      </c>
      <c r="J3" t="s">
        <v>1076</v>
      </c>
      <c r="K3" t="s">
        <v>1077</v>
      </c>
      <c r="L3">
        <v>1368</v>
      </c>
      <c r="N3">
        <v>1011</v>
      </c>
      <c r="O3" t="s">
        <v>1078</v>
      </c>
      <c r="P3" t="s">
        <v>1078</v>
      </c>
      <c r="Q3">
        <v>1</v>
      </c>
      <c r="X3">
        <v>0.01</v>
      </c>
      <c r="Y3">
        <v>0</v>
      </c>
      <c r="Z3">
        <v>31.26</v>
      </c>
      <c r="AA3">
        <v>13.5</v>
      </c>
      <c r="AB3">
        <v>0</v>
      </c>
      <c r="AC3">
        <v>0</v>
      </c>
      <c r="AD3">
        <v>1</v>
      </c>
      <c r="AE3">
        <v>0</v>
      </c>
      <c r="AF3" t="s">
        <v>6</v>
      </c>
      <c r="AG3">
        <v>0.01</v>
      </c>
      <c r="AH3">
        <v>2</v>
      </c>
      <c r="AI3">
        <v>16749790</v>
      </c>
      <c r="AJ3">
        <v>3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 x14ac:dyDescent="0.2">
      <c r="A4">
        <f>ROW(Source!A36)</f>
        <v>36</v>
      </c>
      <c r="B4">
        <v>16749798</v>
      </c>
      <c r="C4">
        <v>16749787</v>
      </c>
      <c r="D4">
        <v>15167286</v>
      </c>
      <c r="E4">
        <v>1</v>
      </c>
      <c r="F4">
        <v>1</v>
      </c>
      <c r="G4">
        <v>1</v>
      </c>
      <c r="H4">
        <v>3</v>
      </c>
      <c r="I4" t="s">
        <v>1079</v>
      </c>
      <c r="J4" t="s">
        <v>1080</v>
      </c>
      <c r="K4" t="s">
        <v>1081</v>
      </c>
      <c r="L4">
        <v>1339</v>
      </c>
      <c r="N4">
        <v>1007</v>
      </c>
      <c r="O4" t="s">
        <v>283</v>
      </c>
      <c r="P4" t="s">
        <v>283</v>
      </c>
      <c r="Q4">
        <v>1</v>
      </c>
      <c r="X4">
        <v>0.02</v>
      </c>
      <c r="Y4">
        <v>2.44</v>
      </c>
      <c r="Z4">
        <v>0</v>
      </c>
      <c r="AA4">
        <v>0</v>
      </c>
      <c r="AB4">
        <v>0</v>
      </c>
      <c r="AC4">
        <v>0</v>
      </c>
      <c r="AD4">
        <v>1</v>
      </c>
      <c r="AE4">
        <v>0</v>
      </c>
      <c r="AF4" t="s">
        <v>6</v>
      </c>
      <c r="AG4">
        <v>0.02</v>
      </c>
      <c r="AH4">
        <v>2</v>
      </c>
      <c r="AI4">
        <v>16749791</v>
      </c>
      <c r="AJ4">
        <v>4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 x14ac:dyDescent="0.2">
      <c r="A5">
        <f>ROW(Source!A36)</f>
        <v>36</v>
      </c>
      <c r="B5">
        <v>16749799</v>
      </c>
      <c r="C5">
        <v>16749787</v>
      </c>
      <c r="D5">
        <v>15164566</v>
      </c>
      <c r="E5">
        <v>17</v>
      </c>
      <c r="F5">
        <v>1</v>
      </c>
      <c r="G5">
        <v>1</v>
      </c>
      <c r="H5">
        <v>3</v>
      </c>
      <c r="I5" t="s">
        <v>69</v>
      </c>
      <c r="J5" t="s">
        <v>6</v>
      </c>
      <c r="K5" t="s">
        <v>70</v>
      </c>
      <c r="L5">
        <v>1348</v>
      </c>
      <c r="N5">
        <v>1009</v>
      </c>
      <c r="O5" t="s">
        <v>71</v>
      </c>
      <c r="P5" t="s">
        <v>71</v>
      </c>
      <c r="Q5">
        <v>1000</v>
      </c>
      <c r="X5">
        <v>7.0000000000000007E-2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 t="s">
        <v>6</v>
      </c>
      <c r="AG5">
        <v>7.0000000000000007E-2</v>
      </c>
      <c r="AH5">
        <v>3</v>
      </c>
      <c r="AI5">
        <v>-1</v>
      </c>
      <c r="AJ5" t="s">
        <v>6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 x14ac:dyDescent="0.2">
      <c r="A6">
        <f>ROW(Source!A36)</f>
        <v>36</v>
      </c>
      <c r="B6">
        <v>16749800</v>
      </c>
      <c r="C6">
        <v>16749787</v>
      </c>
      <c r="D6">
        <v>15171982</v>
      </c>
      <c r="E6">
        <v>1</v>
      </c>
      <c r="F6">
        <v>1</v>
      </c>
      <c r="G6">
        <v>1</v>
      </c>
      <c r="H6">
        <v>3</v>
      </c>
      <c r="I6" t="s">
        <v>1082</v>
      </c>
      <c r="J6" t="s">
        <v>1083</v>
      </c>
      <c r="K6" t="s">
        <v>1084</v>
      </c>
      <c r="L6">
        <v>1348</v>
      </c>
      <c r="N6">
        <v>1009</v>
      </c>
      <c r="O6" t="s">
        <v>71</v>
      </c>
      <c r="P6" t="s">
        <v>71</v>
      </c>
      <c r="Q6">
        <v>1000</v>
      </c>
      <c r="X6">
        <v>0.05</v>
      </c>
      <c r="Y6">
        <v>729.98</v>
      </c>
      <c r="Z6">
        <v>0</v>
      </c>
      <c r="AA6">
        <v>0</v>
      </c>
      <c r="AB6">
        <v>0</v>
      </c>
      <c r="AC6">
        <v>0</v>
      </c>
      <c r="AD6">
        <v>1</v>
      </c>
      <c r="AE6">
        <v>0</v>
      </c>
      <c r="AF6" t="s">
        <v>6</v>
      </c>
      <c r="AG6">
        <v>0.05</v>
      </c>
      <c r="AH6">
        <v>2</v>
      </c>
      <c r="AI6">
        <v>16749792</v>
      </c>
      <c r="AJ6">
        <v>5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 x14ac:dyDescent="0.2">
      <c r="A7">
        <f>ROW(Source!A36)</f>
        <v>36</v>
      </c>
      <c r="B7">
        <v>16749801</v>
      </c>
      <c r="C7">
        <v>16749787</v>
      </c>
      <c r="D7">
        <v>15162551</v>
      </c>
      <c r="E7">
        <v>17</v>
      </c>
      <c r="F7">
        <v>1</v>
      </c>
      <c r="G7">
        <v>1</v>
      </c>
      <c r="H7">
        <v>3</v>
      </c>
      <c r="I7" t="s">
        <v>56</v>
      </c>
      <c r="J7" t="s">
        <v>6</v>
      </c>
      <c r="K7" t="s">
        <v>57</v>
      </c>
      <c r="L7">
        <v>1354</v>
      </c>
      <c r="N7">
        <v>1010</v>
      </c>
      <c r="O7" t="s">
        <v>53</v>
      </c>
      <c r="P7" t="s">
        <v>53</v>
      </c>
      <c r="Q7">
        <v>1</v>
      </c>
      <c r="X7">
        <v>100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 t="s">
        <v>6</v>
      </c>
      <c r="AG7">
        <v>100</v>
      </c>
      <c r="AH7">
        <v>2</v>
      </c>
      <c r="AI7">
        <v>16749793</v>
      </c>
      <c r="AJ7">
        <v>7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 x14ac:dyDescent="0.2">
      <c r="A8">
        <f>ROW(Source!A39)</f>
        <v>39</v>
      </c>
      <c r="B8">
        <v>16749825</v>
      </c>
      <c r="C8">
        <v>16749823</v>
      </c>
      <c r="D8">
        <v>15430517</v>
      </c>
      <c r="E8">
        <v>1</v>
      </c>
      <c r="F8">
        <v>1</v>
      </c>
      <c r="G8">
        <v>1</v>
      </c>
      <c r="H8">
        <v>1</v>
      </c>
      <c r="I8" t="s">
        <v>1085</v>
      </c>
      <c r="J8" t="s">
        <v>6</v>
      </c>
      <c r="K8" t="s">
        <v>1086</v>
      </c>
      <c r="L8">
        <v>1191</v>
      </c>
      <c r="N8">
        <v>1013</v>
      </c>
      <c r="O8" t="s">
        <v>1072</v>
      </c>
      <c r="P8" t="s">
        <v>1072</v>
      </c>
      <c r="Q8">
        <v>1</v>
      </c>
      <c r="X8">
        <v>3.77</v>
      </c>
      <c r="Y8">
        <v>0</v>
      </c>
      <c r="Z8">
        <v>0</v>
      </c>
      <c r="AA8">
        <v>0</v>
      </c>
      <c r="AB8">
        <v>7.8</v>
      </c>
      <c r="AC8">
        <v>0</v>
      </c>
      <c r="AD8">
        <v>1</v>
      </c>
      <c r="AE8">
        <v>1</v>
      </c>
      <c r="AF8" t="s">
        <v>6</v>
      </c>
      <c r="AG8">
        <v>3.77</v>
      </c>
      <c r="AH8">
        <v>2</v>
      </c>
      <c r="AI8">
        <v>16749824</v>
      </c>
      <c r="AJ8">
        <v>8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 x14ac:dyDescent="0.2">
      <c r="A9">
        <f>ROW(Source!A39)</f>
        <v>39</v>
      </c>
      <c r="B9">
        <v>16749826</v>
      </c>
      <c r="C9">
        <v>16749823</v>
      </c>
      <c r="D9">
        <v>15164566</v>
      </c>
      <c r="E9">
        <v>17</v>
      </c>
      <c r="F9">
        <v>1</v>
      </c>
      <c r="G9">
        <v>1</v>
      </c>
      <c r="H9">
        <v>3</v>
      </c>
      <c r="I9" t="s">
        <v>69</v>
      </c>
      <c r="J9" t="s">
        <v>6</v>
      </c>
      <c r="K9" t="s">
        <v>70</v>
      </c>
      <c r="L9">
        <v>1348</v>
      </c>
      <c r="N9">
        <v>1009</v>
      </c>
      <c r="O9" t="s">
        <v>71</v>
      </c>
      <c r="P9" t="s">
        <v>71</v>
      </c>
      <c r="Q9">
        <v>1000</v>
      </c>
      <c r="X9">
        <v>0.11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 t="s">
        <v>6</v>
      </c>
      <c r="AG9">
        <v>0.11</v>
      </c>
      <c r="AH9">
        <v>3</v>
      </c>
      <c r="AI9">
        <v>-1</v>
      </c>
      <c r="AJ9" t="s">
        <v>6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 x14ac:dyDescent="0.2">
      <c r="A10">
        <f>ROW(Source!A40)</f>
        <v>40</v>
      </c>
      <c r="B10">
        <v>16749832</v>
      </c>
      <c r="C10">
        <v>16749827</v>
      </c>
      <c r="D10">
        <v>15430517</v>
      </c>
      <c r="E10">
        <v>1</v>
      </c>
      <c r="F10">
        <v>1</v>
      </c>
      <c r="G10">
        <v>1</v>
      </c>
      <c r="H10">
        <v>1</v>
      </c>
      <c r="I10" t="s">
        <v>1085</v>
      </c>
      <c r="J10" t="s">
        <v>6</v>
      </c>
      <c r="K10" t="s">
        <v>1086</v>
      </c>
      <c r="L10">
        <v>1191</v>
      </c>
      <c r="N10">
        <v>1013</v>
      </c>
      <c r="O10" t="s">
        <v>1072</v>
      </c>
      <c r="P10" t="s">
        <v>1072</v>
      </c>
      <c r="Q10">
        <v>1</v>
      </c>
      <c r="X10">
        <v>11.39</v>
      </c>
      <c r="Y10">
        <v>0</v>
      </c>
      <c r="Z10">
        <v>0</v>
      </c>
      <c r="AA10">
        <v>0</v>
      </c>
      <c r="AB10">
        <v>7.8</v>
      </c>
      <c r="AC10">
        <v>0</v>
      </c>
      <c r="AD10">
        <v>1</v>
      </c>
      <c r="AE10">
        <v>1</v>
      </c>
      <c r="AF10" t="s">
        <v>6</v>
      </c>
      <c r="AG10">
        <v>11.39</v>
      </c>
      <c r="AH10">
        <v>2</v>
      </c>
      <c r="AI10">
        <v>16749828</v>
      </c>
      <c r="AJ10">
        <v>9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 x14ac:dyDescent="0.2">
      <c r="A11">
        <f>ROW(Source!A40)</f>
        <v>40</v>
      </c>
      <c r="B11">
        <v>16749833</v>
      </c>
      <c r="C11">
        <v>16749827</v>
      </c>
      <c r="D11">
        <v>15430395</v>
      </c>
      <c r="E11">
        <v>1</v>
      </c>
      <c r="F11">
        <v>1</v>
      </c>
      <c r="G11">
        <v>1</v>
      </c>
      <c r="H11">
        <v>1</v>
      </c>
      <c r="I11" t="s">
        <v>1073</v>
      </c>
      <c r="J11" t="s">
        <v>6</v>
      </c>
      <c r="K11" t="s">
        <v>1074</v>
      </c>
      <c r="L11">
        <v>1191</v>
      </c>
      <c r="N11">
        <v>1013</v>
      </c>
      <c r="O11" t="s">
        <v>1072</v>
      </c>
      <c r="P11" t="s">
        <v>1072</v>
      </c>
      <c r="Q11">
        <v>1</v>
      </c>
      <c r="X11">
        <v>0.13</v>
      </c>
      <c r="Y11">
        <v>0</v>
      </c>
      <c r="Z11">
        <v>0</v>
      </c>
      <c r="AA11">
        <v>0</v>
      </c>
      <c r="AB11">
        <v>0</v>
      </c>
      <c r="AC11">
        <v>0</v>
      </c>
      <c r="AD11">
        <v>1</v>
      </c>
      <c r="AE11">
        <v>2</v>
      </c>
      <c r="AF11" t="s">
        <v>6</v>
      </c>
      <c r="AG11">
        <v>0.13</v>
      </c>
      <c r="AH11">
        <v>2</v>
      </c>
      <c r="AI11">
        <v>16749829</v>
      </c>
      <c r="AJ11">
        <v>10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 x14ac:dyDescent="0.2">
      <c r="A12">
        <f>ROW(Source!A40)</f>
        <v>40</v>
      </c>
      <c r="B12">
        <v>16749834</v>
      </c>
      <c r="C12">
        <v>16749827</v>
      </c>
      <c r="D12">
        <v>15247974</v>
      </c>
      <c r="E12">
        <v>1</v>
      </c>
      <c r="F12">
        <v>1</v>
      </c>
      <c r="G12">
        <v>1</v>
      </c>
      <c r="H12">
        <v>2</v>
      </c>
      <c r="I12" t="s">
        <v>1075</v>
      </c>
      <c r="J12" t="s">
        <v>1076</v>
      </c>
      <c r="K12" t="s">
        <v>1077</v>
      </c>
      <c r="L12">
        <v>1368</v>
      </c>
      <c r="N12">
        <v>1011</v>
      </c>
      <c r="O12" t="s">
        <v>1078</v>
      </c>
      <c r="P12" t="s">
        <v>1078</v>
      </c>
      <c r="Q12">
        <v>1</v>
      </c>
      <c r="X12">
        <v>0.13</v>
      </c>
      <c r="Y12">
        <v>0</v>
      </c>
      <c r="Z12">
        <v>31.26</v>
      </c>
      <c r="AA12">
        <v>13.5</v>
      </c>
      <c r="AB12">
        <v>0</v>
      </c>
      <c r="AC12">
        <v>0</v>
      </c>
      <c r="AD12">
        <v>1</v>
      </c>
      <c r="AE12">
        <v>0</v>
      </c>
      <c r="AF12" t="s">
        <v>6</v>
      </c>
      <c r="AG12">
        <v>0.13</v>
      </c>
      <c r="AH12">
        <v>2</v>
      </c>
      <c r="AI12">
        <v>16749830</v>
      </c>
      <c r="AJ12">
        <v>11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 x14ac:dyDescent="0.2">
      <c r="A13">
        <f>ROW(Source!A40)</f>
        <v>40</v>
      </c>
      <c r="B13">
        <v>16749835</v>
      </c>
      <c r="C13">
        <v>16749827</v>
      </c>
      <c r="D13">
        <v>15164566</v>
      </c>
      <c r="E13">
        <v>17</v>
      </c>
      <c r="F13">
        <v>1</v>
      </c>
      <c r="G13">
        <v>1</v>
      </c>
      <c r="H13">
        <v>3</v>
      </c>
      <c r="I13" t="s">
        <v>69</v>
      </c>
      <c r="J13" t="s">
        <v>6</v>
      </c>
      <c r="K13" t="s">
        <v>70</v>
      </c>
      <c r="L13">
        <v>1348</v>
      </c>
      <c r="N13">
        <v>1009</v>
      </c>
      <c r="O13" t="s">
        <v>71</v>
      </c>
      <c r="P13" t="s">
        <v>71</v>
      </c>
      <c r="Q13">
        <v>1000</v>
      </c>
      <c r="X13">
        <v>0.47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 t="s">
        <v>6</v>
      </c>
      <c r="AG13">
        <v>0.47</v>
      </c>
      <c r="AH13">
        <v>2</v>
      </c>
      <c r="AI13">
        <v>16749831</v>
      </c>
      <c r="AJ13">
        <v>12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 x14ac:dyDescent="0.2">
      <c r="A14">
        <f>ROW(Source!A42)</f>
        <v>42</v>
      </c>
      <c r="B14">
        <v>16749839</v>
      </c>
      <c r="C14">
        <v>16749837</v>
      </c>
      <c r="D14">
        <v>15430517</v>
      </c>
      <c r="E14">
        <v>1</v>
      </c>
      <c r="F14">
        <v>1</v>
      </c>
      <c r="G14">
        <v>1</v>
      </c>
      <c r="H14">
        <v>1</v>
      </c>
      <c r="I14" t="s">
        <v>1085</v>
      </c>
      <c r="J14" t="s">
        <v>6</v>
      </c>
      <c r="K14" t="s">
        <v>1086</v>
      </c>
      <c r="L14">
        <v>1191</v>
      </c>
      <c r="N14">
        <v>1013</v>
      </c>
      <c r="O14" t="s">
        <v>1072</v>
      </c>
      <c r="P14" t="s">
        <v>1072</v>
      </c>
      <c r="Q14">
        <v>1</v>
      </c>
      <c r="X14">
        <v>17.440000000000001</v>
      </c>
      <c r="Y14">
        <v>0</v>
      </c>
      <c r="Z14">
        <v>0</v>
      </c>
      <c r="AA14">
        <v>0</v>
      </c>
      <c r="AB14">
        <v>7.8</v>
      </c>
      <c r="AC14">
        <v>0</v>
      </c>
      <c r="AD14">
        <v>1</v>
      </c>
      <c r="AE14">
        <v>1</v>
      </c>
      <c r="AF14" t="s">
        <v>6</v>
      </c>
      <c r="AG14">
        <v>17.440000000000001</v>
      </c>
      <c r="AH14">
        <v>2</v>
      </c>
      <c r="AI14">
        <v>16749838</v>
      </c>
      <c r="AJ14">
        <v>13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 x14ac:dyDescent="0.2">
      <c r="A15">
        <f>ROW(Source!A42)</f>
        <v>42</v>
      </c>
      <c r="B15">
        <v>16749840</v>
      </c>
      <c r="C15">
        <v>16749837</v>
      </c>
      <c r="D15">
        <v>15164566</v>
      </c>
      <c r="E15">
        <v>17</v>
      </c>
      <c r="F15">
        <v>1</v>
      </c>
      <c r="G15">
        <v>1</v>
      </c>
      <c r="H15">
        <v>3</v>
      </c>
      <c r="I15" t="s">
        <v>69</v>
      </c>
      <c r="J15" t="s">
        <v>6</v>
      </c>
      <c r="K15" t="s">
        <v>70</v>
      </c>
      <c r="L15">
        <v>1348</v>
      </c>
      <c r="N15">
        <v>1009</v>
      </c>
      <c r="O15" t="s">
        <v>71</v>
      </c>
      <c r="P15" t="s">
        <v>71</v>
      </c>
      <c r="Q15">
        <v>1000</v>
      </c>
      <c r="X15">
        <v>4.67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 t="s">
        <v>6</v>
      </c>
      <c r="AG15">
        <v>4.67</v>
      </c>
      <c r="AH15">
        <v>3</v>
      </c>
      <c r="AI15">
        <v>-1</v>
      </c>
      <c r="AJ15" t="s">
        <v>6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 x14ac:dyDescent="0.2">
      <c r="A16">
        <f>ROW(Source!A43)</f>
        <v>43</v>
      </c>
      <c r="B16">
        <v>16749845</v>
      </c>
      <c r="C16">
        <v>16749841</v>
      </c>
      <c r="D16">
        <v>15430767</v>
      </c>
      <c r="E16">
        <v>1</v>
      </c>
      <c r="F16">
        <v>1</v>
      </c>
      <c r="G16">
        <v>1</v>
      </c>
      <c r="H16">
        <v>1</v>
      </c>
      <c r="I16" t="s">
        <v>1070</v>
      </c>
      <c r="J16" t="s">
        <v>6</v>
      </c>
      <c r="K16" t="s">
        <v>1071</v>
      </c>
      <c r="L16">
        <v>1191</v>
      </c>
      <c r="N16">
        <v>1013</v>
      </c>
      <c r="O16" t="s">
        <v>1072</v>
      </c>
      <c r="P16" t="s">
        <v>1072</v>
      </c>
      <c r="Q16">
        <v>1</v>
      </c>
      <c r="X16">
        <v>69.87</v>
      </c>
      <c r="Y16">
        <v>0</v>
      </c>
      <c r="Z16">
        <v>0</v>
      </c>
      <c r="AA16">
        <v>0</v>
      </c>
      <c r="AB16">
        <v>8.5299999999999994</v>
      </c>
      <c r="AC16">
        <v>0</v>
      </c>
      <c r="AD16">
        <v>1</v>
      </c>
      <c r="AE16">
        <v>1</v>
      </c>
      <c r="AF16" t="s">
        <v>6</v>
      </c>
      <c r="AG16">
        <v>69.87</v>
      </c>
      <c r="AH16">
        <v>2</v>
      </c>
      <c r="AI16">
        <v>16749842</v>
      </c>
      <c r="AJ16">
        <v>14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 x14ac:dyDescent="0.2">
      <c r="A17">
        <f>ROW(Source!A43)</f>
        <v>43</v>
      </c>
      <c r="B17">
        <v>16749846</v>
      </c>
      <c r="C17">
        <v>16749841</v>
      </c>
      <c r="D17">
        <v>15430395</v>
      </c>
      <c r="E17">
        <v>1</v>
      </c>
      <c r="F17">
        <v>1</v>
      </c>
      <c r="G17">
        <v>1</v>
      </c>
      <c r="H17">
        <v>1</v>
      </c>
      <c r="I17" t="s">
        <v>1073</v>
      </c>
      <c r="J17" t="s">
        <v>6</v>
      </c>
      <c r="K17" t="s">
        <v>1074</v>
      </c>
      <c r="L17">
        <v>1191</v>
      </c>
      <c r="N17">
        <v>1013</v>
      </c>
      <c r="O17" t="s">
        <v>1072</v>
      </c>
      <c r="P17" t="s">
        <v>1072</v>
      </c>
      <c r="Q17">
        <v>1</v>
      </c>
      <c r="X17">
        <v>1.44</v>
      </c>
      <c r="Y17">
        <v>0</v>
      </c>
      <c r="Z17">
        <v>0</v>
      </c>
      <c r="AA17">
        <v>0</v>
      </c>
      <c r="AB17">
        <v>0</v>
      </c>
      <c r="AC17">
        <v>0</v>
      </c>
      <c r="AD17">
        <v>1</v>
      </c>
      <c r="AE17">
        <v>2</v>
      </c>
      <c r="AF17" t="s">
        <v>6</v>
      </c>
      <c r="AG17">
        <v>1.44</v>
      </c>
      <c r="AH17">
        <v>2</v>
      </c>
      <c r="AI17">
        <v>16749843</v>
      </c>
      <c r="AJ17">
        <v>15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 x14ac:dyDescent="0.2">
      <c r="A18">
        <f>ROW(Source!A43)</f>
        <v>43</v>
      </c>
      <c r="B18">
        <v>16749847</v>
      </c>
      <c r="C18">
        <v>16749841</v>
      </c>
      <c r="D18">
        <v>15247974</v>
      </c>
      <c r="E18">
        <v>1</v>
      </c>
      <c r="F18">
        <v>1</v>
      </c>
      <c r="G18">
        <v>1</v>
      </c>
      <c r="H18">
        <v>2</v>
      </c>
      <c r="I18" t="s">
        <v>1075</v>
      </c>
      <c r="J18" t="s">
        <v>1076</v>
      </c>
      <c r="K18" t="s">
        <v>1077</v>
      </c>
      <c r="L18">
        <v>1368</v>
      </c>
      <c r="N18">
        <v>1011</v>
      </c>
      <c r="O18" t="s">
        <v>1078</v>
      </c>
      <c r="P18" t="s">
        <v>1078</v>
      </c>
      <c r="Q18">
        <v>1</v>
      </c>
      <c r="X18">
        <v>1.44</v>
      </c>
      <c r="Y18">
        <v>0</v>
      </c>
      <c r="Z18">
        <v>31.26</v>
      </c>
      <c r="AA18">
        <v>13.5</v>
      </c>
      <c r="AB18">
        <v>0</v>
      </c>
      <c r="AC18">
        <v>0</v>
      </c>
      <c r="AD18">
        <v>1</v>
      </c>
      <c r="AE18">
        <v>0</v>
      </c>
      <c r="AF18" t="s">
        <v>6</v>
      </c>
      <c r="AG18">
        <v>1.44</v>
      </c>
      <c r="AH18">
        <v>2</v>
      </c>
      <c r="AI18">
        <v>16749844</v>
      </c>
      <c r="AJ18">
        <v>16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 x14ac:dyDescent="0.2">
      <c r="A19">
        <f>ROW(Source!A43)</f>
        <v>43</v>
      </c>
      <c r="B19">
        <v>16749848</v>
      </c>
      <c r="C19">
        <v>16749841</v>
      </c>
      <c r="D19">
        <v>15164566</v>
      </c>
      <c r="E19">
        <v>17</v>
      </c>
      <c r="F19">
        <v>1</v>
      </c>
      <c r="G19">
        <v>1</v>
      </c>
      <c r="H19">
        <v>3</v>
      </c>
      <c r="I19" t="s">
        <v>69</v>
      </c>
      <c r="J19" t="s">
        <v>6</v>
      </c>
      <c r="K19" t="s">
        <v>70</v>
      </c>
      <c r="L19">
        <v>1348</v>
      </c>
      <c r="N19">
        <v>1009</v>
      </c>
      <c r="O19" t="s">
        <v>71</v>
      </c>
      <c r="P19" t="s">
        <v>71</v>
      </c>
      <c r="Q19">
        <v>1000</v>
      </c>
      <c r="X19">
        <v>5.2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 t="s">
        <v>6</v>
      </c>
      <c r="AG19">
        <v>5.2</v>
      </c>
      <c r="AH19">
        <v>3</v>
      </c>
      <c r="AI19">
        <v>-1</v>
      </c>
      <c r="AJ19" t="s">
        <v>6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 x14ac:dyDescent="0.2">
      <c r="A20">
        <f>ROW(Source!A44)</f>
        <v>44</v>
      </c>
      <c r="B20">
        <v>16749855</v>
      </c>
      <c r="C20">
        <v>16749849</v>
      </c>
      <c r="D20">
        <v>15431465</v>
      </c>
      <c r="E20">
        <v>1</v>
      </c>
      <c r="F20">
        <v>1</v>
      </c>
      <c r="G20">
        <v>1</v>
      </c>
      <c r="H20">
        <v>1</v>
      </c>
      <c r="I20" t="s">
        <v>1087</v>
      </c>
      <c r="J20" t="s">
        <v>6</v>
      </c>
      <c r="K20" t="s">
        <v>1088</v>
      </c>
      <c r="L20">
        <v>1191</v>
      </c>
      <c r="N20">
        <v>1013</v>
      </c>
      <c r="O20" t="s">
        <v>1072</v>
      </c>
      <c r="P20" t="s">
        <v>1072</v>
      </c>
      <c r="Q20">
        <v>1</v>
      </c>
      <c r="X20">
        <v>74.3</v>
      </c>
      <c r="Y20">
        <v>0</v>
      </c>
      <c r="Z20">
        <v>0</v>
      </c>
      <c r="AA20">
        <v>0</v>
      </c>
      <c r="AB20">
        <v>7.87</v>
      </c>
      <c r="AC20">
        <v>0</v>
      </c>
      <c r="AD20">
        <v>1</v>
      </c>
      <c r="AE20">
        <v>1</v>
      </c>
      <c r="AF20" t="s">
        <v>6</v>
      </c>
      <c r="AG20">
        <v>74.3</v>
      </c>
      <c r="AH20">
        <v>2</v>
      </c>
      <c r="AI20">
        <v>16749850</v>
      </c>
      <c r="AJ20">
        <v>17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 x14ac:dyDescent="0.2">
      <c r="A21">
        <f>ROW(Source!A44)</f>
        <v>44</v>
      </c>
      <c r="B21">
        <v>16749856</v>
      </c>
      <c r="C21">
        <v>16749849</v>
      </c>
      <c r="D21">
        <v>15430395</v>
      </c>
      <c r="E21">
        <v>1</v>
      </c>
      <c r="F21">
        <v>1</v>
      </c>
      <c r="G21">
        <v>1</v>
      </c>
      <c r="H21">
        <v>1</v>
      </c>
      <c r="I21" t="s">
        <v>1073</v>
      </c>
      <c r="J21" t="s">
        <v>6</v>
      </c>
      <c r="K21" t="s">
        <v>1074</v>
      </c>
      <c r="L21">
        <v>1191</v>
      </c>
      <c r="N21">
        <v>1013</v>
      </c>
      <c r="O21" t="s">
        <v>1072</v>
      </c>
      <c r="P21" t="s">
        <v>1072</v>
      </c>
      <c r="Q21">
        <v>1</v>
      </c>
      <c r="X21">
        <v>0.35</v>
      </c>
      <c r="Y21">
        <v>0</v>
      </c>
      <c r="Z21">
        <v>0</v>
      </c>
      <c r="AA21">
        <v>0</v>
      </c>
      <c r="AB21">
        <v>0</v>
      </c>
      <c r="AC21">
        <v>0</v>
      </c>
      <c r="AD21">
        <v>1</v>
      </c>
      <c r="AE21">
        <v>2</v>
      </c>
      <c r="AF21" t="s">
        <v>6</v>
      </c>
      <c r="AG21">
        <v>0.35</v>
      </c>
      <c r="AH21">
        <v>2</v>
      </c>
      <c r="AI21">
        <v>16749851</v>
      </c>
      <c r="AJ21">
        <v>18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 x14ac:dyDescent="0.2">
      <c r="A22">
        <f>ROW(Source!A44)</f>
        <v>44</v>
      </c>
      <c r="B22">
        <v>16749857</v>
      </c>
      <c r="C22">
        <v>16749849</v>
      </c>
      <c r="D22">
        <v>15247974</v>
      </c>
      <c r="E22">
        <v>1</v>
      </c>
      <c r="F22">
        <v>1</v>
      </c>
      <c r="G22">
        <v>1</v>
      </c>
      <c r="H22">
        <v>2</v>
      </c>
      <c r="I22" t="s">
        <v>1075</v>
      </c>
      <c r="J22" t="s">
        <v>1076</v>
      </c>
      <c r="K22" t="s">
        <v>1077</v>
      </c>
      <c r="L22">
        <v>1368</v>
      </c>
      <c r="N22">
        <v>1011</v>
      </c>
      <c r="O22" t="s">
        <v>1078</v>
      </c>
      <c r="P22" t="s">
        <v>1078</v>
      </c>
      <c r="Q22">
        <v>1</v>
      </c>
      <c r="X22">
        <v>0.35</v>
      </c>
      <c r="Y22">
        <v>0</v>
      </c>
      <c r="Z22">
        <v>31.26</v>
      </c>
      <c r="AA22">
        <v>13.5</v>
      </c>
      <c r="AB22">
        <v>0</v>
      </c>
      <c r="AC22">
        <v>0</v>
      </c>
      <c r="AD22">
        <v>1</v>
      </c>
      <c r="AE22">
        <v>0</v>
      </c>
      <c r="AF22" t="s">
        <v>6</v>
      </c>
      <c r="AG22">
        <v>0.35</v>
      </c>
      <c r="AH22">
        <v>2</v>
      </c>
      <c r="AI22">
        <v>16749852</v>
      </c>
      <c r="AJ22">
        <v>19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 x14ac:dyDescent="0.2">
      <c r="A23">
        <f>ROW(Source!A44)</f>
        <v>44</v>
      </c>
      <c r="B23">
        <v>16749858</v>
      </c>
      <c r="C23">
        <v>16749849</v>
      </c>
      <c r="D23">
        <v>15249402</v>
      </c>
      <c r="E23">
        <v>1</v>
      </c>
      <c r="F23">
        <v>1</v>
      </c>
      <c r="G23">
        <v>1</v>
      </c>
      <c r="H23">
        <v>2</v>
      </c>
      <c r="I23" t="s">
        <v>1089</v>
      </c>
      <c r="J23" t="s">
        <v>1090</v>
      </c>
      <c r="K23" t="s">
        <v>1091</v>
      </c>
      <c r="L23">
        <v>1368</v>
      </c>
      <c r="N23">
        <v>1011</v>
      </c>
      <c r="O23" t="s">
        <v>1078</v>
      </c>
      <c r="P23" t="s">
        <v>1078</v>
      </c>
      <c r="Q23">
        <v>1</v>
      </c>
      <c r="X23">
        <v>1.64</v>
      </c>
      <c r="Y23">
        <v>0</v>
      </c>
      <c r="Z23">
        <v>32.5</v>
      </c>
      <c r="AA23">
        <v>0</v>
      </c>
      <c r="AB23">
        <v>0</v>
      </c>
      <c r="AC23">
        <v>0</v>
      </c>
      <c r="AD23">
        <v>1</v>
      </c>
      <c r="AE23">
        <v>0</v>
      </c>
      <c r="AF23" t="s">
        <v>6</v>
      </c>
      <c r="AG23">
        <v>1.64</v>
      </c>
      <c r="AH23">
        <v>2</v>
      </c>
      <c r="AI23">
        <v>16749853</v>
      </c>
      <c r="AJ23">
        <v>20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 x14ac:dyDescent="0.2">
      <c r="A24">
        <f>ROW(Source!A44)</f>
        <v>44</v>
      </c>
      <c r="B24">
        <v>16749859</v>
      </c>
      <c r="C24">
        <v>16749849</v>
      </c>
      <c r="D24">
        <v>15249998</v>
      </c>
      <c r="E24">
        <v>1</v>
      </c>
      <c r="F24">
        <v>1</v>
      </c>
      <c r="G24">
        <v>1</v>
      </c>
      <c r="H24">
        <v>2</v>
      </c>
      <c r="I24" t="s">
        <v>1092</v>
      </c>
      <c r="J24" t="s">
        <v>1093</v>
      </c>
      <c r="K24" t="s">
        <v>1094</v>
      </c>
      <c r="L24">
        <v>1368</v>
      </c>
      <c r="N24">
        <v>1011</v>
      </c>
      <c r="O24" t="s">
        <v>1078</v>
      </c>
      <c r="P24" t="s">
        <v>1078</v>
      </c>
      <c r="Q24">
        <v>1</v>
      </c>
      <c r="X24">
        <v>3.28</v>
      </c>
      <c r="Y24">
        <v>0</v>
      </c>
      <c r="Z24">
        <v>1.53</v>
      </c>
      <c r="AA24">
        <v>0</v>
      </c>
      <c r="AB24">
        <v>0</v>
      </c>
      <c r="AC24">
        <v>0</v>
      </c>
      <c r="AD24">
        <v>1</v>
      </c>
      <c r="AE24">
        <v>0</v>
      </c>
      <c r="AF24" t="s">
        <v>6</v>
      </c>
      <c r="AG24">
        <v>3.28</v>
      </c>
      <c r="AH24">
        <v>2</v>
      </c>
      <c r="AI24">
        <v>16749854</v>
      </c>
      <c r="AJ24">
        <v>21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 x14ac:dyDescent="0.2">
      <c r="A25">
        <f>ROW(Source!A45)</f>
        <v>45</v>
      </c>
      <c r="B25">
        <v>16752893</v>
      </c>
      <c r="C25">
        <v>16752892</v>
      </c>
      <c r="D25">
        <v>15446300</v>
      </c>
      <c r="E25">
        <v>1</v>
      </c>
      <c r="F25">
        <v>1</v>
      </c>
      <c r="G25">
        <v>1</v>
      </c>
      <c r="H25">
        <v>1</v>
      </c>
      <c r="I25" t="s">
        <v>1095</v>
      </c>
      <c r="J25" t="s">
        <v>6</v>
      </c>
      <c r="K25" t="s">
        <v>1096</v>
      </c>
      <c r="L25">
        <v>1191</v>
      </c>
      <c r="N25">
        <v>1013</v>
      </c>
      <c r="O25" t="s">
        <v>1072</v>
      </c>
      <c r="P25" t="s">
        <v>1072</v>
      </c>
      <c r="Q25">
        <v>1</v>
      </c>
      <c r="X25">
        <v>2.4</v>
      </c>
      <c r="Y25">
        <v>0</v>
      </c>
      <c r="Z25">
        <v>0</v>
      </c>
      <c r="AA25">
        <v>0</v>
      </c>
      <c r="AB25">
        <v>9.92</v>
      </c>
      <c r="AC25">
        <v>0</v>
      </c>
      <c r="AD25">
        <v>1</v>
      </c>
      <c r="AE25">
        <v>1</v>
      </c>
      <c r="AF25" t="s">
        <v>93</v>
      </c>
      <c r="AG25">
        <v>1.68</v>
      </c>
      <c r="AH25">
        <v>2</v>
      </c>
      <c r="AI25">
        <v>16752893</v>
      </c>
      <c r="AJ25">
        <v>22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 x14ac:dyDescent="0.2">
      <c r="A26">
        <f>ROW(Source!A45)</f>
        <v>45</v>
      </c>
      <c r="B26">
        <v>16752894</v>
      </c>
      <c r="C26">
        <v>16752892</v>
      </c>
      <c r="D26">
        <v>15430395</v>
      </c>
      <c r="E26">
        <v>1</v>
      </c>
      <c r="F26">
        <v>1</v>
      </c>
      <c r="G26">
        <v>1</v>
      </c>
      <c r="H26">
        <v>1</v>
      </c>
      <c r="I26" t="s">
        <v>1073</v>
      </c>
      <c r="J26" t="s">
        <v>6</v>
      </c>
      <c r="K26" t="s">
        <v>1074</v>
      </c>
      <c r="L26">
        <v>1191</v>
      </c>
      <c r="N26">
        <v>1013</v>
      </c>
      <c r="O26" t="s">
        <v>1072</v>
      </c>
      <c r="P26" t="s">
        <v>1072</v>
      </c>
      <c r="Q26">
        <v>1</v>
      </c>
      <c r="X26">
        <v>0.17</v>
      </c>
      <c r="Y26">
        <v>0</v>
      </c>
      <c r="Z26">
        <v>0</v>
      </c>
      <c r="AA26">
        <v>0</v>
      </c>
      <c r="AB26">
        <v>0</v>
      </c>
      <c r="AC26">
        <v>0</v>
      </c>
      <c r="AD26">
        <v>1</v>
      </c>
      <c r="AE26">
        <v>2</v>
      </c>
      <c r="AF26" t="s">
        <v>93</v>
      </c>
      <c r="AG26">
        <v>0.11899999999999999</v>
      </c>
      <c r="AH26">
        <v>2</v>
      </c>
      <c r="AI26">
        <v>16752894</v>
      </c>
      <c r="AJ26">
        <v>23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 x14ac:dyDescent="0.2">
      <c r="A27">
        <f>ROW(Source!A45)</f>
        <v>45</v>
      </c>
      <c r="B27">
        <v>16752895</v>
      </c>
      <c r="C27">
        <v>16752892</v>
      </c>
      <c r="D27">
        <v>15249073</v>
      </c>
      <c r="E27">
        <v>1</v>
      </c>
      <c r="F27">
        <v>1</v>
      </c>
      <c r="G27">
        <v>1</v>
      </c>
      <c r="H27">
        <v>2</v>
      </c>
      <c r="I27" t="s">
        <v>1097</v>
      </c>
      <c r="J27" t="s">
        <v>1098</v>
      </c>
      <c r="K27" t="s">
        <v>1099</v>
      </c>
      <c r="L27">
        <v>1368</v>
      </c>
      <c r="N27">
        <v>1011</v>
      </c>
      <c r="O27" t="s">
        <v>1078</v>
      </c>
      <c r="P27" t="s">
        <v>1078</v>
      </c>
      <c r="Q27">
        <v>1</v>
      </c>
      <c r="X27">
        <v>0.17</v>
      </c>
      <c r="Y27">
        <v>0</v>
      </c>
      <c r="Z27">
        <v>65.709999999999994</v>
      </c>
      <c r="AA27">
        <v>11.6</v>
      </c>
      <c r="AB27">
        <v>0</v>
      </c>
      <c r="AC27">
        <v>0</v>
      </c>
      <c r="AD27">
        <v>1</v>
      </c>
      <c r="AE27">
        <v>0</v>
      </c>
      <c r="AF27" t="s">
        <v>93</v>
      </c>
      <c r="AG27">
        <v>0.11899999999999999</v>
      </c>
      <c r="AH27">
        <v>2</v>
      </c>
      <c r="AI27">
        <v>16752895</v>
      </c>
      <c r="AJ27">
        <v>24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 x14ac:dyDescent="0.2">
      <c r="A28">
        <f>ROW(Source!A45)</f>
        <v>45</v>
      </c>
      <c r="B28">
        <v>16752896</v>
      </c>
      <c r="C28">
        <v>16752892</v>
      </c>
      <c r="D28">
        <v>15249377</v>
      </c>
      <c r="E28">
        <v>1</v>
      </c>
      <c r="F28">
        <v>1</v>
      </c>
      <c r="G28">
        <v>1</v>
      </c>
      <c r="H28">
        <v>2</v>
      </c>
      <c r="I28" t="s">
        <v>1100</v>
      </c>
      <c r="J28" t="s">
        <v>1101</v>
      </c>
      <c r="K28" t="s">
        <v>1102</v>
      </c>
      <c r="L28">
        <v>1368</v>
      </c>
      <c r="N28">
        <v>1011</v>
      </c>
      <c r="O28" t="s">
        <v>1078</v>
      </c>
      <c r="P28" t="s">
        <v>1078</v>
      </c>
      <c r="Q28">
        <v>1</v>
      </c>
      <c r="X28">
        <v>0.4</v>
      </c>
      <c r="Y28">
        <v>0</v>
      </c>
      <c r="Z28">
        <v>8.1</v>
      </c>
      <c r="AA28">
        <v>0</v>
      </c>
      <c r="AB28">
        <v>0</v>
      </c>
      <c r="AC28">
        <v>0</v>
      </c>
      <c r="AD28">
        <v>1</v>
      </c>
      <c r="AE28">
        <v>0</v>
      </c>
      <c r="AF28" t="s">
        <v>93</v>
      </c>
      <c r="AG28">
        <v>0.27999999999999997</v>
      </c>
      <c r="AH28">
        <v>2</v>
      </c>
      <c r="AI28">
        <v>16752896</v>
      </c>
      <c r="AJ28">
        <v>25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 x14ac:dyDescent="0.2">
      <c r="A29">
        <f>ROW(Source!A45)</f>
        <v>45</v>
      </c>
      <c r="B29">
        <v>16752897</v>
      </c>
      <c r="C29">
        <v>16752892</v>
      </c>
      <c r="D29">
        <v>15162381</v>
      </c>
      <c r="E29">
        <v>17</v>
      </c>
      <c r="F29">
        <v>1</v>
      </c>
      <c r="G29">
        <v>1</v>
      </c>
      <c r="H29">
        <v>3</v>
      </c>
      <c r="I29" t="s">
        <v>1576</v>
      </c>
      <c r="J29" t="s">
        <v>6</v>
      </c>
      <c r="K29" t="s">
        <v>1577</v>
      </c>
      <c r="L29">
        <v>1035</v>
      </c>
      <c r="N29">
        <v>1013</v>
      </c>
      <c r="O29" t="s">
        <v>230</v>
      </c>
      <c r="P29" t="s">
        <v>230</v>
      </c>
      <c r="Q29">
        <v>1</v>
      </c>
      <c r="X29">
        <v>0</v>
      </c>
      <c r="Y29">
        <v>0</v>
      </c>
      <c r="Z29">
        <v>0</v>
      </c>
      <c r="AA29">
        <v>0</v>
      </c>
      <c r="AB29">
        <v>0</v>
      </c>
      <c r="AC29">
        <v>1</v>
      </c>
      <c r="AD29">
        <v>0</v>
      </c>
      <c r="AE29">
        <v>0</v>
      </c>
      <c r="AF29" t="s">
        <v>92</v>
      </c>
      <c r="AG29">
        <v>0</v>
      </c>
      <c r="AH29">
        <v>3</v>
      </c>
      <c r="AI29">
        <v>-1</v>
      </c>
      <c r="AJ29" t="s">
        <v>6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  <row r="30" spans="1:44" x14ac:dyDescent="0.2">
      <c r="A30">
        <f>ROW(Source!A45)</f>
        <v>45</v>
      </c>
      <c r="B30">
        <v>16752898</v>
      </c>
      <c r="C30">
        <v>16752892</v>
      </c>
      <c r="D30">
        <v>15168750</v>
      </c>
      <c r="E30">
        <v>1</v>
      </c>
      <c r="F30">
        <v>1</v>
      </c>
      <c r="G30">
        <v>1</v>
      </c>
      <c r="H30">
        <v>3</v>
      </c>
      <c r="I30" t="s">
        <v>1103</v>
      </c>
      <c r="J30" t="s">
        <v>1104</v>
      </c>
      <c r="K30" t="s">
        <v>1105</v>
      </c>
      <c r="L30">
        <v>1348</v>
      </c>
      <c r="N30">
        <v>1009</v>
      </c>
      <c r="O30" t="s">
        <v>71</v>
      </c>
      <c r="P30" t="s">
        <v>71</v>
      </c>
      <c r="Q30">
        <v>1000</v>
      </c>
      <c r="X30">
        <v>1E-4</v>
      </c>
      <c r="Y30">
        <v>10315.01</v>
      </c>
      <c r="Z30">
        <v>0</v>
      </c>
      <c r="AA30">
        <v>0</v>
      </c>
      <c r="AB30">
        <v>0</v>
      </c>
      <c r="AC30">
        <v>0</v>
      </c>
      <c r="AD30">
        <v>1</v>
      </c>
      <c r="AE30">
        <v>0</v>
      </c>
      <c r="AF30" t="s">
        <v>92</v>
      </c>
      <c r="AG30">
        <v>0</v>
      </c>
      <c r="AH30">
        <v>2</v>
      </c>
      <c r="AI30">
        <v>16752898</v>
      </c>
      <c r="AJ30">
        <v>26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</row>
    <row r="31" spans="1:44" x14ac:dyDescent="0.2">
      <c r="A31">
        <f>ROW(Source!A45)</f>
        <v>45</v>
      </c>
      <c r="B31">
        <v>16752899</v>
      </c>
      <c r="C31">
        <v>16752892</v>
      </c>
      <c r="D31">
        <v>15162386</v>
      </c>
      <c r="E31">
        <v>17</v>
      </c>
      <c r="F31">
        <v>1</v>
      </c>
      <c r="G31">
        <v>1</v>
      </c>
      <c r="H31">
        <v>3</v>
      </c>
      <c r="I31" t="s">
        <v>237</v>
      </c>
      <c r="J31" t="s">
        <v>6</v>
      </c>
      <c r="K31" t="s">
        <v>238</v>
      </c>
      <c r="L31">
        <v>1327</v>
      </c>
      <c r="N31">
        <v>1005</v>
      </c>
      <c r="O31" t="s">
        <v>89</v>
      </c>
      <c r="P31" t="s">
        <v>89</v>
      </c>
      <c r="Q31">
        <v>1</v>
      </c>
      <c r="X31">
        <v>1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 t="s">
        <v>92</v>
      </c>
      <c r="AG31">
        <v>0</v>
      </c>
      <c r="AH31">
        <v>3</v>
      </c>
      <c r="AI31">
        <v>-1</v>
      </c>
      <c r="AJ31" t="s">
        <v>6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</row>
    <row r="32" spans="1:44" x14ac:dyDescent="0.2">
      <c r="A32">
        <f>ROW(Source!A45)</f>
        <v>45</v>
      </c>
      <c r="B32">
        <v>16752900</v>
      </c>
      <c r="C32">
        <v>16752892</v>
      </c>
      <c r="D32">
        <v>15192019</v>
      </c>
      <c r="E32">
        <v>1</v>
      </c>
      <c r="F32">
        <v>1</v>
      </c>
      <c r="G32">
        <v>1</v>
      </c>
      <c r="H32">
        <v>3</v>
      </c>
      <c r="I32" t="s">
        <v>1106</v>
      </c>
      <c r="J32" t="s">
        <v>1107</v>
      </c>
      <c r="K32" t="s">
        <v>1108</v>
      </c>
      <c r="L32">
        <v>1348</v>
      </c>
      <c r="N32">
        <v>1009</v>
      </c>
      <c r="O32" t="s">
        <v>71</v>
      </c>
      <c r="P32" t="s">
        <v>71</v>
      </c>
      <c r="Q32">
        <v>1000</v>
      </c>
      <c r="X32">
        <v>3.0000000000000001E-3</v>
      </c>
      <c r="Y32">
        <v>5804</v>
      </c>
      <c r="Z32">
        <v>0</v>
      </c>
      <c r="AA32">
        <v>0</v>
      </c>
      <c r="AB32">
        <v>0</v>
      </c>
      <c r="AC32">
        <v>0</v>
      </c>
      <c r="AD32">
        <v>1</v>
      </c>
      <c r="AE32">
        <v>0</v>
      </c>
      <c r="AF32" t="s">
        <v>92</v>
      </c>
      <c r="AG32">
        <v>0</v>
      </c>
      <c r="AH32">
        <v>2</v>
      </c>
      <c r="AI32">
        <v>16752900</v>
      </c>
      <c r="AJ32">
        <v>27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</row>
    <row r="33" spans="1:44" x14ac:dyDescent="0.2">
      <c r="A33">
        <f>ROW(Source!A45)</f>
        <v>45</v>
      </c>
      <c r="B33">
        <v>16752901</v>
      </c>
      <c r="C33">
        <v>16752892</v>
      </c>
      <c r="D33">
        <v>15204330</v>
      </c>
      <c r="E33">
        <v>1</v>
      </c>
      <c r="F33">
        <v>1</v>
      </c>
      <c r="G33">
        <v>1</v>
      </c>
      <c r="H33">
        <v>3</v>
      </c>
      <c r="I33" t="s">
        <v>1109</v>
      </c>
      <c r="J33" t="s">
        <v>1110</v>
      </c>
      <c r="K33" t="s">
        <v>1111</v>
      </c>
      <c r="L33">
        <v>1354</v>
      </c>
      <c r="N33">
        <v>1010</v>
      </c>
      <c r="O33" t="s">
        <v>53</v>
      </c>
      <c r="P33" t="s">
        <v>53</v>
      </c>
      <c r="Q33">
        <v>1</v>
      </c>
      <c r="X33">
        <v>0.1</v>
      </c>
      <c r="Y33">
        <v>72.8</v>
      </c>
      <c r="Z33">
        <v>0</v>
      </c>
      <c r="AA33">
        <v>0</v>
      </c>
      <c r="AB33">
        <v>0</v>
      </c>
      <c r="AC33">
        <v>0</v>
      </c>
      <c r="AD33">
        <v>1</v>
      </c>
      <c r="AE33">
        <v>0</v>
      </c>
      <c r="AF33" t="s">
        <v>92</v>
      </c>
      <c r="AG33">
        <v>0</v>
      </c>
      <c r="AH33">
        <v>2</v>
      </c>
      <c r="AI33">
        <v>16752901</v>
      </c>
      <c r="AJ33">
        <v>28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</row>
    <row r="34" spans="1:44" x14ac:dyDescent="0.2">
      <c r="A34">
        <f>ROW(Source!A46)</f>
        <v>46</v>
      </c>
      <c r="B34">
        <v>16753570</v>
      </c>
      <c r="C34">
        <v>16753569</v>
      </c>
      <c r="D34">
        <v>15432356</v>
      </c>
      <c r="E34">
        <v>1</v>
      </c>
      <c r="F34">
        <v>1</v>
      </c>
      <c r="G34">
        <v>1</v>
      </c>
      <c r="H34">
        <v>1</v>
      </c>
      <c r="I34" t="s">
        <v>1112</v>
      </c>
      <c r="J34" t="s">
        <v>6</v>
      </c>
      <c r="K34" t="s">
        <v>1113</v>
      </c>
      <c r="L34">
        <v>1191</v>
      </c>
      <c r="N34">
        <v>1013</v>
      </c>
      <c r="O34" t="s">
        <v>1072</v>
      </c>
      <c r="P34" t="s">
        <v>1072</v>
      </c>
      <c r="Q34">
        <v>1</v>
      </c>
      <c r="X34">
        <v>34.659999999999997</v>
      </c>
      <c r="Y34">
        <v>0</v>
      </c>
      <c r="Z34">
        <v>0</v>
      </c>
      <c r="AA34">
        <v>0</v>
      </c>
      <c r="AB34">
        <v>8.31</v>
      </c>
      <c r="AC34">
        <v>0</v>
      </c>
      <c r="AD34">
        <v>1</v>
      </c>
      <c r="AE34">
        <v>1</v>
      </c>
      <c r="AF34" t="s">
        <v>6</v>
      </c>
      <c r="AG34">
        <v>34.659999999999997</v>
      </c>
      <c r="AH34">
        <v>2</v>
      </c>
      <c r="AI34">
        <v>16753570</v>
      </c>
      <c r="AJ34">
        <v>29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</row>
    <row r="35" spans="1:44" x14ac:dyDescent="0.2">
      <c r="A35">
        <f>ROW(Source!A46)</f>
        <v>46</v>
      </c>
      <c r="B35">
        <v>16753571</v>
      </c>
      <c r="C35">
        <v>16753569</v>
      </c>
      <c r="D35">
        <v>15430395</v>
      </c>
      <c r="E35">
        <v>1</v>
      </c>
      <c r="F35">
        <v>1</v>
      </c>
      <c r="G35">
        <v>1</v>
      </c>
      <c r="H35">
        <v>1</v>
      </c>
      <c r="I35" t="s">
        <v>1073</v>
      </c>
      <c r="J35" t="s">
        <v>6</v>
      </c>
      <c r="K35" t="s">
        <v>1074</v>
      </c>
      <c r="L35">
        <v>1191</v>
      </c>
      <c r="N35">
        <v>1013</v>
      </c>
      <c r="O35" t="s">
        <v>1072</v>
      </c>
      <c r="P35" t="s">
        <v>1072</v>
      </c>
      <c r="Q35">
        <v>1</v>
      </c>
      <c r="X35">
        <v>0.1</v>
      </c>
      <c r="Y35">
        <v>0</v>
      </c>
      <c r="Z35">
        <v>0</v>
      </c>
      <c r="AA35">
        <v>0</v>
      </c>
      <c r="AB35">
        <v>0</v>
      </c>
      <c r="AC35">
        <v>0</v>
      </c>
      <c r="AD35">
        <v>1</v>
      </c>
      <c r="AE35">
        <v>2</v>
      </c>
      <c r="AF35" t="s">
        <v>6</v>
      </c>
      <c r="AG35">
        <v>0.1</v>
      </c>
      <c r="AH35">
        <v>2</v>
      </c>
      <c r="AI35">
        <v>16753571</v>
      </c>
      <c r="AJ35">
        <v>30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</row>
    <row r="36" spans="1:44" x14ac:dyDescent="0.2">
      <c r="A36">
        <f>ROW(Source!A46)</f>
        <v>46</v>
      </c>
      <c r="B36">
        <v>16753572</v>
      </c>
      <c r="C36">
        <v>16753569</v>
      </c>
      <c r="D36">
        <v>15247974</v>
      </c>
      <c r="E36">
        <v>1</v>
      </c>
      <c r="F36">
        <v>1</v>
      </c>
      <c r="G36">
        <v>1</v>
      </c>
      <c r="H36">
        <v>2</v>
      </c>
      <c r="I36" t="s">
        <v>1075</v>
      </c>
      <c r="J36" t="s">
        <v>1076</v>
      </c>
      <c r="K36" t="s">
        <v>1077</v>
      </c>
      <c r="L36">
        <v>1368</v>
      </c>
      <c r="N36">
        <v>1011</v>
      </c>
      <c r="O36" t="s">
        <v>1078</v>
      </c>
      <c r="P36" t="s">
        <v>1078</v>
      </c>
      <c r="Q36">
        <v>1</v>
      </c>
      <c r="X36">
        <v>0.1</v>
      </c>
      <c r="Y36">
        <v>0</v>
      </c>
      <c r="Z36">
        <v>31.26</v>
      </c>
      <c r="AA36">
        <v>13.5</v>
      </c>
      <c r="AB36">
        <v>0</v>
      </c>
      <c r="AC36">
        <v>0</v>
      </c>
      <c r="AD36">
        <v>1</v>
      </c>
      <c r="AE36">
        <v>0</v>
      </c>
      <c r="AF36" t="s">
        <v>6</v>
      </c>
      <c r="AG36">
        <v>0.1</v>
      </c>
      <c r="AH36">
        <v>2</v>
      </c>
      <c r="AI36">
        <v>16753572</v>
      </c>
      <c r="AJ36">
        <v>31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</row>
    <row r="37" spans="1:44" x14ac:dyDescent="0.2">
      <c r="A37">
        <f>ROW(Source!A46)</f>
        <v>46</v>
      </c>
      <c r="B37">
        <v>16753573</v>
      </c>
      <c r="C37">
        <v>16753569</v>
      </c>
      <c r="D37">
        <v>15249308</v>
      </c>
      <c r="E37">
        <v>1</v>
      </c>
      <c r="F37">
        <v>1</v>
      </c>
      <c r="G37">
        <v>1</v>
      </c>
      <c r="H37">
        <v>2</v>
      </c>
      <c r="I37" t="s">
        <v>1114</v>
      </c>
      <c r="J37" t="s">
        <v>1115</v>
      </c>
      <c r="K37" t="s">
        <v>1116</v>
      </c>
      <c r="L37">
        <v>1368</v>
      </c>
      <c r="N37">
        <v>1011</v>
      </c>
      <c r="O37" t="s">
        <v>1078</v>
      </c>
      <c r="P37" t="s">
        <v>1078</v>
      </c>
      <c r="Q37">
        <v>1</v>
      </c>
      <c r="X37">
        <v>3.3</v>
      </c>
      <c r="Y37">
        <v>0</v>
      </c>
      <c r="Z37">
        <v>1.2</v>
      </c>
      <c r="AA37">
        <v>0</v>
      </c>
      <c r="AB37">
        <v>0</v>
      </c>
      <c r="AC37">
        <v>0</v>
      </c>
      <c r="AD37">
        <v>1</v>
      </c>
      <c r="AE37">
        <v>0</v>
      </c>
      <c r="AF37" t="s">
        <v>6</v>
      </c>
      <c r="AG37">
        <v>3.3</v>
      </c>
      <c r="AH37">
        <v>2</v>
      </c>
      <c r="AI37">
        <v>16753573</v>
      </c>
      <c r="AJ37">
        <v>32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</row>
    <row r="38" spans="1:44" x14ac:dyDescent="0.2">
      <c r="A38">
        <f>ROW(Source!A46)</f>
        <v>46</v>
      </c>
      <c r="B38">
        <v>16753574</v>
      </c>
      <c r="C38">
        <v>16753569</v>
      </c>
      <c r="D38">
        <v>15165634</v>
      </c>
      <c r="E38">
        <v>1</v>
      </c>
      <c r="F38">
        <v>1</v>
      </c>
      <c r="G38">
        <v>1</v>
      </c>
      <c r="H38">
        <v>3</v>
      </c>
      <c r="I38" t="s">
        <v>1117</v>
      </c>
      <c r="J38" t="s">
        <v>1118</v>
      </c>
      <c r="K38" t="s">
        <v>1119</v>
      </c>
      <c r="L38">
        <v>1339</v>
      </c>
      <c r="N38">
        <v>1007</v>
      </c>
      <c r="O38" t="s">
        <v>283</v>
      </c>
      <c r="P38" t="s">
        <v>283</v>
      </c>
      <c r="Q38">
        <v>1</v>
      </c>
      <c r="X38">
        <v>0.43</v>
      </c>
      <c r="Y38">
        <v>38.51</v>
      </c>
      <c r="Z38">
        <v>0</v>
      </c>
      <c r="AA38">
        <v>0</v>
      </c>
      <c r="AB38">
        <v>0</v>
      </c>
      <c r="AC38">
        <v>0</v>
      </c>
      <c r="AD38">
        <v>1</v>
      </c>
      <c r="AE38">
        <v>0</v>
      </c>
      <c r="AF38" t="s">
        <v>6</v>
      </c>
      <c r="AG38">
        <v>0.43</v>
      </c>
      <c r="AH38">
        <v>2</v>
      </c>
      <c r="AI38">
        <v>16753574</v>
      </c>
      <c r="AJ38">
        <v>33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</row>
    <row r="39" spans="1:44" x14ac:dyDescent="0.2">
      <c r="A39">
        <f>ROW(Source!A46)</f>
        <v>46</v>
      </c>
      <c r="B39">
        <v>16753575</v>
      </c>
      <c r="C39">
        <v>16753569</v>
      </c>
      <c r="D39">
        <v>15165653</v>
      </c>
      <c r="E39">
        <v>1</v>
      </c>
      <c r="F39">
        <v>1</v>
      </c>
      <c r="G39">
        <v>1</v>
      </c>
      <c r="H39">
        <v>3</v>
      </c>
      <c r="I39" t="s">
        <v>1120</v>
      </c>
      <c r="J39" t="s">
        <v>1121</v>
      </c>
      <c r="K39" t="s">
        <v>1122</v>
      </c>
      <c r="L39">
        <v>1339</v>
      </c>
      <c r="N39">
        <v>1007</v>
      </c>
      <c r="O39" t="s">
        <v>283</v>
      </c>
      <c r="P39" t="s">
        <v>283</v>
      </c>
      <c r="Q39">
        <v>1</v>
      </c>
      <c r="X39">
        <v>2.74</v>
      </c>
      <c r="Y39">
        <v>6.22</v>
      </c>
      <c r="Z39">
        <v>0</v>
      </c>
      <c r="AA39">
        <v>0</v>
      </c>
      <c r="AB39">
        <v>0</v>
      </c>
      <c r="AC39">
        <v>0</v>
      </c>
      <c r="AD39">
        <v>1</v>
      </c>
      <c r="AE39">
        <v>0</v>
      </c>
      <c r="AF39" t="s">
        <v>6</v>
      </c>
      <c r="AG39">
        <v>2.74</v>
      </c>
      <c r="AH39">
        <v>2</v>
      </c>
      <c r="AI39">
        <v>16753575</v>
      </c>
      <c r="AJ39">
        <v>34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</row>
    <row r="40" spans="1:44" x14ac:dyDescent="0.2">
      <c r="A40">
        <f>ROW(Source!A46)</f>
        <v>46</v>
      </c>
      <c r="B40">
        <v>16753576</v>
      </c>
      <c r="C40">
        <v>16753569</v>
      </c>
      <c r="D40">
        <v>15164576</v>
      </c>
      <c r="E40">
        <v>17</v>
      </c>
      <c r="F40">
        <v>1</v>
      </c>
      <c r="G40">
        <v>1</v>
      </c>
      <c r="H40">
        <v>3</v>
      </c>
      <c r="I40" t="s">
        <v>69</v>
      </c>
      <c r="J40" t="s">
        <v>6</v>
      </c>
      <c r="K40" t="s">
        <v>103</v>
      </c>
      <c r="L40">
        <v>1348</v>
      </c>
      <c r="N40">
        <v>1009</v>
      </c>
      <c r="O40" t="s">
        <v>71</v>
      </c>
      <c r="P40" t="s">
        <v>71</v>
      </c>
      <c r="Q40">
        <v>1000</v>
      </c>
      <c r="X40">
        <v>0.22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 t="s">
        <v>6</v>
      </c>
      <c r="AG40">
        <v>0.22</v>
      </c>
      <c r="AH40">
        <v>2</v>
      </c>
      <c r="AI40">
        <v>16753576</v>
      </c>
      <c r="AJ40">
        <v>35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</row>
    <row r="41" spans="1:44" x14ac:dyDescent="0.2">
      <c r="A41">
        <f>ROW(Source!A48)</f>
        <v>48</v>
      </c>
      <c r="B41">
        <v>16753580</v>
      </c>
      <c r="C41">
        <v>16753579</v>
      </c>
      <c r="D41">
        <v>15430767</v>
      </c>
      <c r="E41">
        <v>1</v>
      </c>
      <c r="F41">
        <v>1</v>
      </c>
      <c r="G41">
        <v>1</v>
      </c>
      <c r="H41">
        <v>1</v>
      </c>
      <c r="I41" t="s">
        <v>1070</v>
      </c>
      <c r="J41" t="s">
        <v>6</v>
      </c>
      <c r="K41" t="s">
        <v>1071</v>
      </c>
      <c r="L41">
        <v>1191</v>
      </c>
      <c r="N41">
        <v>1013</v>
      </c>
      <c r="O41" t="s">
        <v>1072</v>
      </c>
      <c r="P41" t="s">
        <v>1072</v>
      </c>
      <c r="Q41">
        <v>1</v>
      </c>
      <c r="X41">
        <v>141.19999999999999</v>
      </c>
      <c r="Y41">
        <v>0</v>
      </c>
      <c r="Z41">
        <v>0</v>
      </c>
      <c r="AA41">
        <v>0</v>
      </c>
      <c r="AB41">
        <v>8.5299999999999994</v>
      </c>
      <c r="AC41">
        <v>0</v>
      </c>
      <c r="AD41">
        <v>1</v>
      </c>
      <c r="AE41">
        <v>1</v>
      </c>
      <c r="AF41" t="s">
        <v>6</v>
      </c>
      <c r="AG41">
        <v>141.19999999999999</v>
      </c>
      <c r="AH41">
        <v>2</v>
      </c>
      <c r="AI41">
        <v>16753580</v>
      </c>
      <c r="AJ41">
        <v>36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</row>
    <row r="42" spans="1:44" x14ac:dyDescent="0.2">
      <c r="A42">
        <f>ROW(Source!A48)</f>
        <v>48</v>
      </c>
      <c r="B42">
        <v>16753581</v>
      </c>
      <c r="C42">
        <v>16753579</v>
      </c>
      <c r="D42">
        <v>15249402</v>
      </c>
      <c r="E42">
        <v>1</v>
      </c>
      <c r="F42">
        <v>1</v>
      </c>
      <c r="G42">
        <v>1</v>
      </c>
      <c r="H42">
        <v>2</v>
      </c>
      <c r="I42" t="s">
        <v>1089</v>
      </c>
      <c r="J42" t="s">
        <v>1090</v>
      </c>
      <c r="K42" t="s">
        <v>1091</v>
      </c>
      <c r="L42">
        <v>1368</v>
      </c>
      <c r="N42">
        <v>1011</v>
      </c>
      <c r="O42" t="s">
        <v>1078</v>
      </c>
      <c r="P42" t="s">
        <v>1078</v>
      </c>
      <c r="Q42">
        <v>1</v>
      </c>
      <c r="X42">
        <v>6.72</v>
      </c>
      <c r="Y42">
        <v>0</v>
      </c>
      <c r="Z42">
        <v>32.5</v>
      </c>
      <c r="AA42">
        <v>0</v>
      </c>
      <c r="AB42">
        <v>0</v>
      </c>
      <c r="AC42">
        <v>0</v>
      </c>
      <c r="AD42">
        <v>1</v>
      </c>
      <c r="AE42">
        <v>0</v>
      </c>
      <c r="AF42" t="s">
        <v>6</v>
      </c>
      <c r="AG42">
        <v>6.72</v>
      </c>
      <c r="AH42">
        <v>2</v>
      </c>
      <c r="AI42">
        <v>16753581</v>
      </c>
      <c r="AJ42">
        <v>37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</row>
    <row r="43" spans="1:44" x14ac:dyDescent="0.2">
      <c r="A43">
        <f>ROW(Source!A48)</f>
        <v>48</v>
      </c>
      <c r="B43">
        <v>16753582</v>
      </c>
      <c r="C43">
        <v>16753579</v>
      </c>
      <c r="D43">
        <v>15249998</v>
      </c>
      <c r="E43">
        <v>1</v>
      </c>
      <c r="F43">
        <v>1</v>
      </c>
      <c r="G43">
        <v>1</v>
      </c>
      <c r="H43">
        <v>2</v>
      </c>
      <c r="I43" t="s">
        <v>1092</v>
      </c>
      <c r="J43" t="s">
        <v>1093</v>
      </c>
      <c r="K43" t="s">
        <v>1094</v>
      </c>
      <c r="L43">
        <v>1368</v>
      </c>
      <c r="N43">
        <v>1011</v>
      </c>
      <c r="O43" t="s">
        <v>1078</v>
      </c>
      <c r="P43" t="s">
        <v>1078</v>
      </c>
      <c r="Q43">
        <v>1</v>
      </c>
      <c r="X43">
        <v>13.44</v>
      </c>
      <c r="Y43">
        <v>0</v>
      </c>
      <c r="Z43">
        <v>1.53</v>
      </c>
      <c r="AA43">
        <v>0</v>
      </c>
      <c r="AB43">
        <v>0</v>
      </c>
      <c r="AC43">
        <v>0</v>
      </c>
      <c r="AD43">
        <v>1</v>
      </c>
      <c r="AE43">
        <v>0</v>
      </c>
      <c r="AF43" t="s">
        <v>6</v>
      </c>
      <c r="AG43">
        <v>13.44</v>
      </c>
      <c r="AH43">
        <v>2</v>
      </c>
      <c r="AI43">
        <v>16753582</v>
      </c>
      <c r="AJ43">
        <v>38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</row>
    <row r="44" spans="1:44" x14ac:dyDescent="0.2">
      <c r="A44">
        <f>ROW(Source!A48)</f>
        <v>48</v>
      </c>
      <c r="B44">
        <v>16753583</v>
      </c>
      <c r="C44">
        <v>16753579</v>
      </c>
      <c r="D44">
        <v>15164576</v>
      </c>
      <c r="E44">
        <v>17</v>
      </c>
      <c r="F44">
        <v>1</v>
      </c>
      <c r="G44">
        <v>1</v>
      </c>
      <c r="H44">
        <v>3</v>
      </c>
      <c r="I44" t="s">
        <v>69</v>
      </c>
      <c r="J44" t="s">
        <v>6</v>
      </c>
      <c r="K44" t="s">
        <v>103</v>
      </c>
      <c r="L44">
        <v>1348</v>
      </c>
      <c r="N44">
        <v>1009</v>
      </c>
      <c r="O44" t="s">
        <v>71</v>
      </c>
      <c r="P44" t="s">
        <v>71</v>
      </c>
      <c r="Q44">
        <v>1000</v>
      </c>
      <c r="X44">
        <v>19.399999999999999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 t="s">
        <v>6</v>
      </c>
      <c r="AG44">
        <v>19.399999999999999</v>
      </c>
      <c r="AH44">
        <v>2</v>
      </c>
      <c r="AI44">
        <v>16753583</v>
      </c>
      <c r="AJ44">
        <v>39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</row>
    <row r="45" spans="1:44" x14ac:dyDescent="0.2">
      <c r="A45">
        <f>ROW(Source!A50)</f>
        <v>50</v>
      </c>
      <c r="B45">
        <v>16753586</v>
      </c>
      <c r="C45">
        <v>16753585</v>
      </c>
      <c r="D45">
        <v>15430517</v>
      </c>
      <c r="E45">
        <v>1</v>
      </c>
      <c r="F45">
        <v>1</v>
      </c>
      <c r="G45">
        <v>1</v>
      </c>
      <c r="H45">
        <v>1</v>
      </c>
      <c r="I45" t="s">
        <v>1085</v>
      </c>
      <c r="J45" t="s">
        <v>6</v>
      </c>
      <c r="K45" t="s">
        <v>1086</v>
      </c>
      <c r="L45">
        <v>1191</v>
      </c>
      <c r="N45">
        <v>1013</v>
      </c>
      <c r="O45" t="s">
        <v>1072</v>
      </c>
      <c r="P45" t="s">
        <v>1072</v>
      </c>
      <c r="Q45">
        <v>1</v>
      </c>
      <c r="X45">
        <v>22.82</v>
      </c>
      <c r="Y45">
        <v>0</v>
      </c>
      <c r="Z45">
        <v>0</v>
      </c>
      <c r="AA45">
        <v>0</v>
      </c>
      <c r="AB45">
        <v>7.8</v>
      </c>
      <c r="AC45">
        <v>0</v>
      </c>
      <c r="AD45">
        <v>1</v>
      </c>
      <c r="AE45">
        <v>1</v>
      </c>
      <c r="AF45" t="s">
        <v>6</v>
      </c>
      <c r="AG45">
        <v>22.82</v>
      </c>
      <c r="AH45">
        <v>2</v>
      </c>
      <c r="AI45">
        <v>16753586</v>
      </c>
      <c r="AJ45">
        <v>40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</row>
    <row r="46" spans="1:44" x14ac:dyDescent="0.2">
      <c r="A46">
        <f>ROW(Source!A85)</f>
        <v>85</v>
      </c>
      <c r="B46">
        <v>16749915</v>
      </c>
      <c r="C46">
        <v>16749902</v>
      </c>
      <c r="D46">
        <v>15436014</v>
      </c>
      <c r="E46">
        <v>1</v>
      </c>
      <c r="F46">
        <v>1</v>
      </c>
      <c r="G46">
        <v>1</v>
      </c>
      <c r="H46">
        <v>1</v>
      </c>
      <c r="I46" t="s">
        <v>1123</v>
      </c>
      <c r="J46" t="s">
        <v>6</v>
      </c>
      <c r="K46" t="s">
        <v>1124</v>
      </c>
      <c r="L46">
        <v>1191</v>
      </c>
      <c r="N46">
        <v>1013</v>
      </c>
      <c r="O46" t="s">
        <v>1072</v>
      </c>
      <c r="P46" t="s">
        <v>1072</v>
      </c>
      <c r="Q46">
        <v>1</v>
      </c>
      <c r="X46">
        <v>145.72</v>
      </c>
      <c r="Y46">
        <v>0</v>
      </c>
      <c r="Z46">
        <v>0</v>
      </c>
      <c r="AA46">
        <v>0</v>
      </c>
      <c r="AB46">
        <v>8.74</v>
      </c>
      <c r="AC46">
        <v>0</v>
      </c>
      <c r="AD46">
        <v>1</v>
      </c>
      <c r="AE46">
        <v>1</v>
      </c>
      <c r="AF46" t="s">
        <v>173</v>
      </c>
      <c r="AG46">
        <v>167.57799999999997</v>
      </c>
      <c r="AH46">
        <v>2</v>
      </c>
      <c r="AI46">
        <v>16749903</v>
      </c>
      <c r="AJ46">
        <v>41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</row>
    <row r="47" spans="1:44" x14ac:dyDescent="0.2">
      <c r="A47">
        <f>ROW(Source!A85)</f>
        <v>85</v>
      </c>
      <c r="B47">
        <v>16749916</v>
      </c>
      <c r="C47">
        <v>16749902</v>
      </c>
      <c r="D47">
        <v>15430395</v>
      </c>
      <c r="E47">
        <v>1</v>
      </c>
      <c r="F47">
        <v>1</v>
      </c>
      <c r="G47">
        <v>1</v>
      </c>
      <c r="H47">
        <v>1</v>
      </c>
      <c r="I47" t="s">
        <v>1073</v>
      </c>
      <c r="J47" t="s">
        <v>6</v>
      </c>
      <c r="K47" t="s">
        <v>1074</v>
      </c>
      <c r="L47">
        <v>1191</v>
      </c>
      <c r="N47">
        <v>1013</v>
      </c>
      <c r="O47" t="s">
        <v>1072</v>
      </c>
      <c r="P47" t="s">
        <v>1072</v>
      </c>
      <c r="Q47">
        <v>1</v>
      </c>
      <c r="X47">
        <v>4.2300000000000004</v>
      </c>
      <c r="Y47">
        <v>0</v>
      </c>
      <c r="Z47">
        <v>0</v>
      </c>
      <c r="AA47">
        <v>0</v>
      </c>
      <c r="AB47">
        <v>0</v>
      </c>
      <c r="AC47">
        <v>0</v>
      </c>
      <c r="AD47">
        <v>1</v>
      </c>
      <c r="AE47">
        <v>2</v>
      </c>
      <c r="AF47" t="s">
        <v>172</v>
      </c>
      <c r="AG47">
        <v>5.2875000000000005</v>
      </c>
      <c r="AH47">
        <v>2</v>
      </c>
      <c r="AI47">
        <v>16749904</v>
      </c>
      <c r="AJ47">
        <v>42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</row>
    <row r="48" spans="1:44" x14ac:dyDescent="0.2">
      <c r="A48">
        <f>ROW(Source!A85)</f>
        <v>85</v>
      </c>
      <c r="B48">
        <v>16749917</v>
      </c>
      <c r="C48">
        <v>16749902</v>
      </c>
      <c r="D48">
        <v>15247974</v>
      </c>
      <c r="E48">
        <v>1</v>
      </c>
      <c r="F48">
        <v>1</v>
      </c>
      <c r="G48">
        <v>1</v>
      </c>
      <c r="H48">
        <v>2</v>
      </c>
      <c r="I48" t="s">
        <v>1075</v>
      </c>
      <c r="J48" t="s">
        <v>1076</v>
      </c>
      <c r="K48" t="s">
        <v>1077</v>
      </c>
      <c r="L48">
        <v>1368</v>
      </c>
      <c r="N48">
        <v>1011</v>
      </c>
      <c r="O48" t="s">
        <v>1078</v>
      </c>
      <c r="P48" t="s">
        <v>1078</v>
      </c>
      <c r="Q48">
        <v>1</v>
      </c>
      <c r="X48">
        <v>0.66</v>
      </c>
      <c r="Y48">
        <v>0</v>
      </c>
      <c r="Z48">
        <v>31.26</v>
      </c>
      <c r="AA48">
        <v>13.5</v>
      </c>
      <c r="AB48">
        <v>0</v>
      </c>
      <c r="AC48">
        <v>0</v>
      </c>
      <c r="AD48">
        <v>1</v>
      </c>
      <c r="AE48">
        <v>0</v>
      </c>
      <c r="AF48" t="s">
        <v>172</v>
      </c>
      <c r="AG48">
        <v>0.82500000000000007</v>
      </c>
      <c r="AH48">
        <v>2</v>
      </c>
      <c r="AI48">
        <v>16749905</v>
      </c>
      <c r="AJ48">
        <v>43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</row>
    <row r="49" spans="1:44" x14ac:dyDescent="0.2">
      <c r="A49">
        <f>ROW(Source!A85)</f>
        <v>85</v>
      </c>
      <c r="B49">
        <v>16749918</v>
      </c>
      <c r="C49">
        <v>16749902</v>
      </c>
      <c r="D49">
        <v>15249073</v>
      </c>
      <c r="E49">
        <v>1</v>
      </c>
      <c r="F49">
        <v>1</v>
      </c>
      <c r="G49">
        <v>1</v>
      </c>
      <c r="H49">
        <v>2</v>
      </c>
      <c r="I49" t="s">
        <v>1097</v>
      </c>
      <c r="J49" t="s">
        <v>1098</v>
      </c>
      <c r="K49" t="s">
        <v>1099</v>
      </c>
      <c r="L49">
        <v>1368</v>
      </c>
      <c r="N49">
        <v>1011</v>
      </c>
      <c r="O49" t="s">
        <v>1078</v>
      </c>
      <c r="P49" t="s">
        <v>1078</v>
      </c>
      <c r="Q49">
        <v>1</v>
      </c>
      <c r="X49">
        <v>3.57</v>
      </c>
      <c r="Y49">
        <v>0</v>
      </c>
      <c r="Z49">
        <v>65.709999999999994</v>
      </c>
      <c r="AA49">
        <v>11.6</v>
      </c>
      <c r="AB49">
        <v>0</v>
      </c>
      <c r="AC49">
        <v>0</v>
      </c>
      <c r="AD49">
        <v>1</v>
      </c>
      <c r="AE49">
        <v>0</v>
      </c>
      <c r="AF49" t="s">
        <v>172</v>
      </c>
      <c r="AG49">
        <v>4.4624999999999995</v>
      </c>
      <c r="AH49">
        <v>2</v>
      </c>
      <c r="AI49">
        <v>16749906</v>
      </c>
      <c r="AJ49">
        <v>44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</row>
    <row r="50" spans="1:44" x14ac:dyDescent="0.2">
      <c r="A50">
        <f>ROW(Source!A85)</f>
        <v>85</v>
      </c>
      <c r="B50">
        <v>16749919</v>
      </c>
      <c r="C50">
        <v>16749902</v>
      </c>
      <c r="D50">
        <v>15167551</v>
      </c>
      <c r="E50">
        <v>1</v>
      </c>
      <c r="F50">
        <v>1</v>
      </c>
      <c r="G50">
        <v>1</v>
      </c>
      <c r="H50">
        <v>3</v>
      </c>
      <c r="I50" t="s">
        <v>1125</v>
      </c>
      <c r="J50" t="s">
        <v>1126</v>
      </c>
      <c r="K50" t="s">
        <v>1127</v>
      </c>
      <c r="L50">
        <v>1301</v>
      </c>
      <c r="N50">
        <v>1003</v>
      </c>
      <c r="O50" t="s">
        <v>206</v>
      </c>
      <c r="P50" t="s">
        <v>206</v>
      </c>
      <c r="Q50">
        <v>1</v>
      </c>
      <c r="X50">
        <v>244</v>
      </c>
      <c r="Y50">
        <v>6.38</v>
      </c>
      <c r="Z50">
        <v>0</v>
      </c>
      <c r="AA50">
        <v>0</v>
      </c>
      <c r="AB50">
        <v>0</v>
      </c>
      <c r="AC50">
        <v>0</v>
      </c>
      <c r="AD50">
        <v>1</v>
      </c>
      <c r="AE50">
        <v>0</v>
      </c>
      <c r="AF50" t="s">
        <v>6</v>
      </c>
      <c r="AG50">
        <v>244</v>
      </c>
      <c r="AH50">
        <v>2</v>
      </c>
      <c r="AI50">
        <v>16749907</v>
      </c>
      <c r="AJ50">
        <v>45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</row>
    <row r="51" spans="1:44" x14ac:dyDescent="0.2">
      <c r="A51">
        <f>ROW(Source!A85)</f>
        <v>85</v>
      </c>
      <c r="B51">
        <v>16749920</v>
      </c>
      <c r="C51">
        <v>16749902</v>
      </c>
      <c r="D51">
        <v>15167552</v>
      </c>
      <c r="E51">
        <v>1</v>
      </c>
      <c r="F51">
        <v>1</v>
      </c>
      <c r="G51">
        <v>1</v>
      </c>
      <c r="H51">
        <v>3</v>
      </c>
      <c r="I51" t="s">
        <v>1128</v>
      </c>
      <c r="J51" t="s">
        <v>1129</v>
      </c>
      <c r="K51" t="s">
        <v>1130</v>
      </c>
      <c r="L51">
        <v>1301</v>
      </c>
      <c r="N51">
        <v>1003</v>
      </c>
      <c r="O51" t="s">
        <v>206</v>
      </c>
      <c r="P51" t="s">
        <v>206</v>
      </c>
      <c r="Q51">
        <v>1</v>
      </c>
      <c r="X51">
        <v>56</v>
      </c>
      <c r="Y51">
        <v>7.95</v>
      </c>
      <c r="Z51">
        <v>0</v>
      </c>
      <c r="AA51">
        <v>0</v>
      </c>
      <c r="AB51">
        <v>0</v>
      </c>
      <c r="AC51">
        <v>0</v>
      </c>
      <c r="AD51">
        <v>1</v>
      </c>
      <c r="AE51">
        <v>0</v>
      </c>
      <c r="AF51" t="s">
        <v>6</v>
      </c>
      <c r="AG51">
        <v>56</v>
      </c>
      <c r="AH51">
        <v>2</v>
      </c>
      <c r="AI51">
        <v>16749908</v>
      </c>
      <c r="AJ51">
        <v>46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</row>
    <row r="52" spans="1:44" x14ac:dyDescent="0.2">
      <c r="A52">
        <f>ROW(Source!A85)</f>
        <v>85</v>
      </c>
      <c r="B52">
        <v>16749921</v>
      </c>
      <c r="C52">
        <v>16749902</v>
      </c>
      <c r="D52">
        <v>15167640</v>
      </c>
      <c r="E52">
        <v>1</v>
      </c>
      <c r="F52">
        <v>1</v>
      </c>
      <c r="G52">
        <v>1</v>
      </c>
      <c r="H52">
        <v>3</v>
      </c>
      <c r="I52" t="s">
        <v>1131</v>
      </c>
      <c r="J52" t="s">
        <v>1132</v>
      </c>
      <c r="K52" t="s">
        <v>1133</v>
      </c>
      <c r="L52">
        <v>1302</v>
      </c>
      <c r="N52">
        <v>1003</v>
      </c>
      <c r="O52" t="s">
        <v>632</v>
      </c>
      <c r="P52" t="s">
        <v>632</v>
      </c>
      <c r="Q52">
        <v>10</v>
      </c>
      <c r="X52">
        <v>15.6</v>
      </c>
      <c r="Y52">
        <v>64.099999999999994</v>
      </c>
      <c r="Z52">
        <v>0</v>
      </c>
      <c r="AA52">
        <v>0</v>
      </c>
      <c r="AB52">
        <v>0</v>
      </c>
      <c r="AC52">
        <v>0</v>
      </c>
      <c r="AD52">
        <v>1</v>
      </c>
      <c r="AE52">
        <v>0</v>
      </c>
      <c r="AF52" t="s">
        <v>6</v>
      </c>
      <c r="AG52">
        <v>15.6</v>
      </c>
      <c r="AH52">
        <v>2</v>
      </c>
      <c r="AI52">
        <v>16749909</v>
      </c>
      <c r="AJ52">
        <v>47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</row>
    <row r="53" spans="1:44" x14ac:dyDescent="0.2">
      <c r="A53">
        <f>ROW(Source!A85)</f>
        <v>85</v>
      </c>
      <c r="B53">
        <v>16749922</v>
      </c>
      <c r="C53">
        <v>16749902</v>
      </c>
      <c r="D53">
        <v>15170065</v>
      </c>
      <c r="E53">
        <v>1</v>
      </c>
      <c r="F53">
        <v>1</v>
      </c>
      <c r="G53">
        <v>1</v>
      </c>
      <c r="H53">
        <v>3</v>
      </c>
      <c r="I53" t="s">
        <v>1134</v>
      </c>
      <c r="J53" t="s">
        <v>1135</v>
      </c>
      <c r="K53" t="s">
        <v>1136</v>
      </c>
      <c r="L53">
        <v>1358</v>
      </c>
      <c r="N53">
        <v>1010</v>
      </c>
      <c r="O53" t="s">
        <v>615</v>
      </c>
      <c r="P53" t="s">
        <v>615</v>
      </c>
      <c r="Q53">
        <v>10</v>
      </c>
      <c r="X53">
        <v>38.9</v>
      </c>
      <c r="Y53">
        <v>7.03</v>
      </c>
      <c r="Z53">
        <v>0</v>
      </c>
      <c r="AA53">
        <v>0</v>
      </c>
      <c r="AB53">
        <v>0</v>
      </c>
      <c r="AC53">
        <v>0</v>
      </c>
      <c r="AD53">
        <v>1</v>
      </c>
      <c r="AE53">
        <v>0</v>
      </c>
      <c r="AF53" t="s">
        <v>6</v>
      </c>
      <c r="AG53">
        <v>38.9</v>
      </c>
      <c r="AH53">
        <v>2</v>
      </c>
      <c r="AI53">
        <v>16749910</v>
      </c>
      <c r="AJ53">
        <v>48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</row>
    <row r="54" spans="1:44" x14ac:dyDescent="0.2">
      <c r="A54">
        <f>ROW(Source!A85)</f>
        <v>85</v>
      </c>
      <c r="B54">
        <v>16749923</v>
      </c>
      <c r="C54">
        <v>16749902</v>
      </c>
      <c r="D54">
        <v>15162466</v>
      </c>
      <c r="E54">
        <v>17</v>
      </c>
      <c r="F54">
        <v>1</v>
      </c>
      <c r="G54">
        <v>1</v>
      </c>
      <c r="H54">
        <v>3</v>
      </c>
      <c r="I54" t="s">
        <v>182</v>
      </c>
      <c r="J54" t="s">
        <v>6</v>
      </c>
      <c r="K54" t="s">
        <v>183</v>
      </c>
      <c r="L54">
        <v>1327</v>
      </c>
      <c r="N54">
        <v>1005</v>
      </c>
      <c r="O54" t="s">
        <v>89</v>
      </c>
      <c r="P54" t="s">
        <v>89</v>
      </c>
      <c r="Q54">
        <v>1</v>
      </c>
      <c r="X54">
        <v>100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 t="s">
        <v>6</v>
      </c>
      <c r="AG54">
        <v>100</v>
      </c>
      <c r="AH54">
        <v>2</v>
      </c>
      <c r="AI54">
        <v>16749911</v>
      </c>
      <c r="AJ54">
        <v>50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</row>
    <row r="55" spans="1:44" x14ac:dyDescent="0.2">
      <c r="A55">
        <f>ROW(Source!A85)</f>
        <v>85</v>
      </c>
      <c r="B55">
        <v>16749924</v>
      </c>
      <c r="C55">
        <v>16749902</v>
      </c>
      <c r="D55">
        <v>15197780</v>
      </c>
      <c r="E55">
        <v>1</v>
      </c>
      <c r="F55">
        <v>1</v>
      </c>
      <c r="G55">
        <v>1</v>
      </c>
      <c r="H55">
        <v>3</v>
      </c>
      <c r="I55" t="s">
        <v>1137</v>
      </c>
      <c r="J55" t="s">
        <v>1138</v>
      </c>
      <c r="K55" t="s">
        <v>1139</v>
      </c>
      <c r="L55">
        <v>1355</v>
      </c>
      <c r="N55">
        <v>1010</v>
      </c>
      <c r="O55" t="s">
        <v>724</v>
      </c>
      <c r="P55" t="s">
        <v>724</v>
      </c>
      <c r="Q55">
        <v>100</v>
      </c>
      <c r="X55">
        <v>8</v>
      </c>
      <c r="Y55">
        <v>50</v>
      </c>
      <c r="Z55">
        <v>0</v>
      </c>
      <c r="AA55">
        <v>0</v>
      </c>
      <c r="AB55">
        <v>0</v>
      </c>
      <c r="AC55">
        <v>0</v>
      </c>
      <c r="AD55">
        <v>1</v>
      </c>
      <c r="AE55">
        <v>0</v>
      </c>
      <c r="AF55" t="s">
        <v>6</v>
      </c>
      <c r="AG55">
        <v>8</v>
      </c>
      <c r="AH55">
        <v>2</v>
      </c>
      <c r="AI55">
        <v>16749912</v>
      </c>
      <c r="AJ55">
        <v>51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</row>
    <row r="56" spans="1:44" x14ac:dyDescent="0.2">
      <c r="A56">
        <f>ROW(Source!A85)</f>
        <v>85</v>
      </c>
      <c r="B56">
        <v>16749925</v>
      </c>
      <c r="C56">
        <v>16749902</v>
      </c>
      <c r="D56">
        <v>15204239</v>
      </c>
      <c r="E56">
        <v>1</v>
      </c>
      <c r="F56">
        <v>1</v>
      </c>
      <c r="G56">
        <v>1</v>
      </c>
      <c r="H56">
        <v>3</v>
      </c>
      <c r="I56" t="s">
        <v>1140</v>
      </c>
      <c r="J56" t="s">
        <v>1141</v>
      </c>
      <c r="K56" t="s">
        <v>1142</v>
      </c>
      <c r="L56">
        <v>1354</v>
      </c>
      <c r="N56">
        <v>1010</v>
      </c>
      <c r="O56" t="s">
        <v>53</v>
      </c>
      <c r="P56" t="s">
        <v>53</v>
      </c>
      <c r="Q56">
        <v>1</v>
      </c>
      <c r="X56">
        <v>69</v>
      </c>
      <c r="Y56">
        <v>67</v>
      </c>
      <c r="Z56">
        <v>0</v>
      </c>
      <c r="AA56">
        <v>0</v>
      </c>
      <c r="AB56">
        <v>0</v>
      </c>
      <c r="AC56">
        <v>0</v>
      </c>
      <c r="AD56">
        <v>1</v>
      </c>
      <c r="AE56">
        <v>0</v>
      </c>
      <c r="AF56" t="s">
        <v>6</v>
      </c>
      <c r="AG56">
        <v>69</v>
      </c>
      <c r="AH56">
        <v>2</v>
      </c>
      <c r="AI56">
        <v>16749913</v>
      </c>
      <c r="AJ56">
        <v>52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</row>
    <row r="57" spans="1:44" x14ac:dyDescent="0.2">
      <c r="A57">
        <f>ROW(Source!A88)</f>
        <v>88</v>
      </c>
      <c r="B57">
        <v>16749941</v>
      </c>
      <c r="C57">
        <v>16749928</v>
      </c>
      <c r="D57">
        <v>15436014</v>
      </c>
      <c r="E57">
        <v>1</v>
      </c>
      <c r="F57">
        <v>1</v>
      </c>
      <c r="G57">
        <v>1</v>
      </c>
      <c r="H57">
        <v>1</v>
      </c>
      <c r="I57" t="s">
        <v>1123</v>
      </c>
      <c r="J57" t="s">
        <v>6</v>
      </c>
      <c r="K57" t="s">
        <v>1124</v>
      </c>
      <c r="L57">
        <v>1191</v>
      </c>
      <c r="N57">
        <v>1013</v>
      </c>
      <c r="O57" t="s">
        <v>1072</v>
      </c>
      <c r="P57" t="s">
        <v>1072</v>
      </c>
      <c r="Q57">
        <v>1</v>
      </c>
      <c r="X57">
        <v>216.08</v>
      </c>
      <c r="Y57">
        <v>0</v>
      </c>
      <c r="Z57">
        <v>0</v>
      </c>
      <c r="AA57">
        <v>0</v>
      </c>
      <c r="AB57">
        <v>8.74</v>
      </c>
      <c r="AC57">
        <v>0</v>
      </c>
      <c r="AD57">
        <v>1</v>
      </c>
      <c r="AE57">
        <v>1</v>
      </c>
      <c r="AF57" t="s">
        <v>173</v>
      </c>
      <c r="AG57">
        <v>248.49199999999999</v>
      </c>
      <c r="AH57">
        <v>2</v>
      </c>
      <c r="AI57">
        <v>16749929</v>
      </c>
      <c r="AJ57">
        <v>53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</row>
    <row r="58" spans="1:44" x14ac:dyDescent="0.2">
      <c r="A58">
        <f>ROW(Source!A88)</f>
        <v>88</v>
      </c>
      <c r="B58">
        <v>16749942</v>
      </c>
      <c r="C58">
        <v>16749928</v>
      </c>
      <c r="D58">
        <v>15430395</v>
      </c>
      <c r="E58">
        <v>1</v>
      </c>
      <c r="F58">
        <v>1</v>
      </c>
      <c r="G58">
        <v>1</v>
      </c>
      <c r="H58">
        <v>1</v>
      </c>
      <c r="I58" t="s">
        <v>1073</v>
      </c>
      <c r="J58" t="s">
        <v>6</v>
      </c>
      <c r="K58" t="s">
        <v>1074</v>
      </c>
      <c r="L58">
        <v>1191</v>
      </c>
      <c r="N58">
        <v>1013</v>
      </c>
      <c r="O58" t="s">
        <v>1072</v>
      </c>
      <c r="P58" t="s">
        <v>1072</v>
      </c>
      <c r="Q58">
        <v>1</v>
      </c>
      <c r="X58">
        <v>5.33</v>
      </c>
      <c r="Y58">
        <v>0</v>
      </c>
      <c r="Z58">
        <v>0</v>
      </c>
      <c r="AA58">
        <v>0</v>
      </c>
      <c r="AB58">
        <v>0</v>
      </c>
      <c r="AC58">
        <v>0</v>
      </c>
      <c r="AD58">
        <v>1</v>
      </c>
      <c r="AE58">
        <v>2</v>
      </c>
      <c r="AF58" t="s">
        <v>172</v>
      </c>
      <c r="AG58">
        <v>6.6624999999999996</v>
      </c>
      <c r="AH58">
        <v>2</v>
      </c>
      <c r="AI58">
        <v>16749930</v>
      </c>
      <c r="AJ58">
        <v>54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</row>
    <row r="59" spans="1:44" x14ac:dyDescent="0.2">
      <c r="A59">
        <f>ROW(Source!A88)</f>
        <v>88</v>
      </c>
      <c r="B59">
        <v>16749943</v>
      </c>
      <c r="C59">
        <v>16749928</v>
      </c>
      <c r="D59">
        <v>15247974</v>
      </c>
      <c r="E59">
        <v>1</v>
      </c>
      <c r="F59">
        <v>1</v>
      </c>
      <c r="G59">
        <v>1</v>
      </c>
      <c r="H59">
        <v>2</v>
      </c>
      <c r="I59" t="s">
        <v>1075</v>
      </c>
      <c r="J59" t="s">
        <v>1076</v>
      </c>
      <c r="K59" t="s">
        <v>1077</v>
      </c>
      <c r="L59">
        <v>1368</v>
      </c>
      <c r="N59">
        <v>1011</v>
      </c>
      <c r="O59" t="s">
        <v>1078</v>
      </c>
      <c r="P59" t="s">
        <v>1078</v>
      </c>
      <c r="Q59">
        <v>1</v>
      </c>
      <c r="X59">
        <v>1.76</v>
      </c>
      <c r="Y59">
        <v>0</v>
      </c>
      <c r="Z59">
        <v>31.26</v>
      </c>
      <c r="AA59">
        <v>13.5</v>
      </c>
      <c r="AB59">
        <v>0</v>
      </c>
      <c r="AC59">
        <v>0</v>
      </c>
      <c r="AD59">
        <v>1</v>
      </c>
      <c r="AE59">
        <v>0</v>
      </c>
      <c r="AF59" t="s">
        <v>172</v>
      </c>
      <c r="AG59">
        <v>2.2000000000000002</v>
      </c>
      <c r="AH59">
        <v>2</v>
      </c>
      <c r="AI59">
        <v>16749931</v>
      </c>
      <c r="AJ59">
        <v>55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</row>
    <row r="60" spans="1:44" x14ac:dyDescent="0.2">
      <c r="A60">
        <f>ROW(Source!A88)</f>
        <v>88</v>
      </c>
      <c r="B60">
        <v>16749944</v>
      </c>
      <c r="C60">
        <v>16749928</v>
      </c>
      <c r="D60">
        <v>15249073</v>
      </c>
      <c r="E60">
        <v>1</v>
      </c>
      <c r="F60">
        <v>1</v>
      </c>
      <c r="G60">
        <v>1</v>
      </c>
      <c r="H60">
        <v>2</v>
      </c>
      <c r="I60" t="s">
        <v>1097</v>
      </c>
      <c r="J60" t="s">
        <v>1098</v>
      </c>
      <c r="K60" t="s">
        <v>1099</v>
      </c>
      <c r="L60">
        <v>1368</v>
      </c>
      <c r="N60">
        <v>1011</v>
      </c>
      <c r="O60" t="s">
        <v>1078</v>
      </c>
      <c r="P60" t="s">
        <v>1078</v>
      </c>
      <c r="Q60">
        <v>1</v>
      </c>
      <c r="X60">
        <v>3.57</v>
      </c>
      <c r="Y60">
        <v>0</v>
      </c>
      <c r="Z60">
        <v>65.709999999999994</v>
      </c>
      <c r="AA60">
        <v>11.6</v>
      </c>
      <c r="AB60">
        <v>0</v>
      </c>
      <c r="AC60">
        <v>0</v>
      </c>
      <c r="AD60">
        <v>1</v>
      </c>
      <c r="AE60">
        <v>0</v>
      </c>
      <c r="AF60" t="s">
        <v>172</v>
      </c>
      <c r="AG60">
        <v>4.4624999999999995</v>
      </c>
      <c r="AH60">
        <v>2</v>
      </c>
      <c r="AI60">
        <v>16749932</v>
      </c>
      <c r="AJ60">
        <v>56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</row>
    <row r="61" spans="1:44" x14ac:dyDescent="0.2">
      <c r="A61">
        <f>ROW(Source!A88)</f>
        <v>88</v>
      </c>
      <c r="B61">
        <v>16749945</v>
      </c>
      <c r="C61">
        <v>16749928</v>
      </c>
      <c r="D61">
        <v>15167551</v>
      </c>
      <c r="E61">
        <v>1</v>
      </c>
      <c r="F61">
        <v>1</v>
      </c>
      <c r="G61">
        <v>1</v>
      </c>
      <c r="H61">
        <v>3</v>
      </c>
      <c r="I61" t="s">
        <v>1125</v>
      </c>
      <c r="J61" t="s">
        <v>1126</v>
      </c>
      <c r="K61" t="s">
        <v>1127</v>
      </c>
      <c r="L61">
        <v>1301</v>
      </c>
      <c r="N61">
        <v>1003</v>
      </c>
      <c r="O61" t="s">
        <v>206</v>
      </c>
      <c r="P61" t="s">
        <v>206</v>
      </c>
      <c r="Q61">
        <v>1</v>
      </c>
      <c r="X61">
        <v>429</v>
      </c>
      <c r="Y61">
        <v>6.38</v>
      </c>
      <c r="Z61">
        <v>0</v>
      </c>
      <c r="AA61">
        <v>0</v>
      </c>
      <c r="AB61">
        <v>0</v>
      </c>
      <c r="AC61">
        <v>0</v>
      </c>
      <c r="AD61">
        <v>1</v>
      </c>
      <c r="AE61">
        <v>0</v>
      </c>
      <c r="AF61" t="s">
        <v>6</v>
      </c>
      <c r="AG61">
        <v>429</v>
      </c>
      <c r="AH61">
        <v>2</v>
      </c>
      <c r="AI61">
        <v>16749933</v>
      </c>
      <c r="AJ61">
        <v>57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</row>
    <row r="62" spans="1:44" x14ac:dyDescent="0.2">
      <c r="A62">
        <f>ROW(Source!A88)</f>
        <v>88</v>
      </c>
      <c r="B62">
        <v>16749946</v>
      </c>
      <c r="C62">
        <v>16749928</v>
      </c>
      <c r="D62">
        <v>15167552</v>
      </c>
      <c r="E62">
        <v>1</v>
      </c>
      <c r="F62">
        <v>1</v>
      </c>
      <c r="G62">
        <v>1</v>
      </c>
      <c r="H62">
        <v>3</v>
      </c>
      <c r="I62" t="s">
        <v>1128</v>
      </c>
      <c r="J62" t="s">
        <v>1129</v>
      </c>
      <c r="K62" t="s">
        <v>1130</v>
      </c>
      <c r="L62">
        <v>1301</v>
      </c>
      <c r="N62">
        <v>1003</v>
      </c>
      <c r="O62" t="s">
        <v>206</v>
      </c>
      <c r="P62" t="s">
        <v>206</v>
      </c>
      <c r="Q62">
        <v>1</v>
      </c>
      <c r="X62">
        <v>71</v>
      </c>
      <c r="Y62">
        <v>7.95</v>
      </c>
      <c r="Z62">
        <v>0</v>
      </c>
      <c r="AA62">
        <v>0</v>
      </c>
      <c r="AB62">
        <v>0</v>
      </c>
      <c r="AC62">
        <v>0</v>
      </c>
      <c r="AD62">
        <v>1</v>
      </c>
      <c r="AE62">
        <v>0</v>
      </c>
      <c r="AF62" t="s">
        <v>6</v>
      </c>
      <c r="AG62">
        <v>71</v>
      </c>
      <c r="AH62">
        <v>2</v>
      </c>
      <c r="AI62">
        <v>16749934</v>
      </c>
      <c r="AJ62">
        <v>58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</row>
    <row r="63" spans="1:44" x14ac:dyDescent="0.2">
      <c r="A63">
        <f>ROW(Source!A88)</f>
        <v>88</v>
      </c>
      <c r="B63">
        <v>16749947</v>
      </c>
      <c r="C63">
        <v>16749928</v>
      </c>
      <c r="D63">
        <v>15167640</v>
      </c>
      <c r="E63">
        <v>1</v>
      </c>
      <c r="F63">
        <v>1</v>
      </c>
      <c r="G63">
        <v>1</v>
      </c>
      <c r="H63">
        <v>3</v>
      </c>
      <c r="I63" t="s">
        <v>1131</v>
      </c>
      <c r="J63" t="s">
        <v>1132</v>
      </c>
      <c r="K63" t="s">
        <v>1133</v>
      </c>
      <c r="L63">
        <v>1302</v>
      </c>
      <c r="N63">
        <v>1003</v>
      </c>
      <c r="O63" t="s">
        <v>632</v>
      </c>
      <c r="P63" t="s">
        <v>632</v>
      </c>
      <c r="Q63">
        <v>10</v>
      </c>
      <c r="X63">
        <v>27.1</v>
      </c>
      <c r="Y63">
        <v>64.099999999999994</v>
      </c>
      <c r="Z63">
        <v>0</v>
      </c>
      <c r="AA63">
        <v>0</v>
      </c>
      <c r="AB63">
        <v>0</v>
      </c>
      <c r="AC63">
        <v>0</v>
      </c>
      <c r="AD63">
        <v>1</v>
      </c>
      <c r="AE63">
        <v>0</v>
      </c>
      <c r="AF63" t="s">
        <v>6</v>
      </c>
      <c r="AG63">
        <v>27.1</v>
      </c>
      <c r="AH63">
        <v>2</v>
      </c>
      <c r="AI63">
        <v>16749935</v>
      </c>
      <c r="AJ63">
        <v>59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</row>
    <row r="64" spans="1:44" x14ac:dyDescent="0.2">
      <c r="A64">
        <f>ROW(Source!A88)</f>
        <v>88</v>
      </c>
      <c r="B64">
        <v>16749948</v>
      </c>
      <c r="C64">
        <v>16749928</v>
      </c>
      <c r="D64">
        <v>15170065</v>
      </c>
      <c r="E64">
        <v>1</v>
      </c>
      <c r="F64">
        <v>1</v>
      </c>
      <c r="G64">
        <v>1</v>
      </c>
      <c r="H64">
        <v>3</v>
      </c>
      <c r="I64" t="s">
        <v>1134</v>
      </c>
      <c r="J64" t="s">
        <v>1135</v>
      </c>
      <c r="K64" t="s">
        <v>1136</v>
      </c>
      <c r="L64">
        <v>1358</v>
      </c>
      <c r="N64">
        <v>1010</v>
      </c>
      <c r="O64" t="s">
        <v>615</v>
      </c>
      <c r="P64" t="s">
        <v>615</v>
      </c>
      <c r="Q64">
        <v>10</v>
      </c>
      <c r="X64">
        <v>71.400000000000006</v>
      </c>
      <c r="Y64">
        <v>7.03</v>
      </c>
      <c r="Z64">
        <v>0</v>
      </c>
      <c r="AA64">
        <v>0</v>
      </c>
      <c r="AB64">
        <v>0</v>
      </c>
      <c r="AC64">
        <v>0</v>
      </c>
      <c r="AD64">
        <v>1</v>
      </c>
      <c r="AE64">
        <v>0</v>
      </c>
      <c r="AF64" t="s">
        <v>6</v>
      </c>
      <c r="AG64">
        <v>71.400000000000006</v>
      </c>
      <c r="AH64">
        <v>2</v>
      </c>
      <c r="AI64">
        <v>16749936</v>
      </c>
      <c r="AJ64">
        <v>60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</row>
    <row r="65" spans="1:44" x14ac:dyDescent="0.2">
      <c r="A65">
        <f>ROW(Source!A88)</f>
        <v>88</v>
      </c>
      <c r="B65">
        <v>16749949</v>
      </c>
      <c r="C65">
        <v>16749928</v>
      </c>
      <c r="D65">
        <v>15162466</v>
      </c>
      <c r="E65">
        <v>17</v>
      </c>
      <c r="F65">
        <v>1</v>
      </c>
      <c r="G65">
        <v>1</v>
      </c>
      <c r="H65">
        <v>3</v>
      </c>
      <c r="I65" t="s">
        <v>182</v>
      </c>
      <c r="J65" t="s">
        <v>6</v>
      </c>
      <c r="K65" t="s">
        <v>183</v>
      </c>
      <c r="L65">
        <v>1327</v>
      </c>
      <c r="N65">
        <v>1005</v>
      </c>
      <c r="O65" t="s">
        <v>89</v>
      </c>
      <c r="P65" t="s">
        <v>89</v>
      </c>
      <c r="Q65">
        <v>1</v>
      </c>
      <c r="X65">
        <v>100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 t="s">
        <v>6</v>
      </c>
      <c r="AG65">
        <v>100</v>
      </c>
      <c r="AH65">
        <v>2</v>
      </c>
      <c r="AI65">
        <v>16749937</v>
      </c>
      <c r="AJ65">
        <v>62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</row>
    <row r="66" spans="1:44" x14ac:dyDescent="0.2">
      <c r="A66">
        <f>ROW(Source!A88)</f>
        <v>88</v>
      </c>
      <c r="B66">
        <v>16749950</v>
      </c>
      <c r="C66">
        <v>16749928</v>
      </c>
      <c r="D66">
        <v>15197780</v>
      </c>
      <c r="E66">
        <v>1</v>
      </c>
      <c r="F66">
        <v>1</v>
      </c>
      <c r="G66">
        <v>1</v>
      </c>
      <c r="H66">
        <v>3</v>
      </c>
      <c r="I66" t="s">
        <v>1137</v>
      </c>
      <c r="J66" t="s">
        <v>1138</v>
      </c>
      <c r="K66" t="s">
        <v>1139</v>
      </c>
      <c r="L66">
        <v>1355</v>
      </c>
      <c r="N66">
        <v>1010</v>
      </c>
      <c r="O66" t="s">
        <v>724</v>
      </c>
      <c r="P66" t="s">
        <v>724</v>
      </c>
      <c r="Q66">
        <v>100</v>
      </c>
      <c r="X66">
        <v>8</v>
      </c>
      <c r="Y66">
        <v>50</v>
      </c>
      <c r="Z66">
        <v>0</v>
      </c>
      <c r="AA66">
        <v>0</v>
      </c>
      <c r="AB66">
        <v>0</v>
      </c>
      <c r="AC66">
        <v>0</v>
      </c>
      <c r="AD66">
        <v>1</v>
      </c>
      <c r="AE66">
        <v>0</v>
      </c>
      <c r="AF66" t="s">
        <v>6</v>
      </c>
      <c r="AG66">
        <v>8</v>
      </c>
      <c r="AH66">
        <v>2</v>
      </c>
      <c r="AI66">
        <v>16749938</v>
      </c>
      <c r="AJ66">
        <v>63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</row>
    <row r="67" spans="1:44" x14ac:dyDescent="0.2">
      <c r="A67">
        <f>ROW(Source!A88)</f>
        <v>88</v>
      </c>
      <c r="B67">
        <v>16749951</v>
      </c>
      <c r="C67">
        <v>16749928</v>
      </c>
      <c r="D67">
        <v>15204239</v>
      </c>
      <c r="E67">
        <v>1</v>
      </c>
      <c r="F67">
        <v>1</v>
      </c>
      <c r="G67">
        <v>1</v>
      </c>
      <c r="H67">
        <v>3</v>
      </c>
      <c r="I67" t="s">
        <v>1140</v>
      </c>
      <c r="J67" t="s">
        <v>1141</v>
      </c>
      <c r="K67" t="s">
        <v>1142</v>
      </c>
      <c r="L67">
        <v>1354</v>
      </c>
      <c r="N67">
        <v>1010</v>
      </c>
      <c r="O67" t="s">
        <v>53</v>
      </c>
      <c r="P67" t="s">
        <v>53</v>
      </c>
      <c r="Q67">
        <v>1</v>
      </c>
      <c r="X67">
        <v>114</v>
      </c>
      <c r="Y67">
        <v>67</v>
      </c>
      <c r="Z67">
        <v>0</v>
      </c>
      <c r="AA67">
        <v>0</v>
      </c>
      <c r="AB67">
        <v>0</v>
      </c>
      <c r="AC67">
        <v>0</v>
      </c>
      <c r="AD67">
        <v>1</v>
      </c>
      <c r="AE67">
        <v>0</v>
      </c>
      <c r="AF67" t="s">
        <v>6</v>
      </c>
      <c r="AG67">
        <v>114</v>
      </c>
      <c r="AH67">
        <v>2</v>
      </c>
      <c r="AI67">
        <v>16749939</v>
      </c>
      <c r="AJ67">
        <v>64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</row>
    <row r="68" spans="1:44" x14ac:dyDescent="0.2">
      <c r="A68">
        <f>ROW(Source!A91)</f>
        <v>91</v>
      </c>
      <c r="B68">
        <v>16749962</v>
      </c>
      <c r="C68">
        <v>16749954</v>
      </c>
      <c r="D68">
        <v>15430767</v>
      </c>
      <c r="E68">
        <v>1</v>
      </c>
      <c r="F68">
        <v>1</v>
      </c>
      <c r="G68">
        <v>1</v>
      </c>
      <c r="H68">
        <v>1</v>
      </c>
      <c r="I68" t="s">
        <v>1070</v>
      </c>
      <c r="J68" t="s">
        <v>6</v>
      </c>
      <c r="K68" t="s">
        <v>1071</v>
      </c>
      <c r="L68">
        <v>1191</v>
      </c>
      <c r="N68">
        <v>1013</v>
      </c>
      <c r="O68" t="s">
        <v>1072</v>
      </c>
      <c r="P68" t="s">
        <v>1072</v>
      </c>
      <c r="Q68">
        <v>1</v>
      </c>
      <c r="X68">
        <v>112.75</v>
      </c>
      <c r="Y68">
        <v>0</v>
      </c>
      <c r="Z68">
        <v>0</v>
      </c>
      <c r="AA68">
        <v>0</v>
      </c>
      <c r="AB68">
        <v>8.5299999999999994</v>
      </c>
      <c r="AC68">
        <v>0</v>
      </c>
      <c r="AD68">
        <v>1</v>
      </c>
      <c r="AE68">
        <v>1</v>
      </c>
      <c r="AF68" t="s">
        <v>173</v>
      </c>
      <c r="AG68">
        <v>129.66249999999999</v>
      </c>
      <c r="AH68">
        <v>2</v>
      </c>
      <c r="AI68">
        <v>16749955</v>
      </c>
      <c r="AJ68">
        <v>65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</row>
    <row r="69" spans="1:44" x14ac:dyDescent="0.2">
      <c r="A69">
        <f>ROW(Source!A91)</f>
        <v>91</v>
      </c>
      <c r="B69">
        <v>16749963</v>
      </c>
      <c r="C69">
        <v>16749954</v>
      </c>
      <c r="D69">
        <v>15430395</v>
      </c>
      <c r="E69">
        <v>1</v>
      </c>
      <c r="F69">
        <v>1</v>
      </c>
      <c r="G69">
        <v>1</v>
      </c>
      <c r="H69">
        <v>1</v>
      </c>
      <c r="I69" t="s">
        <v>1073</v>
      </c>
      <c r="J69" t="s">
        <v>6</v>
      </c>
      <c r="K69" t="s">
        <v>1074</v>
      </c>
      <c r="L69">
        <v>1191</v>
      </c>
      <c r="N69">
        <v>1013</v>
      </c>
      <c r="O69" t="s">
        <v>1072</v>
      </c>
      <c r="P69" t="s">
        <v>1072</v>
      </c>
      <c r="Q69">
        <v>1</v>
      </c>
      <c r="X69">
        <v>0.27</v>
      </c>
      <c r="Y69">
        <v>0</v>
      </c>
      <c r="Z69">
        <v>0</v>
      </c>
      <c r="AA69">
        <v>0</v>
      </c>
      <c r="AB69">
        <v>0</v>
      </c>
      <c r="AC69">
        <v>0</v>
      </c>
      <c r="AD69">
        <v>1</v>
      </c>
      <c r="AE69">
        <v>2</v>
      </c>
      <c r="AF69" t="s">
        <v>172</v>
      </c>
      <c r="AG69">
        <v>0.33750000000000002</v>
      </c>
      <c r="AH69">
        <v>2</v>
      </c>
      <c r="AI69">
        <v>16749956</v>
      </c>
      <c r="AJ69">
        <v>66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</row>
    <row r="70" spans="1:44" x14ac:dyDescent="0.2">
      <c r="A70">
        <f>ROW(Source!A91)</f>
        <v>91</v>
      </c>
      <c r="B70">
        <v>16749964</v>
      </c>
      <c r="C70">
        <v>16749954</v>
      </c>
      <c r="D70">
        <v>15247578</v>
      </c>
      <c r="E70">
        <v>1</v>
      </c>
      <c r="F70">
        <v>1</v>
      </c>
      <c r="G70">
        <v>1</v>
      </c>
      <c r="H70">
        <v>2</v>
      </c>
      <c r="I70" t="s">
        <v>1143</v>
      </c>
      <c r="J70" t="s">
        <v>1144</v>
      </c>
      <c r="K70" t="s">
        <v>1145</v>
      </c>
      <c r="L70">
        <v>1368</v>
      </c>
      <c r="N70">
        <v>1011</v>
      </c>
      <c r="O70" t="s">
        <v>1078</v>
      </c>
      <c r="P70" t="s">
        <v>1078</v>
      </c>
      <c r="Q70">
        <v>1</v>
      </c>
      <c r="X70">
        <v>0.2</v>
      </c>
      <c r="Y70">
        <v>0</v>
      </c>
      <c r="Z70">
        <v>86.4</v>
      </c>
      <c r="AA70">
        <v>13.5</v>
      </c>
      <c r="AB70">
        <v>0</v>
      </c>
      <c r="AC70">
        <v>0</v>
      </c>
      <c r="AD70">
        <v>1</v>
      </c>
      <c r="AE70">
        <v>0</v>
      </c>
      <c r="AF70" t="s">
        <v>172</v>
      </c>
      <c r="AG70">
        <v>0.25</v>
      </c>
      <c r="AH70">
        <v>2</v>
      </c>
      <c r="AI70">
        <v>16749957</v>
      </c>
      <c r="AJ70">
        <v>67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</row>
    <row r="71" spans="1:44" x14ac:dyDescent="0.2">
      <c r="A71">
        <f>ROW(Source!A91)</f>
        <v>91</v>
      </c>
      <c r="B71">
        <v>16749965</v>
      </c>
      <c r="C71">
        <v>16749954</v>
      </c>
      <c r="D71">
        <v>15249073</v>
      </c>
      <c r="E71">
        <v>1</v>
      </c>
      <c r="F71">
        <v>1</v>
      </c>
      <c r="G71">
        <v>1</v>
      </c>
      <c r="H71">
        <v>2</v>
      </c>
      <c r="I71" t="s">
        <v>1097</v>
      </c>
      <c r="J71" t="s">
        <v>1098</v>
      </c>
      <c r="K71" t="s">
        <v>1099</v>
      </c>
      <c r="L71">
        <v>1368</v>
      </c>
      <c r="N71">
        <v>1011</v>
      </c>
      <c r="O71" t="s">
        <v>1078</v>
      </c>
      <c r="P71" t="s">
        <v>1078</v>
      </c>
      <c r="Q71">
        <v>1</v>
      </c>
      <c r="X71">
        <v>7.0000000000000007E-2</v>
      </c>
      <c r="Y71">
        <v>0</v>
      </c>
      <c r="Z71">
        <v>65.709999999999994</v>
      </c>
      <c r="AA71">
        <v>11.6</v>
      </c>
      <c r="AB71">
        <v>0</v>
      </c>
      <c r="AC71">
        <v>0</v>
      </c>
      <c r="AD71">
        <v>1</v>
      </c>
      <c r="AE71">
        <v>0</v>
      </c>
      <c r="AF71" t="s">
        <v>172</v>
      </c>
      <c r="AG71">
        <v>8.7500000000000008E-2</v>
      </c>
      <c r="AH71">
        <v>2</v>
      </c>
      <c r="AI71">
        <v>16749958</v>
      </c>
      <c r="AJ71">
        <v>68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</row>
    <row r="72" spans="1:44" x14ac:dyDescent="0.2">
      <c r="A72">
        <f>ROW(Source!A91)</f>
        <v>91</v>
      </c>
      <c r="B72">
        <v>16749966</v>
      </c>
      <c r="C72">
        <v>16749954</v>
      </c>
      <c r="D72">
        <v>15170059</v>
      </c>
      <c r="E72">
        <v>1</v>
      </c>
      <c r="F72">
        <v>1</v>
      </c>
      <c r="G72">
        <v>1</v>
      </c>
      <c r="H72">
        <v>3</v>
      </c>
      <c r="I72" t="s">
        <v>1146</v>
      </c>
      <c r="J72" t="s">
        <v>1147</v>
      </c>
      <c r="K72" t="s">
        <v>1148</v>
      </c>
      <c r="L72">
        <v>1348</v>
      </c>
      <c r="N72">
        <v>1009</v>
      </c>
      <c r="O72" t="s">
        <v>71</v>
      </c>
      <c r="P72" t="s">
        <v>71</v>
      </c>
      <c r="Q72">
        <v>1000</v>
      </c>
      <c r="X72">
        <v>4.0000000000000001E-3</v>
      </c>
      <c r="Y72">
        <v>8475</v>
      </c>
      <c r="Z72">
        <v>0</v>
      </c>
      <c r="AA72">
        <v>0</v>
      </c>
      <c r="AB72">
        <v>0</v>
      </c>
      <c r="AC72">
        <v>0</v>
      </c>
      <c r="AD72">
        <v>1</v>
      </c>
      <c r="AE72">
        <v>0</v>
      </c>
      <c r="AF72" t="s">
        <v>6</v>
      </c>
      <c r="AG72">
        <v>4.0000000000000001E-3</v>
      </c>
      <c r="AH72">
        <v>2</v>
      </c>
      <c r="AI72">
        <v>16749959</v>
      </c>
      <c r="AJ72">
        <v>69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</row>
    <row r="73" spans="1:44" x14ac:dyDescent="0.2">
      <c r="A73">
        <f>ROW(Source!A91)</f>
        <v>91</v>
      </c>
      <c r="B73">
        <v>16749967</v>
      </c>
      <c r="C73">
        <v>16749954</v>
      </c>
      <c r="D73">
        <v>15191140</v>
      </c>
      <c r="E73">
        <v>1</v>
      </c>
      <c r="F73">
        <v>1</v>
      </c>
      <c r="G73">
        <v>1</v>
      </c>
      <c r="H73">
        <v>3</v>
      </c>
      <c r="I73" t="s">
        <v>1149</v>
      </c>
      <c r="J73" t="s">
        <v>1150</v>
      </c>
      <c r="K73" t="s">
        <v>1151</v>
      </c>
      <c r="L73">
        <v>1348</v>
      </c>
      <c r="N73">
        <v>1009</v>
      </c>
      <c r="O73" t="s">
        <v>71</v>
      </c>
      <c r="P73" t="s">
        <v>71</v>
      </c>
      <c r="Q73">
        <v>1000</v>
      </c>
      <c r="X73">
        <v>1.2E-2</v>
      </c>
      <c r="Y73">
        <v>8190</v>
      </c>
      <c r="Z73">
        <v>0</v>
      </c>
      <c r="AA73">
        <v>0</v>
      </c>
      <c r="AB73">
        <v>0</v>
      </c>
      <c r="AC73">
        <v>0</v>
      </c>
      <c r="AD73">
        <v>1</v>
      </c>
      <c r="AE73">
        <v>0</v>
      </c>
      <c r="AF73" t="s">
        <v>6</v>
      </c>
      <c r="AG73">
        <v>1.2E-2</v>
      </c>
      <c r="AH73">
        <v>2</v>
      </c>
      <c r="AI73">
        <v>16749960</v>
      </c>
      <c r="AJ73">
        <v>70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</row>
    <row r="74" spans="1:44" x14ac:dyDescent="0.2">
      <c r="A74">
        <f>ROW(Source!A91)</f>
        <v>91</v>
      </c>
      <c r="B74">
        <v>16749968</v>
      </c>
      <c r="C74">
        <v>16749954</v>
      </c>
      <c r="D74">
        <v>15191387</v>
      </c>
      <c r="E74">
        <v>1</v>
      </c>
      <c r="F74">
        <v>1</v>
      </c>
      <c r="G74">
        <v>1</v>
      </c>
      <c r="H74">
        <v>3</v>
      </c>
      <c r="I74" t="s">
        <v>1152</v>
      </c>
      <c r="J74" t="s">
        <v>1153</v>
      </c>
      <c r="K74" t="s">
        <v>1154</v>
      </c>
      <c r="L74">
        <v>1348</v>
      </c>
      <c r="N74">
        <v>1009</v>
      </c>
      <c r="O74" t="s">
        <v>71</v>
      </c>
      <c r="P74" t="s">
        <v>71</v>
      </c>
      <c r="Q74">
        <v>1000</v>
      </c>
      <c r="X74">
        <v>0.78200000000000003</v>
      </c>
      <c r="Y74">
        <v>11200</v>
      </c>
      <c r="Z74">
        <v>0</v>
      </c>
      <c r="AA74">
        <v>0</v>
      </c>
      <c r="AB74">
        <v>0</v>
      </c>
      <c r="AC74">
        <v>0</v>
      </c>
      <c r="AD74">
        <v>1</v>
      </c>
      <c r="AE74">
        <v>0</v>
      </c>
      <c r="AF74" t="s">
        <v>6</v>
      </c>
      <c r="AG74">
        <v>0.78200000000000003</v>
      </c>
      <c r="AH74">
        <v>2</v>
      </c>
      <c r="AI74">
        <v>16749961</v>
      </c>
      <c r="AJ74">
        <v>71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</row>
    <row r="75" spans="1:44" x14ac:dyDescent="0.2">
      <c r="A75">
        <f>ROW(Source!A92)</f>
        <v>92</v>
      </c>
      <c r="B75">
        <v>16749978</v>
      </c>
      <c r="C75">
        <v>16749969</v>
      </c>
      <c r="D75">
        <v>15430767</v>
      </c>
      <c r="E75">
        <v>1</v>
      </c>
      <c r="F75">
        <v>1</v>
      </c>
      <c r="G75">
        <v>1</v>
      </c>
      <c r="H75">
        <v>1</v>
      </c>
      <c r="I75" t="s">
        <v>1070</v>
      </c>
      <c r="J75" t="s">
        <v>6</v>
      </c>
      <c r="K75" t="s">
        <v>1071</v>
      </c>
      <c r="L75">
        <v>1191</v>
      </c>
      <c r="N75">
        <v>1013</v>
      </c>
      <c r="O75" t="s">
        <v>1072</v>
      </c>
      <c r="P75" t="s">
        <v>1072</v>
      </c>
      <c r="Q75">
        <v>1</v>
      </c>
      <c r="X75">
        <v>21.19</v>
      </c>
      <c r="Y75">
        <v>0</v>
      </c>
      <c r="Z75">
        <v>0</v>
      </c>
      <c r="AA75">
        <v>0</v>
      </c>
      <c r="AB75">
        <v>8.5299999999999994</v>
      </c>
      <c r="AC75">
        <v>0</v>
      </c>
      <c r="AD75">
        <v>1</v>
      </c>
      <c r="AE75">
        <v>1</v>
      </c>
      <c r="AF75" t="s">
        <v>173</v>
      </c>
      <c r="AG75">
        <v>24.368500000000001</v>
      </c>
      <c r="AH75">
        <v>2</v>
      </c>
      <c r="AI75">
        <v>16749970</v>
      </c>
      <c r="AJ75">
        <v>72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</row>
    <row r="76" spans="1:44" x14ac:dyDescent="0.2">
      <c r="A76">
        <f>ROW(Source!A92)</f>
        <v>92</v>
      </c>
      <c r="B76">
        <v>16749979</v>
      </c>
      <c r="C76">
        <v>16749969</v>
      </c>
      <c r="D76">
        <v>15430395</v>
      </c>
      <c r="E76">
        <v>1</v>
      </c>
      <c r="F76">
        <v>1</v>
      </c>
      <c r="G76">
        <v>1</v>
      </c>
      <c r="H76">
        <v>1</v>
      </c>
      <c r="I76" t="s">
        <v>1073</v>
      </c>
      <c r="J76" t="s">
        <v>6</v>
      </c>
      <c r="K76" t="s">
        <v>1074</v>
      </c>
      <c r="L76">
        <v>1191</v>
      </c>
      <c r="N76">
        <v>1013</v>
      </c>
      <c r="O76" t="s">
        <v>1072</v>
      </c>
      <c r="P76" t="s">
        <v>1072</v>
      </c>
      <c r="Q76">
        <v>1</v>
      </c>
      <c r="X76">
        <v>0.19</v>
      </c>
      <c r="Y76">
        <v>0</v>
      </c>
      <c r="Z76">
        <v>0</v>
      </c>
      <c r="AA76">
        <v>0</v>
      </c>
      <c r="AB76">
        <v>0</v>
      </c>
      <c r="AC76">
        <v>0</v>
      </c>
      <c r="AD76">
        <v>1</v>
      </c>
      <c r="AE76">
        <v>2</v>
      </c>
      <c r="AF76" t="s">
        <v>172</v>
      </c>
      <c r="AG76">
        <v>0.23749999999999999</v>
      </c>
      <c r="AH76">
        <v>2</v>
      </c>
      <c r="AI76">
        <v>16749971</v>
      </c>
      <c r="AJ76">
        <v>73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</row>
    <row r="77" spans="1:44" x14ac:dyDescent="0.2">
      <c r="A77">
        <f>ROW(Source!A92)</f>
        <v>92</v>
      </c>
      <c r="B77">
        <v>16749980</v>
      </c>
      <c r="C77">
        <v>16749969</v>
      </c>
      <c r="D77">
        <v>15247974</v>
      </c>
      <c r="E77">
        <v>1</v>
      </c>
      <c r="F77">
        <v>1</v>
      </c>
      <c r="G77">
        <v>1</v>
      </c>
      <c r="H77">
        <v>2</v>
      </c>
      <c r="I77" t="s">
        <v>1075</v>
      </c>
      <c r="J77" t="s">
        <v>1076</v>
      </c>
      <c r="K77" t="s">
        <v>1077</v>
      </c>
      <c r="L77">
        <v>1368</v>
      </c>
      <c r="N77">
        <v>1011</v>
      </c>
      <c r="O77" t="s">
        <v>1078</v>
      </c>
      <c r="P77" t="s">
        <v>1078</v>
      </c>
      <c r="Q77">
        <v>1</v>
      </c>
      <c r="X77">
        <v>0.04</v>
      </c>
      <c r="Y77">
        <v>0</v>
      </c>
      <c r="Z77">
        <v>31.26</v>
      </c>
      <c r="AA77">
        <v>13.5</v>
      </c>
      <c r="AB77">
        <v>0</v>
      </c>
      <c r="AC77">
        <v>0</v>
      </c>
      <c r="AD77">
        <v>1</v>
      </c>
      <c r="AE77">
        <v>0</v>
      </c>
      <c r="AF77" t="s">
        <v>172</v>
      </c>
      <c r="AG77">
        <v>0.05</v>
      </c>
      <c r="AH77">
        <v>2</v>
      </c>
      <c r="AI77">
        <v>16749972</v>
      </c>
      <c r="AJ77">
        <v>74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</row>
    <row r="78" spans="1:44" x14ac:dyDescent="0.2">
      <c r="A78">
        <f>ROW(Source!A92)</f>
        <v>92</v>
      </c>
      <c r="B78">
        <v>16749981</v>
      </c>
      <c r="C78">
        <v>16749969</v>
      </c>
      <c r="D78">
        <v>15249073</v>
      </c>
      <c r="E78">
        <v>1</v>
      </c>
      <c r="F78">
        <v>1</v>
      </c>
      <c r="G78">
        <v>1</v>
      </c>
      <c r="H78">
        <v>2</v>
      </c>
      <c r="I78" t="s">
        <v>1097</v>
      </c>
      <c r="J78" t="s">
        <v>1098</v>
      </c>
      <c r="K78" t="s">
        <v>1099</v>
      </c>
      <c r="L78">
        <v>1368</v>
      </c>
      <c r="N78">
        <v>1011</v>
      </c>
      <c r="O78" t="s">
        <v>1078</v>
      </c>
      <c r="P78" t="s">
        <v>1078</v>
      </c>
      <c r="Q78">
        <v>1</v>
      </c>
      <c r="X78">
        <v>0.15</v>
      </c>
      <c r="Y78">
        <v>0</v>
      </c>
      <c r="Z78">
        <v>65.709999999999994</v>
      </c>
      <c r="AA78">
        <v>11.6</v>
      </c>
      <c r="AB78">
        <v>0</v>
      </c>
      <c r="AC78">
        <v>0</v>
      </c>
      <c r="AD78">
        <v>1</v>
      </c>
      <c r="AE78">
        <v>0</v>
      </c>
      <c r="AF78" t="s">
        <v>172</v>
      </c>
      <c r="AG78">
        <v>0.1875</v>
      </c>
      <c r="AH78">
        <v>2</v>
      </c>
      <c r="AI78">
        <v>16749973</v>
      </c>
      <c r="AJ78">
        <v>75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</row>
    <row r="79" spans="1:44" x14ac:dyDescent="0.2">
      <c r="A79">
        <f>ROW(Source!A92)</f>
        <v>92</v>
      </c>
      <c r="B79">
        <v>16749982</v>
      </c>
      <c r="C79">
        <v>16749969</v>
      </c>
      <c r="D79">
        <v>15162469</v>
      </c>
      <c r="E79">
        <v>17</v>
      </c>
      <c r="F79">
        <v>1</v>
      </c>
      <c r="G79">
        <v>1</v>
      </c>
      <c r="H79">
        <v>3</v>
      </c>
      <c r="I79" t="s">
        <v>1578</v>
      </c>
      <c r="J79" t="s">
        <v>6</v>
      </c>
      <c r="K79" t="s">
        <v>1579</v>
      </c>
      <c r="L79">
        <v>1301</v>
      </c>
      <c r="N79">
        <v>1003</v>
      </c>
      <c r="O79" t="s">
        <v>206</v>
      </c>
      <c r="P79" t="s">
        <v>206</v>
      </c>
      <c r="Q79">
        <v>1</v>
      </c>
      <c r="X79">
        <v>0</v>
      </c>
      <c r="Y79">
        <v>0</v>
      </c>
      <c r="Z79">
        <v>0</v>
      </c>
      <c r="AA79">
        <v>0</v>
      </c>
      <c r="AB79">
        <v>0</v>
      </c>
      <c r="AC79">
        <v>1</v>
      </c>
      <c r="AD79">
        <v>0</v>
      </c>
      <c r="AE79">
        <v>0</v>
      </c>
      <c r="AF79" t="s">
        <v>6</v>
      </c>
      <c r="AG79">
        <v>0</v>
      </c>
      <c r="AH79">
        <v>3</v>
      </c>
      <c r="AI79">
        <v>-1</v>
      </c>
      <c r="AJ79" t="s">
        <v>6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</row>
    <row r="80" spans="1:44" x14ac:dyDescent="0.2">
      <c r="A80">
        <f>ROW(Source!A92)</f>
        <v>92</v>
      </c>
      <c r="B80">
        <v>16749983</v>
      </c>
      <c r="C80">
        <v>16749969</v>
      </c>
      <c r="D80">
        <v>15197780</v>
      </c>
      <c r="E80">
        <v>1</v>
      </c>
      <c r="F80">
        <v>1</v>
      </c>
      <c r="G80">
        <v>1</v>
      </c>
      <c r="H80">
        <v>3</v>
      </c>
      <c r="I80" t="s">
        <v>1137</v>
      </c>
      <c r="J80" t="s">
        <v>1138</v>
      </c>
      <c r="K80" t="s">
        <v>1139</v>
      </c>
      <c r="L80">
        <v>1355</v>
      </c>
      <c r="N80">
        <v>1010</v>
      </c>
      <c r="O80" t="s">
        <v>724</v>
      </c>
      <c r="P80" t="s">
        <v>724</v>
      </c>
      <c r="Q80">
        <v>100</v>
      </c>
      <c r="X80">
        <v>4</v>
      </c>
      <c r="Y80">
        <v>50</v>
      </c>
      <c r="Z80">
        <v>0</v>
      </c>
      <c r="AA80">
        <v>0</v>
      </c>
      <c r="AB80">
        <v>0</v>
      </c>
      <c r="AC80">
        <v>0</v>
      </c>
      <c r="AD80">
        <v>1</v>
      </c>
      <c r="AE80">
        <v>0</v>
      </c>
      <c r="AF80" t="s">
        <v>6</v>
      </c>
      <c r="AG80">
        <v>4</v>
      </c>
      <c r="AH80">
        <v>2</v>
      </c>
      <c r="AI80">
        <v>16749975</v>
      </c>
      <c r="AJ80">
        <v>77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</row>
    <row r="81" spans="1:44" x14ac:dyDescent="0.2">
      <c r="A81">
        <f>ROW(Source!A92)</f>
        <v>92</v>
      </c>
      <c r="B81">
        <v>16749984</v>
      </c>
      <c r="C81">
        <v>16749969</v>
      </c>
      <c r="D81">
        <v>15204239</v>
      </c>
      <c r="E81">
        <v>1</v>
      </c>
      <c r="F81">
        <v>1</v>
      </c>
      <c r="G81">
        <v>1</v>
      </c>
      <c r="H81">
        <v>3</v>
      </c>
      <c r="I81" t="s">
        <v>1140</v>
      </c>
      <c r="J81" t="s">
        <v>1141</v>
      </c>
      <c r="K81" t="s">
        <v>1142</v>
      </c>
      <c r="L81">
        <v>1354</v>
      </c>
      <c r="N81">
        <v>1010</v>
      </c>
      <c r="O81" t="s">
        <v>53</v>
      </c>
      <c r="P81" t="s">
        <v>53</v>
      </c>
      <c r="Q81">
        <v>1</v>
      </c>
      <c r="X81">
        <v>56.6</v>
      </c>
      <c r="Y81">
        <v>67</v>
      </c>
      <c r="Z81">
        <v>0</v>
      </c>
      <c r="AA81">
        <v>0</v>
      </c>
      <c r="AB81">
        <v>0</v>
      </c>
      <c r="AC81">
        <v>0</v>
      </c>
      <c r="AD81">
        <v>1</v>
      </c>
      <c r="AE81">
        <v>0</v>
      </c>
      <c r="AF81" t="s">
        <v>6</v>
      </c>
      <c r="AG81">
        <v>56.6</v>
      </c>
      <c r="AH81">
        <v>2</v>
      </c>
      <c r="AI81">
        <v>16749976</v>
      </c>
      <c r="AJ81">
        <v>78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</row>
    <row r="82" spans="1:44" x14ac:dyDescent="0.2">
      <c r="A82">
        <f>ROW(Source!A94)</f>
        <v>94</v>
      </c>
      <c r="B82">
        <v>16749993</v>
      </c>
      <c r="C82">
        <v>16749987</v>
      </c>
      <c r="D82">
        <v>15435683</v>
      </c>
      <c r="E82">
        <v>1</v>
      </c>
      <c r="F82">
        <v>1</v>
      </c>
      <c r="G82">
        <v>1</v>
      </c>
      <c r="H82">
        <v>1</v>
      </c>
      <c r="I82" t="s">
        <v>1155</v>
      </c>
      <c r="J82" t="s">
        <v>6</v>
      </c>
      <c r="K82" t="s">
        <v>1156</v>
      </c>
      <c r="L82">
        <v>1191</v>
      </c>
      <c r="N82">
        <v>1013</v>
      </c>
      <c r="O82" t="s">
        <v>1072</v>
      </c>
      <c r="P82" t="s">
        <v>1072</v>
      </c>
      <c r="Q82">
        <v>1</v>
      </c>
      <c r="X82">
        <v>204.06</v>
      </c>
      <c r="Y82">
        <v>0</v>
      </c>
      <c r="Z82">
        <v>0</v>
      </c>
      <c r="AA82">
        <v>0</v>
      </c>
      <c r="AB82">
        <v>9.2899999999999991</v>
      </c>
      <c r="AC82">
        <v>0</v>
      </c>
      <c r="AD82">
        <v>1</v>
      </c>
      <c r="AE82">
        <v>1</v>
      </c>
      <c r="AF82" t="s">
        <v>173</v>
      </c>
      <c r="AG82">
        <v>234.66899999999998</v>
      </c>
      <c r="AH82">
        <v>2</v>
      </c>
      <c r="AI82">
        <v>16749988</v>
      </c>
      <c r="AJ82">
        <v>79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</row>
    <row r="83" spans="1:44" x14ac:dyDescent="0.2">
      <c r="A83">
        <f>ROW(Source!A94)</f>
        <v>94</v>
      </c>
      <c r="B83">
        <v>16749994</v>
      </c>
      <c r="C83">
        <v>16749987</v>
      </c>
      <c r="D83">
        <v>15430395</v>
      </c>
      <c r="E83">
        <v>1</v>
      </c>
      <c r="F83">
        <v>1</v>
      </c>
      <c r="G83">
        <v>1</v>
      </c>
      <c r="H83">
        <v>1</v>
      </c>
      <c r="I83" t="s">
        <v>1073</v>
      </c>
      <c r="J83" t="s">
        <v>6</v>
      </c>
      <c r="K83" t="s">
        <v>1074</v>
      </c>
      <c r="L83">
        <v>1191</v>
      </c>
      <c r="N83">
        <v>1013</v>
      </c>
      <c r="O83" t="s">
        <v>1072</v>
      </c>
      <c r="P83" t="s">
        <v>1072</v>
      </c>
      <c r="Q83">
        <v>1</v>
      </c>
      <c r="X83">
        <v>2.06</v>
      </c>
      <c r="Y83">
        <v>0</v>
      </c>
      <c r="Z83">
        <v>0</v>
      </c>
      <c r="AA83">
        <v>0</v>
      </c>
      <c r="AB83">
        <v>0</v>
      </c>
      <c r="AC83">
        <v>0</v>
      </c>
      <c r="AD83">
        <v>1</v>
      </c>
      <c r="AE83">
        <v>2</v>
      </c>
      <c r="AF83" t="s">
        <v>172</v>
      </c>
      <c r="AG83">
        <v>2.5750000000000002</v>
      </c>
      <c r="AH83">
        <v>2</v>
      </c>
      <c r="AI83">
        <v>16749989</v>
      </c>
      <c r="AJ83">
        <v>80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</row>
    <row r="84" spans="1:44" x14ac:dyDescent="0.2">
      <c r="A84">
        <f>ROW(Source!A94)</f>
        <v>94</v>
      </c>
      <c r="B84">
        <v>16749995</v>
      </c>
      <c r="C84">
        <v>16749987</v>
      </c>
      <c r="D84">
        <v>15247974</v>
      </c>
      <c r="E84">
        <v>1</v>
      </c>
      <c r="F84">
        <v>1</v>
      </c>
      <c r="G84">
        <v>1</v>
      </c>
      <c r="H84">
        <v>2</v>
      </c>
      <c r="I84" t="s">
        <v>1075</v>
      </c>
      <c r="J84" t="s">
        <v>1076</v>
      </c>
      <c r="K84" t="s">
        <v>1077</v>
      </c>
      <c r="L84">
        <v>1368</v>
      </c>
      <c r="N84">
        <v>1011</v>
      </c>
      <c r="O84" t="s">
        <v>1078</v>
      </c>
      <c r="P84" t="s">
        <v>1078</v>
      </c>
      <c r="Q84">
        <v>1</v>
      </c>
      <c r="X84">
        <v>2.06</v>
      </c>
      <c r="Y84">
        <v>0</v>
      </c>
      <c r="Z84">
        <v>31.26</v>
      </c>
      <c r="AA84">
        <v>13.5</v>
      </c>
      <c r="AB84">
        <v>0</v>
      </c>
      <c r="AC84">
        <v>0</v>
      </c>
      <c r="AD84">
        <v>1</v>
      </c>
      <c r="AE84">
        <v>0</v>
      </c>
      <c r="AF84" t="s">
        <v>172</v>
      </c>
      <c r="AG84">
        <v>2.5750000000000002</v>
      </c>
      <c r="AH84">
        <v>2</v>
      </c>
      <c r="AI84">
        <v>16749990</v>
      </c>
      <c r="AJ84">
        <v>81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</row>
    <row r="85" spans="1:44" x14ac:dyDescent="0.2">
      <c r="A85">
        <f>ROW(Source!A94)</f>
        <v>94</v>
      </c>
      <c r="B85">
        <v>16749996</v>
      </c>
      <c r="C85">
        <v>16749987</v>
      </c>
      <c r="D85">
        <v>15172819</v>
      </c>
      <c r="E85">
        <v>1</v>
      </c>
      <c r="F85">
        <v>1</v>
      </c>
      <c r="G85">
        <v>1</v>
      </c>
      <c r="H85">
        <v>3</v>
      </c>
      <c r="I85" t="s">
        <v>1157</v>
      </c>
      <c r="J85" t="s">
        <v>1158</v>
      </c>
      <c r="K85" t="s">
        <v>1159</v>
      </c>
      <c r="L85">
        <v>1339</v>
      </c>
      <c r="N85">
        <v>1007</v>
      </c>
      <c r="O85" t="s">
        <v>283</v>
      </c>
      <c r="P85" t="s">
        <v>283</v>
      </c>
      <c r="Q85">
        <v>1</v>
      </c>
      <c r="X85">
        <v>4.3</v>
      </c>
      <c r="Y85">
        <v>510.4</v>
      </c>
      <c r="Z85">
        <v>0</v>
      </c>
      <c r="AA85">
        <v>0</v>
      </c>
      <c r="AB85">
        <v>0</v>
      </c>
      <c r="AC85">
        <v>0</v>
      </c>
      <c r="AD85">
        <v>1</v>
      </c>
      <c r="AE85">
        <v>0</v>
      </c>
      <c r="AF85" t="s">
        <v>6</v>
      </c>
      <c r="AG85">
        <v>4.3</v>
      </c>
      <c r="AH85">
        <v>2</v>
      </c>
      <c r="AI85">
        <v>16749991</v>
      </c>
      <c r="AJ85">
        <v>82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</row>
    <row r="86" spans="1:44" x14ac:dyDescent="0.2">
      <c r="A86">
        <f>ROW(Source!A94)</f>
        <v>94</v>
      </c>
      <c r="B86">
        <v>16749997</v>
      </c>
      <c r="C86">
        <v>16749987</v>
      </c>
      <c r="D86">
        <v>15172875</v>
      </c>
      <c r="E86">
        <v>1</v>
      </c>
      <c r="F86">
        <v>1</v>
      </c>
      <c r="G86">
        <v>1</v>
      </c>
      <c r="H86">
        <v>3</v>
      </c>
      <c r="I86" t="s">
        <v>1160</v>
      </c>
      <c r="J86" t="s">
        <v>1161</v>
      </c>
      <c r="K86" t="s">
        <v>1162</v>
      </c>
      <c r="L86">
        <v>1339</v>
      </c>
      <c r="N86">
        <v>1007</v>
      </c>
      <c r="O86" t="s">
        <v>283</v>
      </c>
      <c r="P86" t="s">
        <v>283</v>
      </c>
      <c r="Q86">
        <v>1</v>
      </c>
      <c r="X86">
        <v>0.1</v>
      </c>
      <c r="Y86">
        <v>517.91</v>
      </c>
      <c r="Z86">
        <v>0</v>
      </c>
      <c r="AA86">
        <v>0</v>
      </c>
      <c r="AB86">
        <v>0</v>
      </c>
      <c r="AC86">
        <v>0</v>
      </c>
      <c r="AD86">
        <v>1</v>
      </c>
      <c r="AE86">
        <v>0</v>
      </c>
      <c r="AF86" t="s">
        <v>6</v>
      </c>
      <c r="AG86">
        <v>0.1</v>
      </c>
      <c r="AH86">
        <v>2</v>
      </c>
      <c r="AI86">
        <v>16749992</v>
      </c>
      <c r="AJ86">
        <v>83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</row>
    <row r="87" spans="1:44" x14ac:dyDescent="0.2">
      <c r="A87">
        <f>ROW(Source!A95)</f>
        <v>95</v>
      </c>
      <c r="B87">
        <v>16750008</v>
      </c>
      <c r="C87">
        <v>16749998</v>
      </c>
      <c r="D87">
        <v>15435609</v>
      </c>
      <c r="E87">
        <v>1</v>
      </c>
      <c r="F87">
        <v>1</v>
      </c>
      <c r="G87">
        <v>1</v>
      </c>
      <c r="H87">
        <v>1</v>
      </c>
      <c r="I87" t="s">
        <v>1163</v>
      </c>
      <c r="J87" t="s">
        <v>6</v>
      </c>
      <c r="K87" t="s">
        <v>1164</v>
      </c>
      <c r="L87">
        <v>1191</v>
      </c>
      <c r="N87">
        <v>1013</v>
      </c>
      <c r="O87" t="s">
        <v>1072</v>
      </c>
      <c r="P87" t="s">
        <v>1072</v>
      </c>
      <c r="Q87">
        <v>1</v>
      </c>
      <c r="X87">
        <v>42.9</v>
      </c>
      <c r="Y87">
        <v>0</v>
      </c>
      <c r="Z87">
        <v>0</v>
      </c>
      <c r="AA87">
        <v>0</v>
      </c>
      <c r="AB87">
        <v>8.9700000000000006</v>
      </c>
      <c r="AC87">
        <v>0</v>
      </c>
      <c r="AD87">
        <v>1</v>
      </c>
      <c r="AE87">
        <v>1</v>
      </c>
      <c r="AF87" t="s">
        <v>173</v>
      </c>
      <c r="AG87">
        <v>49.334999999999994</v>
      </c>
      <c r="AH87">
        <v>2</v>
      </c>
      <c r="AI87">
        <v>16749999</v>
      </c>
      <c r="AJ87">
        <v>84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</row>
    <row r="88" spans="1:44" x14ac:dyDescent="0.2">
      <c r="A88">
        <f>ROW(Source!A95)</f>
        <v>95</v>
      </c>
      <c r="B88">
        <v>16750009</v>
      </c>
      <c r="C88">
        <v>16749998</v>
      </c>
      <c r="D88">
        <v>15430395</v>
      </c>
      <c r="E88">
        <v>1</v>
      </c>
      <c r="F88">
        <v>1</v>
      </c>
      <c r="G88">
        <v>1</v>
      </c>
      <c r="H88">
        <v>1</v>
      </c>
      <c r="I88" t="s">
        <v>1073</v>
      </c>
      <c r="J88" t="s">
        <v>6</v>
      </c>
      <c r="K88" t="s">
        <v>1074</v>
      </c>
      <c r="L88">
        <v>1191</v>
      </c>
      <c r="N88">
        <v>1013</v>
      </c>
      <c r="O88" t="s">
        <v>1072</v>
      </c>
      <c r="P88" t="s">
        <v>1072</v>
      </c>
      <c r="Q88">
        <v>1</v>
      </c>
      <c r="X88">
        <v>0.17</v>
      </c>
      <c r="Y88">
        <v>0</v>
      </c>
      <c r="Z88">
        <v>0</v>
      </c>
      <c r="AA88">
        <v>0</v>
      </c>
      <c r="AB88">
        <v>0</v>
      </c>
      <c r="AC88">
        <v>0</v>
      </c>
      <c r="AD88">
        <v>1</v>
      </c>
      <c r="AE88">
        <v>2</v>
      </c>
      <c r="AF88" t="s">
        <v>172</v>
      </c>
      <c r="AG88">
        <v>0.21250000000000002</v>
      </c>
      <c r="AH88">
        <v>2</v>
      </c>
      <c r="AI88">
        <v>16750000</v>
      </c>
      <c r="AJ88">
        <v>85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</row>
    <row r="89" spans="1:44" x14ac:dyDescent="0.2">
      <c r="A89">
        <f>ROW(Source!A95)</f>
        <v>95</v>
      </c>
      <c r="B89">
        <v>16750010</v>
      </c>
      <c r="C89">
        <v>16749998</v>
      </c>
      <c r="D89">
        <v>15247974</v>
      </c>
      <c r="E89">
        <v>1</v>
      </c>
      <c r="F89">
        <v>1</v>
      </c>
      <c r="G89">
        <v>1</v>
      </c>
      <c r="H89">
        <v>2</v>
      </c>
      <c r="I89" t="s">
        <v>1075</v>
      </c>
      <c r="J89" t="s">
        <v>1076</v>
      </c>
      <c r="K89" t="s">
        <v>1077</v>
      </c>
      <c r="L89">
        <v>1368</v>
      </c>
      <c r="N89">
        <v>1011</v>
      </c>
      <c r="O89" t="s">
        <v>1078</v>
      </c>
      <c r="P89" t="s">
        <v>1078</v>
      </c>
      <c r="Q89">
        <v>1</v>
      </c>
      <c r="X89">
        <v>0.02</v>
      </c>
      <c r="Y89">
        <v>0</v>
      </c>
      <c r="Z89">
        <v>31.26</v>
      </c>
      <c r="AA89">
        <v>13.5</v>
      </c>
      <c r="AB89">
        <v>0</v>
      </c>
      <c r="AC89">
        <v>0</v>
      </c>
      <c r="AD89">
        <v>1</v>
      </c>
      <c r="AE89">
        <v>0</v>
      </c>
      <c r="AF89" t="s">
        <v>172</v>
      </c>
      <c r="AG89">
        <v>2.5000000000000001E-2</v>
      </c>
      <c r="AH89">
        <v>2</v>
      </c>
      <c r="AI89">
        <v>16750001</v>
      </c>
      <c r="AJ89">
        <v>86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</row>
    <row r="90" spans="1:44" x14ac:dyDescent="0.2">
      <c r="A90">
        <f>ROW(Source!A95)</f>
        <v>95</v>
      </c>
      <c r="B90">
        <v>16750011</v>
      </c>
      <c r="C90">
        <v>16749998</v>
      </c>
      <c r="D90">
        <v>15249073</v>
      </c>
      <c r="E90">
        <v>1</v>
      </c>
      <c r="F90">
        <v>1</v>
      </c>
      <c r="G90">
        <v>1</v>
      </c>
      <c r="H90">
        <v>2</v>
      </c>
      <c r="I90" t="s">
        <v>1097</v>
      </c>
      <c r="J90" t="s">
        <v>1098</v>
      </c>
      <c r="K90" t="s">
        <v>1099</v>
      </c>
      <c r="L90">
        <v>1368</v>
      </c>
      <c r="N90">
        <v>1011</v>
      </c>
      <c r="O90" t="s">
        <v>1078</v>
      </c>
      <c r="P90" t="s">
        <v>1078</v>
      </c>
      <c r="Q90">
        <v>1</v>
      </c>
      <c r="X90">
        <v>0.15</v>
      </c>
      <c r="Y90">
        <v>0</v>
      </c>
      <c r="Z90">
        <v>65.709999999999994</v>
      </c>
      <c r="AA90">
        <v>11.6</v>
      </c>
      <c r="AB90">
        <v>0</v>
      </c>
      <c r="AC90">
        <v>0</v>
      </c>
      <c r="AD90">
        <v>1</v>
      </c>
      <c r="AE90">
        <v>0</v>
      </c>
      <c r="AF90" t="s">
        <v>172</v>
      </c>
      <c r="AG90">
        <v>0.1875</v>
      </c>
      <c r="AH90">
        <v>2</v>
      </c>
      <c r="AI90">
        <v>16750002</v>
      </c>
      <c r="AJ90">
        <v>87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</row>
    <row r="91" spans="1:44" x14ac:dyDescent="0.2">
      <c r="A91">
        <f>ROW(Source!A95)</f>
        <v>95</v>
      </c>
      <c r="B91">
        <v>16750012</v>
      </c>
      <c r="C91">
        <v>16749998</v>
      </c>
      <c r="D91">
        <v>15170682</v>
      </c>
      <c r="E91">
        <v>1</v>
      </c>
      <c r="F91">
        <v>1</v>
      </c>
      <c r="G91">
        <v>1</v>
      </c>
      <c r="H91">
        <v>3</v>
      </c>
      <c r="I91" t="s">
        <v>1165</v>
      </c>
      <c r="J91" t="s">
        <v>1166</v>
      </c>
      <c r="K91" t="s">
        <v>1167</v>
      </c>
      <c r="L91">
        <v>1327</v>
      </c>
      <c r="N91">
        <v>1005</v>
      </c>
      <c r="O91" t="s">
        <v>89</v>
      </c>
      <c r="P91" t="s">
        <v>89</v>
      </c>
      <c r="Q91">
        <v>1</v>
      </c>
      <c r="X91">
        <v>0.84</v>
      </c>
      <c r="Y91">
        <v>72.319999999999993</v>
      </c>
      <c r="Z91">
        <v>0</v>
      </c>
      <c r="AA91">
        <v>0</v>
      </c>
      <c r="AB91">
        <v>0</v>
      </c>
      <c r="AC91">
        <v>0</v>
      </c>
      <c r="AD91">
        <v>1</v>
      </c>
      <c r="AE91">
        <v>0</v>
      </c>
      <c r="AF91" t="s">
        <v>6</v>
      </c>
      <c r="AG91">
        <v>0.84</v>
      </c>
      <c r="AH91">
        <v>2</v>
      </c>
      <c r="AI91">
        <v>16750003</v>
      </c>
      <c r="AJ91">
        <v>88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</row>
    <row r="92" spans="1:44" x14ac:dyDescent="0.2">
      <c r="A92">
        <f>ROW(Source!A95)</f>
        <v>95</v>
      </c>
      <c r="B92">
        <v>16750013</v>
      </c>
      <c r="C92">
        <v>16749998</v>
      </c>
      <c r="D92">
        <v>15171018</v>
      </c>
      <c r="E92">
        <v>1</v>
      </c>
      <c r="F92">
        <v>1</v>
      </c>
      <c r="G92">
        <v>1</v>
      </c>
      <c r="H92">
        <v>3</v>
      </c>
      <c r="I92" t="s">
        <v>1168</v>
      </c>
      <c r="J92" t="s">
        <v>1169</v>
      </c>
      <c r="K92" t="s">
        <v>1170</v>
      </c>
      <c r="L92">
        <v>1346</v>
      </c>
      <c r="N92">
        <v>1009</v>
      </c>
      <c r="O92" t="s">
        <v>323</v>
      </c>
      <c r="P92" t="s">
        <v>323</v>
      </c>
      <c r="Q92">
        <v>1</v>
      </c>
      <c r="X92">
        <v>0.31</v>
      </c>
      <c r="Y92">
        <v>1.82</v>
      </c>
      <c r="Z92">
        <v>0</v>
      </c>
      <c r="AA92">
        <v>0</v>
      </c>
      <c r="AB92">
        <v>0</v>
      </c>
      <c r="AC92">
        <v>0</v>
      </c>
      <c r="AD92">
        <v>1</v>
      </c>
      <c r="AE92">
        <v>0</v>
      </c>
      <c r="AF92" t="s">
        <v>6</v>
      </c>
      <c r="AG92">
        <v>0.31</v>
      </c>
      <c r="AH92">
        <v>2</v>
      </c>
      <c r="AI92">
        <v>16750004</v>
      </c>
      <c r="AJ92">
        <v>89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</row>
    <row r="93" spans="1:44" x14ac:dyDescent="0.2">
      <c r="A93">
        <f>ROW(Source!A95)</f>
        <v>95</v>
      </c>
      <c r="B93">
        <v>16750014</v>
      </c>
      <c r="C93">
        <v>16749998</v>
      </c>
      <c r="D93">
        <v>15163054</v>
      </c>
      <c r="E93">
        <v>17</v>
      </c>
      <c r="F93">
        <v>1</v>
      </c>
      <c r="G93">
        <v>1</v>
      </c>
      <c r="H93">
        <v>3</v>
      </c>
      <c r="I93" t="s">
        <v>223</v>
      </c>
      <c r="J93" t="s">
        <v>6</v>
      </c>
      <c r="K93" t="s">
        <v>224</v>
      </c>
      <c r="L93">
        <v>1348</v>
      </c>
      <c r="N93">
        <v>1009</v>
      </c>
      <c r="O93" t="s">
        <v>71</v>
      </c>
      <c r="P93" t="s">
        <v>71</v>
      </c>
      <c r="Q93">
        <v>1000</v>
      </c>
      <c r="X93">
        <v>6.3E-2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 t="s">
        <v>6</v>
      </c>
      <c r="AG93">
        <v>6.3E-2</v>
      </c>
      <c r="AH93">
        <v>2</v>
      </c>
      <c r="AI93">
        <v>16750005</v>
      </c>
      <c r="AJ93">
        <v>90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</row>
    <row r="94" spans="1:44" x14ac:dyDescent="0.2">
      <c r="A94">
        <f>ROW(Source!A95)</f>
        <v>95</v>
      </c>
      <c r="B94">
        <v>16750015</v>
      </c>
      <c r="C94">
        <v>16749998</v>
      </c>
      <c r="D94">
        <v>15204729</v>
      </c>
      <c r="E94">
        <v>1</v>
      </c>
      <c r="F94">
        <v>1</v>
      </c>
      <c r="G94">
        <v>1</v>
      </c>
      <c r="H94">
        <v>3</v>
      </c>
      <c r="I94" t="s">
        <v>1171</v>
      </c>
      <c r="J94" t="s">
        <v>1172</v>
      </c>
      <c r="K94" t="s">
        <v>1173</v>
      </c>
      <c r="L94">
        <v>1348</v>
      </c>
      <c r="N94">
        <v>1009</v>
      </c>
      <c r="O94" t="s">
        <v>71</v>
      </c>
      <c r="P94" t="s">
        <v>71</v>
      </c>
      <c r="Q94">
        <v>1000</v>
      </c>
      <c r="X94">
        <v>5.0999999999999997E-2</v>
      </c>
      <c r="Y94">
        <v>4294</v>
      </c>
      <c r="Z94">
        <v>0</v>
      </c>
      <c r="AA94">
        <v>0</v>
      </c>
      <c r="AB94">
        <v>0</v>
      </c>
      <c r="AC94">
        <v>0</v>
      </c>
      <c r="AD94">
        <v>1</v>
      </c>
      <c r="AE94">
        <v>0</v>
      </c>
      <c r="AF94" t="s">
        <v>6</v>
      </c>
      <c r="AG94">
        <v>5.0999999999999997E-2</v>
      </c>
      <c r="AH94">
        <v>2</v>
      </c>
      <c r="AI94">
        <v>16750006</v>
      </c>
      <c r="AJ94">
        <v>92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</row>
    <row r="95" spans="1:44" x14ac:dyDescent="0.2">
      <c r="A95">
        <f>ROW(Source!A98)</f>
        <v>98</v>
      </c>
      <c r="B95">
        <v>16750029</v>
      </c>
      <c r="C95">
        <v>16750018</v>
      </c>
      <c r="D95">
        <v>15446300</v>
      </c>
      <c r="E95">
        <v>1</v>
      </c>
      <c r="F95">
        <v>1</v>
      </c>
      <c r="G95">
        <v>1</v>
      </c>
      <c r="H95">
        <v>1</v>
      </c>
      <c r="I95" t="s">
        <v>1095</v>
      </c>
      <c r="J95" t="s">
        <v>6</v>
      </c>
      <c r="K95" t="s">
        <v>1096</v>
      </c>
      <c r="L95">
        <v>1191</v>
      </c>
      <c r="N95">
        <v>1013</v>
      </c>
      <c r="O95" t="s">
        <v>1072</v>
      </c>
      <c r="P95" t="s">
        <v>1072</v>
      </c>
      <c r="Q95">
        <v>1</v>
      </c>
      <c r="X95">
        <v>2.4</v>
      </c>
      <c r="Y95">
        <v>0</v>
      </c>
      <c r="Z95">
        <v>0</v>
      </c>
      <c r="AA95">
        <v>0</v>
      </c>
      <c r="AB95">
        <v>9.92</v>
      </c>
      <c r="AC95">
        <v>0</v>
      </c>
      <c r="AD95">
        <v>1</v>
      </c>
      <c r="AE95">
        <v>1</v>
      </c>
      <c r="AF95" t="s">
        <v>173</v>
      </c>
      <c r="AG95">
        <v>2.76</v>
      </c>
      <c r="AH95">
        <v>2</v>
      </c>
      <c r="AI95">
        <v>16750019</v>
      </c>
      <c r="AJ95">
        <v>93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</row>
    <row r="96" spans="1:44" x14ac:dyDescent="0.2">
      <c r="A96">
        <f>ROW(Source!A98)</f>
        <v>98</v>
      </c>
      <c r="B96">
        <v>16750030</v>
      </c>
      <c r="C96">
        <v>16750018</v>
      </c>
      <c r="D96">
        <v>15430395</v>
      </c>
      <c r="E96">
        <v>1</v>
      </c>
      <c r="F96">
        <v>1</v>
      </c>
      <c r="G96">
        <v>1</v>
      </c>
      <c r="H96">
        <v>1</v>
      </c>
      <c r="I96" t="s">
        <v>1073</v>
      </c>
      <c r="J96" t="s">
        <v>6</v>
      </c>
      <c r="K96" t="s">
        <v>1074</v>
      </c>
      <c r="L96">
        <v>1191</v>
      </c>
      <c r="N96">
        <v>1013</v>
      </c>
      <c r="O96" t="s">
        <v>1072</v>
      </c>
      <c r="P96" t="s">
        <v>1072</v>
      </c>
      <c r="Q96">
        <v>1</v>
      </c>
      <c r="X96">
        <v>0.17</v>
      </c>
      <c r="Y96">
        <v>0</v>
      </c>
      <c r="Z96">
        <v>0</v>
      </c>
      <c r="AA96">
        <v>0</v>
      </c>
      <c r="AB96">
        <v>0</v>
      </c>
      <c r="AC96">
        <v>0</v>
      </c>
      <c r="AD96">
        <v>1</v>
      </c>
      <c r="AE96">
        <v>2</v>
      </c>
      <c r="AF96" t="s">
        <v>172</v>
      </c>
      <c r="AG96">
        <v>0.21250000000000002</v>
      </c>
      <c r="AH96">
        <v>2</v>
      </c>
      <c r="AI96">
        <v>16750020</v>
      </c>
      <c r="AJ96">
        <v>94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</row>
    <row r="97" spans="1:44" x14ac:dyDescent="0.2">
      <c r="A97">
        <f>ROW(Source!A98)</f>
        <v>98</v>
      </c>
      <c r="B97">
        <v>16750031</v>
      </c>
      <c r="C97">
        <v>16750018</v>
      </c>
      <c r="D97">
        <v>15249073</v>
      </c>
      <c r="E97">
        <v>1</v>
      </c>
      <c r="F97">
        <v>1</v>
      </c>
      <c r="G97">
        <v>1</v>
      </c>
      <c r="H97">
        <v>2</v>
      </c>
      <c r="I97" t="s">
        <v>1097</v>
      </c>
      <c r="J97" t="s">
        <v>1098</v>
      </c>
      <c r="K97" t="s">
        <v>1099</v>
      </c>
      <c r="L97">
        <v>1368</v>
      </c>
      <c r="N97">
        <v>1011</v>
      </c>
      <c r="O97" t="s">
        <v>1078</v>
      </c>
      <c r="P97" t="s">
        <v>1078</v>
      </c>
      <c r="Q97">
        <v>1</v>
      </c>
      <c r="X97">
        <v>0.17</v>
      </c>
      <c r="Y97">
        <v>0</v>
      </c>
      <c r="Z97">
        <v>65.709999999999994</v>
      </c>
      <c r="AA97">
        <v>11.6</v>
      </c>
      <c r="AB97">
        <v>0</v>
      </c>
      <c r="AC97">
        <v>0</v>
      </c>
      <c r="AD97">
        <v>1</v>
      </c>
      <c r="AE97">
        <v>0</v>
      </c>
      <c r="AF97" t="s">
        <v>172</v>
      </c>
      <c r="AG97">
        <v>0.21250000000000002</v>
      </c>
      <c r="AH97">
        <v>2</v>
      </c>
      <c r="AI97">
        <v>16750021</v>
      </c>
      <c r="AJ97">
        <v>95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</row>
    <row r="98" spans="1:44" x14ac:dyDescent="0.2">
      <c r="A98">
        <f>ROW(Source!A98)</f>
        <v>98</v>
      </c>
      <c r="B98">
        <v>16750032</v>
      </c>
      <c r="C98">
        <v>16750018</v>
      </c>
      <c r="D98">
        <v>15249377</v>
      </c>
      <c r="E98">
        <v>1</v>
      </c>
      <c r="F98">
        <v>1</v>
      </c>
      <c r="G98">
        <v>1</v>
      </c>
      <c r="H98">
        <v>2</v>
      </c>
      <c r="I98" t="s">
        <v>1100</v>
      </c>
      <c r="J98" t="s">
        <v>1101</v>
      </c>
      <c r="K98" t="s">
        <v>1102</v>
      </c>
      <c r="L98">
        <v>1368</v>
      </c>
      <c r="N98">
        <v>1011</v>
      </c>
      <c r="O98" t="s">
        <v>1078</v>
      </c>
      <c r="P98" t="s">
        <v>1078</v>
      </c>
      <c r="Q98">
        <v>1</v>
      </c>
      <c r="X98">
        <v>0.4</v>
      </c>
      <c r="Y98">
        <v>0</v>
      </c>
      <c r="Z98">
        <v>8.1</v>
      </c>
      <c r="AA98">
        <v>0</v>
      </c>
      <c r="AB98">
        <v>0</v>
      </c>
      <c r="AC98">
        <v>0</v>
      </c>
      <c r="AD98">
        <v>1</v>
      </c>
      <c r="AE98">
        <v>0</v>
      </c>
      <c r="AF98" t="s">
        <v>172</v>
      </c>
      <c r="AG98">
        <v>0.5</v>
      </c>
      <c r="AH98">
        <v>2</v>
      </c>
      <c r="AI98">
        <v>16750022</v>
      </c>
      <c r="AJ98">
        <v>96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</row>
    <row r="99" spans="1:44" x14ac:dyDescent="0.2">
      <c r="A99">
        <f>ROW(Source!A98)</f>
        <v>98</v>
      </c>
      <c r="B99">
        <v>16750033</v>
      </c>
      <c r="C99">
        <v>16750018</v>
      </c>
      <c r="D99">
        <v>15162381</v>
      </c>
      <c r="E99">
        <v>17</v>
      </c>
      <c r="F99">
        <v>1</v>
      </c>
      <c r="G99">
        <v>1</v>
      </c>
      <c r="H99">
        <v>3</v>
      </c>
      <c r="I99" t="s">
        <v>1576</v>
      </c>
      <c r="J99" t="s">
        <v>6</v>
      </c>
      <c r="K99" t="s">
        <v>1577</v>
      </c>
      <c r="L99">
        <v>1035</v>
      </c>
      <c r="N99">
        <v>1013</v>
      </c>
      <c r="O99" t="s">
        <v>230</v>
      </c>
      <c r="P99" t="s">
        <v>230</v>
      </c>
      <c r="Q99">
        <v>1</v>
      </c>
      <c r="X99">
        <v>0</v>
      </c>
      <c r="Y99">
        <v>0</v>
      </c>
      <c r="Z99">
        <v>0</v>
      </c>
      <c r="AA99">
        <v>0</v>
      </c>
      <c r="AB99">
        <v>0</v>
      </c>
      <c r="AC99">
        <v>1</v>
      </c>
      <c r="AD99">
        <v>0</v>
      </c>
      <c r="AE99">
        <v>0</v>
      </c>
      <c r="AF99" t="s">
        <v>6</v>
      </c>
      <c r="AG99">
        <v>0</v>
      </c>
      <c r="AH99">
        <v>3</v>
      </c>
      <c r="AI99">
        <v>-1</v>
      </c>
      <c r="AJ99" t="s">
        <v>6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</row>
    <row r="100" spans="1:44" x14ac:dyDescent="0.2">
      <c r="A100">
        <f>ROW(Source!A98)</f>
        <v>98</v>
      </c>
      <c r="B100">
        <v>16750034</v>
      </c>
      <c r="C100">
        <v>16750018</v>
      </c>
      <c r="D100">
        <v>15168750</v>
      </c>
      <c r="E100">
        <v>1</v>
      </c>
      <c r="F100">
        <v>1</v>
      </c>
      <c r="G100">
        <v>1</v>
      </c>
      <c r="H100">
        <v>3</v>
      </c>
      <c r="I100" t="s">
        <v>1103</v>
      </c>
      <c r="J100" t="s">
        <v>1104</v>
      </c>
      <c r="K100" t="s">
        <v>1105</v>
      </c>
      <c r="L100">
        <v>1348</v>
      </c>
      <c r="N100">
        <v>1009</v>
      </c>
      <c r="O100" t="s">
        <v>71</v>
      </c>
      <c r="P100" t="s">
        <v>71</v>
      </c>
      <c r="Q100">
        <v>1000</v>
      </c>
      <c r="X100">
        <v>1E-4</v>
      </c>
      <c r="Y100">
        <v>10315.01</v>
      </c>
      <c r="Z100">
        <v>0</v>
      </c>
      <c r="AA100">
        <v>0</v>
      </c>
      <c r="AB100">
        <v>0</v>
      </c>
      <c r="AC100">
        <v>0</v>
      </c>
      <c r="AD100">
        <v>1</v>
      </c>
      <c r="AE100">
        <v>0</v>
      </c>
      <c r="AF100" t="s">
        <v>6</v>
      </c>
      <c r="AG100">
        <v>1E-4</v>
      </c>
      <c r="AH100">
        <v>2</v>
      </c>
      <c r="AI100">
        <v>16750023</v>
      </c>
      <c r="AJ100">
        <v>98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</row>
    <row r="101" spans="1:44" x14ac:dyDescent="0.2">
      <c r="A101">
        <f>ROW(Source!A98)</f>
        <v>98</v>
      </c>
      <c r="B101">
        <v>16750035</v>
      </c>
      <c r="C101">
        <v>16750018</v>
      </c>
      <c r="D101">
        <v>15162386</v>
      </c>
      <c r="E101">
        <v>17</v>
      </c>
      <c r="F101">
        <v>1</v>
      </c>
      <c r="G101">
        <v>1</v>
      </c>
      <c r="H101">
        <v>3</v>
      </c>
      <c r="I101" t="s">
        <v>237</v>
      </c>
      <c r="J101" t="s">
        <v>6</v>
      </c>
      <c r="K101" t="s">
        <v>238</v>
      </c>
      <c r="L101">
        <v>1327</v>
      </c>
      <c r="N101">
        <v>1005</v>
      </c>
      <c r="O101" t="s">
        <v>89</v>
      </c>
      <c r="P101" t="s">
        <v>89</v>
      </c>
      <c r="Q101">
        <v>1</v>
      </c>
      <c r="X101">
        <v>1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 t="s">
        <v>6</v>
      </c>
      <c r="AG101">
        <v>1</v>
      </c>
      <c r="AH101">
        <v>2</v>
      </c>
      <c r="AI101">
        <v>16750024</v>
      </c>
      <c r="AJ101">
        <v>99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</row>
    <row r="102" spans="1:44" x14ac:dyDescent="0.2">
      <c r="A102">
        <f>ROW(Source!A98)</f>
        <v>98</v>
      </c>
      <c r="B102">
        <v>16750036</v>
      </c>
      <c r="C102">
        <v>16750018</v>
      </c>
      <c r="D102">
        <v>15192019</v>
      </c>
      <c r="E102">
        <v>1</v>
      </c>
      <c r="F102">
        <v>1</v>
      </c>
      <c r="G102">
        <v>1</v>
      </c>
      <c r="H102">
        <v>3</v>
      </c>
      <c r="I102" t="s">
        <v>1106</v>
      </c>
      <c r="J102" t="s">
        <v>1107</v>
      </c>
      <c r="K102" t="s">
        <v>1108</v>
      </c>
      <c r="L102">
        <v>1348</v>
      </c>
      <c r="N102">
        <v>1009</v>
      </c>
      <c r="O102" t="s">
        <v>71</v>
      </c>
      <c r="P102" t="s">
        <v>71</v>
      </c>
      <c r="Q102">
        <v>1000</v>
      </c>
      <c r="X102">
        <v>3.0000000000000001E-3</v>
      </c>
      <c r="Y102">
        <v>5804</v>
      </c>
      <c r="Z102">
        <v>0</v>
      </c>
      <c r="AA102">
        <v>0</v>
      </c>
      <c r="AB102">
        <v>0</v>
      </c>
      <c r="AC102">
        <v>0</v>
      </c>
      <c r="AD102">
        <v>1</v>
      </c>
      <c r="AE102">
        <v>0</v>
      </c>
      <c r="AF102" t="s">
        <v>6</v>
      </c>
      <c r="AG102">
        <v>3.0000000000000001E-3</v>
      </c>
      <c r="AH102">
        <v>2</v>
      </c>
      <c r="AI102">
        <v>16750025</v>
      </c>
      <c r="AJ102">
        <v>101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</row>
    <row r="103" spans="1:44" x14ac:dyDescent="0.2">
      <c r="A103">
        <f>ROW(Source!A98)</f>
        <v>98</v>
      </c>
      <c r="B103">
        <v>16750037</v>
      </c>
      <c r="C103">
        <v>16750018</v>
      </c>
      <c r="D103">
        <v>15204330</v>
      </c>
      <c r="E103">
        <v>1</v>
      </c>
      <c r="F103">
        <v>1</v>
      </c>
      <c r="G103">
        <v>1</v>
      </c>
      <c r="H103">
        <v>3</v>
      </c>
      <c r="I103" t="s">
        <v>1109</v>
      </c>
      <c r="J103" t="s">
        <v>1110</v>
      </c>
      <c r="K103" t="s">
        <v>1111</v>
      </c>
      <c r="L103">
        <v>1354</v>
      </c>
      <c r="N103">
        <v>1010</v>
      </c>
      <c r="O103" t="s">
        <v>53</v>
      </c>
      <c r="P103" t="s">
        <v>53</v>
      </c>
      <c r="Q103">
        <v>1</v>
      </c>
      <c r="X103">
        <v>0.1</v>
      </c>
      <c r="Y103">
        <v>72.8</v>
      </c>
      <c r="Z103">
        <v>0</v>
      </c>
      <c r="AA103">
        <v>0</v>
      </c>
      <c r="AB103">
        <v>0</v>
      </c>
      <c r="AC103">
        <v>0</v>
      </c>
      <c r="AD103">
        <v>1</v>
      </c>
      <c r="AE103">
        <v>0</v>
      </c>
      <c r="AF103" t="s">
        <v>6</v>
      </c>
      <c r="AG103">
        <v>0.1</v>
      </c>
      <c r="AH103">
        <v>2</v>
      </c>
      <c r="AI103">
        <v>16750026</v>
      </c>
      <c r="AJ103">
        <v>102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</row>
    <row r="104" spans="1:44" x14ac:dyDescent="0.2">
      <c r="A104">
        <f>ROW(Source!A102)</f>
        <v>102</v>
      </c>
      <c r="B104">
        <v>16750047</v>
      </c>
      <c r="C104">
        <v>16750041</v>
      </c>
      <c r="D104">
        <v>15446300</v>
      </c>
      <c r="E104">
        <v>1</v>
      </c>
      <c r="F104">
        <v>1</v>
      </c>
      <c r="G104">
        <v>1</v>
      </c>
      <c r="H104">
        <v>1</v>
      </c>
      <c r="I104" t="s">
        <v>1095</v>
      </c>
      <c r="J104" t="s">
        <v>6</v>
      </c>
      <c r="K104" t="s">
        <v>1096</v>
      </c>
      <c r="L104">
        <v>1191</v>
      </c>
      <c r="N104">
        <v>1013</v>
      </c>
      <c r="O104" t="s">
        <v>1072</v>
      </c>
      <c r="P104" t="s">
        <v>1072</v>
      </c>
      <c r="Q104">
        <v>1</v>
      </c>
      <c r="X104">
        <v>1.1100000000000001</v>
      </c>
      <c r="Y104">
        <v>0</v>
      </c>
      <c r="Z104">
        <v>0</v>
      </c>
      <c r="AA104">
        <v>0</v>
      </c>
      <c r="AB104">
        <v>9.92</v>
      </c>
      <c r="AC104">
        <v>0</v>
      </c>
      <c r="AD104">
        <v>1</v>
      </c>
      <c r="AE104">
        <v>1</v>
      </c>
      <c r="AF104" t="s">
        <v>173</v>
      </c>
      <c r="AG104">
        <v>1.2765</v>
      </c>
      <c r="AH104">
        <v>2</v>
      </c>
      <c r="AI104">
        <v>16750042</v>
      </c>
      <c r="AJ104">
        <v>103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</row>
    <row r="105" spans="1:44" x14ac:dyDescent="0.2">
      <c r="A105">
        <f>ROW(Source!A102)</f>
        <v>102</v>
      </c>
      <c r="B105">
        <v>16750048</v>
      </c>
      <c r="C105">
        <v>16750041</v>
      </c>
      <c r="D105">
        <v>15249377</v>
      </c>
      <c r="E105">
        <v>1</v>
      </c>
      <c r="F105">
        <v>1</v>
      </c>
      <c r="G105">
        <v>1</v>
      </c>
      <c r="H105">
        <v>2</v>
      </c>
      <c r="I105" t="s">
        <v>1100</v>
      </c>
      <c r="J105" t="s">
        <v>1101</v>
      </c>
      <c r="K105" t="s">
        <v>1102</v>
      </c>
      <c r="L105">
        <v>1368</v>
      </c>
      <c r="N105">
        <v>1011</v>
      </c>
      <c r="O105" t="s">
        <v>1078</v>
      </c>
      <c r="P105" t="s">
        <v>1078</v>
      </c>
      <c r="Q105">
        <v>1</v>
      </c>
      <c r="X105">
        <v>0.26</v>
      </c>
      <c r="Y105">
        <v>0</v>
      </c>
      <c r="Z105">
        <v>8.1</v>
      </c>
      <c r="AA105">
        <v>0</v>
      </c>
      <c r="AB105">
        <v>0</v>
      </c>
      <c r="AC105">
        <v>0</v>
      </c>
      <c r="AD105">
        <v>1</v>
      </c>
      <c r="AE105">
        <v>0</v>
      </c>
      <c r="AF105" t="s">
        <v>172</v>
      </c>
      <c r="AG105">
        <v>0.32500000000000001</v>
      </c>
      <c r="AH105">
        <v>2</v>
      </c>
      <c r="AI105">
        <v>16750043</v>
      </c>
      <c r="AJ105">
        <v>104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</row>
    <row r="106" spans="1:44" x14ac:dyDescent="0.2">
      <c r="A106">
        <f>ROW(Source!A102)</f>
        <v>102</v>
      </c>
      <c r="B106">
        <v>16750049</v>
      </c>
      <c r="C106">
        <v>16750041</v>
      </c>
      <c r="D106">
        <v>15162381</v>
      </c>
      <c r="E106">
        <v>17</v>
      </c>
      <c r="F106">
        <v>1</v>
      </c>
      <c r="G106">
        <v>1</v>
      </c>
      <c r="H106">
        <v>3</v>
      </c>
      <c r="I106" t="s">
        <v>1576</v>
      </c>
      <c r="J106" t="s">
        <v>6</v>
      </c>
      <c r="K106" t="s">
        <v>1577</v>
      </c>
      <c r="L106">
        <v>1035</v>
      </c>
      <c r="N106">
        <v>1013</v>
      </c>
      <c r="O106" t="s">
        <v>230</v>
      </c>
      <c r="P106" t="s">
        <v>230</v>
      </c>
      <c r="Q106">
        <v>1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1</v>
      </c>
      <c r="AD106">
        <v>0</v>
      </c>
      <c r="AE106">
        <v>0</v>
      </c>
      <c r="AF106" t="s">
        <v>6</v>
      </c>
      <c r="AG106">
        <v>0</v>
      </c>
      <c r="AH106">
        <v>3</v>
      </c>
      <c r="AI106">
        <v>-1</v>
      </c>
      <c r="AJ106" t="s">
        <v>6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</row>
    <row r="107" spans="1:44" x14ac:dyDescent="0.2">
      <c r="A107">
        <f>ROW(Source!A102)</f>
        <v>102</v>
      </c>
      <c r="B107">
        <v>16750050</v>
      </c>
      <c r="C107">
        <v>16750041</v>
      </c>
      <c r="D107">
        <v>15168750</v>
      </c>
      <c r="E107">
        <v>1</v>
      </c>
      <c r="F107">
        <v>1</v>
      </c>
      <c r="G107">
        <v>1</v>
      </c>
      <c r="H107">
        <v>3</v>
      </c>
      <c r="I107" t="s">
        <v>1103</v>
      </c>
      <c r="J107" t="s">
        <v>1104</v>
      </c>
      <c r="K107" t="s">
        <v>1105</v>
      </c>
      <c r="L107">
        <v>1348</v>
      </c>
      <c r="N107">
        <v>1009</v>
      </c>
      <c r="O107" t="s">
        <v>71</v>
      </c>
      <c r="P107" t="s">
        <v>71</v>
      </c>
      <c r="Q107">
        <v>1000</v>
      </c>
      <c r="X107">
        <v>6.9999999999999994E-5</v>
      </c>
      <c r="Y107">
        <v>10315.01</v>
      </c>
      <c r="Z107">
        <v>0</v>
      </c>
      <c r="AA107">
        <v>0</v>
      </c>
      <c r="AB107">
        <v>0</v>
      </c>
      <c r="AC107">
        <v>0</v>
      </c>
      <c r="AD107">
        <v>1</v>
      </c>
      <c r="AE107">
        <v>0</v>
      </c>
      <c r="AF107" t="s">
        <v>6</v>
      </c>
      <c r="AG107">
        <v>6.9999999999999994E-5</v>
      </c>
      <c r="AH107">
        <v>2</v>
      </c>
      <c r="AI107">
        <v>16750044</v>
      </c>
      <c r="AJ107">
        <v>106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</row>
    <row r="108" spans="1:44" x14ac:dyDescent="0.2">
      <c r="A108">
        <f>ROW(Source!A102)</f>
        <v>102</v>
      </c>
      <c r="B108">
        <v>16750051</v>
      </c>
      <c r="C108">
        <v>16750041</v>
      </c>
      <c r="D108">
        <v>15169980</v>
      </c>
      <c r="E108">
        <v>1</v>
      </c>
      <c r="F108">
        <v>1</v>
      </c>
      <c r="G108">
        <v>1</v>
      </c>
      <c r="H108">
        <v>3</v>
      </c>
      <c r="I108" t="s">
        <v>1174</v>
      </c>
      <c r="J108" t="s">
        <v>1175</v>
      </c>
      <c r="K108" t="s">
        <v>1176</v>
      </c>
      <c r="L108">
        <v>1355</v>
      </c>
      <c r="N108">
        <v>1010</v>
      </c>
      <c r="O108" t="s">
        <v>724</v>
      </c>
      <c r="P108" t="s">
        <v>724</v>
      </c>
      <c r="Q108">
        <v>100</v>
      </c>
      <c r="X108">
        <v>8.0000000000000007E-5</v>
      </c>
      <c r="Y108">
        <v>20</v>
      </c>
      <c r="Z108">
        <v>0</v>
      </c>
      <c r="AA108">
        <v>0</v>
      </c>
      <c r="AB108">
        <v>0</v>
      </c>
      <c r="AC108">
        <v>0</v>
      </c>
      <c r="AD108">
        <v>1</v>
      </c>
      <c r="AE108">
        <v>0</v>
      </c>
      <c r="AF108" t="s">
        <v>6</v>
      </c>
      <c r="AG108">
        <v>8.0000000000000007E-5</v>
      </c>
      <c r="AH108">
        <v>2</v>
      </c>
      <c r="AI108">
        <v>16750045</v>
      </c>
      <c r="AJ108">
        <v>107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</row>
    <row r="109" spans="1:44" x14ac:dyDescent="0.2">
      <c r="A109">
        <f>ROW(Source!A104)</f>
        <v>104</v>
      </c>
      <c r="B109">
        <v>16750066</v>
      </c>
      <c r="C109">
        <v>16750053</v>
      </c>
      <c r="D109">
        <v>15438286</v>
      </c>
      <c r="E109">
        <v>1</v>
      </c>
      <c r="F109">
        <v>1</v>
      </c>
      <c r="G109">
        <v>1</v>
      </c>
      <c r="H109">
        <v>1</v>
      </c>
      <c r="I109" t="s">
        <v>1177</v>
      </c>
      <c r="J109" t="s">
        <v>6</v>
      </c>
      <c r="K109" t="s">
        <v>1178</v>
      </c>
      <c r="L109">
        <v>1191</v>
      </c>
      <c r="N109">
        <v>1013</v>
      </c>
      <c r="O109" t="s">
        <v>1072</v>
      </c>
      <c r="P109" t="s">
        <v>1072</v>
      </c>
      <c r="Q109">
        <v>1</v>
      </c>
      <c r="X109">
        <v>89.53</v>
      </c>
      <c r="Y109">
        <v>0</v>
      </c>
      <c r="Z109">
        <v>0</v>
      </c>
      <c r="AA109">
        <v>0</v>
      </c>
      <c r="AB109">
        <v>9.18</v>
      </c>
      <c r="AC109">
        <v>0</v>
      </c>
      <c r="AD109">
        <v>1</v>
      </c>
      <c r="AE109">
        <v>1</v>
      </c>
      <c r="AF109" t="s">
        <v>173</v>
      </c>
      <c r="AG109">
        <v>102.95949999999999</v>
      </c>
      <c r="AH109">
        <v>2</v>
      </c>
      <c r="AI109">
        <v>16750054</v>
      </c>
      <c r="AJ109">
        <v>108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</row>
    <row r="110" spans="1:44" x14ac:dyDescent="0.2">
      <c r="A110">
        <f>ROW(Source!A104)</f>
        <v>104</v>
      </c>
      <c r="B110">
        <v>16750067</v>
      </c>
      <c r="C110">
        <v>16750053</v>
      </c>
      <c r="D110">
        <v>15430395</v>
      </c>
      <c r="E110">
        <v>1</v>
      </c>
      <c r="F110">
        <v>1</v>
      </c>
      <c r="G110">
        <v>1</v>
      </c>
      <c r="H110">
        <v>1</v>
      </c>
      <c r="I110" t="s">
        <v>1073</v>
      </c>
      <c r="J110" t="s">
        <v>6</v>
      </c>
      <c r="K110" t="s">
        <v>1074</v>
      </c>
      <c r="L110">
        <v>1191</v>
      </c>
      <c r="N110">
        <v>1013</v>
      </c>
      <c r="O110" t="s">
        <v>1072</v>
      </c>
      <c r="P110" t="s">
        <v>1072</v>
      </c>
      <c r="Q110">
        <v>1</v>
      </c>
      <c r="X110">
        <v>11.68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1</v>
      </c>
      <c r="AE110">
        <v>2</v>
      </c>
      <c r="AF110" t="s">
        <v>172</v>
      </c>
      <c r="AG110">
        <v>14.6</v>
      </c>
      <c r="AH110">
        <v>2</v>
      </c>
      <c r="AI110">
        <v>16750055</v>
      </c>
      <c r="AJ110">
        <v>109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</row>
    <row r="111" spans="1:44" x14ac:dyDescent="0.2">
      <c r="A111">
        <f>ROW(Source!A104)</f>
        <v>104</v>
      </c>
      <c r="B111">
        <v>16750068</v>
      </c>
      <c r="C111">
        <v>16750053</v>
      </c>
      <c r="D111">
        <v>15247578</v>
      </c>
      <c r="E111">
        <v>1</v>
      </c>
      <c r="F111">
        <v>1</v>
      </c>
      <c r="G111">
        <v>1</v>
      </c>
      <c r="H111">
        <v>2</v>
      </c>
      <c r="I111" t="s">
        <v>1143</v>
      </c>
      <c r="J111" t="s">
        <v>1144</v>
      </c>
      <c r="K111" t="s">
        <v>1145</v>
      </c>
      <c r="L111">
        <v>1368</v>
      </c>
      <c r="N111">
        <v>1011</v>
      </c>
      <c r="O111" t="s">
        <v>1078</v>
      </c>
      <c r="P111" t="s">
        <v>1078</v>
      </c>
      <c r="Q111">
        <v>1</v>
      </c>
      <c r="X111">
        <v>9.69</v>
      </c>
      <c r="Y111">
        <v>0</v>
      </c>
      <c r="Z111">
        <v>86.4</v>
      </c>
      <c r="AA111">
        <v>13.5</v>
      </c>
      <c r="AB111">
        <v>0</v>
      </c>
      <c r="AC111">
        <v>0</v>
      </c>
      <c r="AD111">
        <v>1</v>
      </c>
      <c r="AE111">
        <v>0</v>
      </c>
      <c r="AF111" t="s">
        <v>172</v>
      </c>
      <c r="AG111">
        <v>12.112499999999999</v>
      </c>
      <c r="AH111">
        <v>2</v>
      </c>
      <c r="AI111">
        <v>16750056</v>
      </c>
      <c r="AJ111">
        <v>110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</row>
    <row r="112" spans="1:44" x14ac:dyDescent="0.2">
      <c r="A112">
        <f>ROW(Source!A104)</f>
        <v>104</v>
      </c>
      <c r="B112">
        <v>16750069</v>
      </c>
      <c r="C112">
        <v>16750053</v>
      </c>
      <c r="D112">
        <v>15249073</v>
      </c>
      <c r="E112">
        <v>1</v>
      </c>
      <c r="F112">
        <v>1</v>
      </c>
      <c r="G112">
        <v>1</v>
      </c>
      <c r="H112">
        <v>2</v>
      </c>
      <c r="I112" t="s">
        <v>1097</v>
      </c>
      <c r="J112" t="s">
        <v>1098</v>
      </c>
      <c r="K112" t="s">
        <v>1099</v>
      </c>
      <c r="L112">
        <v>1368</v>
      </c>
      <c r="N112">
        <v>1011</v>
      </c>
      <c r="O112" t="s">
        <v>1078</v>
      </c>
      <c r="P112" t="s">
        <v>1078</v>
      </c>
      <c r="Q112">
        <v>1</v>
      </c>
      <c r="X112">
        <v>1.99</v>
      </c>
      <c r="Y112">
        <v>0</v>
      </c>
      <c r="Z112">
        <v>65.709999999999994</v>
      </c>
      <c r="AA112">
        <v>11.6</v>
      </c>
      <c r="AB112">
        <v>0</v>
      </c>
      <c r="AC112">
        <v>0</v>
      </c>
      <c r="AD112">
        <v>1</v>
      </c>
      <c r="AE112">
        <v>0</v>
      </c>
      <c r="AF112" t="s">
        <v>172</v>
      </c>
      <c r="AG112">
        <v>2.4874999999999998</v>
      </c>
      <c r="AH112">
        <v>2</v>
      </c>
      <c r="AI112">
        <v>16750057</v>
      </c>
      <c r="AJ112">
        <v>111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</row>
    <row r="113" spans="1:44" x14ac:dyDescent="0.2">
      <c r="A113">
        <f>ROW(Source!A104)</f>
        <v>104</v>
      </c>
      <c r="B113">
        <v>16750070</v>
      </c>
      <c r="C113">
        <v>16750053</v>
      </c>
      <c r="D113">
        <v>15162381</v>
      </c>
      <c r="E113">
        <v>17</v>
      </c>
      <c r="F113">
        <v>1</v>
      </c>
      <c r="G113">
        <v>1</v>
      </c>
      <c r="H113">
        <v>3</v>
      </c>
      <c r="I113" t="s">
        <v>1576</v>
      </c>
      <c r="J113" t="s">
        <v>6</v>
      </c>
      <c r="K113" t="s">
        <v>1577</v>
      </c>
      <c r="L113">
        <v>1035</v>
      </c>
      <c r="N113">
        <v>1013</v>
      </c>
      <c r="O113" t="s">
        <v>230</v>
      </c>
      <c r="P113" t="s">
        <v>230</v>
      </c>
      <c r="Q113">
        <v>1</v>
      </c>
      <c r="X113">
        <v>0</v>
      </c>
      <c r="Y113">
        <v>0</v>
      </c>
      <c r="Z113">
        <v>0</v>
      </c>
      <c r="AA113">
        <v>0</v>
      </c>
      <c r="AB113">
        <v>0</v>
      </c>
      <c r="AC113">
        <v>1</v>
      </c>
      <c r="AD113">
        <v>0</v>
      </c>
      <c r="AE113">
        <v>0</v>
      </c>
      <c r="AF113" t="s">
        <v>6</v>
      </c>
      <c r="AG113">
        <v>0</v>
      </c>
      <c r="AH113">
        <v>3</v>
      </c>
      <c r="AI113">
        <v>-1</v>
      </c>
      <c r="AJ113" t="s">
        <v>6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</row>
    <row r="114" spans="1:44" x14ac:dyDescent="0.2">
      <c r="A114">
        <f>ROW(Source!A104)</f>
        <v>104</v>
      </c>
      <c r="B114">
        <v>16750071</v>
      </c>
      <c r="C114">
        <v>16750053</v>
      </c>
      <c r="D114">
        <v>15170039</v>
      </c>
      <c r="E114">
        <v>1</v>
      </c>
      <c r="F114">
        <v>1</v>
      </c>
      <c r="G114">
        <v>1</v>
      </c>
      <c r="H114">
        <v>3</v>
      </c>
      <c r="I114" t="s">
        <v>1179</v>
      </c>
      <c r="J114" t="s">
        <v>1180</v>
      </c>
      <c r="K114" t="s">
        <v>1181</v>
      </c>
      <c r="L114">
        <v>1348</v>
      </c>
      <c r="N114">
        <v>1009</v>
      </c>
      <c r="O114" t="s">
        <v>71</v>
      </c>
      <c r="P114" t="s">
        <v>71</v>
      </c>
      <c r="Q114">
        <v>1000</v>
      </c>
      <c r="X114">
        <v>4.13E-3</v>
      </c>
      <c r="Y114">
        <v>11978</v>
      </c>
      <c r="Z114">
        <v>0</v>
      </c>
      <c r="AA114">
        <v>0</v>
      </c>
      <c r="AB114">
        <v>0</v>
      </c>
      <c r="AC114">
        <v>0</v>
      </c>
      <c r="AD114">
        <v>1</v>
      </c>
      <c r="AE114">
        <v>0</v>
      </c>
      <c r="AF114" t="s">
        <v>6</v>
      </c>
      <c r="AG114">
        <v>4.13E-3</v>
      </c>
      <c r="AH114">
        <v>2</v>
      </c>
      <c r="AI114">
        <v>16750058</v>
      </c>
      <c r="AJ114">
        <v>113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</row>
    <row r="115" spans="1:44" x14ac:dyDescent="0.2">
      <c r="A115">
        <f>ROW(Source!A104)</f>
        <v>104</v>
      </c>
      <c r="B115">
        <v>16750072</v>
      </c>
      <c r="C115">
        <v>16750053</v>
      </c>
      <c r="D115">
        <v>15172818</v>
      </c>
      <c r="E115">
        <v>1</v>
      </c>
      <c r="F115">
        <v>1</v>
      </c>
      <c r="G115">
        <v>1</v>
      </c>
      <c r="H115">
        <v>3</v>
      </c>
      <c r="I115" t="s">
        <v>1182</v>
      </c>
      <c r="J115" t="s">
        <v>1183</v>
      </c>
      <c r="K115" t="s">
        <v>1184</v>
      </c>
      <c r="L115">
        <v>1339</v>
      </c>
      <c r="N115">
        <v>1007</v>
      </c>
      <c r="O115" t="s">
        <v>283</v>
      </c>
      <c r="P115" t="s">
        <v>283</v>
      </c>
      <c r="Q115">
        <v>1</v>
      </c>
      <c r="X115">
        <v>0.105</v>
      </c>
      <c r="Y115">
        <v>458</v>
      </c>
      <c r="Z115">
        <v>0</v>
      </c>
      <c r="AA115">
        <v>0</v>
      </c>
      <c r="AB115">
        <v>0</v>
      </c>
      <c r="AC115">
        <v>0</v>
      </c>
      <c r="AD115">
        <v>1</v>
      </c>
      <c r="AE115">
        <v>0</v>
      </c>
      <c r="AF115" t="s">
        <v>6</v>
      </c>
      <c r="AG115">
        <v>0.105</v>
      </c>
      <c r="AH115">
        <v>2</v>
      </c>
      <c r="AI115">
        <v>16750059</v>
      </c>
      <c r="AJ115">
        <v>114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</row>
    <row r="116" spans="1:44" x14ac:dyDescent="0.2">
      <c r="A116">
        <f>ROW(Source!A104)</f>
        <v>104</v>
      </c>
      <c r="B116">
        <v>16750073</v>
      </c>
      <c r="C116">
        <v>16750053</v>
      </c>
      <c r="D116">
        <v>15161686</v>
      </c>
      <c r="E116">
        <v>17</v>
      </c>
      <c r="F116">
        <v>1</v>
      </c>
      <c r="G116">
        <v>1</v>
      </c>
      <c r="H116">
        <v>3</v>
      </c>
      <c r="I116" t="s">
        <v>1580</v>
      </c>
      <c r="J116" t="s">
        <v>6</v>
      </c>
      <c r="K116" t="s">
        <v>1581</v>
      </c>
      <c r="L116">
        <v>1346</v>
      </c>
      <c r="N116">
        <v>1009</v>
      </c>
      <c r="O116" t="s">
        <v>323</v>
      </c>
      <c r="P116" t="s">
        <v>323</v>
      </c>
      <c r="Q116">
        <v>1</v>
      </c>
      <c r="X116">
        <v>37.5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</v>
      </c>
      <c r="AF116" t="s">
        <v>6</v>
      </c>
      <c r="AG116">
        <v>37.5</v>
      </c>
      <c r="AH116">
        <v>3</v>
      </c>
      <c r="AI116">
        <v>-1</v>
      </c>
      <c r="AJ116" t="s">
        <v>6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</row>
    <row r="117" spans="1:44" x14ac:dyDescent="0.2">
      <c r="A117">
        <f>ROW(Source!A104)</f>
        <v>104</v>
      </c>
      <c r="B117">
        <v>16750074</v>
      </c>
      <c r="C117">
        <v>16750053</v>
      </c>
      <c r="D117">
        <v>15196008</v>
      </c>
      <c r="E117">
        <v>1</v>
      </c>
      <c r="F117">
        <v>1</v>
      </c>
      <c r="G117">
        <v>1</v>
      </c>
      <c r="H117">
        <v>3</v>
      </c>
      <c r="I117" t="s">
        <v>1185</v>
      </c>
      <c r="J117" t="s">
        <v>1186</v>
      </c>
      <c r="K117" t="s">
        <v>1187</v>
      </c>
      <c r="L117">
        <v>1339</v>
      </c>
      <c r="N117">
        <v>1007</v>
      </c>
      <c r="O117" t="s">
        <v>283</v>
      </c>
      <c r="P117" t="s">
        <v>283</v>
      </c>
      <c r="Q117">
        <v>1</v>
      </c>
      <c r="X117">
        <v>0.08</v>
      </c>
      <c r="Y117">
        <v>1100</v>
      </c>
      <c r="Z117">
        <v>0</v>
      </c>
      <c r="AA117">
        <v>0</v>
      </c>
      <c r="AB117">
        <v>0</v>
      </c>
      <c r="AC117">
        <v>0</v>
      </c>
      <c r="AD117">
        <v>1</v>
      </c>
      <c r="AE117">
        <v>0</v>
      </c>
      <c r="AF117" t="s">
        <v>6</v>
      </c>
      <c r="AG117">
        <v>0.08</v>
      </c>
      <c r="AH117">
        <v>2</v>
      </c>
      <c r="AI117">
        <v>16750060</v>
      </c>
      <c r="AJ117">
        <v>115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</row>
    <row r="118" spans="1:44" x14ac:dyDescent="0.2">
      <c r="A118">
        <f>ROW(Source!A104)</f>
        <v>104</v>
      </c>
      <c r="B118">
        <v>16750075</v>
      </c>
      <c r="C118">
        <v>16750053</v>
      </c>
      <c r="D118">
        <v>15162477</v>
      </c>
      <c r="E118">
        <v>17</v>
      </c>
      <c r="F118">
        <v>1</v>
      </c>
      <c r="G118">
        <v>1</v>
      </c>
      <c r="H118">
        <v>3</v>
      </c>
      <c r="I118" t="s">
        <v>261</v>
      </c>
      <c r="J118" t="s">
        <v>6</v>
      </c>
      <c r="K118" t="s">
        <v>262</v>
      </c>
      <c r="L118">
        <v>1327</v>
      </c>
      <c r="N118">
        <v>1005</v>
      </c>
      <c r="O118" t="s">
        <v>89</v>
      </c>
      <c r="P118" t="s">
        <v>89</v>
      </c>
      <c r="Q118">
        <v>1</v>
      </c>
      <c r="X118">
        <v>100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0</v>
      </c>
      <c r="AE118">
        <v>0</v>
      </c>
      <c r="AF118" t="s">
        <v>6</v>
      </c>
      <c r="AG118">
        <v>100</v>
      </c>
      <c r="AH118">
        <v>2</v>
      </c>
      <c r="AI118">
        <v>16750061</v>
      </c>
      <c r="AJ118">
        <v>116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</row>
    <row r="119" spans="1:44" x14ac:dyDescent="0.2">
      <c r="A119">
        <f>ROW(Source!A104)</f>
        <v>104</v>
      </c>
      <c r="B119">
        <v>16750076</v>
      </c>
      <c r="C119">
        <v>16750053</v>
      </c>
      <c r="D119">
        <v>15204315</v>
      </c>
      <c r="E119">
        <v>1</v>
      </c>
      <c r="F119">
        <v>1</v>
      </c>
      <c r="G119">
        <v>1</v>
      </c>
      <c r="H119">
        <v>3</v>
      </c>
      <c r="I119" t="s">
        <v>1188</v>
      </c>
      <c r="J119" t="s">
        <v>1189</v>
      </c>
      <c r="K119" t="s">
        <v>1190</v>
      </c>
      <c r="L119">
        <v>1296</v>
      </c>
      <c r="N119">
        <v>1002</v>
      </c>
      <c r="O119" t="s">
        <v>1191</v>
      </c>
      <c r="P119" t="s">
        <v>1191</v>
      </c>
      <c r="Q119">
        <v>1</v>
      </c>
      <c r="X119">
        <v>32.4</v>
      </c>
      <c r="Y119">
        <v>46.86</v>
      </c>
      <c r="Z119">
        <v>0</v>
      </c>
      <c r="AA119">
        <v>0</v>
      </c>
      <c r="AB119">
        <v>0</v>
      </c>
      <c r="AC119">
        <v>0</v>
      </c>
      <c r="AD119">
        <v>1</v>
      </c>
      <c r="AE119">
        <v>0</v>
      </c>
      <c r="AF119" t="s">
        <v>6</v>
      </c>
      <c r="AG119">
        <v>32.4</v>
      </c>
      <c r="AH119">
        <v>2</v>
      </c>
      <c r="AI119">
        <v>16750062</v>
      </c>
      <c r="AJ119">
        <v>118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</row>
    <row r="120" spans="1:44" x14ac:dyDescent="0.2">
      <c r="A120">
        <f>ROW(Source!A108)</f>
        <v>108</v>
      </c>
      <c r="B120">
        <v>16750084</v>
      </c>
      <c r="C120">
        <v>16750081</v>
      </c>
      <c r="D120">
        <v>15430767</v>
      </c>
      <c r="E120">
        <v>1</v>
      </c>
      <c r="F120">
        <v>1</v>
      </c>
      <c r="G120">
        <v>1</v>
      </c>
      <c r="H120">
        <v>1</v>
      </c>
      <c r="I120" t="s">
        <v>1070</v>
      </c>
      <c r="J120" t="s">
        <v>6</v>
      </c>
      <c r="K120" t="s">
        <v>1071</v>
      </c>
      <c r="L120">
        <v>1191</v>
      </c>
      <c r="N120">
        <v>1013</v>
      </c>
      <c r="O120" t="s">
        <v>1072</v>
      </c>
      <c r="P120" t="s">
        <v>1072</v>
      </c>
      <c r="Q120">
        <v>1</v>
      </c>
      <c r="X120">
        <v>34.56</v>
      </c>
      <c r="Y120">
        <v>0</v>
      </c>
      <c r="Z120">
        <v>0</v>
      </c>
      <c r="AA120">
        <v>0</v>
      </c>
      <c r="AB120">
        <v>8.5299999999999994</v>
      </c>
      <c r="AC120">
        <v>0</v>
      </c>
      <c r="AD120">
        <v>1</v>
      </c>
      <c r="AE120">
        <v>1</v>
      </c>
      <c r="AF120" t="s">
        <v>173</v>
      </c>
      <c r="AG120">
        <v>39.744</v>
      </c>
      <c r="AH120">
        <v>2</v>
      </c>
      <c r="AI120">
        <v>16750082</v>
      </c>
      <c r="AJ120">
        <v>119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</row>
    <row r="121" spans="1:44" x14ac:dyDescent="0.2">
      <c r="A121">
        <f>ROW(Source!A108)</f>
        <v>108</v>
      </c>
      <c r="B121">
        <v>16750085</v>
      </c>
      <c r="C121">
        <v>16750081</v>
      </c>
      <c r="D121">
        <v>15193110</v>
      </c>
      <c r="E121">
        <v>1</v>
      </c>
      <c r="F121">
        <v>1</v>
      </c>
      <c r="G121">
        <v>1</v>
      </c>
      <c r="H121">
        <v>3</v>
      </c>
      <c r="I121" t="s">
        <v>1192</v>
      </c>
      <c r="J121" t="s">
        <v>1193</v>
      </c>
      <c r="K121" t="s">
        <v>1194</v>
      </c>
      <c r="L121">
        <v>1327</v>
      </c>
      <c r="N121">
        <v>1005</v>
      </c>
      <c r="O121" t="s">
        <v>89</v>
      </c>
      <c r="P121" t="s">
        <v>89</v>
      </c>
      <c r="Q121">
        <v>1</v>
      </c>
      <c r="X121">
        <v>100</v>
      </c>
      <c r="Y121">
        <v>701.31</v>
      </c>
      <c r="Z121">
        <v>0</v>
      </c>
      <c r="AA121">
        <v>0</v>
      </c>
      <c r="AB121">
        <v>0</v>
      </c>
      <c r="AC121">
        <v>0</v>
      </c>
      <c r="AD121">
        <v>1</v>
      </c>
      <c r="AE121">
        <v>0</v>
      </c>
      <c r="AF121" t="s">
        <v>6</v>
      </c>
      <c r="AG121">
        <v>100</v>
      </c>
      <c r="AH121">
        <v>2</v>
      </c>
      <c r="AI121">
        <v>16750083</v>
      </c>
      <c r="AJ121">
        <v>120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</row>
    <row r="122" spans="1:44" x14ac:dyDescent="0.2">
      <c r="A122">
        <f>ROW(Source!A109)</f>
        <v>109</v>
      </c>
      <c r="B122">
        <v>16750093</v>
      </c>
      <c r="C122">
        <v>16750086</v>
      </c>
      <c r="D122">
        <v>15435609</v>
      </c>
      <c r="E122">
        <v>1</v>
      </c>
      <c r="F122">
        <v>1</v>
      </c>
      <c r="G122">
        <v>1</v>
      </c>
      <c r="H122">
        <v>1</v>
      </c>
      <c r="I122" t="s">
        <v>1163</v>
      </c>
      <c r="J122" t="s">
        <v>6</v>
      </c>
      <c r="K122" t="s">
        <v>1164</v>
      </c>
      <c r="L122">
        <v>1191</v>
      </c>
      <c r="N122">
        <v>1013</v>
      </c>
      <c r="O122" t="s">
        <v>1072</v>
      </c>
      <c r="P122" t="s">
        <v>1072</v>
      </c>
      <c r="Q122">
        <v>1</v>
      </c>
      <c r="X122">
        <v>383.06</v>
      </c>
      <c r="Y122">
        <v>0</v>
      </c>
      <c r="Z122">
        <v>0</v>
      </c>
      <c r="AA122">
        <v>0</v>
      </c>
      <c r="AB122">
        <v>8.9700000000000006</v>
      </c>
      <c r="AC122">
        <v>0</v>
      </c>
      <c r="AD122">
        <v>1</v>
      </c>
      <c r="AE122">
        <v>1</v>
      </c>
      <c r="AF122" t="s">
        <v>6</v>
      </c>
      <c r="AG122">
        <v>383.06</v>
      </c>
      <c r="AH122">
        <v>2</v>
      </c>
      <c r="AI122">
        <v>16750087</v>
      </c>
      <c r="AJ122">
        <v>121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</row>
    <row r="123" spans="1:44" x14ac:dyDescent="0.2">
      <c r="A123">
        <f>ROW(Source!A109)</f>
        <v>109</v>
      </c>
      <c r="B123">
        <v>16750094</v>
      </c>
      <c r="C123">
        <v>16750086</v>
      </c>
      <c r="D123">
        <v>15430395</v>
      </c>
      <c r="E123">
        <v>1</v>
      </c>
      <c r="F123">
        <v>1</v>
      </c>
      <c r="G123">
        <v>1</v>
      </c>
      <c r="H123">
        <v>1</v>
      </c>
      <c r="I123" t="s">
        <v>1073</v>
      </c>
      <c r="J123" t="s">
        <v>6</v>
      </c>
      <c r="K123" t="s">
        <v>1074</v>
      </c>
      <c r="L123">
        <v>1191</v>
      </c>
      <c r="N123">
        <v>1013</v>
      </c>
      <c r="O123" t="s">
        <v>1072</v>
      </c>
      <c r="P123" t="s">
        <v>1072</v>
      </c>
      <c r="Q123">
        <v>1</v>
      </c>
      <c r="X123">
        <v>1.1599999999999999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1</v>
      </c>
      <c r="AE123">
        <v>2</v>
      </c>
      <c r="AF123" t="s">
        <v>6</v>
      </c>
      <c r="AG123">
        <v>1.1599999999999999</v>
      </c>
      <c r="AH123">
        <v>2</v>
      </c>
      <c r="AI123">
        <v>16750088</v>
      </c>
      <c r="AJ123">
        <v>122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</row>
    <row r="124" spans="1:44" x14ac:dyDescent="0.2">
      <c r="A124">
        <f>ROW(Source!A109)</f>
        <v>109</v>
      </c>
      <c r="B124">
        <v>16750095</v>
      </c>
      <c r="C124">
        <v>16750086</v>
      </c>
      <c r="D124">
        <v>15247974</v>
      </c>
      <c r="E124">
        <v>1</v>
      </c>
      <c r="F124">
        <v>1</v>
      </c>
      <c r="G124">
        <v>1</v>
      </c>
      <c r="H124">
        <v>2</v>
      </c>
      <c r="I124" t="s">
        <v>1075</v>
      </c>
      <c r="J124" t="s">
        <v>1076</v>
      </c>
      <c r="K124" t="s">
        <v>1077</v>
      </c>
      <c r="L124">
        <v>1368</v>
      </c>
      <c r="N124">
        <v>1011</v>
      </c>
      <c r="O124" t="s">
        <v>1078</v>
      </c>
      <c r="P124" t="s">
        <v>1078</v>
      </c>
      <c r="Q124">
        <v>1</v>
      </c>
      <c r="X124">
        <v>1.1599999999999999</v>
      </c>
      <c r="Y124">
        <v>0</v>
      </c>
      <c r="Z124">
        <v>31.26</v>
      </c>
      <c r="AA124">
        <v>13.5</v>
      </c>
      <c r="AB124">
        <v>0</v>
      </c>
      <c r="AC124">
        <v>0</v>
      </c>
      <c r="AD124">
        <v>1</v>
      </c>
      <c r="AE124">
        <v>0</v>
      </c>
      <c r="AF124" t="s">
        <v>6</v>
      </c>
      <c r="AG124">
        <v>1.1599999999999999</v>
      </c>
      <c r="AH124">
        <v>2</v>
      </c>
      <c r="AI124">
        <v>16750089</v>
      </c>
      <c r="AJ124">
        <v>123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</row>
    <row r="125" spans="1:44" x14ac:dyDescent="0.2">
      <c r="A125">
        <f>ROW(Source!A109)</f>
        <v>109</v>
      </c>
      <c r="B125">
        <v>16750096</v>
      </c>
      <c r="C125">
        <v>16750086</v>
      </c>
      <c r="D125">
        <v>15167286</v>
      </c>
      <c r="E125">
        <v>1</v>
      </c>
      <c r="F125">
        <v>1</v>
      </c>
      <c r="G125">
        <v>1</v>
      </c>
      <c r="H125">
        <v>3</v>
      </c>
      <c r="I125" t="s">
        <v>1079</v>
      </c>
      <c r="J125" t="s">
        <v>1080</v>
      </c>
      <c r="K125" t="s">
        <v>1081</v>
      </c>
      <c r="L125">
        <v>1339</v>
      </c>
      <c r="N125">
        <v>1007</v>
      </c>
      <c r="O125" t="s">
        <v>283</v>
      </c>
      <c r="P125" t="s">
        <v>283</v>
      </c>
      <c r="Q125">
        <v>1</v>
      </c>
      <c r="X125">
        <v>0.35</v>
      </c>
      <c r="Y125">
        <v>2.44</v>
      </c>
      <c r="Z125">
        <v>0</v>
      </c>
      <c r="AA125">
        <v>0</v>
      </c>
      <c r="AB125">
        <v>0</v>
      </c>
      <c r="AC125">
        <v>0</v>
      </c>
      <c r="AD125">
        <v>1</v>
      </c>
      <c r="AE125">
        <v>0</v>
      </c>
      <c r="AF125" t="s">
        <v>6</v>
      </c>
      <c r="AG125">
        <v>0.35</v>
      </c>
      <c r="AH125">
        <v>2</v>
      </c>
      <c r="AI125">
        <v>16750090</v>
      </c>
      <c r="AJ125">
        <v>124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</row>
    <row r="126" spans="1:44" x14ac:dyDescent="0.2">
      <c r="A126">
        <f>ROW(Source!A109)</f>
        <v>109</v>
      </c>
      <c r="B126">
        <v>16750097</v>
      </c>
      <c r="C126">
        <v>16750086</v>
      </c>
      <c r="D126">
        <v>15164566</v>
      </c>
      <c r="E126">
        <v>17</v>
      </c>
      <c r="F126">
        <v>1</v>
      </c>
      <c r="G126">
        <v>1</v>
      </c>
      <c r="H126">
        <v>3</v>
      </c>
      <c r="I126" t="s">
        <v>69</v>
      </c>
      <c r="J126" t="s">
        <v>6</v>
      </c>
      <c r="K126" t="s">
        <v>70</v>
      </c>
      <c r="L126">
        <v>1348</v>
      </c>
      <c r="N126">
        <v>1009</v>
      </c>
      <c r="O126" t="s">
        <v>71</v>
      </c>
      <c r="P126" t="s">
        <v>71</v>
      </c>
      <c r="Q126">
        <v>1000</v>
      </c>
      <c r="X126">
        <v>8.1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0</v>
      </c>
      <c r="AE126">
        <v>0</v>
      </c>
      <c r="AF126" t="s">
        <v>6</v>
      </c>
      <c r="AG126">
        <v>8.1</v>
      </c>
      <c r="AH126">
        <v>2</v>
      </c>
      <c r="AI126">
        <v>16750091</v>
      </c>
      <c r="AJ126">
        <v>125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</row>
    <row r="127" spans="1:44" x14ac:dyDescent="0.2">
      <c r="A127">
        <f>ROW(Source!A109)</f>
        <v>109</v>
      </c>
      <c r="B127">
        <v>16750098</v>
      </c>
      <c r="C127">
        <v>16750086</v>
      </c>
      <c r="D127">
        <v>15172875</v>
      </c>
      <c r="E127">
        <v>1</v>
      </c>
      <c r="F127">
        <v>1</v>
      </c>
      <c r="G127">
        <v>1</v>
      </c>
      <c r="H127">
        <v>3</v>
      </c>
      <c r="I127" t="s">
        <v>1160</v>
      </c>
      <c r="J127" t="s">
        <v>1161</v>
      </c>
      <c r="K127" t="s">
        <v>1162</v>
      </c>
      <c r="L127">
        <v>1339</v>
      </c>
      <c r="N127">
        <v>1007</v>
      </c>
      <c r="O127" t="s">
        <v>283</v>
      </c>
      <c r="P127" t="s">
        <v>283</v>
      </c>
      <c r="Q127">
        <v>1</v>
      </c>
      <c r="X127">
        <v>4.4000000000000004</v>
      </c>
      <c r="Y127">
        <v>517.91</v>
      </c>
      <c r="Z127">
        <v>0</v>
      </c>
      <c r="AA127">
        <v>0</v>
      </c>
      <c r="AB127">
        <v>0</v>
      </c>
      <c r="AC127">
        <v>0</v>
      </c>
      <c r="AD127">
        <v>1</v>
      </c>
      <c r="AE127">
        <v>0</v>
      </c>
      <c r="AF127" t="s">
        <v>6</v>
      </c>
      <c r="AG127">
        <v>4.4000000000000004</v>
      </c>
      <c r="AH127">
        <v>2</v>
      </c>
      <c r="AI127">
        <v>16750092</v>
      </c>
      <c r="AJ127">
        <v>126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</row>
    <row r="128" spans="1:44" x14ac:dyDescent="0.2">
      <c r="A128">
        <f>ROW(Source!A111)</f>
        <v>111</v>
      </c>
      <c r="B128">
        <v>16750115</v>
      </c>
      <c r="C128">
        <v>16750100</v>
      </c>
      <c r="D128">
        <v>15435099</v>
      </c>
      <c r="E128">
        <v>1</v>
      </c>
      <c r="F128">
        <v>1</v>
      </c>
      <c r="G128">
        <v>1</v>
      </c>
      <c r="H128">
        <v>1</v>
      </c>
      <c r="I128" t="s">
        <v>1195</v>
      </c>
      <c r="J128" t="s">
        <v>6</v>
      </c>
      <c r="K128" t="s">
        <v>1196</v>
      </c>
      <c r="L128">
        <v>1191</v>
      </c>
      <c r="N128">
        <v>1013</v>
      </c>
      <c r="O128" t="s">
        <v>1072</v>
      </c>
      <c r="P128" t="s">
        <v>1072</v>
      </c>
      <c r="Q128">
        <v>1</v>
      </c>
      <c r="X128">
        <v>165.88</v>
      </c>
      <c r="Y128">
        <v>0</v>
      </c>
      <c r="Z128">
        <v>0</v>
      </c>
      <c r="AA128">
        <v>0</v>
      </c>
      <c r="AB128">
        <v>8.64</v>
      </c>
      <c r="AC128">
        <v>0</v>
      </c>
      <c r="AD128">
        <v>1</v>
      </c>
      <c r="AE128">
        <v>1</v>
      </c>
      <c r="AF128" t="s">
        <v>6</v>
      </c>
      <c r="AG128">
        <v>165.88</v>
      </c>
      <c r="AH128">
        <v>2</v>
      </c>
      <c r="AI128">
        <v>16750101</v>
      </c>
      <c r="AJ128">
        <v>127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</row>
    <row r="129" spans="1:44" x14ac:dyDescent="0.2">
      <c r="A129">
        <f>ROW(Source!A111)</f>
        <v>111</v>
      </c>
      <c r="B129">
        <v>16750116</v>
      </c>
      <c r="C129">
        <v>16750100</v>
      </c>
      <c r="D129">
        <v>15430395</v>
      </c>
      <c r="E129">
        <v>1</v>
      </c>
      <c r="F129">
        <v>1</v>
      </c>
      <c r="G129">
        <v>1</v>
      </c>
      <c r="H129">
        <v>1</v>
      </c>
      <c r="I129" t="s">
        <v>1073</v>
      </c>
      <c r="J129" t="s">
        <v>6</v>
      </c>
      <c r="K129" t="s">
        <v>1074</v>
      </c>
      <c r="L129">
        <v>1191</v>
      </c>
      <c r="N129">
        <v>1013</v>
      </c>
      <c r="O129" t="s">
        <v>1072</v>
      </c>
      <c r="P129" t="s">
        <v>1072</v>
      </c>
      <c r="Q129">
        <v>1</v>
      </c>
      <c r="X129">
        <v>0.67</v>
      </c>
      <c r="Y129">
        <v>0</v>
      </c>
      <c r="Z129">
        <v>0</v>
      </c>
      <c r="AA129">
        <v>0</v>
      </c>
      <c r="AB129">
        <v>0</v>
      </c>
      <c r="AC129">
        <v>0</v>
      </c>
      <c r="AD129">
        <v>1</v>
      </c>
      <c r="AE129">
        <v>2</v>
      </c>
      <c r="AF129" t="s">
        <v>6</v>
      </c>
      <c r="AG129">
        <v>0.67</v>
      </c>
      <c r="AH129">
        <v>2</v>
      </c>
      <c r="AI129">
        <v>16750102</v>
      </c>
      <c r="AJ129">
        <v>128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</row>
    <row r="130" spans="1:44" x14ac:dyDescent="0.2">
      <c r="A130">
        <f>ROW(Source!A111)</f>
        <v>111</v>
      </c>
      <c r="B130">
        <v>16750117</v>
      </c>
      <c r="C130">
        <v>16750100</v>
      </c>
      <c r="D130">
        <v>15247878</v>
      </c>
      <c r="E130">
        <v>1</v>
      </c>
      <c r="F130">
        <v>1</v>
      </c>
      <c r="G130">
        <v>1</v>
      </c>
      <c r="H130">
        <v>2</v>
      </c>
      <c r="I130" t="s">
        <v>1197</v>
      </c>
      <c r="J130" t="s">
        <v>1198</v>
      </c>
      <c r="K130" t="s">
        <v>1199</v>
      </c>
      <c r="L130">
        <v>1368</v>
      </c>
      <c r="N130">
        <v>1011</v>
      </c>
      <c r="O130" t="s">
        <v>1078</v>
      </c>
      <c r="P130" t="s">
        <v>1078</v>
      </c>
      <c r="Q130">
        <v>1</v>
      </c>
      <c r="X130">
        <v>0.16</v>
      </c>
      <c r="Y130">
        <v>0</v>
      </c>
      <c r="Z130">
        <v>1.7</v>
      </c>
      <c r="AA130">
        <v>0</v>
      </c>
      <c r="AB130">
        <v>0</v>
      </c>
      <c r="AC130">
        <v>0</v>
      </c>
      <c r="AD130">
        <v>1</v>
      </c>
      <c r="AE130">
        <v>0</v>
      </c>
      <c r="AF130" t="s">
        <v>6</v>
      </c>
      <c r="AG130">
        <v>0.16</v>
      </c>
      <c r="AH130">
        <v>2</v>
      </c>
      <c r="AI130">
        <v>16750103</v>
      </c>
      <c r="AJ130">
        <v>129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</row>
    <row r="131" spans="1:44" x14ac:dyDescent="0.2">
      <c r="A131">
        <f>ROW(Source!A111)</f>
        <v>111</v>
      </c>
      <c r="B131">
        <v>16750118</v>
      </c>
      <c r="C131">
        <v>16750100</v>
      </c>
      <c r="D131">
        <v>15249073</v>
      </c>
      <c r="E131">
        <v>1</v>
      </c>
      <c r="F131">
        <v>1</v>
      </c>
      <c r="G131">
        <v>1</v>
      </c>
      <c r="H131">
        <v>2</v>
      </c>
      <c r="I131" t="s">
        <v>1097</v>
      </c>
      <c r="J131" t="s">
        <v>1098</v>
      </c>
      <c r="K131" t="s">
        <v>1099</v>
      </c>
      <c r="L131">
        <v>1368</v>
      </c>
      <c r="N131">
        <v>1011</v>
      </c>
      <c r="O131" t="s">
        <v>1078</v>
      </c>
      <c r="P131" t="s">
        <v>1078</v>
      </c>
      <c r="Q131">
        <v>1</v>
      </c>
      <c r="X131">
        <v>0.2</v>
      </c>
      <c r="Y131">
        <v>0</v>
      </c>
      <c r="Z131">
        <v>65.709999999999994</v>
      </c>
      <c r="AA131">
        <v>11.6</v>
      </c>
      <c r="AB131">
        <v>0</v>
      </c>
      <c r="AC131">
        <v>0</v>
      </c>
      <c r="AD131">
        <v>1</v>
      </c>
      <c r="AE131">
        <v>0</v>
      </c>
      <c r="AF131" t="s">
        <v>6</v>
      </c>
      <c r="AG131">
        <v>0.2</v>
      </c>
      <c r="AH131">
        <v>2</v>
      </c>
      <c r="AI131">
        <v>16750104</v>
      </c>
      <c r="AJ131">
        <v>130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</row>
    <row r="132" spans="1:44" x14ac:dyDescent="0.2">
      <c r="A132">
        <f>ROW(Source!A111)</f>
        <v>111</v>
      </c>
      <c r="B132">
        <v>16750119</v>
      </c>
      <c r="C132">
        <v>16750100</v>
      </c>
      <c r="D132">
        <v>15249377</v>
      </c>
      <c r="E132">
        <v>1</v>
      </c>
      <c r="F132">
        <v>1</v>
      </c>
      <c r="G132">
        <v>1</v>
      </c>
      <c r="H132">
        <v>2</v>
      </c>
      <c r="I132" t="s">
        <v>1100</v>
      </c>
      <c r="J132" t="s">
        <v>1101</v>
      </c>
      <c r="K132" t="s">
        <v>1102</v>
      </c>
      <c r="L132">
        <v>1368</v>
      </c>
      <c r="N132">
        <v>1011</v>
      </c>
      <c r="O132" t="s">
        <v>1078</v>
      </c>
      <c r="P132" t="s">
        <v>1078</v>
      </c>
      <c r="Q132">
        <v>1</v>
      </c>
      <c r="X132">
        <v>0.74</v>
      </c>
      <c r="Y132">
        <v>0</v>
      </c>
      <c r="Z132">
        <v>8.1</v>
      </c>
      <c r="AA132">
        <v>0</v>
      </c>
      <c r="AB132">
        <v>0</v>
      </c>
      <c r="AC132">
        <v>0</v>
      </c>
      <c r="AD132">
        <v>1</v>
      </c>
      <c r="AE132">
        <v>0</v>
      </c>
      <c r="AF132" t="s">
        <v>6</v>
      </c>
      <c r="AG132">
        <v>0.74</v>
      </c>
      <c r="AH132">
        <v>2</v>
      </c>
      <c r="AI132">
        <v>16750105</v>
      </c>
      <c r="AJ132">
        <v>131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</row>
    <row r="133" spans="1:44" x14ac:dyDescent="0.2">
      <c r="A133">
        <f>ROW(Source!A111)</f>
        <v>111</v>
      </c>
      <c r="B133">
        <v>16750120</v>
      </c>
      <c r="C133">
        <v>16750100</v>
      </c>
      <c r="D133">
        <v>15249397</v>
      </c>
      <c r="E133">
        <v>1</v>
      </c>
      <c r="F133">
        <v>1</v>
      </c>
      <c r="G133">
        <v>1</v>
      </c>
      <c r="H133">
        <v>2</v>
      </c>
      <c r="I133" t="s">
        <v>1200</v>
      </c>
      <c r="J133" t="s">
        <v>1201</v>
      </c>
      <c r="K133" t="s">
        <v>1202</v>
      </c>
      <c r="L133">
        <v>1368</v>
      </c>
      <c r="N133">
        <v>1011</v>
      </c>
      <c r="O133" t="s">
        <v>1078</v>
      </c>
      <c r="P133" t="s">
        <v>1078</v>
      </c>
      <c r="Q133">
        <v>1</v>
      </c>
      <c r="X133">
        <v>0.47</v>
      </c>
      <c r="Y133">
        <v>0</v>
      </c>
      <c r="Z133">
        <v>90</v>
      </c>
      <c r="AA133">
        <v>10.06</v>
      </c>
      <c r="AB133">
        <v>0</v>
      </c>
      <c r="AC133">
        <v>0</v>
      </c>
      <c r="AD133">
        <v>1</v>
      </c>
      <c r="AE133">
        <v>0</v>
      </c>
      <c r="AF133" t="s">
        <v>6</v>
      </c>
      <c r="AG133">
        <v>0.47</v>
      </c>
      <c r="AH133">
        <v>2</v>
      </c>
      <c r="AI133">
        <v>16750106</v>
      </c>
      <c r="AJ133">
        <v>132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</row>
    <row r="134" spans="1:44" x14ac:dyDescent="0.2">
      <c r="A134">
        <f>ROW(Source!A111)</f>
        <v>111</v>
      </c>
      <c r="B134">
        <v>16750121</v>
      </c>
      <c r="C134">
        <v>16750100</v>
      </c>
      <c r="D134">
        <v>15249998</v>
      </c>
      <c r="E134">
        <v>1</v>
      </c>
      <c r="F134">
        <v>1</v>
      </c>
      <c r="G134">
        <v>1</v>
      </c>
      <c r="H134">
        <v>2</v>
      </c>
      <c r="I134" t="s">
        <v>1092</v>
      </c>
      <c r="J134" t="s">
        <v>1093</v>
      </c>
      <c r="K134" t="s">
        <v>1094</v>
      </c>
      <c r="L134">
        <v>1368</v>
      </c>
      <c r="N134">
        <v>1011</v>
      </c>
      <c r="O134" t="s">
        <v>1078</v>
      </c>
      <c r="P134" t="s">
        <v>1078</v>
      </c>
      <c r="Q134">
        <v>1</v>
      </c>
      <c r="X134">
        <v>0.92</v>
      </c>
      <c r="Y134">
        <v>0</v>
      </c>
      <c r="Z134">
        <v>1.53</v>
      </c>
      <c r="AA134">
        <v>0</v>
      </c>
      <c r="AB134">
        <v>0</v>
      </c>
      <c r="AC134">
        <v>0</v>
      </c>
      <c r="AD134">
        <v>1</v>
      </c>
      <c r="AE134">
        <v>0</v>
      </c>
      <c r="AF134" t="s">
        <v>6</v>
      </c>
      <c r="AG134">
        <v>0.92</v>
      </c>
      <c r="AH134">
        <v>2</v>
      </c>
      <c r="AI134">
        <v>16750107</v>
      </c>
      <c r="AJ134">
        <v>133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</row>
    <row r="135" spans="1:44" x14ac:dyDescent="0.2">
      <c r="A135">
        <f>ROW(Source!A111)</f>
        <v>111</v>
      </c>
      <c r="B135">
        <v>16750122</v>
      </c>
      <c r="C135">
        <v>16750100</v>
      </c>
      <c r="D135">
        <v>15168772</v>
      </c>
      <c r="E135">
        <v>1</v>
      </c>
      <c r="F135">
        <v>1</v>
      </c>
      <c r="G135">
        <v>1</v>
      </c>
      <c r="H135">
        <v>3</v>
      </c>
      <c r="I135" t="s">
        <v>1203</v>
      </c>
      <c r="J135" t="s">
        <v>1204</v>
      </c>
      <c r="K135" t="s">
        <v>1205</v>
      </c>
      <c r="L135">
        <v>1348</v>
      </c>
      <c r="N135">
        <v>1009</v>
      </c>
      <c r="O135" t="s">
        <v>71</v>
      </c>
      <c r="P135" t="s">
        <v>71</v>
      </c>
      <c r="Q135">
        <v>1000</v>
      </c>
      <c r="X135">
        <v>8.9999999999999993E-3</v>
      </c>
      <c r="Y135">
        <v>9424</v>
      </c>
      <c r="Z135">
        <v>0</v>
      </c>
      <c r="AA135">
        <v>0</v>
      </c>
      <c r="AB135">
        <v>0</v>
      </c>
      <c r="AC135">
        <v>0</v>
      </c>
      <c r="AD135">
        <v>1</v>
      </c>
      <c r="AE135">
        <v>0</v>
      </c>
      <c r="AF135" t="s">
        <v>6</v>
      </c>
      <c r="AG135">
        <v>8.9999999999999993E-3</v>
      </c>
      <c r="AH135">
        <v>2</v>
      </c>
      <c r="AI135">
        <v>16750108</v>
      </c>
      <c r="AJ135">
        <v>134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</row>
    <row r="136" spans="1:44" x14ac:dyDescent="0.2">
      <c r="A136">
        <f>ROW(Source!A111)</f>
        <v>111</v>
      </c>
      <c r="B136">
        <v>16750123</v>
      </c>
      <c r="C136">
        <v>16750100</v>
      </c>
      <c r="D136">
        <v>15164565</v>
      </c>
      <c r="E136">
        <v>17</v>
      </c>
      <c r="F136">
        <v>1</v>
      </c>
      <c r="G136">
        <v>1</v>
      </c>
      <c r="H136">
        <v>3</v>
      </c>
      <c r="I136" t="s">
        <v>295</v>
      </c>
      <c r="J136" t="s">
        <v>6</v>
      </c>
      <c r="K136" t="s">
        <v>296</v>
      </c>
      <c r="L136">
        <v>1339</v>
      </c>
      <c r="N136">
        <v>1007</v>
      </c>
      <c r="O136" t="s">
        <v>283</v>
      </c>
      <c r="P136" t="s">
        <v>283</v>
      </c>
      <c r="Q136">
        <v>1</v>
      </c>
      <c r="X136">
        <v>0.54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0</v>
      </c>
      <c r="AE136">
        <v>0</v>
      </c>
      <c r="AF136" t="s">
        <v>6</v>
      </c>
      <c r="AG136">
        <v>0.54</v>
      </c>
      <c r="AH136">
        <v>2</v>
      </c>
      <c r="AI136">
        <v>16750109</v>
      </c>
      <c r="AJ136">
        <v>136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</row>
    <row r="137" spans="1:44" x14ac:dyDescent="0.2">
      <c r="A137">
        <f>ROW(Source!A111)</f>
        <v>111</v>
      </c>
      <c r="B137">
        <v>16750124</v>
      </c>
      <c r="C137">
        <v>16750100</v>
      </c>
      <c r="D137">
        <v>15162112</v>
      </c>
      <c r="E137">
        <v>17</v>
      </c>
      <c r="F137">
        <v>1</v>
      </c>
      <c r="G137">
        <v>1</v>
      </c>
      <c r="H137">
        <v>3</v>
      </c>
      <c r="I137" t="s">
        <v>298</v>
      </c>
      <c r="J137" t="s">
        <v>6</v>
      </c>
      <c r="K137" t="s">
        <v>299</v>
      </c>
      <c r="L137">
        <v>1356</v>
      </c>
      <c r="N137">
        <v>1010</v>
      </c>
      <c r="O137" t="s">
        <v>288</v>
      </c>
      <c r="P137" t="s">
        <v>288</v>
      </c>
      <c r="Q137">
        <v>1000</v>
      </c>
      <c r="X137">
        <v>0.56999999999999995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 t="s">
        <v>6</v>
      </c>
      <c r="AG137">
        <v>0.56999999999999995</v>
      </c>
      <c r="AH137">
        <v>2</v>
      </c>
      <c r="AI137">
        <v>16750110</v>
      </c>
      <c r="AJ137">
        <v>137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</row>
    <row r="138" spans="1:44" x14ac:dyDescent="0.2">
      <c r="A138">
        <f>ROW(Source!A111)</f>
        <v>111</v>
      </c>
      <c r="B138">
        <v>16750125</v>
      </c>
      <c r="C138">
        <v>16750100</v>
      </c>
      <c r="D138">
        <v>15161825</v>
      </c>
      <c r="E138">
        <v>17</v>
      </c>
      <c r="F138">
        <v>1</v>
      </c>
      <c r="G138">
        <v>1</v>
      </c>
      <c r="H138">
        <v>3</v>
      </c>
      <c r="I138" t="s">
        <v>301</v>
      </c>
      <c r="J138" t="s">
        <v>6</v>
      </c>
      <c r="K138" t="s">
        <v>302</v>
      </c>
      <c r="L138">
        <v>1348</v>
      </c>
      <c r="N138">
        <v>1009</v>
      </c>
      <c r="O138" t="s">
        <v>71</v>
      </c>
      <c r="P138" t="s">
        <v>71</v>
      </c>
      <c r="Q138">
        <v>1000</v>
      </c>
      <c r="X138">
        <v>1.04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0</v>
      </c>
      <c r="AE138">
        <v>0</v>
      </c>
      <c r="AF138" t="s">
        <v>6</v>
      </c>
      <c r="AG138">
        <v>1.04</v>
      </c>
      <c r="AH138">
        <v>2</v>
      </c>
      <c r="AI138">
        <v>16750111</v>
      </c>
      <c r="AJ138">
        <v>139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</row>
    <row r="139" spans="1:44" x14ac:dyDescent="0.2">
      <c r="A139">
        <f>ROW(Source!A118)</f>
        <v>118</v>
      </c>
      <c r="B139">
        <v>16750145</v>
      </c>
      <c r="C139">
        <v>16750132</v>
      </c>
      <c r="D139">
        <v>15432258</v>
      </c>
      <c r="E139">
        <v>1</v>
      </c>
      <c r="F139">
        <v>1</v>
      </c>
      <c r="G139">
        <v>1</v>
      </c>
      <c r="H139">
        <v>1</v>
      </c>
      <c r="I139" t="s">
        <v>1206</v>
      </c>
      <c r="J139" t="s">
        <v>6</v>
      </c>
      <c r="K139" t="s">
        <v>1207</v>
      </c>
      <c r="L139">
        <v>1191</v>
      </c>
      <c r="N139">
        <v>1013</v>
      </c>
      <c r="O139" t="s">
        <v>1072</v>
      </c>
      <c r="P139" t="s">
        <v>1072</v>
      </c>
      <c r="Q139">
        <v>1</v>
      </c>
      <c r="X139">
        <v>80.19</v>
      </c>
      <c r="Y139">
        <v>0</v>
      </c>
      <c r="Z139">
        <v>0</v>
      </c>
      <c r="AA139">
        <v>0</v>
      </c>
      <c r="AB139">
        <v>8.4600000000000009</v>
      </c>
      <c r="AC139">
        <v>0</v>
      </c>
      <c r="AD139">
        <v>1</v>
      </c>
      <c r="AE139">
        <v>1</v>
      </c>
      <c r="AF139" t="s">
        <v>6</v>
      </c>
      <c r="AG139">
        <v>80.19</v>
      </c>
      <c r="AH139">
        <v>2</v>
      </c>
      <c r="AI139">
        <v>16750133</v>
      </c>
      <c r="AJ139">
        <v>141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</row>
    <row r="140" spans="1:44" x14ac:dyDescent="0.2">
      <c r="A140">
        <f>ROW(Source!A118)</f>
        <v>118</v>
      </c>
      <c r="B140">
        <v>16750146</v>
      </c>
      <c r="C140">
        <v>16750132</v>
      </c>
      <c r="D140">
        <v>15430395</v>
      </c>
      <c r="E140">
        <v>1</v>
      </c>
      <c r="F140">
        <v>1</v>
      </c>
      <c r="G140">
        <v>1</v>
      </c>
      <c r="H140">
        <v>1</v>
      </c>
      <c r="I140" t="s">
        <v>1073</v>
      </c>
      <c r="J140" t="s">
        <v>6</v>
      </c>
      <c r="K140" t="s">
        <v>1074</v>
      </c>
      <c r="L140">
        <v>1191</v>
      </c>
      <c r="N140">
        <v>1013</v>
      </c>
      <c r="O140" t="s">
        <v>1072</v>
      </c>
      <c r="P140" t="s">
        <v>1072</v>
      </c>
      <c r="Q140">
        <v>1</v>
      </c>
      <c r="X140">
        <v>2.5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1</v>
      </c>
      <c r="AE140">
        <v>2</v>
      </c>
      <c r="AF140" t="s">
        <v>6</v>
      </c>
      <c r="AG140">
        <v>2.5</v>
      </c>
      <c r="AH140">
        <v>2</v>
      </c>
      <c r="AI140">
        <v>16750134</v>
      </c>
      <c r="AJ140">
        <v>142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</row>
    <row r="141" spans="1:44" x14ac:dyDescent="0.2">
      <c r="A141">
        <f>ROW(Source!A118)</f>
        <v>118</v>
      </c>
      <c r="B141">
        <v>16750147</v>
      </c>
      <c r="C141">
        <v>16750132</v>
      </c>
      <c r="D141">
        <v>15247576</v>
      </c>
      <c r="E141">
        <v>1</v>
      </c>
      <c r="F141">
        <v>1</v>
      </c>
      <c r="G141">
        <v>1</v>
      </c>
      <c r="H141">
        <v>2</v>
      </c>
      <c r="I141" t="s">
        <v>1208</v>
      </c>
      <c r="J141" t="s">
        <v>1209</v>
      </c>
      <c r="K141" t="s">
        <v>1210</v>
      </c>
      <c r="L141">
        <v>1368</v>
      </c>
      <c r="N141">
        <v>1011</v>
      </c>
      <c r="O141" t="s">
        <v>1078</v>
      </c>
      <c r="P141" t="s">
        <v>1078</v>
      </c>
      <c r="Q141">
        <v>1</v>
      </c>
      <c r="X141">
        <v>0.6</v>
      </c>
      <c r="Y141">
        <v>0</v>
      </c>
      <c r="Z141">
        <v>83.43</v>
      </c>
      <c r="AA141">
        <v>13.5</v>
      </c>
      <c r="AB141">
        <v>0</v>
      </c>
      <c r="AC141">
        <v>0</v>
      </c>
      <c r="AD141">
        <v>1</v>
      </c>
      <c r="AE141">
        <v>0</v>
      </c>
      <c r="AF141" t="s">
        <v>6</v>
      </c>
      <c r="AG141">
        <v>0.6</v>
      </c>
      <c r="AH141">
        <v>2</v>
      </c>
      <c r="AI141">
        <v>16750135</v>
      </c>
      <c r="AJ141">
        <v>143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</row>
    <row r="142" spans="1:44" x14ac:dyDescent="0.2">
      <c r="A142">
        <f>ROW(Source!A118)</f>
        <v>118</v>
      </c>
      <c r="B142">
        <v>16750148</v>
      </c>
      <c r="C142">
        <v>16750132</v>
      </c>
      <c r="D142">
        <v>15247680</v>
      </c>
      <c r="E142">
        <v>1</v>
      </c>
      <c r="F142">
        <v>1</v>
      </c>
      <c r="G142">
        <v>1</v>
      </c>
      <c r="H142">
        <v>2</v>
      </c>
      <c r="I142" t="s">
        <v>1211</v>
      </c>
      <c r="J142" t="s">
        <v>1212</v>
      </c>
      <c r="K142" t="s">
        <v>1213</v>
      </c>
      <c r="L142">
        <v>1368</v>
      </c>
      <c r="N142">
        <v>1011</v>
      </c>
      <c r="O142" t="s">
        <v>1078</v>
      </c>
      <c r="P142" t="s">
        <v>1078</v>
      </c>
      <c r="Q142">
        <v>1</v>
      </c>
      <c r="X142">
        <v>0.95</v>
      </c>
      <c r="Y142">
        <v>0</v>
      </c>
      <c r="Z142">
        <v>111.99</v>
      </c>
      <c r="AA142">
        <v>13.5</v>
      </c>
      <c r="AB142">
        <v>0</v>
      </c>
      <c r="AC142">
        <v>0</v>
      </c>
      <c r="AD142">
        <v>1</v>
      </c>
      <c r="AE142">
        <v>0</v>
      </c>
      <c r="AF142" t="s">
        <v>6</v>
      </c>
      <c r="AG142">
        <v>0.95</v>
      </c>
      <c r="AH142">
        <v>2</v>
      </c>
      <c r="AI142">
        <v>16750136</v>
      </c>
      <c r="AJ142">
        <v>144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</row>
    <row r="143" spans="1:44" x14ac:dyDescent="0.2">
      <c r="A143">
        <f>ROW(Source!A118)</f>
        <v>118</v>
      </c>
      <c r="B143">
        <v>16750149</v>
      </c>
      <c r="C143">
        <v>16750132</v>
      </c>
      <c r="D143">
        <v>15249073</v>
      </c>
      <c r="E143">
        <v>1</v>
      </c>
      <c r="F143">
        <v>1</v>
      </c>
      <c r="G143">
        <v>1</v>
      </c>
      <c r="H143">
        <v>2</v>
      </c>
      <c r="I143" t="s">
        <v>1097</v>
      </c>
      <c r="J143" t="s">
        <v>1098</v>
      </c>
      <c r="K143" t="s">
        <v>1099</v>
      </c>
      <c r="L143">
        <v>1368</v>
      </c>
      <c r="N143">
        <v>1011</v>
      </c>
      <c r="O143" t="s">
        <v>1078</v>
      </c>
      <c r="P143" t="s">
        <v>1078</v>
      </c>
      <c r="Q143">
        <v>1</v>
      </c>
      <c r="X143">
        <v>0.95</v>
      </c>
      <c r="Y143">
        <v>0</v>
      </c>
      <c r="Z143">
        <v>65.709999999999994</v>
      </c>
      <c r="AA143">
        <v>11.6</v>
      </c>
      <c r="AB143">
        <v>0</v>
      </c>
      <c r="AC143">
        <v>0</v>
      </c>
      <c r="AD143">
        <v>1</v>
      </c>
      <c r="AE143">
        <v>0</v>
      </c>
      <c r="AF143" t="s">
        <v>6</v>
      </c>
      <c r="AG143">
        <v>0.95</v>
      </c>
      <c r="AH143">
        <v>2</v>
      </c>
      <c r="AI143">
        <v>16750137</v>
      </c>
      <c r="AJ143">
        <v>145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</row>
    <row r="144" spans="1:44" x14ac:dyDescent="0.2">
      <c r="A144">
        <f>ROW(Source!A118)</f>
        <v>118</v>
      </c>
      <c r="B144">
        <v>16750150</v>
      </c>
      <c r="C144">
        <v>16750132</v>
      </c>
      <c r="D144">
        <v>15167286</v>
      </c>
      <c r="E144">
        <v>1</v>
      </c>
      <c r="F144">
        <v>1</v>
      </c>
      <c r="G144">
        <v>1</v>
      </c>
      <c r="H144">
        <v>3</v>
      </c>
      <c r="I144" t="s">
        <v>1079</v>
      </c>
      <c r="J144" t="s">
        <v>1080</v>
      </c>
      <c r="K144" t="s">
        <v>1081</v>
      </c>
      <c r="L144">
        <v>1339</v>
      </c>
      <c r="N144">
        <v>1007</v>
      </c>
      <c r="O144" t="s">
        <v>283</v>
      </c>
      <c r="P144" t="s">
        <v>283</v>
      </c>
      <c r="Q144">
        <v>1</v>
      </c>
      <c r="X144">
        <v>8.2799999999999999E-2</v>
      </c>
      <c r="Y144">
        <v>2.44</v>
      </c>
      <c r="Z144">
        <v>0</v>
      </c>
      <c r="AA144">
        <v>0</v>
      </c>
      <c r="AB144">
        <v>0</v>
      </c>
      <c r="AC144">
        <v>0</v>
      </c>
      <c r="AD144">
        <v>1</v>
      </c>
      <c r="AE144">
        <v>0</v>
      </c>
      <c r="AF144" t="s">
        <v>6</v>
      </c>
      <c r="AG144">
        <v>8.2799999999999999E-2</v>
      </c>
      <c r="AH144">
        <v>2</v>
      </c>
      <c r="AI144">
        <v>16750138</v>
      </c>
      <c r="AJ144">
        <v>146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</row>
    <row r="145" spans="1:44" x14ac:dyDescent="0.2">
      <c r="A145">
        <f>ROW(Source!A118)</f>
        <v>118</v>
      </c>
      <c r="B145">
        <v>16750151</v>
      </c>
      <c r="C145">
        <v>16750132</v>
      </c>
      <c r="D145">
        <v>15162250</v>
      </c>
      <c r="E145">
        <v>17</v>
      </c>
      <c r="F145">
        <v>1</v>
      </c>
      <c r="G145">
        <v>1</v>
      </c>
      <c r="H145">
        <v>3</v>
      </c>
      <c r="I145" t="s">
        <v>318</v>
      </c>
      <c r="J145" t="s">
        <v>6</v>
      </c>
      <c r="K145" t="s">
        <v>319</v>
      </c>
      <c r="L145">
        <v>1339</v>
      </c>
      <c r="N145">
        <v>1007</v>
      </c>
      <c r="O145" t="s">
        <v>283</v>
      </c>
      <c r="P145" t="s">
        <v>283</v>
      </c>
      <c r="Q145">
        <v>1</v>
      </c>
      <c r="X145">
        <v>20.2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0</v>
      </c>
      <c r="AF145" t="s">
        <v>6</v>
      </c>
      <c r="AG145">
        <v>20.2</v>
      </c>
      <c r="AH145">
        <v>2</v>
      </c>
      <c r="AI145">
        <v>16750139</v>
      </c>
      <c r="AJ145">
        <v>148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</row>
    <row r="146" spans="1:44" x14ac:dyDescent="0.2">
      <c r="A146">
        <f>ROW(Source!A118)</f>
        <v>118</v>
      </c>
      <c r="B146">
        <v>16750152</v>
      </c>
      <c r="C146">
        <v>16750132</v>
      </c>
      <c r="D146">
        <v>15192126</v>
      </c>
      <c r="E146">
        <v>1</v>
      </c>
      <c r="F146">
        <v>1</v>
      </c>
      <c r="G146">
        <v>1</v>
      </c>
      <c r="H146">
        <v>3</v>
      </c>
      <c r="I146" t="s">
        <v>1214</v>
      </c>
      <c r="J146" t="s">
        <v>1215</v>
      </c>
      <c r="K146" t="s">
        <v>1216</v>
      </c>
      <c r="L146">
        <v>1348</v>
      </c>
      <c r="N146">
        <v>1009</v>
      </c>
      <c r="O146" t="s">
        <v>71</v>
      </c>
      <c r="P146" t="s">
        <v>71</v>
      </c>
      <c r="Q146">
        <v>1000</v>
      </c>
      <c r="X146">
        <v>3.1E-2</v>
      </c>
      <c r="Y146">
        <v>8014.15</v>
      </c>
      <c r="Z146">
        <v>0</v>
      </c>
      <c r="AA146">
        <v>0</v>
      </c>
      <c r="AB146">
        <v>0</v>
      </c>
      <c r="AC146">
        <v>0</v>
      </c>
      <c r="AD146">
        <v>1</v>
      </c>
      <c r="AE146">
        <v>0</v>
      </c>
      <c r="AF146" t="s">
        <v>6</v>
      </c>
      <c r="AG146">
        <v>3.1E-2</v>
      </c>
      <c r="AH146">
        <v>2</v>
      </c>
      <c r="AI146">
        <v>16750140</v>
      </c>
      <c r="AJ146">
        <v>149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</row>
    <row r="147" spans="1:44" x14ac:dyDescent="0.2">
      <c r="A147">
        <f>ROW(Source!A118)</f>
        <v>118</v>
      </c>
      <c r="B147">
        <v>16750153</v>
      </c>
      <c r="C147">
        <v>16750132</v>
      </c>
      <c r="D147">
        <v>15162257</v>
      </c>
      <c r="E147">
        <v>17</v>
      </c>
      <c r="F147">
        <v>1</v>
      </c>
      <c r="G147">
        <v>1</v>
      </c>
      <c r="H147">
        <v>3</v>
      </c>
      <c r="I147" t="s">
        <v>321</v>
      </c>
      <c r="J147" t="s">
        <v>6</v>
      </c>
      <c r="K147" t="s">
        <v>322</v>
      </c>
      <c r="L147">
        <v>1346</v>
      </c>
      <c r="N147">
        <v>1009</v>
      </c>
      <c r="O147" t="s">
        <v>323</v>
      </c>
      <c r="P147" t="s">
        <v>323</v>
      </c>
      <c r="Q147">
        <v>1</v>
      </c>
      <c r="X147">
        <v>409.98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 t="s">
        <v>6</v>
      </c>
      <c r="AG147">
        <v>409.98</v>
      </c>
      <c r="AH147">
        <v>2</v>
      </c>
      <c r="AI147">
        <v>16750141</v>
      </c>
      <c r="AJ147">
        <v>151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</row>
    <row r="148" spans="1:44" x14ac:dyDescent="0.2">
      <c r="A148">
        <f>ROW(Source!A118)</f>
        <v>118</v>
      </c>
      <c r="B148">
        <v>16750154</v>
      </c>
      <c r="C148">
        <v>16750132</v>
      </c>
      <c r="D148">
        <v>15203461</v>
      </c>
      <c r="E148">
        <v>1</v>
      </c>
      <c r="F148">
        <v>1</v>
      </c>
      <c r="G148">
        <v>1</v>
      </c>
      <c r="H148">
        <v>3</v>
      </c>
      <c r="I148" t="s">
        <v>1217</v>
      </c>
      <c r="J148" t="s">
        <v>1218</v>
      </c>
      <c r="K148" t="s">
        <v>1219</v>
      </c>
      <c r="L148">
        <v>1348</v>
      </c>
      <c r="N148">
        <v>1009</v>
      </c>
      <c r="O148" t="s">
        <v>71</v>
      </c>
      <c r="P148" t="s">
        <v>71</v>
      </c>
      <c r="Q148">
        <v>1000</v>
      </c>
      <c r="X148">
        <v>1.5499999999999999E-3</v>
      </c>
      <c r="Y148">
        <v>15620</v>
      </c>
      <c r="Z148">
        <v>0</v>
      </c>
      <c r="AA148">
        <v>0</v>
      </c>
      <c r="AB148">
        <v>0</v>
      </c>
      <c r="AC148">
        <v>0</v>
      </c>
      <c r="AD148">
        <v>1</v>
      </c>
      <c r="AE148">
        <v>0</v>
      </c>
      <c r="AF148" t="s">
        <v>6</v>
      </c>
      <c r="AG148">
        <v>1.5499999999999999E-3</v>
      </c>
      <c r="AH148">
        <v>2</v>
      </c>
      <c r="AI148">
        <v>16750142</v>
      </c>
      <c r="AJ148">
        <v>152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</row>
    <row r="149" spans="1:44" x14ac:dyDescent="0.2">
      <c r="A149">
        <f>ROW(Source!A123)</f>
        <v>123</v>
      </c>
      <c r="B149">
        <v>16750165</v>
      </c>
      <c r="C149">
        <v>16750159</v>
      </c>
      <c r="D149">
        <v>15432236</v>
      </c>
      <c r="E149">
        <v>1</v>
      </c>
      <c r="F149">
        <v>1</v>
      </c>
      <c r="G149">
        <v>1</v>
      </c>
      <c r="H149">
        <v>1</v>
      </c>
      <c r="I149" t="s">
        <v>1220</v>
      </c>
      <c r="J149" t="s">
        <v>6</v>
      </c>
      <c r="K149" t="s">
        <v>1221</v>
      </c>
      <c r="L149">
        <v>1191</v>
      </c>
      <c r="N149">
        <v>1013</v>
      </c>
      <c r="O149" t="s">
        <v>1072</v>
      </c>
      <c r="P149" t="s">
        <v>1072</v>
      </c>
      <c r="Q149">
        <v>1</v>
      </c>
      <c r="X149">
        <v>14.63</v>
      </c>
      <c r="Y149">
        <v>0</v>
      </c>
      <c r="Z149">
        <v>0</v>
      </c>
      <c r="AA149">
        <v>0</v>
      </c>
      <c r="AB149">
        <v>8.17</v>
      </c>
      <c r="AC149">
        <v>0</v>
      </c>
      <c r="AD149">
        <v>1</v>
      </c>
      <c r="AE149">
        <v>1</v>
      </c>
      <c r="AF149" t="s">
        <v>6</v>
      </c>
      <c r="AG149">
        <v>14.63</v>
      </c>
      <c r="AH149">
        <v>2</v>
      </c>
      <c r="AI149">
        <v>16750160</v>
      </c>
      <c r="AJ149">
        <v>153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</row>
    <row r="150" spans="1:44" x14ac:dyDescent="0.2">
      <c r="A150">
        <f>ROW(Source!A123)</f>
        <v>123</v>
      </c>
      <c r="B150">
        <v>16750166</v>
      </c>
      <c r="C150">
        <v>16750159</v>
      </c>
      <c r="D150">
        <v>15247873</v>
      </c>
      <c r="E150">
        <v>1</v>
      </c>
      <c r="F150">
        <v>1</v>
      </c>
      <c r="G150">
        <v>1</v>
      </c>
      <c r="H150">
        <v>2</v>
      </c>
      <c r="I150" t="s">
        <v>1222</v>
      </c>
      <c r="J150" t="s">
        <v>1223</v>
      </c>
      <c r="K150" t="s">
        <v>1224</v>
      </c>
      <c r="L150">
        <v>1368</v>
      </c>
      <c r="N150">
        <v>1011</v>
      </c>
      <c r="O150" t="s">
        <v>1078</v>
      </c>
      <c r="P150" t="s">
        <v>1078</v>
      </c>
      <c r="Q150">
        <v>1</v>
      </c>
      <c r="X150">
        <v>0.32</v>
      </c>
      <c r="Y150">
        <v>0</v>
      </c>
      <c r="Z150">
        <v>6.66</v>
      </c>
      <c r="AA150">
        <v>0</v>
      </c>
      <c r="AB150">
        <v>0</v>
      </c>
      <c r="AC150">
        <v>0</v>
      </c>
      <c r="AD150">
        <v>1</v>
      </c>
      <c r="AE150">
        <v>0</v>
      </c>
      <c r="AF150" t="s">
        <v>6</v>
      </c>
      <c r="AG150">
        <v>0.32</v>
      </c>
      <c r="AH150">
        <v>2</v>
      </c>
      <c r="AI150">
        <v>16750161</v>
      </c>
      <c r="AJ150">
        <v>154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</row>
    <row r="151" spans="1:44" x14ac:dyDescent="0.2">
      <c r="A151">
        <f>ROW(Source!A123)</f>
        <v>123</v>
      </c>
      <c r="B151">
        <v>16750167</v>
      </c>
      <c r="C151">
        <v>16750159</v>
      </c>
      <c r="D151">
        <v>15172868</v>
      </c>
      <c r="E151">
        <v>1</v>
      </c>
      <c r="F151">
        <v>1</v>
      </c>
      <c r="G151">
        <v>1</v>
      </c>
      <c r="H151">
        <v>3</v>
      </c>
      <c r="I151" t="s">
        <v>1225</v>
      </c>
      <c r="J151" t="s">
        <v>1226</v>
      </c>
      <c r="K151" t="s">
        <v>1227</v>
      </c>
      <c r="L151">
        <v>1339</v>
      </c>
      <c r="N151">
        <v>1007</v>
      </c>
      <c r="O151" t="s">
        <v>283</v>
      </c>
      <c r="P151" t="s">
        <v>283</v>
      </c>
      <c r="Q151">
        <v>1</v>
      </c>
      <c r="X151">
        <v>0.24</v>
      </c>
      <c r="Y151">
        <v>519.79999999999995</v>
      </c>
      <c r="Z151">
        <v>0</v>
      </c>
      <c r="AA151">
        <v>0</v>
      </c>
      <c r="AB151">
        <v>0</v>
      </c>
      <c r="AC151">
        <v>0</v>
      </c>
      <c r="AD151">
        <v>1</v>
      </c>
      <c r="AE151">
        <v>0</v>
      </c>
      <c r="AF151" t="s">
        <v>6</v>
      </c>
      <c r="AG151">
        <v>0.24</v>
      </c>
      <c r="AH151">
        <v>2</v>
      </c>
      <c r="AI151">
        <v>16750162</v>
      </c>
      <c r="AJ151">
        <v>155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</row>
    <row r="152" spans="1:44" x14ac:dyDescent="0.2">
      <c r="A152">
        <f>ROW(Source!A123)</f>
        <v>123</v>
      </c>
      <c r="B152">
        <v>16750168</v>
      </c>
      <c r="C152">
        <v>16750159</v>
      </c>
      <c r="D152">
        <v>15162112</v>
      </c>
      <c r="E152">
        <v>17</v>
      </c>
      <c r="F152">
        <v>1</v>
      </c>
      <c r="G152">
        <v>1</v>
      </c>
      <c r="H152">
        <v>3</v>
      </c>
      <c r="I152" t="s">
        <v>298</v>
      </c>
      <c r="J152" t="s">
        <v>6</v>
      </c>
      <c r="K152" t="s">
        <v>333</v>
      </c>
      <c r="L152">
        <v>1356</v>
      </c>
      <c r="N152">
        <v>1010</v>
      </c>
      <c r="O152" t="s">
        <v>288</v>
      </c>
      <c r="P152" t="s">
        <v>288</v>
      </c>
      <c r="Q152">
        <v>1000</v>
      </c>
      <c r="X152">
        <v>0.4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 t="s">
        <v>6</v>
      </c>
      <c r="AG152">
        <v>0.4</v>
      </c>
      <c r="AH152">
        <v>2</v>
      </c>
      <c r="AI152">
        <v>16750163</v>
      </c>
      <c r="AJ152">
        <v>156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</row>
    <row r="153" spans="1:44" x14ac:dyDescent="0.2">
      <c r="A153">
        <f>ROW(Source!A126)</f>
        <v>126</v>
      </c>
      <c r="B153">
        <v>16750196</v>
      </c>
      <c r="C153">
        <v>16750187</v>
      </c>
      <c r="D153">
        <v>15432258</v>
      </c>
      <c r="E153">
        <v>1</v>
      </c>
      <c r="F153">
        <v>1</v>
      </c>
      <c r="G153">
        <v>1</v>
      </c>
      <c r="H153">
        <v>1</v>
      </c>
      <c r="I153" t="s">
        <v>1206</v>
      </c>
      <c r="J153" t="s">
        <v>6</v>
      </c>
      <c r="K153" t="s">
        <v>1207</v>
      </c>
      <c r="L153">
        <v>1191</v>
      </c>
      <c r="N153">
        <v>1013</v>
      </c>
      <c r="O153" t="s">
        <v>1072</v>
      </c>
      <c r="P153" t="s">
        <v>1072</v>
      </c>
      <c r="Q153">
        <v>1</v>
      </c>
      <c r="X153">
        <v>35.83</v>
      </c>
      <c r="Y153">
        <v>0</v>
      </c>
      <c r="Z153">
        <v>0</v>
      </c>
      <c r="AA153">
        <v>0</v>
      </c>
      <c r="AB153">
        <v>8.4600000000000009</v>
      </c>
      <c r="AC153">
        <v>0</v>
      </c>
      <c r="AD153">
        <v>1</v>
      </c>
      <c r="AE153">
        <v>1</v>
      </c>
      <c r="AF153" t="s">
        <v>6</v>
      </c>
      <c r="AG153">
        <v>35.83</v>
      </c>
      <c r="AH153">
        <v>2</v>
      </c>
      <c r="AI153">
        <v>16750188</v>
      </c>
      <c r="AJ153">
        <v>158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</row>
    <row r="154" spans="1:44" x14ac:dyDescent="0.2">
      <c r="A154">
        <f>ROW(Source!A126)</f>
        <v>126</v>
      </c>
      <c r="B154">
        <v>16750197</v>
      </c>
      <c r="C154">
        <v>16750187</v>
      </c>
      <c r="D154">
        <v>15430395</v>
      </c>
      <c r="E154">
        <v>1</v>
      </c>
      <c r="F154">
        <v>1</v>
      </c>
      <c r="G154">
        <v>1</v>
      </c>
      <c r="H154">
        <v>1</v>
      </c>
      <c r="I154" t="s">
        <v>1073</v>
      </c>
      <c r="J154" t="s">
        <v>6</v>
      </c>
      <c r="K154" t="s">
        <v>1074</v>
      </c>
      <c r="L154">
        <v>1191</v>
      </c>
      <c r="N154">
        <v>1013</v>
      </c>
      <c r="O154" t="s">
        <v>1072</v>
      </c>
      <c r="P154" t="s">
        <v>1072</v>
      </c>
      <c r="Q154">
        <v>1</v>
      </c>
      <c r="X154">
        <v>0.94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1</v>
      </c>
      <c r="AE154">
        <v>2</v>
      </c>
      <c r="AF154" t="s">
        <v>6</v>
      </c>
      <c r="AG154">
        <v>0.94</v>
      </c>
      <c r="AH154">
        <v>2</v>
      </c>
      <c r="AI154">
        <v>16750189</v>
      </c>
      <c r="AJ154">
        <v>159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</row>
    <row r="155" spans="1:44" x14ac:dyDescent="0.2">
      <c r="A155">
        <f>ROW(Source!A126)</f>
        <v>126</v>
      </c>
      <c r="B155">
        <v>16750198</v>
      </c>
      <c r="C155">
        <v>16750187</v>
      </c>
      <c r="D155">
        <v>15247905</v>
      </c>
      <c r="E155">
        <v>1</v>
      </c>
      <c r="F155">
        <v>1</v>
      </c>
      <c r="G155">
        <v>1</v>
      </c>
      <c r="H155">
        <v>2</v>
      </c>
      <c r="I155" t="s">
        <v>1228</v>
      </c>
      <c r="J155" t="s">
        <v>1229</v>
      </c>
      <c r="K155" t="s">
        <v>1230</v>
      </c>
      <c r="L155">
        <v>1368</v>
      </c>
      <c r="N155">
        <v>1011</v>
      </c>
      <c r="O155" t="s">
        <v>1078</v>
      </c>
      <c r="P155" t="s">
        <v>1078</v>
      </c>
      <c r="Q155">
        <v>1</v>
      </c>
      <c r="X155">
        <v>0.02</v>
      </c>
      <c r="Y155">
        <v>0</v>
      </c>
      <c r="Z155">
        <v>89.99</v>
      </c>
      <c r="AA155">
        <v>10.06</v>
      </c>
      <c r="AB155">
        <v>0</v>
      </c>
      <c r="AC155">
        <v>0</v>
      </c>
      <c r="AD155">
        <v>1</v>
      </c>
      <c r="AE155">
        <v>0</v>
      </c>
      <c r="AF155" t="s">
        <v>6</v>
      </c>
      <c r="AG155">
        <v>0.02</v>
      </c>
      <c r="AH155">
        <v>2</v>
      </c>
      <c r="AI155">
        <v>16750190</v>
      </c>
      <c r="AJ155">
        <v>160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</row>
    <row r="156" spans="1:44" x14ac:dyDescent="0.2">
      <c r="A156">
        <f>ROW(Source!A126)</f>
        <v>126</v>
      </c>
      <c r="B156">
        <v>16750199</v>
      </c>
      <c r="C156">
        <v>16750187</v>
      </c>
      <c r="D156">
        <v>15247974</v>
      </c>
      <c r="E156">
        <v>1</v>
      </c>
      <c r="F156">
        <v>1</v>
      </c>
      <c r="G156">
        <v>1</v>
      </c>
      <c r="H156">
        <v>2</v>
      </c>
      <c r="I156" t="s">
        <v>1075</v>
      </c>
      <c r="J156" t="s">
        <v>1076</v>
      </c>
      <c r="K156" t="s">
        <v>1077</v>
      </c>
      <c r="L156">
        <v>1368</v>
      </c>
      <c r="N156">
        <v>1011</v>
      </c>
      <c r="O156" t="s">
        <v>1078</v>
      </c>
      <c r="P156" t="s">
        <v>1078</v>
      </c>
      <c r="Q156">
        <v>1</v>
      </c>
      <c r="X156">
        <v>0.21</v>
      </c>
      <c r="Y156">
        <v>0</v>
      </c>
      <c r="Z156">
        <v>31.26</v>
      </c>
      <c r="AA156">
        <v>13.5</v>
      </c>
      <c r="AB156">
        <v>0</v>
      </c>
      <c r="AC156">
        <v>0</v>
      </c>
      <c r="AD156">
        <v>1</v>
      </c>
      <c r="AE156">
        <v>0</v>
      </c>
      <c r="AF156" t="s">
        <v>6</v>
      </c>
      <c r="AG156">
        <v>0.21</v>
      </c>
      <c r="AH156">
        <v>2</v>
      </c>
      <c r="AI156">
        <v>16750191</v>
      </c>
      <c r="AJ156">
        <v>161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</row>
    <row r="157" spans="1:44" x14ac:dyDescent="0.2">
      <c r="A157">
        <f>ROW(Source!A126)</f>
        <v>126</v>
      </c>
      <c r="B157">
        <v>16750200</v>
      </c>
      <c r="C157">
        <v>16750187</v>
      </c>
      <c r="D157">
        <v>15248143</v>
      </c>
      <c r="E157">
        <v>1</v>
      </c>
      <c r="F157">
        <v>1</v>
      </c>
      <c r="G157">
        <v>1</v>
      </c>
      <c r="H157">
        <v>2</v>
      </c>
      <c r="I157" t="s">
        <v>1231</v>
      </c>
      <c r="J157" t="s">
        <v>1232</v>
      </c>
      <c r="K157" t="s">
        <v>1233</v>
      </c>
      <c r="L157">
        <v>1368</v>
      </c>
      <c r="N157">
        <v>1011</v>
      </c>
      <c r="O157" t="s">
        <v>1078</v>
      </c>
      <c r="P157" t="s">
        <v>1078</v>
      </c>
      <c r="Q157">
        <v>1</v>
      </c>
      <c r="X157">
        <v>0.71</v>
      </c>
      <c r="Y157">
        <v>0</v>
      </c>
      <c r="Z157">
        <v>12.39</v>
      </c>
      <c r="AA157">
        <v>10.06</v>
      </c>
      <c r="AB157">
        <v>0</v>
      </c>
      <c r="AC157">
        <v>0</v>
      </c>
      <c r="AD157">
        <v>1</v>
      </c>
      <c r="AE157">
        <v>0</v>
      </c>
      <c r="AF157" t="s">
        <v>6</v>
      </c>
      <c r="AG157">
        <v>0.71</v>
      </c>
      <c r="AH157">
        <v>2</v>
      </c>
      <c r="AI157">
        <v>16750192</v>
      </c>
      <c r="AJ157">
        <v>162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</row>
    <row r="158" spans="1:44" x14ac:dyDescent="0.2">
      <c r="A158">
        <f>ROW(Source!A126)</f>
        <v>126</v>
      </c>
      <c r="B158">
        <v>16750201</v>
      </c>
      <c r="C158">
        <v>16750187</v>
      </c>
      <c r="D158">
        <v>15167286</v>
      </c>
      <c r="E158">
        <v>1</v>
      </c>
      <c r="F158">
        <v>1</v>
      </c>
      <c r="G158">
        <v>1</v>
      </c>
      <c r="H158">
        <v>3</v>
      </c>
      <c r="I158" t="s">
        <v>1079</v>
      </c>
      <c r="J158" t="s">
        <v>1080</v>
      </c>
      <c r="K158" t="s">
        <v>1081</v>
      </c>
      <c r="L158">
        <v>1339</v>
      </c>
      <c r="N158">
        <v>1007</v>
      </c>
      <c r="O158" t="s">
        <v>283</v>
      </c>
      <c r="P158" t="s">
        <v>283</v>
      </c>
      <c r="Q158">
        <v>1</v>
      </c>
      <c r="X158">
        <v>0.51300000000000001</v>
      </c>
      <c r="Y158">
        <v>2.44</v>
      </c>
      <c r="Z158">
        <v>0</v>
      </c>
      <c r="AA158">
        <v>0</v>
      </c>
      <c r="AB158">
        <v>0</v>
      </c>
      <c r="AC158">
        <v>0</v>
      </c>
      <c r="AD158">
        <v>1</v>
      </c>
      <c r="AE158">
        <v>0</v>
      </c>
      <c r="AF158" t="s">
        <v>6</v>
      </c>
      <c r="AG158">
        <v>0.51300000000000001</v>
      </c>
      <c r="AH158">
        <v>2</v>
      </c>
      <c r="AI158">
        <v>16750193</v>
      </c>
      <c r="AJ158">
        <v>163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</row>
    <row r="159" spans="1:44" x14ac:dyDescent="0.2">
      <c r="A159">
        <f>ROW(Source!A126)</f>
        <v>126</v>
      </c>
      <c r="B159">
        <v>16750202</v>
      </c>
      <c r="C159">
        <v>16750187</v>
      </c>
      <c r="D159">
        <v>15162949</v>
      </c>
      <c r="E159">
        <v>17</v>
      </c>
      <c r="F159">
        <v>1</v>
      </c>
      <c r="G159">
        <v>1</v>
      </c>
      <c r="H159">
        <v>3</v>
      </c>
      <c r="I159" t="s">
        <v>343</v>
      </c>
      <c r="J159" t="s">
        <v>6</v>
      </c>
      <c r="K159" t="s">
        <v>344</v>
      </c>
      <c r="L159">
        <v>1348</v>
      </c>
      <c r="N159">
        <v>1009</v>
      </c>
      <c r="O159" t="s">
        <v>71</v>
      </c>
      <c r="P159" t="s">
        <v>71</v>
      </c>
      <c r="Q159">
        <v>1000</v>
      </c>
      <c r="X159">
        <v>0.85499999999999998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0</v>
      </c>
      <c r="AF159" t="s">
        <v>6</v>
      </c>
      <c r="AG159">
        <v>0.85499999999999998</v>
      </c>
      <c r="AH159">
        <v>2</v>
      </c>
      <c r="AI159">
        <v>16750194</v>
      </c>
      <c r="AJ159">
        <v>165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</row>
    <row r="160" spans="1:44" x14ac:dyDescent="0.2">
      <c r="A160">
        <f>ROW(Source!A126)</f>
        <v>126</v>
      </c>
      <c r="B160">
        <v>16750203</v>
      </c>
      <c r="C160">
        <v>16750187</v>
      </c>
      <c r="D160">
        <v>15162572</v>
      </c>
      <c r="E160">
        <v>17</v>
      </c>
      <c r="F160">
        <v>1</v>
      </c>
      <c r="G160">
        <v>1</v>
      </c>
      <c r="H160">
        <v>3</v>
      </c>
      <c r="I160" t="s">
        <v>1582</v>
      </c>
      <c r="J160" t="s">
        <v>6</v>
      </c>
      <c r="K160" t="s">
        <v>1583</v>
      </c>
      <c r="L160">
        <v>1348</v>
      </c>
      <c r="N160">
        <v>1009</v>
      </c>
      <c r="O160" t="s">
        <v>71</v>
      </c>
      <c r="P160" t="s">
        <v>71</v>
      </c>
      <c r="Q160">
        <v>1000</v>
      </c>
      <c r="X160">
        <v>0</v>
      </c>
      <c r="Y160">
        <v>0</v>
      </c>
      <c r="Z160">
        <v>0</v>
      </c>
      <c r="AA160">
        <v>0</v>
      </c>
      <c r="AB160">
        <v>0</v>
      </c>
      <c r="AC160">
        <v>1</v>
      </c>
      <c r="AD160">
        <v>0</v>
      </c>
      <c r="AE160">
        <v>0</v>
      </c>
      <c r="AF160" t="s">
        <v>6</v>
      </c>
      <c r="AG160">
        <v>0</v>
      </c>
      <c r="AH160">
        <v>3</v>
      </c>
      <c r="AI160">
        <v>-1</v>
      </c>
      <c r="AJ160" t="s">
        <v>6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</row>
    <row r="161" spans="1:44" x14ac:dyDescent="0.2">
      <c r="A161">
        <f>ROW(Source!A129)</f>
        <v>129</v>
      </c>
      <c r="B161">
        <v>16750215</v>
      </c>
      <c r="C161">
        <v>16750206</v>
      </c>
      <c r="D161">
        <v>15430397</v>
      </c>
      <c r="E161">
        <v>1</v>
      </c>
      <c r="F161">
        <v>1</v>
      </c>
      <c r="G161">
        <v>1</v>
      </c>
      <c r="H161">
        <v>1</v>
      </c>
      <c r="I161" t="s">
        <v>1234</v>
      </c>
      <c r="J161" t="s">
        <v>6</v>
      </c>
      <c r="K161" t="s">
        <v>1235</v>
      </c>
      <c r="L161">
        <v>1191</v>
      </c>
      <c r="N161">
        <v>1013</v>
      </c>
      <c r="O161" t="s">
        <v>1072</v>
      </c>
      <c r="P161" t="s">
        <v>1072</v>
      </c>
      <c r="Q161">
        <v>1</v>
      </c>
      <c r="X161">
        <v>85.84</v>
      </c>
      <c r="Y161">
        <v>0</v>
      </c>
      <c r="Z161">
        <v>0</v>
      </c>
      <c r="AA161">
        <v>0</v>
      </c>
      <c r="AB161">
        <v>9.4</v>
      </c>
      <c r="AC161">
        <v>0</v>
      </c>
      <c r="AD161">
        <v>1</v>
      </c>
      <c r="AE161">
        <v>1</v>
      </c>
      <c r="AF161" t="s">
        <v>6</v>
      </c>
      <c r="AG161">
        <v>85.84</v>
      </c>
      <c r="AH161">
        <v>2</v>
      </c>
      <c r="AI161">
        <v>16750207</v>
      </c>
      <c r="AJ161">
        <v>166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</row>
    <row r="162" spans="1:44" x14ac:dyDescent="0.2">
      <c r="A162">
        <f>ROW(Source!A129)</f>
        <v>129</v>
      </c>
      <c r="B162">
        <v>16750216</v>
      </c>
      <c r="C162">
        <v>16750206</v>
      </c>
      <c r="D162">
        <v>15430395</v>
      </c>
      <c r="E162">
        <v>1</v>
      </c>
      <c r="F162">
        <v>1</v>
      </c>
      <c r="G162">
        <v>1</v>
      </c>
      <c r="H162">
        <v>1</v>
      </c>
      <c r="I162" t="s">
        <v>1073</v>
      </c>
      <c r="J162" t="s">
        <v>6</v>
      </c>
      <c r="K162" t="s">
        <v>1074</v>
      </c>
      <c r="L162">
        <v>1191</v>
      </c>
      <c r="N162">
        <v>1013</v>
      </c>
      <c r="O162" t="s">
        <v>1072</v>
      </c>
      <c r="P162" t="s">
        <v>1072</v>
      </c>
      <c r="Q162">
        <v>1</v>
      </c>
      <c r="X162">
        <v>6.29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1</v>
      </c>
      <c r="AE162">
        <v>2</v>
      </c>
      <c r="AF162" t="s">
        <v>6</v>
      </c>
      <c r="AG162">
        <v>6.29</v>
      </c>
      <c r="AH162">
        <v>2</v>
      </c>
      <c r="AI162">
        <v>16750208</v>
      </c>
      <c r="AJ162">
        <v>167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</row>
    <row r="163" spans="1:44" x14ac:dyDescent="0.2">
      <c r="A163">
        <f>ROW(Source!A129)</f>
        <v>129</v>
      </c>
      <c r="B163">
        <v>16750217</v>
      </c>
      <c r="C163">
        <v>16750206</v>
      </c>
      <c r="D163">
        <v>15247974</v>
      </c>
      <c r="E163">
        <v>1</v>
      </c>
      <c r="F163">
        <v>1</v>
      </c>
      <c r="G163">
        <v>1</v>
      </c>
      <c r="H163">
        <v>2</v>
      </c>
      <c r="I163" t="s">
        <v>1075</v>
      </c>
      <c r="J163" t="s">
        <v>1076</v>
      </c>
      <c r="K163" t="s">
        <v>1077</v>
      </c>
      <c r="L163">
        <v>1368</v>
      </c>
      <c r="N163">
        <v>1011</v>
      </c>
      <c r="O163" t="s">
        <v>1078</v>
      </c>
      <c r="P163" t="s">
        <v>1078</v>
      </c>
      <c r="Q163">
        <v>1</v>
      </c>
      <c r="X163">
        <v>0.84</v>
      </c>
      <c r="Y163">
        <v>0</v>
      </c>
      <c r="Z163">
        <v>31.26</v>
      </c>
      <c r="AA163">
        <v>13.5</v>
      </c>
      <c r="AB163">
        <v>0</v>
      </c>
      <c r="AC163">
        <v>0</v>
      </c>
      <c r="AD163">
        <v>1</v>
      </c>
      <c r="AE163">
        <v>0</v>
      </c>
      <c r="AF163" t="s">
        <v>6</v>
      </c>
      <c r="AG163">
        <v>0.84</v>
      </c>
      <c r="AH163">
        <v>2</v>
      </c>
      <c r="AI163">
        <v>16750209</v>
      </c>
      <c r="AJ163">
        <v>168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</row>
    <row r="164" spans="1:44" x14ac:dyDescent="0.2">
      <c r="A164">
        <f>ROW(Source!A129)</f>
        <v>129</v>
      </c>
      <c r="B164">
        <v>16750218</v>
      </c>
      <c r="C164">
        <v>16750206</v>
      </c>
      <c r="D164">
        <v>15248130</v>
      </c>
      <c r="E164">
        <v>1</v>
      </c>
      <c r="F164">
        <v>1</v>
      </c>
      <c r="G164">
        <v>1</v>
      </c>
      <c r="H164">
        <v>2</v>
      </c>
      <c r="I164" t="s">
        <v>1236</v>
      </c>
      <c r="J164" t="s">
        <v>1237</v>
      </c>
      <c r="K164" t="s">
        <v>1238</v>
      </c>
      <c r="L164">
        <v>1368</v>
      </c>
      <c r="N164">
        <v>1011</v>
      </c>
      <c r="O164" t="s">
        <v>1078</v>
      </c>
      <c r="P164" t="s">
        <v>1078</v>
      </c>
      <c r="Q164">
        <v>1</v>
      </c>
      <c r="X164">
        <v>5.45</v>
      </c>
      <c r="Y164">
        <v>0</v>
      </c>
      <c r="Z164">
        <v>14.15</v>
      </c>
      <c r="AA164">
        <v>8.91</v>
      </c>
      <c r="AB164">
        <v>0</v>
      </c>
      <c r="AC164">
        <v>0</v>
      </c>
      <c r="AD164">
        <v>1</v>
      </c>
      <c r="AE164">
        <v>0</v>
      </c>
      <c r="AF164" t="s">
        <v>6</v>
      </c>
      <c r="AG164">
        <v>5.45</v>
      </c>
      <c r="AH164">
        <v>2</v>
      </c>
      <c r="AI164">
        <v>16750210</v>
      </c>
      <c r="AJ164">
        <v>169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</row>
    <row r="165" spans="1:44" x14ac:dyDescent="0.2">
      <c r="A165">
        <f>ROW(Source!A129)</f>
        <v>129</v>
      </c>
      <c r="B165">
        <v>16750219</v>
      </c>
      <c r="C165">
        <v>16750206</v>
      </c>
      <c r="D165">
        <v>15170041</v>
      </c>
      <c r="E165">
        <v>1</v>
      </c>
      <c r="F165">
        <v>1</v>
      </c>
      <c r="G165">
        <v>1</v>
      </c>
      <c r="H165">
        <v>3</v>
      </c>
      <c r="I165" t="s">
        <v>1239</v>
      </c>
      <c r="J165" t="s">
        <v>1240</v>
      </c>
      <c r="K165" t="s">
        <v>1241</v>
      </c>
      <c r="L165">
        <v>1348</v>
      </c>
      <c r="N165">
        <v>1009</v>
      </c>
      <c r="O165" t="s">
        <v>71</v>
      </c>
      <c r="P165" t="s">
        <v>71</v>
      </c>
      <c r="Q165">
        <v>1000</v>
      </c>
      <c r="X165">
        <v>1.2E-4</v>
      </c>
      <c r="Y165">
        <v>8475</v>
      </c>
      <c r="Z165">
        <v>0</v>
      </c>
      <c r="AA165">
        <v>0</v>
      </c>
      <c r="AB165">
        <v>0</v>
      </c>
      <c r="AC165">
        <v>0</v>
      </c>
      <c r="AD165">
        <v>1</v>
      </c>
      <c r="AE165">
        <v>0</v>
      </c>
      <c r="AF165" t="s">
        <v>6</v>
      </c>
      <c r="AG165">
        <v>1.2E-4</v>
      </c>
      <c r="AH165">
        <v>2</v>
      </c>
      <c r="AI165">
        <v>16750211</v>
      </c>
      <c r="AJ165">
        <v>170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</row>
    <row r="166" spans="1:44" x14ac:dyDescent="0.2">
      <c r="A166">
        <f>ROW(Source!A129)</f>
        <v>129</v>
      </c>
      <c r="B166">
        <v>16750220</v>
      </c>
      <c r="C166">
        <v>16750206</v>
      </c>
      <c r="D166">
        <v>15171982</v>
      </c>
      <c r="E166">
        <v>1</v>
      </c>
      <c r="F166">
        <v>1</v>
      </c>
      <c r="G166">
        <v>1</v>
      </c>
      <c r="H166">
        <v>3</v>
      </c>
      <c r="I166" t="s">
        <v>1082</v>
      </c>
      <c r="J166" t="s">
        <v>1083</v>
      </c>
      <c r="K166" t="s">
        <v>1084</v>
      </c>
      <c r="L166">
        <v>1348</v>
      </c>
      <c r="N166">
        <v>1009</v>
      </c>
      <c r="O166" t="s">
        <v>71</v>
      </c>
      <c r="P166" t="s">
        <v>71</v>
      </c>
      <c r="Q166">
        <v>1000</v>
      </c>
      <c r="X166">
        <v>6.0000000000000001E-3</v>
      </c>
      <c r="Y166">
        <v>729.98</v>
      </c>
      <c r="Z166">
        <v>0</v>
      </c>
      <c r="AA166">
        <v>0</v>
      </c>
      <c r="AB166">
        <v>0</v>
      </c>
      <c r="AC166">
        <v>0</v>
      </c>
      <c r="AD166">
        <v>1</v>
      </c>
      <c r="AE166">
        <v>0</v>
      </c>
      <c r="AF166" t="s">
        <v>6</v>
      </c>
      <c r="AG166">
        <v>6.0000000000000001E-3</v>
      </c>
      <c r="AH166">
        <v>2</v>
      </c>
      <c r="AI166">
        <v>16750212</v>
      </c>
      <c r="AJ166">
        <v>171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</row>
    <row r="167" spans="1:44" x14ac:dyDescent="0.2">
      <c r="A167">
        <f>ROW(Source!A129)</f>
        <v>129</v>
      </c>
      <c r="B167">
        <v>16750221</v>
      </c>
      <c r="C167">
        <v>16750206</v>
      </c>
      <c r="D167">
        <v>15172875</v>
      </c>
      <c r="E167">
        <v>1</v>
      </c>
      <c r="F167">
        <v>1</v>
      </c>
      <c r="G167">
        <v>1</v>
      </c>
      <c r="H167">
        <v>3</v>
      </c>
      <c r="I167" t="s">
        <v>1160</v>
      </c>
      <c r="J167" t="s">
        <v>1161</v>
      </c>
      <c r="K167" t="s">
        <v>1162</v>
      </c>
      <c r="L167">
        <v>1339</v>
      </c>
      <c r="N167">
        <v>1007</v>
      </c>
      <c r="O167" t="s">
        <v>283</v>
      </c>
      <c r="P167" t="s">
        <v>283</v>
      </c>
      <c r="Q167">
        <v>1</v>
      </c>
      <c r="X167">
        <v>1.87</v>
      </c>
      <c r="Y167">
        <v>517.91</v>
      </c>
      <c r="Z167">
        <v>0</v>
      </c>
      <c r="AA167">
        <v>0</v>
      </c>
      <c r="AB167">
        <v>0</v>
      </c>
      <c r="AC167">
        <v>0</v>
      </c>
      <c r="AD167">
        <v>1</v>
      </c>
      <c r="AE167">
        <v>0</v>
      </c>
      <c r="AF167" t="s">
        <v>6</v>
      </c>
      <c r="AG167">
        <v>1.87</v>
      </c>
      <c r="AH167">
        <v>2</v>
      </c>
      <c r="AI167">
        <v>16750213</v>
      </c>
      <c r="AJ167">
        <v>172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</row>
    <row r="168" spans="1:44" x14ac:dyDescent="0.2">
      <c r="A168">
        <f>ROW(Source!A129)</f>
        <v>129</v>
      </c>
      <c r="B168">
        <v>16750222</v>
      </c>
      <c r="C168">
        <v>16750206</v>
      </c>
      <c r="D168">
        <v>15189930</v>
      </c>
      <c r="E168">
        <v>1</v>
      </c>
      <c r="F168">
        <v>1</v>
      </c>
      <c r="G168">
        <v>1</v>
      </c>
      <c r="H168">
        <v>3</v>
      </c>
      <c r="I168" t="s">
        <v>1242</v>
      </c>
      <c r="J168" t="s">
        <v>1243</v>
      </c>
      <c r="K168" t="s">
        <v>1244</v>
      </c>
      <c r="L168">
        <v>1327</v>
      </c>
      <c r="N168">
        <v>1005</v>
      </c>
      <c r="O168" t="s">
        <v>89</v>
      </c>
      <c r="P168" t="s">
        <v>89</v>
      </c>
      <c r="Q168">
        <v>1</v>
      </c>
      <c r="X168">
        <v>5.54</v>
      </c>
      <c r="Y168">
        <v>28.25</v>
      </c>
      <c r="Z168">
        <v>0</v>
      </c>
      <c r="AA168">
        <v>0</v>
      </c>
      <c r="AB168">
        <v>0</v>
      </c>
      <c r="AC168">
        <v>0</v>
      </c>
      <c r="AD168">
        <v>1</v>
      </c>
      <c r="AE168">
        <v>0</v>
      </c>
      <c r="AF168" t="s">
        <v>6</v>
      </c>
      <c r="AG168">
        <v>5.54</v>
      </c>
      <c r="AH168">
        <v>2</v>
      </c>
      <c r="AI168">
        <v>16750214</v>
      </c>
      <c r="AJ168">
        <v>173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</row>
    <row r="169" spans="1:44" x14ac:dyDescent="0.2">
      <c r="A169">
        <f>ROW(Source!A130)</f>
        <v>130</v>
      </c>
      <c r="B169">
        <v>16750237</v>
      </c>
      <c r="C169">
        <v>16750223</v>
      </c>
      <c r="D169">
        <v>15435099</v>
      </c>
      <c r="E169">
        <v>1</v>
      </c>
      <c r="F169">
        <v>1</v>
      </c>
      <c r="G169">
        <v>1</v>
      </c>
      <c r="H169">
        <v>1</v>
      </c>
      <c r="I169" t="s">
        <v>1195</v>
      </c>
      <c r="J169" t="s">
        <v>6</v>
      </c>
      <c r="K169" t="s">
        <v>1196</v>
      </c>
      <c r="L169">
        <v>1191</v>
      </c>
      <c r="N169">
        <v>1013</v>
      </c>
      <c r="O169" t="s">
        <v>1072</v>
      </c>
      <c r="P169" t="s">
        <v>1072</v>
      </c>
      <c r="Q169">
        <v>1</v>
      </c>
      <c r="X169">
        <v>28.02</v>
      </c>
      <c r="Y169">
        <v>0</v>
      </c>
      <c r="Z169">
        <v>0</v>
      </c>
      <c r="AA169">
        <v>0</v>
      </c>
      <c r="AB169">
        <v>8.64</v>
      </c>
      <c r="AC169">
        <v>0</v>
      </c>
      <c r="AD169">
        <v>1</v>
      </c>
      <c r="AE169">
        <v>1</v>
      </c>
      <c r="AF169" t="s">
        <v>6</v>
      </c>
      <c r="AG169">
        <v>28.02</v>
      </c>
      <c r="AH169">
        <v>2</v>
      </c>
      <c r="AI169">
        <v>16750224</v>
      </c>
      <c r="AJ169">
        <v>174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</row>
    <row r="170" spans="1:44" x14ac:dyDescent="0.2">
      <c r="A170">
        <f>ROW(Source!A130)</f>
        <v>130</v>
      </c>
      <c r="B170">
        <v>16750238</v>
      </c>
      <c r="C170">
        <v>16750223</v>
      </c>
      <c r="D170">
        <v>15430395</v>
      </c>
      <c r="E170">
        <v>1</v>
      </c>
      <c r="F170">
        <v>1</v>
      </c>
      <c r="G170">
        <v>1</v>
      </c>
      <c r="H170">
        <v>1</v>
      </c>
      <c r="I170" t="s">
        <v>1073</v>
      </c>
      <c r="J170" t="s">
        <v>6</v>
      </c>
      <c r="K170" t="s">
        <v>1074</v>
      </c>
      <c r="L170">
        <v>1191</v>
      </c>
      <c r="N170">
        <v>1013</v>
      </c>
      <c r="O170" t="s">
        <v>1072</v>
      </c>
      <c r="P170" t="s">
        <v>1072</v>
      </c>
      <c r="Q170">
        <v>1</v>
      </c>
      <c r="X170">
        <v>0.16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1</v>
      </c>
      <c r="AE170">
        <v>2</v>
      </c>
      <c r="AF170" t="s">
        <v>6</v>
      </c>
      <c r="AG170">
        <v>0.16</v>
      </c>
      <c r="AH170">
        <v>2</v>
      </c>
      <c r="AI170">
        <v>16750225</v>
      </c>
      <c r="AJ170">
        <v>175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</row>
    <row r="171" spans="1:44" x14ac:dyDescent="0.2">
      <c r="A171">
        <f>ROW(Source!A130)</f>
        <v>130</v>
      </c>
      <c r="B171">
        <v>16750239</v>
      </c>
      <c r="C171">
        <v>16750223</v>
      </c>
      <c r="D171">
        <v>15247974</v>
      </c>
      <c r="E171">
        <v>1</v>
      </c>
      <c r="F171">
        <v>1</v>
      </c>
      <c r="G171">
        <v>1</v>
      </c>
      <c r="H171">
        <v>2</v>
      </c>
      <c r="I171" t="s">
        <v>1075</v>
      </c>
      <c r="J171" t="s">
        <v>1076</v>
      </c>
      <c r="K171" t="s">
        <v>1077</v>
      </c>
      <c r="L171">
        <v>1368</v>
      </c>
      <c r="N171">
        <v>1011</v>
      </c>
      <c r="O171" t="s">
        <v>1078</v>
      </c>
      <c r="P171" t="s">
        <v>1078</v>
      </c>
      <c r="Q171">
        <v>1</v>
      </c>
      <c r="X171">
        <v>0.1</v>
      </c>
      <c r="Y171">
        <v>0</v>
      </c>
      <c r="Z171">
        <v>31.26</v>
      </c>
      <c r="AA171">
        <v>13.5</v>
      </c>
      <c r="AB171">
        <v>0</v>
      </c>
      <c r="AC171">
        <v>0</v>
      </c>
      <c r="AD171">
        <v>1</v>
      </c>
      <c r="AE171">
        <v>0</v>
      </c>
      <c r="AF171" t="s">
        <v>6</v>
      </c>
      <c r="AG171">
        <v>0.1</v>
      </c>
      <c r="AH171">
        <v>2</v>
      </c>
      <c r="AI171">
        <v>16750226</v>
      </c>
      <c r="AJ171">
        <v>176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</row>
    <row r="172" spans="1:44" x14ac:dyDescent="0.2">
      <c r="A172">
        <f>ROW(Source!A130)</f>
        <v>130</v>
      </c>
      <c r="B172">
        <v>16750240</v>
      </c>
      <c r="C172">
        <v>16750223</v>
      </c>
      <c r="D172">
        <v>15249073</v>
      </c>
      <c r="E172">
        <v>1</v>
      </c>
      <c r="F172">
        <v>1</v>
      </c>
      <c r="G172">
        <v>1</v>
      </c>
      <c r="H172">
        <v>2</v>
      </c>
      <c r="I172" t="s">
        <v>1097</v>
      </c>
      <c r="J172" t="s">
        <v>1098</v>
      </c>
      <c r="K172" t="s">
        <v>1099</v>
      </c>
      <c r="L172">
        <v>1368</v>
      </c>
      <c r="N172">
        <v>1011</v>
      </c>
      <c r="O172" t="s">
        <v>1078</v>
      </c>
      <c r="P172" t="s">
        <v>1078</v>
      </c>
      <c r="Q172">
        <v>1</v>
      </c>
      <c r="X172">
        <v>0.06</v>
      </c>
      <c r="Y172">
        <v>0</v>
      </c>
      <c r="Z172">
        <v>65.709999999999994</v>
      </c>
      <c r="AA172">
        <v>11.6</v>
      </c>
      <c r="AB172">
        <v>0</v>
      </c>
      <c r="AC172">
        <v>0</v>
      </c>
      <c r="AD172">
        <v>1</v>
      </c>
      <c r="AE172">
        <v>0</v>
      </c>
      <c r="AF172" t="s">
        <v>6</v>
      </c>
      <c r="AG172">
        <v>0.06</v>
      </c>
      <c r="AH172">
        <v>2</v>
      </c>
      <c r="AI172">
        <v>16750227</v>
      </c>
      <c r="AJ172">
        <v>177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</row>
    <row r="173" spans="1:44" x14ac:dyDescent="0.2">
      <c r="A173">
        <f>ROW(Source!A130)</f>
        <v>130</v>
      </c>
      <c r="B173">
        <v>16750241</v>
      </c>
      <c r="C173">
        <v>16750223</v>
      </c>
      <c r="D173">
        <v>15167286</v>
      </c>
      <c r="E173">
        <v>1</v>
      </c>
      <c r="F173">
        <v>1</v>
      </c>
      <c r="G173">
        <v>1</v>
      </c>
      <c r="H173">
        <v>3</v>
      </c>
      <c r="I173" t="s">
        <v>1079</v>
      </c>
      <c r="J173" t="s">
        <v>1080</v>
      </c>
      <c r="K173" t="s">
        <v>1081</v>
      </c>
      <c r="L173">
        <v>1339</v>
      </c>
      <c r="N173">
        <v>1007</v>
      </c>
      <c r="O173" t="s">
        <v>283</v>
      </c>
      <c r="P173" t="s">
        <v>283</v>
      </c>
      <c r="Q173">
        <v>1</v>
      </c>
      <c r="X173">
        <v>0.24</v>
      </c>
      <c r="Y173">
        <v>2.44</v>
      </c>
      <c r="Z173">
        <v>0</v>
      </c>
      <c r="AA173">
        <v>0</v>
      </c>
      <c r="AB173">
        <v>0</v>
      </c>
      <c r="AC173">
        <v>0</v>
      </c>
      <c r="AD173">
        <v>1</v>
      </c>
      <c r="AE173">
        <v>0</v>
      </c>
      <c r="AF173" t="s">
        <v>6</v>
      </c>
      <c r="AG173">
        <v>0.24</v>
      </c>
      <c r="AH173">
        <v>2</v>
      </c>
      <c r="AI173">
        <v>16750228</v>
      </c>
      <c r="AJ173">
        <v>178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</row>
    <row r="174" spans="1:44" x14ac:dyDescent="0.2">
      <c r="A174">
        <f>ROW(Source!A130)</f>
        <v>130</v>
      </c>
      <c r="B174">
        <v>16750242</v>
      </c>
      <c r="C174">
        <v>16750223</v>
      </c>
      <c r="D174">
        <v>15167766</v>
      </c>
      <c r="E174">
        <v>1</v>
      </c>
      <c r="F174">
        <v>1</v>
      </c>
      <c r="G174">
        <v>1</v>
      </c>
      <c r="H174">
        <v>3</v>
      </c>
      <c r="I174" t="s">
        <v>1245</v>
      </c>
      <c r="J174" t="s">
        <v>1246</v>
      </c>
      <c r="K174" t="s">
        <v>1247</v>
      </c>
      <c r="L174">
        <v>1354</v>
      </c>
      <c r="N174">
        <v>1010</v>
      </c>
      <c r="O174" t="s">
        <v>53</v>
      </c>
      <c r="P174" t="s">
        <v>53</v>
      </c>
      <c r="Q174">
        <v>1</v>
      </c>
      <c r="X174">
        <v>3.2</v>
      </c>
      <c r="Y174">
        <v>4.5</v>
      </c>
      <c r="Z174">
        <v>0</v>
      </c>
      <c r="AA174">
        <v>0</v>
      </c>
      <c r="AB174">
        <v>0</v>
      </c>
      <c r="AC174">
        <v>0</v>
      </c>
      <c r="AD174">
        <v>1</v>
      </c>
      <c r="AE174">
        <v>0</v>
      </c>
      <c r="AF174" t="s">
        <v>6</v>
      </c>
      <c r="AG174">
        <v>3.2</v>
      </c>
      <c r="AH174">
        <v>2</v>
      </c>
      <c r="AI174">
        <v>16750229</v>
      </c>
      <c r="AJ174">
        <v>179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</row>
    <row r="175" spans="1:44" x14ac:dyDescent="0.2">
      <c r="A175">
        <f>ROW(Source!A130)</f>
        <v>130</v>
      </c>
      <c r="B175">
        <v>16750243</v>
      </c>
      <c r="C175">
        <v>16750223</v>
      </c>
      <c r="D175">
        <v>15168015</v>
      </c>
      <c r="E175">
        <v>1</v>
      </c>
      <c r="F175">
        <v>1</v>
      </c>
      <c r="G175">
        <v>1</v>
      </c>
      <c r="H175">
        <v>3</v>
      </c>
      <c r="I175" t="s">
        <v>1248</v>
      </c>
      <c r="J175" t="s">
        <v>1249</v>
      </c>
      <c r="K175" t="s">
        <v>1250</v>
      </c>
      <c r="L175">
        <v>1348</v>
      </c>
      <c r="N175">
        <v>1009</v>
      </c>
      <c r="O175" t="s">
        <v>71</v>
      </c>
      <c r="P175" t="s">
        <v>71</v>
      </c>
      <c r="Q175">
        <v>1000</v>
      </c>
      <c r="X175">
        <v>1.2E-2</v>
      </c>
      <c r="Y175">
        <v>586.47</v>
      </c>
      <c r="Z175">
        <v>0</v>
      </c>
      <c r="AA175">
        <v>0</v>
      </c>
      <c r="AB175">
        <v>0</v>
      </c>
      <c r="AC175">
        <v>0</v>
      </c>
      <c r="AD175">
        <v>1</v>
      </c>
      <c r="AE175">
        <v>0</v>
      </c>
      <c r="AF175" t="s">
        <v>6</v>
      </c>
      <c r="AG175">
        <v>1.2E-2</v>
      </c>
      <c r="AH175">
        <v>2</v>
      </c>
      <c r="AI175">
        <v>16750230</v>
      </c>
      <c r="AJ175">
        <v>180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</row>
    <row r="176" spans="1:44" x14ac:dyDescent="0.2">
      <c r="A176">
        <f>ROW(Source!A130)</f>
        <v>130</v>
      </c>
      <c r="B176">
        <v>16750244</v>
      </c>
      <c r="C176">
        <v>16750223</v>
      </c>
      <c r="D176">
        <v>15170682</v>
      </c>
      <c r="E176">
        <v>1</v>
      </c>
      <c r="F176">
        <v>1</v>
      </c>
      <c r="G176">
        <v>1</v>
      </c>
      <c r="H176">
        <v>3</v>
      </c>
      <c r="I176" t="s">
        <v>1165</v>
      </c>
      <c r="J176" t="s">
        <v>1166</v>
      </c>
      <c r="K176" t="s">
        <v>1167</v>
      </c>
      <c r="L176">
        <v>1327</v>
      </c>
      <c r="N176">
        <v>1005</v>
      </c>
      <c r="O176" t="s">
        <v>89</v>
      </c>
      <c r="P176" t="s">
        <v>89</v>
      </c>
      <c r="Q176">
        <v>1</v>
      </c>
      <c r="X176">
        <v>1.6</v>
      </c>
      <c r="Y176">
        <v>72.319999999999993</v>
      </c>
      <c r="Z176">
        <v>0</v>
      </c>
      <c r="AA176">
        <v>0</v>
      </c>
      <c r="AB176">
        <v>0</v>
      </c>
      <c r="AC176">
        <v>0</v>
      </c>
      <c r="AD176">
        <v>1</v>
      </c>
      <c r="AE176">
        <v>0</v>
      </c>
      <c r="AF176" t="s">
        <v>6</v>
      </c>
      <c r="AG176">
        <v>1.6</v>
      </c>
      <c r="AH176">
        <v>2</v>
      </c>
      <c r="AI176">
        <v>16750231</v>
      </c>
      <c r="AJ176">
        <v>181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</row>
    <row r="177" spans="1:44" x14ac:dyDescent="0.2">
      <c r="A177">
        <f>ROW(Source!A130)</f>
        <v>130</v>
      </c>
      <c r="B177">
        <v>16750245</v>
      </c>
      <c r="C177">
        <v>16750223</v>
      </c>
      <c r="D177">
        <v>15171907</v>
      </c>
      <c r="E177">
        <v>1</v>
      </c>
      <c r="F177">
        <v>1</v>
      </c>
      <c r="G177">
        <v>1</v>
      </c>
      <c r="H177">
        <v>3</v>
      </c>
      <c r="I177" t="s">
        <v>1251</v>
      </c>
      <c r="J177" t="s">
        <v>1252</v>
      </c>
      <c r="K177" t="s">
        <v>1253</v>
      </c>
      <c r="L177">
        <v>1339</v>
      </c>
      <c r="N177">
        <v>1007</v>
      </c>
      <c r="O177" t="s">
        <v>283</v>
      </c>
      <c r="P177" t="s">
        <v>283</v>
      </c>
      <c r="Q177">
        <v>1</v>
      </c>
      <c r="X177">
        <v>4.4000000000000003E-3</v>
      </c>
      <c r="Y177">
        <v>74.58</v>
      </c>
      <c r="Z177">
        <v>0</v>
      </c>
      <c r="AA177">
        <v>0</v>
      </c>
      <c r="AB177">
        <v>0</v>
      </c>
      <c r="AC177">
        <v>0</v>
      </c>
      <c r="AD177">
        <v>1</v>
      </c>
      <c r="AE177">
        <v>0</v>
      </c>
      <c r="AF177" t="s">
        <v>6</v>
      </c>
      <c r="AG177">
        <v>4.4000000000000003E-3</v>
      </c>
      <c r="AH177">
        <v>2</v>
      </c>
      <c r="AI177">
        <v>16750232</v>
      </c>
      <c r="AJ177">
        <v>182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</row>
    <row r="178" spans="1:44" x14ac:dyDescent="0.2">
      <c r="A178">
        <f>ROW(Source!A130)</f>
        <v>130</v>
      </c>
      <c r="B178">
        <v>16750246</v>
      </c>
      <c r="C178">
        <v>16750223</v>
      </c>
      <c r="D178">
        <v>15202490</v>
      </c>
      <c r="E178">
        <v>1</v>
      </c>
      <c r="F178">
        <v>1</v>
      </c>
      <c r="G178">
        <v>1</v>
      </c>
      <c r="H178">
        <v>3</v>
      </c>
      <c r="I178" t="s">
        <v>1254</v>
      </c>
      <c r="J178" t="s">
        <v>1255</v>
      </c>
      <c r="K178" t="s">
        <v>1256</v>
      </c>
      <c r="L178">
        <v>1346</v>
      </c>
      <c r="N178">
        <v>1009</v>
      </c>
      <c r="O178" t="s">
        <v>323</v>
      </c>
      <c r="P178" t="s">
        <v>323</v>
      </c>
      <c r="Q178">
        <v>1</v>
      </c>
      <c r="X178">
        <v>2.4300000000000002</v>
      </c>
      <c r="Y178">
        <v>8.09</v>
      </c>
      <c r="Z178">
        <v>0</v>
      </c>
      <c r="AA178">
        <v>0</v>
      </c>
      <c r="AB178">
        <v>0</v>
      </c>
      <c r="AC178">
        <v>0</v>
      </c>
      <c r="AD178">
        <v>1</v>
      </c>
      <c r="AE178">
        <v>0</v>
      </c>
      <c r="AF178" t="s">
        <v>6</v>
      </c>
      <c r="AG178">
        <v>2.4300000000000002</v>
      </c>
      <c r="AH178">
        <v>2</v>
      </c>
      <c r="AI178">
        <v>16750233</v>
      </c>
      <c r="AJ178">
        <v>183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</row>
    <row r="179" spans="1:44" x14ac:dyDescent="0.2">
      <c r="A179">
        <f>ROW(Source!A130)</f>
        <v>130</v>
      </c>
      <c r="B179">
        <v>16750247</v>
      </c>
      <c r="C179">
        <v>16750223</v>
      </c>
      <c r="D179">
        <v>15163054</v>
      </c>
      <c r="E179">
        <v>17</v>
      </c>
      <c r="F179">
        <v>1</v>
      </c>
      <c r="G179">
        <v>1</v>
      </c>
      <c r="H179">
        <v>3</v>
      </c>
      <c r="I179" t="s">
        <v>223</v>
      </c>
      <c r="J179" t="s">
        <v>6</v>
      </c>
      <c r="K179" t="s">
        <v>224</v>
      </c>
      <c r="L179">
        <v>1348</v>
      </c>
      <c r="N179">
        <v>1009</v>
      </c>
      <c r="O179" t="s">
        <v>71</v>
      </c>
      <c r="P179" t="s">
        <v>71</v>
      </c>
      <c r="Q179">
        <v>1000</v>
      </c>
      <c r="X179">
        <v>6.7000000000000004E-2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0</v>
      </c>
      <c r="AE179">
        <v>0</v>
      </c>
      <c r="AF179" t="s">
        <v>6</v>
      </c>
      <c r="AG179">
        <v>6.7000000000000004E-2</v>
      </c>
      <c r="AH179">
        <v>2</v>
      </c>
      <c r="AI179">
        <v>16750234</v>
      </c>
      <c r="AJ179">
        <v>184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</row>
    <row r="180" spans="1:44" x14ac:dyDescent="0.2">
      <c r="A180">
        <f>ROW(Source!A130)</f>
        <v>130</v>
      </c>
      <c r="B180">
        <v>16750248</v>
      </c>
      <c r="C180">
        <v>16750223</v>
      </c>
      <c r="D180">
        <v>15204729</v>
      </c>
      <c r="E180">
        <v>1</v>
      </c>
      <c r="F180">
        <v>1</v>
      </c>
      <c r="G180">
        <v>1</v>
      </c>
      <c r="H180">
        <v>3</v>
      </c>
      <c r="I180" t="s">
        <v>1171</v>
      </c>
      <c r="J180" t="s">
        <v>1172</v>
      </c>
      <c r="K180" t="s">
        <v>1173</v>
      </c>
      <c r="L180">
        <v>1348</v>
      </c>
      <c r="N180">
        <v>1009</v>
      </c>
      <c r="O180" t="s">
        <v>71</v>
      </c>
      <c r="P180" t="s">
        <v>71</v>
      </c>
      <c r="Q180">
        <v>1000</v>
      </c>
      <c r="X180">
        <v>6.4000000000000001E-2</v>
      </c>
      <c r="Y180">
        <v>4294</v>
      </c>
      <c r="Z180">
        <v>0</v>
      </c>
      <c r="AA180">
        <v>0</v>
      </c>
      <c r="AB180">
        <v>0</v>
      </c>
      <c r="AC180">
        <v>0</v>
      </c>
      <c r="AD180">
        <v>1</v>
      </c>
      <c r="AE180">
        <v>0</v>
      </c>
      <c r="AF180" t="s">
        <v>6</v>
      </c>
      <c r="AG180">
        <v>6.4000000000000001E-2</v>
      </c>
      <c r="AH180">
        <v>2</v>
      </c>
      <c r="AI180">
        <v>16750235</v>
      </c>
      <c r="AJ180">
        <v>186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</row>
    <row r="181" spans="1:44" x14ac:dyDescent="0.2">
      <c r="A181">
        <f>ROW(Source!A133)</f>
        <v>133</v>
      </c>
      <c r="B181">
        <v>16750263</v>
      </c>
      <c r="C181">
        <v>16750251</v>
      </c>
      <c r="D181">
        <v>15430497</v>
      </c>
      <c r="E181">
        <v>1</v>
      </c>
      <c r="F181">
        <v>1</v>
      </c>
      <c r="G181">
        <v>1</v>
      </c>
      <c r="H181">
        <v>1</v>
      </c>
      <c r="I181" t="s">
        <v>1257</v>
      </c>
      <c r="J181" t="s">
        <v>6</v>
      </c>
      <c r="K181" t="s">
        <v>1258</v>
      </c>
      <c r="L181">
        <v>1191</v>
      </c>
      <c r="N181">
        <v>1013</v>
      </c>
      <c r="O181" t="s">
        <v>1072</v>
      </c>
      <c r="P181" t="s">
        <v>1072</v>
      </c>
      <c r="Q181">
        <v>1</v>
      </c>
      <c r="X181">
        <v>33.630000000000003</v>
      </c>
      <c r="Y181">
        <v>0</v>
      </c>
      <c r="Z181">
        <v>0</v>
      </c>
      <c r="AA181">
        <v>0</v>
      </c>
      <c r="AB181">
        <v>8.86</v>
      </c>
      <c r="AC181">
        <v>0</v>
      </c>
      <c r="AD181">
        <v>1</v>
      </c>
      <c r="AE181">
        <v>1</v>
      </c>
      <c r="AF181" t="s">
        <v>6</v>
      </c>
      <c r="AG181">
        <v>33.630000000000003</v>
      </c>
      <c r="AH181">
        <v>2</v>
      </c>
      <c r="AI181">
        <v>16750252</v>
      </c>
      <c r="AJ181">
        <v>187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</row>
    <row r="182" spans="1:44" x14ac:dyDescent="0.2">
      <c r="A182">
        <f>ROW(Source!A133)</f>
        <v>133</v>
      </c>
      <c r="B182">
        <v>16750264</v>
      </c>
      <c r="C182">
        <v>16750251</v>
      </c>
      <c r="D182">
        <v>15430395</v>
      </c>
      <c r="E182">
        <v>1</v>
      </c>
      <c r="F182">
        <v>1</v>
      </c>
      <c r="G182">
        <v>1</v>
      </c>
      <c r="H182">
        <v>1</v>
      </c>
      <c r="I182" t="s">
        <v>1073</v>
      </c>
      <c r="J182" t="s">
        <v>6</v>
      </c>
      <c r="K182" t="s">
        <v>1074</v>
      </c>
      <c r="L182">
        <v>1191</v>
      </c>
      <c r="N182">
        <v>1013</v>
      </c>
      <c r="O182" t="s">
        <v>1072</v>
      </c>
      <c r="P182" t="s">
        <v>1072</v>
      </c>
      <c r="Q182">
        <v>1</v>
      </c>
      <c r="X182">
        <v>0.02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1</v>
      </c>
      <c r="AE182">
        <v>2</v>
      </c>
      <c r="AF182" t="s">
        <v>6</v>
      </c>
      <c r="AG182">
        <v>0.02</v>
      </c>
      <c r="AH182">
        <v>2</v>
      </c>
      <c r="AI182">
        <v>16750253</v>
      </c>
      <c r="AJ182">
        <v>188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</row>
    <row r="183" spans="1:44" x14ac:dyDescent="0.2">
      <c r="A183">
        <f>ROW(Source!A133)</f>
        <v>133</v>
      </c>
      <c r="B183">
        <v>16750265</v>
      </c>
      <c r="C183">
        <v>16750251</v>
      </c>
      <c r="D183">
        <v>15247974</v>
      </c>
      <c r="E183">
        <v>1</v>
      </c>
      <c r="F183">
        <v>1</v>
      </c>
      <c r="G183">
        <v>1</v>
      </c>
      <c r="H183">
        <v>2</v>
      </c>
      <c r="I183" t="s">
        <v>1075</v>
      </c>
      <c r="J183" t="s">
        <v>1076</v>
      </c>
      <c r="K183" t="s">
        <v>1077</v>
      </c>
      <c r="L183">
        <v>1368</v>
      </c>
      <c r="N183">
        <v>1011</v>
      </c>
      <c r="O183" t="s">
        <v>1078</v>
      </c>
      <c r="P183" t="s">
        <v>1078</v>
      </c>
      <c r="Q183">
        <v>1</v>
      </c>
      <c r="X183">
        <v>0.01</v>
      </c>
      <c r="Y183">
        <v>0</v>
      </c>
      <c r="Z183">
        <v>31.26</v>
      </c>
      <c r="AA183">
        <v>13.5</v>
      </c>
      <c r="AB183">
        <v>0</v>
      </c>
      <c r="AC183">
        <v>0</v>
      </c>
      <c r="AD183">
        <v>1</v>
      </c>
      <c r="AE183">
        <v>0</v>
      </c>
      <c r="AF183" t="s">
        <v>6</v>
      </c>
      <c r="AG183">
        <v>0.01</v>
      </c>
      <c r="AH183">
        <v>2</v>
      </c>
      <c r="AI183">
        <v>16750254</v>
      </c>
      <c r="AJ183">
        <v>189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</row>
    <row r="184" spans="1:44" x14ac:dyDescent="0.2">
      <c r="A184">
        <f>ROW(Source!A133)</f>
        <v>133</v>
      </c>
      <c r="B184">
        <v>16750266</v>
      </c>
      <c r="C184">
        <v>16750251</v>
      </c>
      <c r="D184">
        <v>15249073</v>
      </c>
      <c r="E184">
        <v>1</v>
      </c>
      <c r="F184">
        <v>1</v>
      </c>
      <c r="G184">
        <v>1</v>
      </c>
      <c r="H184">
        <v>2</v>
      </c>
      <c r="I184" t="s">
        <v>1097</v>
      </c>
      <c r="J184" t="s">
        <v>1098</v>
      </c>
      <c r="K184" t="s">
        <v>1099</v>
      </c>
      <c r="L184">
        <v>1368</v>
      </c>
      <c r="N184">
        <v>1011</v>
      </c>
      <c r="O184" t="s">
        <v>1078</v>
      </c>
      <c r="P184" t="s">
        <v>1078</v>
      </c>
      <c r="Q184">
        <v>1</v>
      </c>
      <c r="X184">
        <v>0.01</v>
      </c>
      <c r="Y184">
        <v>0</v>
      </c>
      <c r="Z184">
        <v>65.709999999999994</v>
      </c>
      <c r="AA184">
        <v>11.6</v>
      </c>
      <c r="AB184">
        <v>0</v>
      </c>
      <c r="AC184">
        <v>0</v>
      </c>
      <c r="AD184">
        <v>1</v>
      </c>
      <c r="AE184">
        <v>0</v>
      </c>
      <c r="AF184" t="s">
        <v>6</v>
      </c>
      <c r="AG184">
        <v>0.01</v>
      </c>
      <c r="AH184">
        <v>2</v>
      </c>
      <c r="AI184">
        <v>16750255</v>
      </c>
      <c r="AJ184">
        <v>190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</row>
    <row r="185" spans="1:44" x14ac:dyDescent="0.2">
      <c r="A185">
        <f>ROW(Source!A133)</f>
        <v>133</v>
      </c>
      <c r="B185">
        <v>16750267</v>
      </c>
      <c r="C185">
        <v>16750251</v>
      </c>
      <c r="D185">
        <v>15163097</v>
      </c>
      <c r="E185">
        <v>17</v>
      </c>
      <c r="F185">
        <v>1</v>
      </c>
      <c r="G185">
        <v>1</v>
      </c>
      <c r="H185">
        <v>3</v>
      </c>
      <c r="I185" t="s">
        <v>365</v>
      </c>
      <c r="J185" t="s">
        <v>6</v>
      </c>
      <c r="K185" t="s">
        <v>366</v>
      </c>
      <c r="L185">
        <v>1328</v>
      </c>
      <c r="N185">
        <v>1005</v>
      </c>
      <c r="O185" t="s">
        <v>20</v>
      </c>
      <c r="P185" t="s">
        <v>20</v>
      </c>
      <c r="Q185">
        <v>100</v>
      </c>
      <c r="X185">
        <v>1.1299999999999999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 t="s">
        <v>6</v>
      </c>
      <c r="AG185">
        <v>1.1299999999999999</v>
      </c>
      <c r="AH185">
        <v>2</v>
      </c>
      <c r="AI185">
        <v>16750256</v>
      </c>
      <c r="AJ185">
        <v>191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</row>
    <row r="186" spans="1:44" x14ac:dyDescent="0.2">
      <c r="A186">
        <f>ROW(Source!A133)</f>
        <v>133</v>
      </c>
      <c r="B186">
        <v>16750268</v>
      </c>
      <c r="C186">
        <v>16750251</v>
      </c>
      <c r="D186">
        <v>15167277</v>
      </c>
      <c r="E186">
        <v>1</v>
      </c>
      <c r="F186">
        <v>1</v>
      </c>
      <c r="G186">
        <v>1</v>
      </c>
      <c r="H186">
        <v>3</v>
      </c>
      <c r="I186" t="s">
        <v>1259</v>
      </c>
      <c r="J186" t="s">
        <v>1260</v>
      </c>
      <c r="K186" t="s">
        <v>1261</v>
      </c>
      <c r="L186">
        <v>1348</v>
      </c>
      <c r="N186">
        <v>1009</v>
      </c>
      <c r="O186" t="s">
        <v>71</v>
      </c>
      <c r="P186" t="s">
        <v>71</v>
      </c>
      <c r="Q186">
        <v>1000</v>
      </c>
      <c r="X186">
        <v>7.1000000000000004E-3</v>
      </c>
      <c r="Y186">
        <v>5650</v>
      </c>
      <c r="Z186">
        <v>0</v>
      </c>
      <c r="AA186">
        <v>0</v>
      </c>
      <c r="AB186">
        <v>0</v>
      </c>
      <c r="AC186">
        <v>0</v>
      </c>
      <c r="AD186">
        <v>1</v>
      </c>
      <c r="AE186">
        <v>0</v>
      </c>
      <c r="AF186" t="s">
        <v>6</v>
      </c>
      <c r="AG186">
        <v>7.1000000000000004E-3</v>
      </c>
      <c r="AH186">
        <v>2</v>
      </c>
      <c r="AI186">
        <v>16750257</v>
      </c>
      <c r="AJ186">
        <v>192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</row>
    <row r="187" spans="1:44" x14ac:dyDescent="0.2">
      <c r="A187">
        <f>ROW(Source!A133)</f>
        <v>133</v>
      </c>
      <c r="B187">
        <v>16750269</v>
      </c>
      <c r="C187">
        <v>16750251</v>
      </c>
      <c r="D187">
        <v>15167286</v>
      </c>
      <c r="E187">
        <v>1</v>
      </c>
      <c r="F187">
        <v>1</v>
      </c>
      <c r="G187">
        <v>1</v>
      </c>
      <c r="H187">
        <v>3</v>
      </c>
      <c r="I187" t="s">
        <v>1079</v>
      </c>
      <c r="J187" t="s">
        <v>1080</v>
      </c>
      <c r="K187" t="s">
        <v>1081</v>
      </c>
      <c r="L187">
        <v>1339</v>
      </c>
      <c r="N187">
        <v>1007</v>
      </c>
      <c r="O187" t="s">
        <v>283</v>
      </c>
      <c r="P187" t="s">
        <v>283</v>
      </c>
      <c r="Q187">
        <v>1</v>
      </c>
      <c r="X187">
        <v>0.01</v>
      </c>
      <c r="Y187">
        <v>2.44</v>
      </c>
      <c r="Z187">
        <v>0</v>
      </c>
      <c r="AA187">
        <v>0</v>
      </c>
      <c r="AB187">
        <v>0</v>
      </c>
      <c r="AC187">
        <v>0</v>
      </c>
      <c r="AD187">
        <v>1</v>
      </c>
      <c r="AE187">
        <v>0</v>
      </c>
      <c r="AF187" t="s">
        <v>6</v>
      </c>
      <c r="AG187">
        <v>0.01</v>
      </c>
      <c r="AH187">
        <v>2</v>
      </c>
      <c r="AI187">
        <v>16750258</v>
      </c>
      <c r="AJ187">
        <v>193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</row>
    <row r="188" spans="1:44" x14ac:dyDescent="0.2">
      <c r="A188">
        <f>ROW(Source!A133)</f>
        <v>133</v>
      </c>
      <c r="B188">
        <v>16750270</v>
      </c>
      <c r="C188">
        <v>16750251</v>
      </c>
      <c r="D188">
        <v>15171018</v>
      </c>
      <c r="E188">
        <v>1</v>
      </c>
      <c r="F188">
        <v>1</v>
      </c>
      <c r="G188">
        <v>1</v>
      </c>
      <c r="H188">
        <v>3</v>
      </c>
      <c r="I188" t="s">
        <v>1168</v>
      </c>
      <c r="J188" t="s">
        <v>1169</v>
      </c>
      <c r="K188" t="s">
        <v>1170</v>
      </c>
      <c r="L188">
        <v>1346</v>
      </c>
      <c r="N188">
        <v>1009</v>
      </c>
      <c r="O188" t="s">
        <v>323</v>
      </c>
      <c r="P188" t="s">
        <v>323</v>
      </c>
      <c r="Q188">
        <v>1</v>
      </c>
      <c r="X188">
        <v>0.01</v>
      </c>
      <c r="Y188">
        <v>1.82</v>
      </c>
      <c r="Z188">
        <v>0</v>
      </c>
      <c r="AA188">
        <v>0</v>
      </c>
      <c r="AB188">
        <v>0</v>
      </c>
      <c r="AC188">
        <v>0</v>
      </c>
      <c r="AD188">
        <v>1</v>
      </c>
      <c r="AE188">
        <v>0</v>
      </c>
      <c r="AF188" t="s">
        <v>6</v>
      </c>
      <c r="AG188">
        <v>0.01</v>
      </c>
      <c r="AH188">
        <v>2</v>
      </c>
      <c r="AI188">
        <v>16750259</v>
      </c>
      <c r="AJ188">
        <v>194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</row>
    <row r="189" spans="1:44" x14ac:dyDescent="0.2">
      <c r="A189">
        <f>ROW(Source!A133)</f>
        <v>133</v>
      </c>
      <c r="B189">
        <v>16750271</v>
      </c>
      <c r="C189">
        <v>16750251</v>
      </c>
      <c r="D189">
        <v>15171907</v>
      </c>
      <c r="E189">
        <v>1</v>
      </c>
      <c r="F189">
        <v>1</v>
      </c>
      <c r="G189">
        <v>1</v>
      </c>
      <c r="H189">
        <v>3</v>
      </c>
      <c r="I189" t="s">
        <v>1251</v>
      </c>
      <c r="J189" t="s">
        <v>1252</v>
      </c>
      <c r="K189" t="s">
        <v>1253</v>
      </c>
      <c r="L189">
        <v>1339</v>
      </c>
      <c r="N189">
        <v>1007</v>
      </c>
      <c r="O189" t="s">
        <v>283</v>
      </c>
      <c r="P189" t="s">
        <v>283</v>
      </c>
      <c r="Q189">
        <v>1</v>
      </c>
      <c r="X189">
        <v>4.0000000000000002E-4</v>
      </c>
      <c r="Y189">
        <v>74.58</v>
      </c>
      <c r="Z189">
        <v>0</v>
      </c>
      <c r="AA189">
        <v>0</v>
      </c>
      <c r="AB189">
        <v>0</v>
      </c>
      <c r="AC189">
        <v>0</v>
      </c>
      <c r="AD189">
        <v>1</v>
      </c>
      <c r="AE189">
        <v>0</v>
      </c>
      <c r="AF189" t="s">
        <v>6</v>
      </c>
      <c r="AG189">
        <v>4.0000000000000002E-4</v>
      </c>
      <c r="AH189">
        <v>2</v>
      </c>
      <c r="AI189">
        <v>16750260</v>
      </c>
      <c r="AJ189">
        <v>195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</row>
    <row r="190" spans="1:44" x14ac:dyDescent="0.2">
      <c r="A190">
        <f>ROW(Source!A133)</f>
        <v>133</v>
      </c>
      <c r="B190">
        <v>16750272</v>
      </c>
      <c r="C190">
        <v>16750251</v>
      </c>
      <c r="D190">
        <v>15202473</v>
      </c>
      <c r="E190">
        <v>1</v>
      </c>
      <c r="F190">
        <v>1</v>
      </c>
      <c r="G190">
        <v>1</v>
      </c>
      <c r="H190">
        <v>3</v>
      </c>
      <c r="I190" t="s">
        <v>1262</v>
      </c>
      <c r="J190" t="s">
        <v>1263</v>
      </c>
      <c r="K190" t="s">
        <v>1264</v>
      </c>
      <c r="L190">
        <v>1348</v>
      </c>
      <c r="N190">
        <v>1009</v>
      </c>
      <c r="O190" t="s">
        <v>71</v>
      </c>
      <c r="P190" t="s">
        <v>71</v>
      </c>
      <c r="Q190">
        <v>1000</v>
      </c>
      <c r="X190">
        <v>2E-3</v>
      </c>
      <c r="Y190">
        <v>25990</v>
      </c>
      <c r="Z190">
        <v>0</v>
      </c>
      <c r="AA190">
        <v>0</v>
      </c>
      <c r="AB190">
        <v>0</v>
      </c>
      <c r="AC190">
        <v>0</v>
      </c>
      <c r="AD190">
        <v>1</v>
      </c>
      <c r="AE190">
        <v>0</v>
      </c>
      <c r="AF190" t="s">
        <v>6</v>
      </c>
      <c r="AG190">
        <v>2E-3</v>
      </c>
      <c r="AH190">
        <v>2</v>
      </c>
      <c r="AI190">
        <v>16750261</v>
      </c>
      <c r="AJ190">
        <v>196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</row>
    <row r="191" spans="1:44" x14ac:dyDescent="0.2">
      <c r="A191">
        <f>ROW(Source!A133)</f>
        <v>133</v>
      </c>
      <c r="B191">
        <v>16750273</v>
      </c>
      <c r="C191">
        <v>16750251</v>
      </c>
      <c r="D191">
        <v>15204729</v>
      </c>
      <c r="E191">
        <v>1</v>
      </c>
      <c r="F191">
        <v>1</v>
      </c>
      <c r="G191">
        <v>1</v>
      </c>
      <c r="H191">
        <v>3</v>
      </c>
      <c r="I191" t="s">
        <v>1171</v>
      </c>
      <c r="J191" t="s">
        <v>1172</v>
      </c>
      <c r="K191" t="s">
        <v>1173</v>
      </c>
      <c r="L191">
        <v>1348</v>
      </c>
      <c r="N191">
        <v>1009</v>
      </c>
      <c r="O191" t="s">
        <v>71</v>
      </c>
      <c r="P191" t="s">
        <v>71</v>
      </c>
      <c r="Q191">
        <v>1000</v>
      </c>
      <c r="X191">
        <v>6.7000000000000002E-3</v>
      </c>
      <c r="Y191">
        <v>4294</v>
      </c>
      <c r="Z191">
        <v>0</v>
      </c>
      <c r="AA191">
        <v>0</v>
      </c>
      <c r="AB191">
        <v>0</v>
      </c>
      <c r="AC191">
        <v>0</v>
      </c>
      <c r="AD191">
        <v>1</v>
      </c>
      <c r="AE191">
        <v>0</v>
      </c>
      <c r="AF191" t="s">
        <v>6</v>
      </c>
      <c r="AG191">
        <v>6.7000000000000002E-3</v>
      </c>
      <c r="AH191">
        <v>2</v>
      </c>
      <c r="AI191">
        <v>16750262</v>
      </c>
      <c r="AJ191">
        <v>197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</row>
    <row r="192" spans="1:44" x14ac:dyDescent="0.2">
      <c r="A192">
        <f>ROW(Source!A135)</f>
        <v>135</v>
      </c>
      <c r="B192">
        <v>16750279</v>
      </c>
      <c r="C192">
        <v>16750275</v>
      </c>
      <c r="D192">
        <v>15436556</v>
      </c>
      <c r="E192">
        <v>1</v>
      </c>
      <c r="F192">
        <v>1</v>
      </c>
      <c r="G192">
        <v>1</v>
      </c>
      <c r="H192">
        <v>1</v>
      </c>
      <c r="I192" t="s">
        <v>1265</v>
      </c>
      <c r="J192" t="s">
        <v>6</v>
      </c>
      <c r="K192" t="s">
        <v>1266</v>
      </c>
      <c r="L192">
        <v>1191</v>
      </c>
      <c r="N192">
        <v>1013</v>
      </c>
      <c r="O192" t="s">
        <v>1072</v>
      </c>
      <c r="P192" t="s">
        <v>1072</v>
      </c>
      <c r="Q192">
        <v>1</v>
      </c>
      <c r="X192">
        <v>8.3800000000000008</v>
      </c>
      <c r="Y192">
        <v>0</v>
      </c>
      <c r="Z192">
        <v>0</v>
      </c>
      <c r="AA192">
        <v>0</v>
      </c>
      <c r="AB192">
        <v>9.6199999999999992</v>
      </c>
      <c r="AC192">
        <v>0</v>
      </c>
      <c r="AD192">
        <v>1</v>
      </c>
      <c r="AE192">
        <v>1</v>
      </c>
      <c r="AF192" t="s">
        <v>6</v>
      </c>
      <c r="AG192">
        <v>8.3800000000000008</v>
      </c>
      <c r="AH192">
        <v>2</v>
      </c>
      <c r="AI192">
        <v>16750276</v>
      </c>
      <c r="AJ192">
        <v>198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</row>
    <row r="193" spans="1:44" x14ac:dyDescent="0.2">
      <c r="A193">
        <f>ROW(Source!A135)</f>
        <v>135</v>
      </c>
      <c r="B193">
        <v>16750280</v>
      </c>
      <c r="C193">
        <v>16750275</v>
      </c>
      <c r="D193">
        <v>15163100</v>
      </c>
      <c r="E193">
        <v>17</v>
      </c>
      <c r="F193">
        <v>1</v>
      </c>
      <c r="G193">
        <v>1</v>
      </c>
      <c r="H193">
        <v>3</v>
      </c>
      <c r="I193" t="s">
        <v>373</v>
      </c>
      <c r="J193" t="s">
        <v>6</v>
      </c>
      <c r="K193" t="s">
        <v>374</v>
      </c>
      <c r="L193">
        <v>1348</v>
      </c>
      <c r="N193">
        <v>1009</v>
      </c>
      <c r="O193" t="s">
        <v>71</v>
      </c>
      <c r="P193" t="s">
        <v>71</v>
      </c>
      <c r="Q193">
        <v>1000</v>
      </c>
      <c r="X193">
        <v>1.6E-2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0</v>
      </c>
      <c r="AF193" t="s">
        <v>6</v>
      </c>
      <c r="AG193">
        <v>1.6E-2</v>
      </c>
      <c r="AH193">
        <v>2</v>
      </c>
      <c r="AI193">
        <v>16750277</v>
      </c>
      <c r="AJ193">
        <v>200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</row>
    <row r="194" spans="1:44" x14ac:dyDescent="0.2">
      <c r="A194">
        <f>ROW(Source!A138)</f>
        <v>138</v>
      </c>
      <c r="B194">
        <v>16750292</v>
      </c>
      <c r="C194">
        <v>16750283</v>
      </c>
      <c r="D194">
        <v>15430767</v>
      </c>
      <c r="E194">
        <v>1</v>
      </c>
      <c r="F194">
        <v>1</v>
      </c>
      <c r="G194">
        <v>1</v>
      </c>
      <c r="H194">
        <v>1</v>
      </c>
      <c r="I194" t="s">
        <v>1070</v>
      </c>
      <c r="J194" t="s">
        <v>6</v>
      </c>
      <c r="K194" t="s">
        <v>1071</v>
      </c>
      <c r="L194">
        <v>1191</v>
      </c>
      <c r="N194">
        <v>1013</v>
      </c>
      <c r="O194" t="s">
        <v>1072</v>
      </c>
      <c r="P194" t="s">
        <v>1072</v>
      </c>
      <c r="Q194">
        <v>1</v>
      </c>
      <c r="X194">
        <v>57.26</v>
      </c>
      <c r="Y194">
        <v>0</v>
      </c>
      <c r="Z194">
        <v>0</v>
      </c>
      <c r="AA194">
        <v>0</v>
      </c>
      <c r="AB194">
        <v>8.5299999999999994</v>
      </c>
      <c r="AC194">
        <v>0</v>
      </c>
      <c r="AD194">
        <v>1</v>
      </c>
      <c r="AE194">
        <v>1</v>
      </c>
      <c r="AF194" t="s">
        <v>173</v>
      </c>
      <c r="AG194">
        <v>65.84899999999999</v>
      </c>
      <c r="AH194">
        <v>2</v>
      </c>
      <c r="AI194">
        <v>16750284</v>
      </c>
      <c r="AJ194">
        <v>201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</row>
    <row r="195" spans="1:44" x14ac:dyDescent="0.2">
      <c r="A195">
        <f>ROW(Source!A138)</f>
        <v>138</v>
      </c>
      <c r="B195">
        <v>16750293</v>
      </c>
      <c r="C195">
        <v>16750283</v>
      </c>
      <c r="D195">
        <v>15430395</v>
      </c>
      <c r="E195">
        <v>1</v>
      </c>
      <c r="F195">
        <v>1</v>
      </c>
      <c r="G195">
        <v>1</v>
      </c>
      <c r="H195">
        <v>1</v>
      </c>
      <c r="I195" t="s">
        <v>1073</v>
      </c>
      <c r="J195" t="s">
        <v>6</v>
      </c>
      <c r="K195" t="s">
        <v>1074</v>
      </c>
      <c r="L195">
        <v>1191</v>
      </c>
      <c r="N195">
        <v>1013</v>
      </c>
      <c r="O195" t="s">
        <v>1072</v>
      </c>
      <c r="P195" t="s">
        <v>1072</v>
      </c>
      <c r="Q195">
        <v>1</v>
      </c>
      <c r="X195">
        <v>0.06</v>
      </c>
      <c r="Y195">
        <v>0</v>
      </c>
      <c r="Z195">
        <v>0</v>
      </c>
      <c r="AA195">
        <v>0</v>
      </c>
      <c r="AB195">
        <v>0</v>
      </c>
      <c r="AC195">
        <v>0</v>
      </c>
      <c r="AD195">
        <v>1</v>
      </c>
      <c r="AE195">
        <v>2</v>
      </c>
      <c r="AF195" t="s">
        <v>172</v>
      </c>
      <c r="AG195">
        <v>7.4999999999999997E-2</v>
      </c>
      <c r="AH195">
        <v>2</v>
      </c>
      <c r="AI195">
        <v>16750285</v>
      </c>
      <c r="AJ195">
        <v>202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</row>
    <row r="196" spans="1:44" x14ac:dyDescent="0.2">
      <c r="A196">
        <f>ROW(Source!A138)</f>
        <v>138</v>
      </c>
      <c r="B196">
        <v>16750294</v>
      </c>
      <c r="C196">
        <v>16750283</v>
      </c>
      <c r="D196">
        <v>15247974</v>
      </c>
      <c r="E196">
        <v>1</v>
      </c>
      <c r="F196">
        <v>1</v>
      </c>
      <c r="G196">
        <v>1</v>
      </c>
      <c r="H196">
        <v>2</v>
      </c>
      <c r="I196" t="s">
        <v>1075</v>
      </c>
      <c r="J196" t="s">
        <v>1076</v>
      </c>
      <c r="K196" t="s">
        <v>1077</v>
      </c>
      <c r="L196">
        <v>1368</v>
      </c>
      <c r="N196">
        <v>1011</v>
      </c>
      <c r="O196" t="s">
        <v>1078</v>
      </c>
      <c r="P196" t="s">
        <v>1078</v>
      </c>
      <c r="Q196">
        <v>1</v>
      </c>
      <c r="X196">
        <v>0.05</v>
      </c>
      <c r="Y196">
        <v>0</v>
      </c>
      <c r="Z196">
        <v>31.26</v>
      </c>
      <c r="AA196">
        <v>13.5</v>
      </c>
      <c r="AB196">
        <v>0</v>
      </c>
      <c r="AC196">
        <v>0</v>
      </c>
      <c r="AD196">
        <v>1</v>
      </c>
      <c r="AE196">
        <v>0</v>
      </c>
      <c r="AF196" t="s">
        <v>172</v>
      </c>
      <c r="AG196">
        <v>6.25E-2</v>
      </c>
      <c r="AH196">
        <v>2</v>
      </c>
      <c r="AI196">
        <v>16750286</v>
      </c>
      <c r="AJ196">
        <v>203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</row>
    <row r="197" spans="1:44" x14ac:dyDescent="0.2">
      <c r="A197">
        <f>ROW(Source!A138)</f>
        <v>138</v>
      </c>
      <c r="B197">
        <v>16750295</v>
      </c>
      <c r="C197">
        <v>16750283</v>
      </c>
      <c r="D197">
        <v>15249073</v>
      </c>
      <c r="E197">
        <v>1</v>
      </c>
      <c r="F197">
        <v>1</v>
      </c>
      <c r="G197">
        <v>1</v>
      </c>
      <c r="H197">
        <v>2</v>
      </c>
      <c r="I197" t="s">
        <v>1097</v>
      </c>
      <c r="J197" t="s">
        <v>1098</v>
      </c>
      <c r="K197" t="s">
        <v>1099</v>
      </c>
      <c r="L197">
        <v>1368</v>
      </c>
      <c r="N197">
        <v>1011</v>
      </c>
      <c r="O197" t="s">
        <v>1078</v>
      </c>
      <c r="P197" t="s">
        <v>1078</v>
      </c>
      <c r="Q197">
        <v>1</v>
      </c>
      <c r="X197">
        <v>5.0000000000000001E-3</v>
      </c>
      <c r="Y197">
        <v>0</v>
      </c>
      <c r="Z197">
        <v>65.709999999999994</v>
      </c>
      <c r="AA197">
        <v>11.6</v>
      </c>
      <c r="AB197">
        <v>0</v>
      </c>
      <c r="AC197">
        <v>0</v>
      </c>
      <c r="AD197">
        <v>1</v>
      </c>
      <c r="AE197">
        <v>0</v>
      </c>
      <c r="AF197" t="s">
        <v>172</v>
      </c>
      <c r="AG197">
        <v>6.2500000000000003E-3</v>
      </c>
      <c r="AH197">
        <v>2</v>
      </c>
      <c r="AI197">
        <v>16750287</v>
      </c>
      <c r="AJ197">
        <v>204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</row>
    <row r="198" spans="1:44" x14ac:dyDescent="0.2">
      <c r="A198">
        <f>ROW(Source!A138)</f>
        <v>138</v>
      </c>
      <c r="B198">
        <v>16750296</v>
      </c>
      <c r="C198">
        <v>16750283</v>
      </c>
      <c r="D198">
        <v>15170110</v>
      </c>
      <c r="E198">
        <v>1</v>
      </c>
      <c r="F198">
        <v>1</v>
      </c>
      <c r="G198">
        <v>1</v>
      </c>
      <c r="H198">
        <v>3</v>
      </c>
      <c r="I198" t="s">
        <v>1267</v>
      </c>
      <c r="J198" t="s">
        <v>1268</v>
      </c>
      <c r="K198" t="s">
        <v>1269</v>
      </c>
      <c r="L198">
        <v>1355</v>
      </c>
      <c r="N198">
        <v>1010</v>
      </c>
      <c r="O198" t="s">
        <v>724</v>
      </c>
      <c r="P198" t="s">
        <v>724</v>
      </c>
      <c r="Q198">
        <v>100</v>
      </c>
      <c r="X198">
        <v>0.82</v>
      </c>
      <c r="Y198">
        <v>70</v>
      </c>
      <c r="Z198">
        <v>0</v>
      </c>
      <c r="AA198">
        <v>0</v>
      </c>
      <c r="AB198">
        <v>0</v>
      </c>
      <c r="AC198">
        <v>0</v>
      </c>
      <c r="AD198">
        <v>1</v>
      </c>
      <c r="AE198">
        <v>0</v>
      </c>
      <c r="AF198" t="s">
        <v>6</v>
      </c>
      <c r="AG198">
        <v>0.82</v>
      </c>
      <c r="AH198">
        <v>2</v>
      </c>
      <c r="AI198">
        <v>16750288</v>
      </c>
      <c r="AJ198">
        <v>205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</row>
    <row r="199" spans="1:44" x14ac:dyDescent="0.2">
      <c r="A199">
        <f>ROW(Source!A138)</f>
        <v>138</v>
      </c>
      <c r="B199">
        <v>16750297</v>
      </c>
      <c r="C199">
        <v>16750283</v>
      </c>
      <c r="D199">
        <v>15188398</v>
      </c>
      <c r="E199">
        <v>1</v>
      </c>
      <c r="F199">
        <v>1</v>
      </c>
      <c r="G199">
        <v>1</v>
      </c>
      <c r="H199">
        <v>3</v>
      </c>
      <c r="I199" t="s">
        <v>1270</v>
      </c>
      <c r="J199" t="s">
        <v>1271</v>
      </c>
      <c r="K199" t="s">
        <v>1272</v>
      </c>
      <c r="L199">
        <v>1301</v>
      </c>
      <c r="N199">
        <v>1003</v>
      </c>
      <c r="O199" t="s">
        <v>206</v>
      </c>
      <c r="P199" t="s">
        <v>206</v>
      </c>
      <c r="Q199">
        <v>1</v>
      </c>
      <c r="X199">
        <v>157</v>
      </c>
      <c r="Y199">
        <v>6.16</v>
      </c>
      <c r="Z199">
        <v>0</v>
      </c>
      <c r="AA199">
        <v>0</v>
      </c>
      <c r="AB199">
        <v>0</v>
      </c>
      <c r="AC199">
        <v>0</v>
      </c>
      <c r="AD199">
        <v>1</v>
      </c>
      <c r="AE199">
        <v>0</v>
      </c>
      <c r="AF199" t="s">
        <v>6</v>
      </c>
      <c r="AG199">
        <v>157</v>
      </c>
      <c r="AH199">
        <v>2</v>
      </c>
      <c r="AI199">
        <v>16750289</v>
      </c>
      <c r="AJ199">
        <v>206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</row>
    <row r="200" spans="1:44" x14ac:dyDescent="0.2">
      <c r="A200">
        <f>ROW(Source!A138)</f>
        <v>138</v>
      </c>
      <c r="B200">
        <v>16750298</v>
      </c>
      <c r="C200">
        <v>16750283</v>
      </c>
      <c r="D200">
        <v>15188460</v>
      </c>
      <c r="E200">
        <v>1</v>
      </c>
      <c r="F200">
        <v>1</v>
      </c>
      <c r="G200">
        <v>1</v>
      </c>
      <c r="H200">
        <v>3</v>
      </c>
      <c r="I200" t="s">
        <v>1273</v>
      </c>
      <c r="J200" t="s">
        <v>1274</v>
      </c>
      <c r="K200" t="s">
        <v>1275</v>
      </c>
      <c r="L200">
        <v>1301</v>
      </c>
      <c r="N200">
        <v>1003</v>
      </c>
      <c r="O200" t="s">
        <v>206</v>
      </c>
      <c r="P200" t="s">
        <v>206</v>
      </c>
      <c r="Q200">
        <v>1</v>
      </c>
      <c r="X200">
        <v>241</v>
      </c>
      <c r="Y200">
        <v>6.86</v>
      </c>
      <c r="Z200">
        <v>0</v>
      </c>
      <c r="AA200">
        <v>0</v>
      </c>
      <c r="AB200">
        <v>0</v>
      </c>
      <c r="AC200">
        <v>0</v>
      </c>
      <c r="AD200">
        <v>1</v>
      </c>
      <c r="AE200">
        <v>0</v>
      </c>
      <c r="AF200" t="s">
        <v>6</v>
      </c>
      <c r="AG200">
        <v>241</v>
      </c>
      <c r="AH200">
        <v>2</v>
      </c>
      <c r="AI200">
        <v>16750290</v>
      </c>
      <c r="AJ200">
        <v>207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</row>
    <row r="201" spans="1:44" x14ac:dyDescent="0.2">
      <c r="A201">
        <f>ROW(Source!A138)</f>
        <v>138</v>
      </c>
      <c r="B201">
        <v>16750299</v>
      </c>
      <c r="C201">
        <v>16750283</v>
      </c>
      <c r="D201">
        <v>15195776</v>
      </c>
      <c r="E201">
        <v>1</v>
      </c>
      <c r="F201">
        <v>1</v>
      </c>
      <c r="G201">
        <v>1</v>
      </c>
      <c r="H201">
        <v>3</v>
      </c>
      <c r="I201" t="s">
        <v>1276</v>
      </c>
      <c r="J201" t="s">
        <v>1277</v>
      </c>
      <c r="K201" t="s">
        <v>1278</v>
      </c>
      <c r="L201">
        <v>1301</v>
      </c>
      <c r="N201">
        <v>1003</v>
      </c>
      <c r="O201" t="s">
        <v>206</v>
      </c>
      <c r="P201" t="s">
        <v>206</v>
      </c>
      <c r="Q201">
        <v>1</v>
      </c>
      <c r="X201">
        <v>46</v>
      </c>
      <c r="Y201">
        <v>4.17</v>
      </c>
      <c r="Z201">
        <v>0</v>
      </c>
      <c r="AA201">
        <v>0</v>
      </c>
      <c r="AB201">
        <v>0</v>
      </c>
      <c r="AC201">
        <v>0</v>
      </c>
      <c r="AD201">
        <v>1</v>
      </c>
      <c r="AE201">
        <v>0</v>
      </c>
      <c r="AF201" t="s">
        <v>6</v>
      </c>
      <c r="AG201">
        <v>46</v>
      </c>
      <c r="AH201">
        <v>2</v>
      </c>
      <c r="AI201">
        <v>16750291</v>
      </c>
      <c r="AJ201">
        <v>208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</row>
    <row r="202" spans="1:44" x14ac:dyDescent="0.2">
      <c r="A202">
        <f>ROW(Source!A139)</f>
        <v>139</v>
      </c>
      <c r="B202">
        <v>16750307</v>
      </c>
      <c r="C202">
        <v>16750300</v>
      </c>
      <c r="D202">
        <v>15432273</v>
      </c>
      <c r="E202">
        <v>1</v>
      </c>
      <c r="F202">
        <v>1</v>
      </c>
      <c r="G202">
        <v>1</v>
      </c>
      <c r="H202">
        <v>1</v>
      </c>
      <c r="I202" t="s">
        <v>1279</v>
      </c>
      <c r="J202" t="s">
        <v>6</v>
      </c>
      <c r="K202" t="s">
        <v>1280</v>
      </c>
      <c r="L202">
        <v>1191</v>
      </c>
      <c r="N202">
        <v>1013</v>
      </c>
      <c r="O202" t="s">
        <v>1072</v>
      </c>
      <c r="P202" t="s">
        <v>1072</v>
      </c>
      <c r="Q202">
        <v>1</v>
      </c>
      <c r="X202">
        <v>18.3</v>
      </c>
      <c r="Y202">
        <v>0</v>
      </c>
      <c r="Z202">
        <v>0</v>
      </c>
      <c r="AA202">
        <v>0</v>
      </c>
      <c r="AB202">
        <v>8.24</v>
      </c>
      <c r="AC202">
        <v>0</v>
      </c>
      <c r="AD202">
        <v>1</v>
      </c>
      <c r="AE202">
        <v>1</v>
      </c>
      <c r="AF202" t="s">
        <v>173</v>
      </c>
      <c r="AG202">
        <v>21.044999999999998</v>
      </c>
      <c r="AH202">
        <v>2</v>
      </c>
      <c r="AI202">
        <v>16750301</v>
      </c>
      <c r="AJ202">
        <v>209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</row>
    <row r="203" spans="1:44" x14ac:dyDescent="0.2">
      <c r="A203">
        <f>ROW(Source!A139)</f>
        <v>139</v>
      </c>
      <c r="B203">
        <v>16750308</v>
      </c>
      <c r="C203">
        <v>16750300</v>
      </c>
      <c r="D203">
        <v>15430395</v>
      </c>
      <c r="E203">
        <v>1</v>
      </c>
      <c r="F203">
        <v>1</v>
      </c>
      <c r="G203">
        <v>1</v>
      </c>
      <c r="H203">
        <v>1</v>
      </c>
      <c r="I203" t="s">
        <v>1073</v>
      </c>
      <c r="J203" t="s">
        <v>6</v>
      </c>
      <c r="K203" t="s">
        <v>1074</v>
      </c>
      <c r="L203">
        <v>1191</v>
      </c>
      <c r="N203">
        <v>1013</v>
      </c>
      <c r="O203" t="s">
        <v>1072</v>
      </c>
      <c r="P203" t="s">
        <v>1072</v>
      </c>
      <c r="Q203">
        <v>1</v>
      </c>
      <c r="X203">
        <v>0.52</v>
      </c>
      <c r="Y203">
        <v>0</v>
      </c>
      <c r="Z203">
        <v>0</v>
      </c>
      <c r="AA203">
        <v>0</v>
      </c>
      <c r="AB203">
        <v>0</v>
      </c>
      <c r="AC203">
        <v>0</v>
      </c>
      <c r="AD203">
        <v>1</v>
      </c>
      <c r="AE203">
        <v>2</v>
      </c>
      <c r="AF203" t="s">
        <v>172</v>
      </c>
      <c r="AG203">
        <v>0.65</v>
      </c>
      <c r="AH203">
        <v>2</v>
      </c>
      <c r="AI203">
        <v>16750302</v>
      </c>
      <c r="AJ203">
        <v>210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</row>
    <row r="204" spans="1:44" x14ac:dyDescent="0.2">
      <c r="A204">
        <f>ROW(Source!A139)</f>
        <v>139</v>
      </c>
      <c r="B204">
        <v>16750309</v>
      </c>
      <c r="C204">
        <v>16750300</v>
      </c>
      <c r="D204">
        <v>15249073</v>
      </c>
      <c r="E204">
        <v>1</v>
      </c>
      <c r="F204">
        <v>1</v>
      </c>
      <c r="G204">
        <v>1</v>
      </c>
      <c r="H204">
        <v>2</v>
      </c>
      <c r="I204" t="s">
        <v>1097</v>
      </c>
      <c r="J204" t="s">
        <v>1098</v>
      </c>
      <c r="K204" t="s">
        <v>1099</v>
      </c>
      <c r="L204">
        <v>1368</v>
      </c>
      <c r="N204">
        <v>1011</v>
      </c>
      <c r="O204" t="s">
        <v>1078</v>
      </c>
      <c r="P204" t="s">
        <v>1078</v>
      </c>
      <c r="Q204">
        <v>1</v>
      </c>
      <c r="X204">
        <v>0.52</v>
      </c>
      <c r="Y204">
        <v>0</v>
      </c>
      <c r="Z204">
        <v>65.709999999999994</v>
      </c>
      <c r="AA204">
        <v>11.6</v>
      </c>
      <c r="AB204">
        <v>0</v>
      </c>
      <c r="AC204">
        <v>0</v>
      </c>
      <c r="AD204">
        <v>1</v>
      </c>
      <c r="AE204">
        <v>0</v>
      </c>
      <c r="AF204" t="s">
        <v>172</v>
      </c>
      <c r="AG204">
        <v>0.65</v>
      </c>
      <c r="AH204">
        <v>2</v>
      </c>
      <c r="AI204">
        <v>16750303</v>
      </c>
      <c r="AJ204">
        <v>211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</row>
    <row r="205" spans="1:44" x14ac:dyDescent="0.2">
      <c r="A205">
        <f>ROW(Source!A139)</f>
        <v>139</v>
      </c>
      <c r="B205">
        <v>16750310</v>
      </c>
      <c r="C205">
        <v>16750300</v>
      </c>
      <c r="D205">
        <v>15170043</v>
      </c>
      <c r="E205">
        <v>1</v>
      </c>
      <c r="F205">
        <v>1</v>
      </c>
      <c r="G205">
        <v>1</v>
      </c>
      <c r="H205">
        <v>3</v>
      </c>
      <c r="I205" t="s">
        <v>1281</v>
      </c>
      <c r="J205" t="s">
        <v>1282</v>
      </c>
      <c r="K205" t="s">
        <v>1283</v>
      </c>
      <c r="L205">
        <v>1348</v>
      </c>
      <c r="N205">
        <v>1009</v>
      </c>
      <c r="O205" t="s">
        <v>71</v>
      </c>
      <c r="P205" t="s">
        <v>71</v>
      </c>
      <c r="Q205">
        <v>1000</v>
      </c>
      <c r="X205">
        <v>3.7000000000000002E-3</v>
      </c>
      <c r="Y205">
        <v>8475</v>
      </c>
      <c r="Z205">
        <v>0</v>
      </c>
      <c r="AA205">
        <v>0</v>
      </c>
      <c r="AB205">
        <v>0</v>
      </c>
      <c r="AC205">
        <v>0</v>
      </c>
      <c r="AD205">
        <v>1</v>
      </c>
      <c r="AE205">
        <v>0</v>
      </c>
      <c r="AF205" t="s">
        <v>6</v>
      </c>
      <c r="AG205">
        <v>3.7000000000000002E-3</v>
      </c>
      <c r="AH205">
        <v>2</v>
      </c>
      <c r="AI205">
        <v>16750304</v>
      </c>
      <c r="AJ205">
        <v>213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</row>
    <row r="206" spans="1:44" x14ac:dyDescent="0.2">
      <c r="A206">
        <f>ROW(Source!A139)</f>
        <v>139</v>
      </c>
      <c r="B206">
        <v>16750311</v>
      </c>
      <c r="C206">
        <v>16750300</v>
      </c>
      <c r="D206">
        <v>15196813</v>
      </c>
      <c r="E206">
        <v>1</v>
      </c>
      <c r="F206">
        <v>1</v>
      </c>
      <c r="G206">
        <v>1</v>
      </c>
      <c r="H206">
        <v>3</v>
      </c>
      <c r="I206" t="s">
        <v>388</v>
      </c>
      <c r="J206" t="s">
        <v>391</v>
      </c>
      <c r="K206" t="s">
        <v>389</v>
      </c>
      <c r="L206">
        <v>1329</v>
      </c>
      <c r="N206">
        <v>1005</v>
      </c>
      <c r="O206" t="s">
        <v>390</v>
      </c>
      <c r="P206" t="s">
        <v>390</v>
      </c>
      <c r="Q206">
        <v>1000</v>
      </c>
      <c r="X206">
        <v>0.10249999999999999</v>
      </c>
      <c r="Y206">
        <v>12000</v>
      </c>
      <c r="Z206">
        <v>0</v>
      </c>
      <c r="AA206">
        <v>0</v>
      </c>
      <c r="AB206">
        <v>0</v>
      </c>
      <c r="AC206">
        <v>0</v>
      </c>
      <c r="AD206">
        <v>1</v>
      </c>
      <c r="AE206">
        <v>0</v>
      </c>
      <c r="AF206" t="s">
        <v>6</v>
      </c>
      <c r="AG206">
        <v>0.10249999999999999</v>
      </c>
      <c r="AH206">
        <v>2</v>
      </c>
      <c r="AI206">
        <v>16750305</v>
      </c>
      <c r="AJ206">
        <v>214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</row>
    <row r="207" spans="1:44" x14ac:dyDescent="0.2">
      <c r="A207">
        <f>ROW(Source!A142)</f>
        <v>142</v>
      </c>
      <c r="B207">
        <v>16750328</v>
      </c>
      <c r="C207">
        <v>16750314</v>
      </c>
      <c r="D207">
        <v>15438286</v>
      </c>
      <c r="E207">
        <v>1</v>
      </c>
      <c r="F207">
        <v>1</v>
      </c>
      <c r="G207">
        <v>1</v>
      </c>
      <c r="H207">
        <v>1</v>
      </c>
      <c r="I207" t="s">
        <v>1177</v>
      </c>
      <c r="J207" t="s">
        <v>6</v>
      </c>
      <c r="K207" t="s">
        <v>1178</v>
      </c>
      <c r="L207">
        <v>1191</v>
      </c>
      <c r="N207">
        <v>1013</v>
      </c>
      <c r="O207" t="s">
        <v>1072</v>
      </c>
      <c r="P207" t="s">
        <v>1072</v>
      </c>
      <c r="Q207">
        <v>1</v>
      </c>
      <c r="X207">
        <v>159.66999999999999</v>
      </c>
      <c r="Y207">
        <v>0</v>
      </c>
      <c r="Z207">
        <v>0</v>
      </c>
      <c r="AA207">
        <v>0</v>
      </c>
      <c r="AB207">
        <v>9.18</v>
      </c>
      <c r="AC207">
        <v>0</v>
      </c>
      <c r="AD207">
        <v>1</v>
      </c>
      <c r="AE207">
        <v>1</v>
      </c>
      <c r="AF207" t="s">
        <v>173</v>
      </c>
      <c r="AG207">
        <v>183.62049999999996</v>
      </c>
      <c r="AH207">
        <v>2</v>
      </c>
      <c r="AI207">
        <v>16750315</v>
      </c>
      <c r="AJ207">
        <v>215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</row>
    <row r="208" spans="1:44" x14ac:dyDescent="0.2">
      <c r="A208">
        <f>ROW(Source!A142)</f>
        <v>142</v>
      </c>
      <c r="B208">
        <v>16750329</v>
      </c>
      <c r="C208">
        <v>16750314</v>
      </c>
      <c r="D208">
        <v>15430395</v>
      </c>
      <c r="E208">
        <v>1</v>
      </c>
      <c r="F208">
        <v>1</v>
      </c>
      <c r="G208">
        <v>1</v>
      </c>
      <c r="H208">
        <v>1</v>
      </c>
      <c r="I208" t="s">
        <v>1073</v>
      </c>
      <c r="J208" t="s">
        <v>6</v>
      </c>
      <c r="K208" t="s">
        <v>1074</v>
      </c>
      <c r="L208">
        <v>1191</v>
      </c>
      <c r="N208">
        <v>1013</v>
      </c>
      <c r="O208" t="s">
        <v>1072</v>
      </c>
      <c r="P208" t="s">
        <v>1072</v>
      </c>
      <c r="Q208">
        <v>1</v>
      </c>
      <c r="X208">
        <v>1.65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1</v>
      </c>
      <c r="AE208">
        <v>2</v>
      </c>
      <c r="AF208" t="s">
        <v>172</v>
      </c>
      <c r="AG208">
        <v>2.0625</v>
      </c>
      <c r="AH208">
        <v>2</v>
      </c>
      <c r="AI208">
        <v>16750316</v>
      </c>
      <c r="AJ208">
        <v>216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</row>
    <row r="209" spans="1:44" x14ac:dyDescent="0.2">
      <c r="A209">
        <f>ROW(Source!A142)</f>
        <v>142</v>
      </c>
      <c r="B209">
        <v>16750330</v>
      </c>
      <c r="C209">
        <v>16750314</v>
      </c>
      <c r="D209">
        <v>15247905</v>
      </c>
      <c r="E209">
        <v>1</v>
      </c>
      <c r="F209">
        <v>1</v>
      </c>
      <c r="G209">
        <v>1</v>
      </c>
      <c r="H209">
        <v>2</v>
      </c>
      <c r="I209" t="s">
        <v>1228</v>
      </c>
      <c r="J209" t="s">
        <v>1229</v>
      </c>
      <c r="K209" t="s">
        <v>1230</v>
      </c>
      <c r="L209">
        <v>1368</v>
      </c>
      <c r="N209">
        <v>1011</v>
      </c>
      <c r="O209" t="s">
        <v>1078</v>
      </c>
      <c r="P209" t="s">
        <v>1078</v>
      </c>
      <c r="Q209">
        <v>1</v>
      </c>
      <c r="X209">
        <v>0.08</v>
      </c>
      <c r="Y209">
        <v>0</v>
      </c>
      <c r="Z209">
        <v>89.99</v>
      </c>
      <c r="AA209">
        <v>10.06</v>
      </c>
      <c r="AB209">
        <v>0</v>
      </c>
      <c r="AC209">
        <v>0</v>
      </c>
      <c r="AD209">
        <v>1</v>
      </c>
      <c r="AE209">
        <v>0</v>
      </c>
      <c r="AF209" t="s">
        <v>172</v>
      </c>
      <c r="AG209">
        <v>0.1</v>
      </c>
      <c r="AH209">
        <v>2</v>
      </c>
      <c r="AI209">
        <v>16750317</v>
      </c>
      <c r="AJ209">
        <v>217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</row>
    <row r="210" spans="1:44" x14ac:dyDescent="0.2">
      <c r="A210">
        <f>ROW(Source!A142)</f>
        <v>142</v>
      </c>
      <c r="B210">
        <v>16750331</v>
      </c>
      <c r="C210">
        <v>16750314</v>
      </c>
      <c r="D210">
        <v>15247974</v>
      </c>
      <c r="E210">
        <v>1</v>
      </c>
      <c r="F210">
        <v>1</v>
      </c>
      <c r="G210">
        <v>1</v>
      </c>
      <c r="H210">
        <v>2</v>
      </c>
      <c r="I210" t="s">
        <v>1075</v>
      </c>
      <c r="J210" t="s">
        <v>1076</v>
      </c>
      <c r="K210" t="s">
        <v>1077</v>
      </c>
      <c r="L210">
        <v>1368</v>
      </c>
      <c r="N210">
        <v>1011</v>
      </c>
      <c r="O210" t="s">
        <v>1078</v>
      </c>
      <c r="P210" t="s">
        <v>1078</v>
      </c>
      <c r="Q210">
        <v>1</v>
      </c>
      <c r="X210">
        <v>0.27</v>
      </c>
      <c r="Y210">
        <v>0</v>
      </c>
      <c r="Z210">
        <v>31.26</v>
      </c>
      <c r="AA210">
        <v>13.5</v>
      </c>
      <c r="AB210">
        <v>0</v>
      </c>
      <c r="AC210">
        <v>0</v>
      </c>
      <c r="AD210">
        <v>1</v>
      </c>
      <c r="AE210">
        <v>0</v>
      </c>
      <c r="AF210" t="s">
        <v>172</v>
      </c>
      <c r="AG210">
        <v>0.33750000000000002</v>
      </c>
      <c r="AH210">
        <v>2</v>
      </c>
      <c r="AI210">
        <v>16750318</v>
      </c>
      <c r="AJ210">
        <v>218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</row>
    <row r="211" spans="1:44" x14ac:dyDescent="0.2">
      <c r="A211">
        <f>ROW(Source!A142)</f>
        <v>142</v>
      </c>
      <c r="B211">
        <v>16750332</v>
      </c>
      <c r="C211">
        <v>16750314</v>
      </c>
      <c r="D211">
        <v>15248143</v>
      </c>
      <c r="E211">
        <v>1</v>
      </c>
      <c r="F211">
        <v>1</v>
      </c>
      <c r="G211">
        <v>1</v>
      </c>
      <c r="H211">
        <v>2</v>
      </c>
      <c r="I211" t="s">
        <v>1231</v>
      </c>
      <c r="J211" t="s">
        <v>1232</v>
      </c>
      <c r="K211" t="s">
        <v>1233</v>
      </c>
      <c r="L211">
        <v>1368</v>
      </c>
      <c r="N211">
        <v>1011</v>
      </c>
      <c r="O211" t="s">
        <v>1078</v>
      </c>
      <c r="P211" t="s">
        <v>1078</v>
      </c>
      <c r="Q211">
        <v>1</v>
      </c>
      <c r="X211">
        <v>1.3</v>
      </c>
      <c r="Y211">
        <v>0</v>
      </c>
      <c r="Z211">
        <v>12.39</v>
      </c>
      <c r="AA211">
        <v>10.06</v>
      </c>
      <c r="AB211">
        <v>0</v>
      </c>
      <c r="AC211">
        <v>0</v>
      </c>
      <c r="AD211">
        <v>1</v>
      </c>
      <c r="AE211">
        <v>0</v>
      </c>
      <c r="AF211" t="s">
        <v>172</v>
      </c>
      <c r="AG211">
        <v>1.625</v>
      </c>
      <c r="AH211">
        <v>2</v>
      </c>
      <c r="AI211">
        <v>16750319</v>
      </c>
      <c r="AJ211">
        <v>219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</row>
    <row r="212" spans="1:44" x14ac:dyDescent="0.2">
      <c r="A212">
        <f>ROW(Source!A142)</f>
        <v>142</v>
      </c>
      <c r="B212">
        <v>16750333</v>
      </c>
      <c r="C212">
        <v>16750314</v>
      </c>
      <c r="D212">
        <v>15167286</v>
      </c>
      <c r="E212">
        <v>1</v>
      </c>
      <c r="F212">
        <v>1</v>
      </c>
      <c r="G212">
        <v>1</v>
      </c>
      <c r="H212">
        <v>3</v>
      </c>
      <c r="I212" t="s">
        <v>1079</v>
      </c>
      <c r="J212" t="s">
        <v>1080</v>
      </c>
      <c r="K212" t="s">
        <v>1081</v>
      </c>
      <c r="L212">
        <v>1339</v>
      </c>
      <c r="N212">
        <v>1007</v>
      </c>
      <c r="O212" t="s">
        <v>283</v>
      </c>
      <c r="P212" t="s">
        <v>283</v>
      </c>
      <c r="Q212">
        <v>1</v>
      </c>
      <c r="X212">
        <v>0.93</v>
      </c>
      <c r="Y212">
        <v>2.44</v>
      </c>
      <c r="Z212">
        <v>0</v>
      </c>
      <c r="AA212">
        <v>0</v>
      </c>
      <c r="AB212">
        <v>0</v>
      </c>
      <c r="AC212">
        <v>0</v>
      </c>
      <c r="AD212">
        <v>1</v>
      </c>
      <c r="AE212">
        <v>0</v>
      </c>
      <c r="AF212" t="s">
        <v>6</v>
      </c>
      <c r="AG212">
        <v>0.93</v>
      </c>
      <c r="AH212">
        <v>2</v>
      </c>
      <c r="AI212">
        <v>16750320</v>
      </c>
      <c r="AJ212">
        <v>220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</row>
    <row r="213" spans="1:44" x14ac:dyDescent="0.2">
      <c r="A213">
        <f>ROW(Source!A142)</f>
        <v>142</v>
      </c>
      <c r="B213">
        <v>16750334</v>
      </c>
      <c r="C213">
        <v>16750314</v>
      </c>
      <c r="D213">
        <v>15171018</v>
      </c>
      <c r="E213">
        <v>1</v>
      </c>
      <c r="F213">
        <v>1</v>
      </c>
      <c r="G213">
        <v>1</v>
      </c>
      <c r="H213">
        <v>3</v>
      </c>
      <c r="I213" t="s">
        <v>1168</v>
      </c>
      <c r="J213" t="s">
        <v>1169</v>
      </c>
      <c r="K213" t="s">
        <v>1170</v>
      </c>
      <c r="L213">
        <v>1346</v>
      </c>
      <c r="N213">
        <v>1009</v>
      </c>
      <c r="O213" t="s">
        <v>323</v>
      </c>
      <c r="P213" t="s">
        <v>323</v>
      </c>
      <c r="Q213">
        <v>1</v>
      </c>
      <c r="X213">
        <v>0.5</v>
      </c>
      <c r="Y213">
        <v>1.82</v>
      </c>
      <c r="Z213">
        <v>0</v>
      </c>
      <c r="AA213">
        <v>0</v>
      </c>
      <c r="AB213">
        <v>0</v>
      </c>
      <c r="AC213">
        <v>0</v>
      </c>
      <c r="AD213">
        <v>1</v>
      </c>
      <c r="AE213">
        <v>0</v>
      </c>
      <c r="AF213" t="s">
        <v>6</v>
      </c>
      <c r="AG213">
        <v>0.5</v>
      </c>
      <c r="AH213">
        <v>2</v>
      </c>
      <c r="AI213">
        <v>16750321</v>
      </c>
      <c r="AJ213">
        <v>221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</row>
    <row r="214" spans="1:44" x14ac:dyDescent="0.2">
      <c r="A214">
        <f>ROW(Source!A142)</f>
        <v>142</v>
      </c>
      <c r="B214">
        <v>16750335</v>
      </c>
      <c r="C214">
        <v>16750314</v>
      </c>
      <c r="D214">
        <v>15162949</v>
      </c>
      <c r="E214">
        <v>17</v>
      </c>
      <c r="F214">
        <v>1</v>
      </c>
      <c r="G214">
        <v>1</v>
      </c>
      <c r="H214">
        <v>3</v>
      </c>
      <c r="I214" t="s">
        <v>343</v>
      </c>
      <c r="J214" t="s">
        <v>6</v>
      </c>
      <c r="K214" t="s">
        <v>397</v>
      </c>
      <c r="L214">
        <v>1348</v>
      </c>
      <c r="N214">
        <v>1009</v>
      </c>
      <c r="O214" t="s">
        <v>71</v>
      </c>
      <c r="P214" t="s">
        <v>71</v>
      </c>
      <c r="Q214">
        <v>1000</v>
      </c>
      <c r="X214">
        <v>0.05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0</v>
      </c>
      <c r="AE214">
        <v>0</v>
      </c>
      <c r="AF214" t="s">
        <v>6</v>
      </c>
      <c r="AG214">
        <v>0.05</v>
      </c>
      <c r="AH214">
        <v>2</v>
      </c>
      <c r="AI214">
        <v>16750322</v>
      </c>
      <c r="AJ214">
        <v>222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</row>
    <row r="215" spans="1:44" x14ac:dyDescent="0.2">
      <c r="A215">
        <f>ROW(Source!A142)</f>
        <v>142</v>
      </c>
      <c r="B215">
        <v>16750336</v>
      </c>
      <c r="C215">
        <v>16750314</v>
      </c>
      <c r="D215">
        <v>15162946</v>
      </c>
      <c r="E215">
        <v>17</v>
      </c>
      <c r="F215">
        <v>1</v>
      </c>
      <c r="G215">
        <v>1</v>
      </c>
      <c r="H215">
        <v>3</v>
      </c>
      <c r="I215" t="s">
        <v>411</v>
      </c>
      <c r="J215" t="s">
        <v>6</v>
      </c>
      <c r="K215" t="s">
        <v>412</v>
      </c>
      <c r="L215">
        <v>1327</v>
      </c>
      <c r="N215">
        <v>1005</v>
      </c>
      <c r="O215" t="s">
        <v>89</v>
      </c>
      <c r="P215" t="s">
        <v>89</v>
      </c>
      <c r="Q215">
        <v>1</v>
      </c>
      <c r="X215">
        <v>100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0</v>
      </c>
      <c r="AE215">
        <v>0</v>
      </c>
      <c r="AF215" t="s">
        <v>6</v>
      </c>
      <c r="AG215">
        <v>100</v>
      </c>
      <c r="AH215">
        <v>2</v>
      </c>
      <c r="AI215">
        <v>16750323</v>
      </c>
      <c r="AJ215">
        <v>225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</row>
    <row r="216" spans="1:44" x14ac:dyDescent="0.2">
      <c r="A216">
        <f>ROW(Source!A142)</f>
        <v>142</v>
      </c>
      <c r="B216">
        <v>16750337</v>
      </c>
      <c r="C216">
        <v>16750314</v>
      </c>
      <c r="D216">
        <v>15162952</v>
      </c>
      <c r="E216">
        <v>17</v>
      </c>
      <c r="F216">
        <v>1</v>
      </c>
      <c r="G216">
        <v>1</v>
      </c>
      <c r="H216">
        <v>3</v>
      </c>
      <c r="I216" t="s">
        <v>414</v>
      </c>
      <c r="J216" t="s">
        <v>6</v>
      </c>
      <c r="K216" t="s">
        <v>415</v>
      </c>
      <c r="L216">
        <v>1348</v>
      </c>
      <c r="N216">
        <v>1009</v>
      </c>
      <c r="O216" t="s">
        <v>71</v>
      </c>
      <c r="P216" t="s">
        <v>71</v>
      </c>
      <c r="Q216">
        <v>1000</v>
      </c>
      <c r="X216">
        <v>0.375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0</v>
      </c>
      <c r="AF216" t="s">
        <v>6</v>
      </c>
      <c r="AG216">
        <v>0.375</v>
      </c>
      <c r="AH216">
        <v>2</v>
      </c>
      <c r="AI216">
        <v>16750324</v>
      </c>
      <c r="AJ216">
        <v>226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</row>
    <row r="217" spans="1:44" x14ac:dyDescent="0.2">
      <c r="A217">
        <f>ROW(Source!A149)</f>
        <v>149</v>
      </c>
      <c r="B217">
        <v>16750353</v>
      </c>
      <c r="C217">
        <v>16750344</v>
      </c>
      <c r="D217">
        <v>15438406</v>
      </c>
      <c r="E217">
        <v>1</v>
      </c>
      <c r="F217">
        <v>1</v>
      </c>
      <c r="G217">
        <v>1</v>
      </c>
      <c r="H217">
        <v>1</v>
      </c>
      <c r="I217" t="s">
        <v>1284</v>
      </c>
      <c r="J217" t="s">
        <v>6</v>
      </c>
      <c r="K217" t="s">
        <v>1285</v>
      </c>
      <c r="L217">
        <v>1191</v>
      </c>
      <c r="N217">
        <v>1013</v>
      </c>
      <c r="O217" t="s">
        <v>1072</v>
      </c>
      <c r="P217" t="s">
        <v>1072</v>
      </c>
      <c r="Q217">
        <v>1</v>
      </c>
      <c r="X217">
        <v>1.26</v>
      </c>
      <c r="Y217">
        <v>0</v>
      </c>
      <c r="Z217">
        <v>0</v>
      </c>
      <c r="AA217">
        <v>0</v>
      </c>
      <c r="AB217">
        <v>10.210000000000001</v>
      </c>
      <c r="AC217">
        <v>0</v>
      </c>
      <c r="AD217">
        <v>1</v>
      </c>
      <c r="AE217">
        <v>1</v>
      </c>
      <c r="AF217" t="s">
        <v>173</v>
      </c>
      <c r="AG217">
        <v>1.4489999999999998</v>
      </c>
      <c r="AH217">
        <v>2</v>
      </c>
      <c r="AI217">
        <v>16750345</v>
      </c>
      <c r="AJ217">
        <v>228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</row>
    <row r="218" spans="1:44" x14ac:dyDescent="0.2">
      <c r="A218">
        <f>ROW(Source!A149)</f>
        <v>149</v>
      </c>
      <c r="B218">
        <v>16750354</v>
      </c>
      <c r="C218">
        <v>16750344</v>
      </c>
      <c r="D218">
        <v>15430395</v>
      </c>
      <c r="E218">
        <v>1</v>
      </c>
      <c r="F218">
        <v>1</v>
      </c>
      <c r="G218">
        <v>1</v>
      </c>
      <c r="H218">
        <v>1</v>
      </c>
      <c r="I218" t="s">
        <v>1073</v>
      </c>
      <c r="J218" t="s">
        <v>6</v>
      </c>
      <c r="K218" t="s">
        <v>1074</v>
      </c>
      <c r="L218">
        <v>1191</v>
      </c>
      <c r="N218">
        <v>1013</v>
      </c>
      <c r="O218" t="s">
        <v>1072</v>
      </c>
      <c r="P218" t="s">
        <v>1072</v>
      </c>
      <c r="Q218">
        <v>1</v>
      </c>
      <c r="X218">
        <v>0.04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1</v>
      </c>
      <c r="AE218">
        <v>2</v>
      </c>
      <c r="AF218" t="s">
        <v>172</v>
      </c>
      <c r="AG218">
        <v>0.05</v>
      </c>
      <c r="AH218">
        <v>2</v>
      </c>
      <c r="AI218">
        <v>16750346</v>
      </c>
      <c r="AJ218">
        <v>229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</row>
    <row r="219" spans="1:44" x14ac:dyDescent="0.2">
      <c r="A219">
        <f>ROW(Source!A149)</f>
        <v>149</v>
      </c>
      <c r="B219">
        <v>16750355</v>
      </c>
      <c r="C219">
        <v>16750344</v>
      </c>
      <c r="D219">
        <v>15249073</v>
      </c>
      <c r="E219">
        <v>1</v>
      </c>
      <c r="F219">
        <v>1</v>
      </c>
      <c r="G219">
        <v>1</v>
      </c>
      <c r="H219">
        <v>2</v>
      </c>
      <c r="I219" t="s">
        <v>1097</v>
      </c>
      <c r="J219" t="s">
        <v>1098</v>
      </c>
      <c r="K219" t="s">
        <v>1099</v>
      </c>
      <c r="L219">
        <v>1368</v>
      </c>
      <c r="N219">
        <v>1011</v>
      </c>
      <c r="O219" t="s">
        <v>1078</v>
      </c>
      <c r="P219" t="s">
        <v>1078</v>
      </c>
      <c r="Q219">
        <v>1</v>
      </c>
      <c r="X219">
        <v>0.04</v>
      </c>
      <c r="Y219">
        <v>0</v>
      </c>
      <c r="Z219">
        <v>65.709999999999994</v>
      </c>
      <c r="AA219">
        <v>11.6</v>
      </c>
      <c r="AB219">
        <v>0</v>
      </c>
      <c r="AC219">
        <v>0</v>
      </c>
      <c r="AD219">
        <v>1</v>
      </c>
      <c r="AE219">
        <v>0</v>
      </c>
      <c r="AF219" t="s">
        <v>172</v>
      </c>
      <c r="AG219">
        <v>0.05</v>
      </c>
      <c r="AH219">
        <v>2</v>
      </c>
      <c r="AI219">
        <v>16750347</v>
      </c>
      <c r="AJ219">
        <v>230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</row>
    <row r="220" spans="1:44" x14ac:dyDescent="0.2">
      <c r="A220">
        <f>ROW(Source!A149)</f>
        <v>149</v>
      </c>
      <c r="B220">
        <v>16750356</v>
      </c>
      <c r="C220">
        <v>16750344</v>
      </c>
      <c r="D220">
        <v>15249377</v>
      </c>
      <c r="E220">
        <v>1</v>
      </c>
      <c r="F220">
        <v>1</v>
      </c>
      <c r="G220">
        <v>1</v>
      </c>
      <c r="H220">
        <v>2</v>
      </c>
      <c r="I220" t="s">
        <v>1100</v>
      </c>
      <c r="J220" t="s">
        <v>1101</v>
      </c>
      <c r="K220" t="s">
        <v>1102</v>
      </c>
      <c r="L220">
        <v>1368</v>
      </c>
      <c r="N220">
        <v>1011</v>
      </c>
      <c r="O220" t="s">
        <v>1078</v>
      </c>
      <c r="P220" t="s">
        <v>1078</v>
      </c>
      <c r="Q220">
        <v>1</v>
      </c>
      <c r="X220">
        <v>0.56999999999999995</v>
      </c>
      <c r="Y220">
        <v>0</v>
      </c>
      <c r="Z220">
        <v>8.1</v>
      </c>
      <c r="AA220">
        <v>0</v>
      </c>
      <c r="AB220">
        <v>0</v>
      </c>
      <c r="AC220">
        <v>0</v>
      </c>
      <c r="AD220">
        <v>1</v>
      </c>
      <c r="AE220">
        <v>0</v>
      </c>
      <c r="AF220" t="s">
        <v>172</v>
      </c>
      <c r="AG220">
        <v>0.71249999999999991</v>
      </c>
      <c r="AH220">
        <v>2</v>
      </c>
      <c r="AI220">
        <v>16750348</v>
      </c>
      <c r="AJ220">
        <v>231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</row>
    <row r="221" spans="1:44" x14ac:dyDescent="0.2">
      <c r="A221">
        <f>ROW(Source!A149)</f>
        <v>149</v>
      </c>
      <c r="B221">
        <v>16750357</v>
      </c>
      <c r="C221">
        <v>16750344</v>
      </c>
      <c r="D221">
        <v>15168763</v>
      </c>
      <c r="E221">
        <v>1</v>
      </c>
      <c r="F221">
        <v>1</v>
      </c>
      <c r="G221">
        <v>1</v>
      </c>
      <c r="H221">
        <v>3</v>
      </c>
      <c r="I221" t="s">
        <v>1286</v>
      </c>
      <c r="J221" t="s">
        <v>1287</v>
      </c>
      <c r="K221" t="s">
        <v>1288</v>
      </c>
      <c r="L221">
        <v>1348</v>
      </c>
      <c r="N221">
        <v>1009</v>
      </c>
      <c r="O221" t="s">
        <v>71</v>
      </c>
      <c r="P221" t="s">
        <v>71</v>
      </c>
      <c r="Q221">
        <v>1000</v>
      </c>
      <c r="X221">
        <v>4.8999999999999998E-4</v>
      </c>
      <c r="Y221">
        <v>10362</v>
      </c>
      <c r="Z221">
        <v>0</v>
      </c>
      <c r="AA221">
        <v>0</v>
      </c>
      <c r="AB221">
        <v>0</v>
      </c>
      <c r="AC221">
        <v>0</v>
      </c>
      <c r="AD221">
        <v>1</v>
      </c>
      <c r="AE221">
        <v>0</v>
      </c>
      <c r="AF221" t="s">
        <v>6</v>
      </c>
      <c r="AG221">
        <v>4.8999999999999998E-4</v>
      </c>
      <c r="AH221">
        <v>2</v>
      </c>
      <c r="AI221">
        <v>16750349</v>
      </c>
      <c r="AJ221">
        <v>232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</row>
    <row r="222" spans="1:44" x14ac:dyDescent="0.2">
      <c r="A222">
        <f>ROW(Source!A149)</f>
        <v>149</v>
      </c>
      <c r="B222">
        <v>16750358</v>
      </c>
      <c r="C222">
        <v>16750344</v>
      </c>
      <c r="D222">
        <v>15169941</v>
      </c>
      <c r="E222">
        <v>1</v>
      </c>
      <c r="F222">
        <v>1</v>
      </c>
      <c r="G222">
        <v>1</v>
      </c>
      <c r="H222">
        <v>3</v>
      </c>
      <c r="I222" t="s">
        <v>1289</v>
      </c>
      <c r="J222" t="s">
        <v>1290</v>
      </c>
      <c r="K222" t="s">
        <v>1291</v>
      </c>
      <c r="L222">
        <v>1348</v>
      </c>
      <c r="N222">
        <v>1009</v>
      </c>
      <c r="O222" t="s">
        <v>71</v>
      </c>
      <c r="P222" t="s">
        <v>71</v>
      </c>
      <c r="Q222">
        <v>1000</v>
      </c>
      <c r="X222">
        <v>1.9E-3</v>
      </c>
      <c r="Y222">
        <v>9040.01</v>
      </c>
      <c r="Z222">
        <v>0</v>
      </c>
      <c r="AA222">
        <v>0</v>
      </c>
      <c r="AB222">
        <v>0</v>
      </c>
      <c r="AC222">
        <v>0</v>
      </c>
      <c r="AD222">
        <v>1</v>
      </c>
      <c r="AE222">
        <v>0</v>
      </c>
      <c r="AF222" t="s">
        <v>6</v>
      </c>
      <c r="AG222">
        <v>1.9E-3</v>
      </c>
      <c r="AH222">
        <v>2</v>
      </c>
      <c r="AI222">
        <v>16750350</v>
      </c>
      <c r="AJ222">
        <v>233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</row>
    <row r="223" spans="1:44" x14ac:dyDescent="0.2">
      <c r="A223">
        <f>ROW(Source!A149)</f>
        <v>149</v>
      </c>
      <c r="B223">
        <v>16750359</v>
      </c>
      <c r="C223">
        <v>16750344</v>
      </c>
      <c r="D223">
        <v>15163377</v>
      </c>
      <c r="E223">
        <v>17</v>
      </c>
      <c r="F223">
        <v>1</v>
      </c>
      <c r="G223">
        <v>1</v>
      </c>
      <c r="H223">
        <v>3</v>
      </c>
      <c r="I223" t="s">
        <v>427</v>
      </c>
      <c r="J223" t="s">
        <v>6</v>
      </c>
      <c r="K223" t="s">
        <v>428</v>
      </c>
      <c r="L223">
        <v>1354</v>
      </c>
      <c r="N223">
        <v>1010</v>
      </c>
      <c r="O223" t="s">
        <v>53</v>
      </c>
      <c r="P223" t="s">
        <v>53</v>
      </c>
      <c r="Q223">
        <v>1</v>
      </c>
      <c r="X223">
        <v>1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0</v>
      </c>
      <c r="AF223" t="s">
        <v>6</v>
      </c>
      <c r="AG223">
        <v>1</v>
      </c>
      <c r="AH223">
        <v>2</v>
      </c>
      <c r="AI223">
        <v>16750351</v>
      </c>
      <c r="AJ223">
        <v>234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</row>
    <row r="224" spans="1:44" x14ac:dyDescent="0.2">
      <c r="A224">
        <f>ROW(Source!A152)</f>
        <v>152</v>
      </c>
      <c r="B224">
        <v>16750370</v>
      </c>
      <c r="C224">
        <v>16750362</v>
      </c>
      <c r="D224">
        <v>15430517</v>
      </c>
      <c r="E224">
        <v>1</v>
      </c>
      <c r="F224">
        <v>1</v>
      </c>
      <c r="G224">
        <v>1</v>
      </c>
      <c r="H224">
        <v>1</v>
      </c>
      <c r="I224" t="s">
        <v>1085</v>
      </c>
      <c r="J224" t="s">
        <v>6</v>
      </c>
      <c r="K224" t="s">
        <v>1086</v>
      </c>
      <c r="L224">
        <v>1191</v>
      </c>
      <c r="N224">
        <v>1013</v>
      </c>
      <c r="O224" t="s">
        <v>1072</v>
      </c>
      <c r="P224" t="s">
        <v>1072</v>
      </c>
      <c r="Q224">
        <v>1</v>
      </c>
      <c r="X224">
        <v>40.65</v>
      </c>
      <c r="Y224">
        <v>0</v>
      </c>
      <c r="Z224">
        <v>0</v>
      </c>
      <c r="AA224">
        <v>0</v>
      </c>
      <c r="AB224">
        <v>7.8</v>
      </c>
      <c r="AC224">
        <v>0</v>
      </c>
      <c r="AD224">
        <v>1</v>
      </c>
      <c r="AE224">
        <v>1</v>
      </c>
      <c r="AF224" t="s">
        <v>173</v>
      </c>
      <c r="AG224">
        <v>46.747499999999995</v>
      </c>
      <c r="AH224">
        <v>2</v>
      </c>
      <c r="AI224">
        <v>16750363</v>
      </c>
      <c r="AJ224">
        <v>236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</row>
    <row r="225" spans="1:44" x14ac:dyDescent="0.2">
      <c r="A225">
        <f>ROW(Source!A152)</f>
        <v>152</v>
      </c>
      <c r="B225">
        <v>16750371</v>
      </c>
      <c r="C225">
        <v>16750362</v>
      </c>
      <c r="D225">
        <v>15430395</v>
      </c>
      <c r="E225">
        <v>1</v>
      </c>
      <c r="F225">
        <v>1</v>
      </c>
      <c r="G225">
        <v>1</v>
      </c>
      <c r="H225">
        <v>1</v>
      </c>
      <c r="I225" t="s">
        <v>1073</v>
      </c>
      <c r="J225" t="s">
        <v>6</v>
      </c>
      <c r="K225" t="s">
        <v>1074</v>
      </c>
      <c r="L225">
        <v>1191</v>
      </c>
      <c r="N225">
        <v>1013</v>
      </c>
      <c r="O225" t="s">
        <v>1072</v>
      </c>
      <c r="P225" t="s">
        <v>1072</v>
      </c>
      <c r="Q225">
        <v>1</v>
      </c>
      <c r="X225">
        <v>1.27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1</v>
      </c>
      <c r="AE225">
        <v>2</v>
      </c>
      <c r="AF225" t="s">
        <v>172</v>
      </c>
      <c r="AG225">
        <v>1.5874999999999999</v>
      </c>
      <c r="AH225">
        <v>2</v>
      </c>
      <c r="AI225">
        <v>16750364</v>
      </c>
      <c r="AJ225">
        <v>237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</row>
    <row r="226" spans="1:44" x14ac:dyDescent="0.2">
      <c r="A226">
        <f>ROW(Source!A152)</f>
        <v>152</v>
      </c>
      <c r="B226">
        <v>16750372</v>
      </c>
      <c r="C226">
        <v>16750362</v>
      </c>
      <c r="D226">
        <v>15247974</v>
      </c>
      <c r="E226">
        <v>1</v>
      </c>
      <c r="F226">
        <v>1</v>
      </c>
      <c r="G226">
        <v>1</v>
      </c>
      <c r="H226">
        <v>2</v>
      </c>
      <c r="I226" t="s">
        <v>1075</v>
      </c>
      <c r="J226" t="s">
        <v>1076</v>
      </c>
      <c r="K226" t="s">
        <v>1077</v>
      </c>
      <c r="L226">
        <v>1368</v>
      </c>
      <c r="N226">
        <v>1011</v>
      </c>
      <c r="O226" t="s">
        <v>1078</v>
      </c>
      <c r="P226" t="s">
        <v>1078</v>
      </c>
      <c r="Q226">
        <v>1</v>
      </c>
      <c r="X226">
        <v>1.27</v>
      </c>
      <c r="Y226">
        <v>0</v>
      </c>
      <c r="Z226">
        <v>31.26</v>
      </c>
      <c r="AA226">
        <v>13.5</v>
      </c>
      <c r="AB226">
        <v>0</v>
      </c>
      <c r="AC226">
        <v>0</v>
      </c>
      <c r="AD226">
        <v>1</v>
      </c>
      <c r="AE226">
        <v>0</v>
      </c>
      <c r="AF226" t="s">
        <v>172</v>
      </c>
      <c r="AG226">
        <v>1.5874999999999999</v>
      </c>
      <c r="AH226">
        <v>2</v>
      </c>
      <c r="AI226">
        <v>16750365</v>
      </c>
      <c r="AJ226">
        <v>238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</row>
    <row r="227" spans="1:44" x14ac:dyDescent="0.2">
      <c r="A227">
        <f>ROW(Source!A152)</f>
        <v>152</v>
      </c>
      <c r="B227">
        <v>16750373</v>
      </c>
      <c r="C227">
        <v>16750362</v>
      </c>
      <c r="D227">
        <v>15248091</v>
      </c>
      <c r="E227">
        <v>1</v>
      </c>
      <c r="F227">
        <v>1</v>
      </c>
      <c r="G227">
        <v>1</v>
      </c>
      <c r="H227">
        <v>2</v>
      </c>
      <c r="I227" t="s">
        <v>1292</v>
      </c>
      <c r="J227" t="s">
        <v>1293</v>
      </c>
      <c r="K227" t="s">
        <v>1294</v>
      </c>
      <c r="L227">
        <v>1368</v>
      </c>
      <c r="N227">
        <v>1011</v>
      </c>
      <c r="O227" t="s">
        <v>1078</v>
      </c>
      <c r="P227" t="s">
        <v>1078</v>
      </c>
      <c r="Q227">
        <v>1</v>
      </c>
      <c r="X227">
        <v>4.7</v>
      </c>
      <c r="Y227">
        <v>0</v>
      </c>
      <c r="Z227">
        <v>0.5</v>
      </c>
      <c r="AA227">
        <v>0</v>
      </c>
      <c r="AB227">
        <v>0</v>
      </c>
      <c r="AC227">
        <v>0</v>
      </c>
      <c r="AD227">
        <v>1</v>
      </c>
      <c r="AE227">
        <v>0</v>
      </c>
      <c r="AF227" t="s">
        <v>172</v>
      </c>
      <c r="AG227">
        <v>5.875</v>
      </c>
      <c r="AH227">
        <v>2</v>
      </c>
      <c r="AI227">
        <v>16750366</v>
      </c>
      <c r="AJ227">
        <v>239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</row>
    <row r="228" spans="1:44" x14ac:dyDescent="0.2">
      <c r="A228">
        <f>ROW(Source!A152)</f>
        <v>152</v>
      </c>
      <c r="B228">
        <v>16750374</v>
      </c>
      <c r="C228">
        <v>16750362</v>
      </c>
      <c r="D228">
        <v>15167286</v>
      </c>
      <c r="E228">
        <v>1</v>
      </c>
      <c r="F228">
        <v>1</v>
      </c>
      <c r="G228">
        <v>1</v>
      </c>
      <c r="H228">
        <v>3</v>
      </c>
      <c r="I228" t="s">
        <v>1079</v>
      </c>
      <c r="J228" t="s">
        <v>1080</v>
      </c>
      <c r="K228" t="s">
        <v>1081</v>
      </c>
      <c r="L228">
        <v>1339</v>
      </c>
      <c r="N228">
        <v>1007</v>
      </c>
      <c r="O228" t="s">
        <v>283</v>
      </c>
      <c r="P228" t="s">
        <v>283</v>
      </c>
      <c r="Q228">
        <v>1</v>
      </c>
      <c r="X228">
        <v>3.5</v>
      </c>
      <c r="Y228">
        <v>2.44</v>
      </c>
      <c r="Z228">
        <v>0</v>
      </c>
      <c r="AA228">
        <v>0</v>
      </c>
      <c r="AB228">
        <v>0</v>
      </c>
      <c r="AC228">
        <v>0</v>
      </c>
      <c r="AD228">
        <v>1</v>
      </c>
      <c r="AE228">
        <v>0</v>
      </c>
      <c r="AF228" t="s">
        <v>6</v>
      </c>
      <c r="AG228">
        <v>3.5</v>
      </c>
      <c r="AH228">
        <v>2</v>
      </c>
      <c r="AI228">
        <v>16750367</v>
      </c>
      <c r="AJ228">
        <v>240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</row>
    <row r="229" spans="1:44" x14ac:dyDescent="0.2">
      <c r="A229">
        <f>ROW(Source!A152)</f>
        <v>152</v>
      </c>
      <c r="B229">
        <v>16750375</v>
      </c>
      <c r="C229">
        <v>16750362</v>
      </c>
      <c r="D229">
        <v>15161601</v>
      </c>
      <c r="E229">
        <v>17</v>
      </c>
      <c r="F229">
        <v>1</v>
      </c>
      <c r="G229">
        <v>1</v>
      </c>
      <c r="H229">
        <v>3</v>
      </c>
      <c r="I229" t="s">
        <v>439</v>
      </c>
      <c r="J229" t="s">
        <v>6</v>
      </c>
      <c r="K229" t="s">
        <v>440</v>
      </c>
      <c r="L229">
        <v>1339</v>
      </c>
      <c r="N229">
        <v>1007</v>
      </c>
      <c r="O229" t="s">
        <v>283</v>
      </c>
      <c r="P229" t="s">
        <v>283</v>
      </c>
      <c r="Q229">
        <v>1</v>
      </c>
      <c r="X229">
        <v>2.04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0</v>
      </c>
      <c r="AE229">
        <v>0</v>
      </c>
      <c r="AF229" t="s">
        <v>6</v>
      </c>
      <c r="AG229">
        <v>2.04</v>
      </c>
      <c r="AH229">
        <v>2</v>
      </c>
      <c r="AI229">
        <v>16750368</v>
      </c>
      <c r="AJ229">
        <v>242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</row>
    <row r="230" spans="1:44" x14ac:dyDescent="0.2">
      <c r="A230">
        <f>ROW(Source!A155)</f>
        <v>155</v>
      </c>
      <c r="B230">
        <v>16750385</v>
      </c>
      <c r="C230">
        <v>16750378</v>
      </c>
      <c r="D230">
        <v>15430517</v>
      </c>
      <c r="E230">
        <v>1</v>
      </c>
      <c r="F230">
        <v>1</v>
      </c>
      <c r="G230">
        <v>1</v>
      </c>
      <c r="H230">
        <v>1</v>
      </c>
      <c r="I230" t="s">
        <v>1085</v>
      </c>
      <c r="J230" t="s">
        <v>6</v>
      </c>
      <c r="K230" t="s">
        <v>1086</v>
      </c>
      <c r="L230">
        <v>1191</v>
      </c>
      <c r="N230">
        <v>1013</v>
      </c>
      <c r="O230" t="s">
        <v>1072</v>
      </c>
      <c r="P230" t="s">
        <v>1072</v>
      </c>
      <c r="Q230">
        <v>1</v>
      </c>
      <c r="X230">
        <v>0.5</v>
      </c>
      <c r="Y230">
        <v>0</v>
      </c>
      <c r="Z230">
        <v>0</v>
      </c>
      <c r="AA230">
        <v>0</v>
      </c>
      <c r="AB230">
        <v>7.8</v>
      </c>
      <c r="AC230">
        <v>0</v>
      </c>
      <c r="AD230">
        <v>1</v>
      </c>
      <c r="AE230">
        <v>1</v>
      </c>
      <c r="AF230" t="s">
        <v>447</v>
      </c>
      <c r="AG230">
        <v>3.4499999999999997</v>
      </c>
      <c r="AH230">
        <v>2</v>
      </c>
      <c r="AI230">
        <v>16750379</v>
      </c>
      <c r="AJ230">
        <v>243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</row>
    <row r="231" spans="1:44" x14ac:dyDescent="0.2">
      <c r="A231">
        <f>ROW(Source!A155)</f>
        <v>155</v>
      </c>
      <c r="B231">
        <v>16750386</v>
      </c>
      <c r="C231">
        <v>16750378</v>
      </c>
      <c r="D231">
        <v>15430395</v>
      </c>
      <c r="E231">
        <v>1</v>
      </c>
      <c r="F231">
        <v>1</v>
      </c>
      <c r="G231">
        <v>1</v>
      </c>
      <c r="H231">
        <v>1</v>
      </c>
      <c r="I231" t="s">
        <v>1073</v>
      </c>
      <c r="J231" t="s">
        <v>6</v>
      </c>
      <c r="K231" t="s">
        <v>1074</v>
      </c>
      <c r="L231">
        <v>1191</v>
      </c>
      <c r="N231">
        <v>1013</v>
      </c>
      <c r="O231" t="s">
        <v>1072</v>
      </c>
      <c r="P231" t="s">
        <v>1072</v>
      </c>
      <c r="Q231">
        <v>1</v>
      </c>
      <c r="X231">
        <v>0.21</v>
      </c>
      <c r="Y231">
        <v>0</v>
      </c>
      <c r="Z231">
        <v>0</v>
      </c>
      <c r="AA231">
        <v>0</v>
      </c>
      <c r="AB231">
        <v>0</v>
      </c>
      <c r="AC231">
        <v>0</v>
      </c>
      <c r="AD231">
        <v>1</v>
      </c>
      <c r="AE231">
        <v>2</v>
      </c>
      <c r="AF231" t="s">
        <v>446</v>
      </c>
      <c r="AG231">
        <v>1.5750000000000002</v>
      </c>
      <c r="AH231">
        <v>2</v>
      </c>
      <c r="AI231">
        <v>16750380</v>
      </c>
      <c r="AJ231">
        <v>244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</row>
    <row r="232" spans="1:44" x14ac:dyDescent="0.2">
      <c r="A232">
        <f>ROW(Source!A155)</f>
        <v>155</v>
      </c>
      <c r="B232">
        <v>16750387</v>
      </c>
      <c r="C232">
        <v>16750378</v>
      </c>
      <c r="D232">
        <v>15247974</v>
      </c>
      <c r="E232">
        <v>1</v>
      </c>
      <c r="F232">
        <v>1</v>
      </c>
      <c r="G232">
        <v>1</v>
      </c>
      <c r="H232">
        <v>2</v>
      </c>
      <c r="I232" t="s">
        <v>1075</v>
      </c>
      <c r="J232" t="s">
        <v>1076</v>
      </c>
      <c r="K232" t="s">
        <v>1077</v>
      </c>
      <c r="L232">
        <v>1368</v>
      </c>
      <c r="N232">
        <v>1011</v>
      </c>
      <c r="O232" t="s">
        <v>1078</v>
      </c>
      <c r="P232" t="s">
        <v>1078</v>
      </c>
      <c r="Q232">
        <v>1</v>
      </c>
      <c r="X232">
        <v>0.21</v>
      </c>
      <c r="Y232">
        <v>0</v>
      </c>
      <c r="Z232">
        <v>31.26</v>
      </c>
      <c r="AA232">
        <v>13.5</v>
      </c>
      <c r="AB232">
        <v>0</v>
      </c>
      <c r="AC232">
        <v>0</v>
      </c>
      <c r="AD232">
        <v>1</v>
      </c>
      <c r="AE232">
        <v>0</v>
      </c>
      <c r="AF232" t="s">
        <v>446</v>
      </c>
      <c r="AG232">
        <v>1.5750000000000002</v>
      </c>
      <c r="AH232">
        <v>2</v>
      </c>
      <c r="AI232">
        <v>16750381</v>
      </c>
      <c r="AJ232">
        <v>245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</row>
    <row r="233" spans="1:44" x14ac:dyDescent="0.2">
      <c r="A233">
        <f>ROW(Source!A155)</f>
        <v>155</v>
      </c>
      <c r="B233">
        <v>16750388</v>
      </c>
      <c r="C233">
        <v>16750378</v>
      </c>
      <c r="D233">
        <v>15248091</v>
      </c>
      <c r="E233">
        <v>1</v>
      </c>
      <c r="F233">
        <v>1</v>
      </c>
      <c r="G233">
        <v>1</v>
      </c>
      <c r="H233">
        <v>2</v>
      </c>
      <c r="I233" t="s">
        <v>1292</v>
      </c>
      <c r="J233" t="s">
        <v>1293</v>
      </c>
      <c r="K233" t="s">
        <v>1294</v>
      </c>
      <c r="L233">
        <v>1368</v>
      </c>
      <c r="N233">
        <v>1011</v>
      </c>
      <c r="O233" t="s">
        <v>1078</v>
      </c>
      <c r="P233" t="s">
        <v>1078</v>
      </c>
      <c r="Q233">
        <v>1</v>
      </c>
      <c r="X233">
        <v>2.3199999999999998</v>
      </c>
      <c r="Y233">
        <v>0</v>
      </c>
      <c r="Z233">
        <v>0.5</v>
      </c>
      <c r="AA233">
        <v>0</v>
      </c>
      <c r="AB233">
        <v>0</v>
      </c>
      <c r="AC233">
        <v>0</v>
      </c>
      <c r="AD233">
        <v>1</v>
      </c>
      <c r="AE233">
        <v>0</v>
      </c>
      <c r="AF233" t="s">
        <v>446</v>
      </c>
      <c r="AG233">
        <v>17.399999999999999</v>
      </c>
      <c r="AH233">
        <v>2</v>
      </c>
      <c r="AI233">
        <v>16750382</v>
      </c>
      <c r="AJ233">
        <v>246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</row>
    <row r="234" spans="1:44" x14ac:dyDescent="0.2">
      <c r="A234">
        <f>ROW(Source!A155)</f>
        <v>155</v>
      </c>
      <c r="B234">
        <v>16750389</v>
      </c>
      <c r="C234">
        <v>16750378</v>
      </c>
      <c r="D234">
        <v>15161601</v>
      </c>
      <c r="E234">
        <v>17</v>
      </c>
      <c r="F234">
        <v>1</v>
      </c>
      <c r="G234">
        <v>1</v>
      </c>
      <c r="H234">
        <v>3</v>
      </c>
      <c r="I234" t="s">
        <v>439</v>
      </c>
      <c r="J234" t="s">
        <v>6</v>
      </c>
      <c r="K234" t="s">
        <v>440</v>
      </c>
      <c r="L234">
        <v>1339</v>
      </c>
      <c r="N234">
        <v>1007</v>
      </c>
      <c r="O234" t="s">
        <v>283</v>
      </c>
      <c r="P234" t="s">
        <v>283</v>
      </c>
      <c r="Q234">
        <v>1</v>
      </c>
      <c r="X234">
        <v>0.51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0</v>
      </c>
      <c r="AE234">
        <v>0</v>
      </c>
      <c r="AF234" t="s">
        <v>445</v>
      </c>
      <c r="AG234">
        <v>3.06</v>
      </c>
      <c r="AH234">
        <v>2</v>
      </c>
      <c r="AI234">
        <v>16750383</v>
      </c>
      <c r="AJ234">
        <v>248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</row>
    <row r="235" spans="1:44" x14ac:dyDescent="0.2">
      <c r="A235">
        <f>ROW(Source!A158)</f>
        <v>158</v>
      </c>
      <c r="B235">
        <v>16750400</v>
      </c>
      <c r="C235">
        <v>16750392</v>
      </c>
      <c r="D235">
        <v>15430767</v>
      </c>
      <c r="E235">
        <v>1</v>
      </c>
      <c r="F235">
        <v>1</v>
      </c>
      <c r="G235">
        <v>1</v>
      </c>
      <c r="H235">
        <v>1</v>
      </c>
      <c r="I235" t="s">
        <v>1070</v>
      </c>
      <c r="J235" t="s">
        <v>6</v>
      </c>
      <c r="K235" t="s">
        <v>1071</v>
      </c>
      <c r="L235">
        <v>1191</v>
      </c>
      <c r="N235">
        <v>1013</v>
      </c>
      <c r="O235" t="s">
        <v>1072</v>
      </c>
      <c r="P235" t="s">
        <v>1072</v>
      </c>
      <c r="Q235">
        <v>1</v>
      </c>
      <c r="X235">
        <v>37.67</v>
      </c>
      <c r="Y235">
        <v>0</v>
      </c>
      <c r="Z235">
        <v>0</v>
      </c>
      <c r="AA235">
        <v>0</v>
      </c>
      <c r="AB235">
        <v>8.5299999999999994</v>
      </c>
      <c r="AC235">
        <v>0</v>
      </c>
      <c r="AD235">
        <v>1</v>
      </c>
      <c r="AE235">
        <v>1</v>
      </c>
      <c r="AF235" t="s">
        <v>173</v>
      </c>
      <c r="AG235">
        <v>43.320499999999996</v>
      </c>
      <c r="AH235">
        <v>2</v>
      </c>
      <c r="AI235">
        <v>16750393</v>
      </c>
      <c r="AJ235">
        <v>249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</row>
    <row r="236" spans="1:44" x14ac:dyDescent="0.2">
      <c r="A236">
        <f>ROW(Source!A158)</f>
        <v>158</v>
      </c>
      <c r="B236">
        <v>16750401</v>
      </c>
      <c r="C236">
        <v>16750392</v>
      </c>
      <c r="D236">
        <v>15430395</v>
      </c>
      <c r="E236">
        <v>1</v>
      </c>
      <c r="F236">
        <v>1</v>
      </c>
      <c r="G236">
        <v>1</v>
      </c>
      <c r="H236">
        <v>1</v>
      </c>
      <c r="I236" t="s">
        <v>1073</v>
      </c>
      <c r="J236" t="s">
        <v>6</v>
      </c>
      <c r="K236" t="s">
        <v>1074</v>
      </c>
      <c r="L236">
        <v>1191</v>
      </c>
      <c r="N236">
        <v>1013</v>
      </c>
      <c r="O236" t="s">
        <v>1072</v>
      </c>
      <c r="P236" t="s">
        <v>1072</v>
      </c>
      <c r="Q236">
        <v>1</v>
      </c>
      <c r="X236">
        <v>0.17</v>
      </c>
      <c r="Y236">
        <v>0</v>
      </c>
      <c r="Z236">
        <v>0</v>
      </c>
      <c r="AA236">
        <v>0</v>
      </c>
      <c r="AB236">
        <v>0</v>
      </c>
      <c r="AC236">
        <v>0</v>
      </c>
      <c r="AD236">
        <v>1</v>
      </c>
      <c r="AE236">
        <v>2</v>
      </c>
      <c r="AF236" t="s">
        <v>172</v>
      </c>
      <c r="AG236">
        <v>0.21250000000000002</v>
      </c>
      <c r="AH236">
        <v>2</v>
      </c>
      <c r="AI236">
        <v>16750394</v>
      </c>
      <c r="AJ236">
        <v>250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</row>
    <row r="237" spans="1:44" x14ac:dyDescent="0.2">
      <c r="A237">
        <f>ROW(Source!A158)</f>
        <v>158</v>
      </c>
      <c r="B237">
        <v>16750402</v>
      </c>
      <c r="C237">
        <v>16750392</v>
      </c>
      <c r="D237">
        <v>15247970</v>
      </c>
      <c r="E237">
        <v>1</v>
      </c>
      <c r="F237">
        <v>1</v>
      </c>
      <c r="G237">
        <v>1</v>
      </c>
      <c r="H237">
        <v>2</v>
      </c>
      <c r="I237" t="s">
        <v>1295</v>
      </c>
      <c r="J237" t="s">
        <v>1296</v>
      </c>
      <c r="K237" t="s">
        <v>1297</v>
      </c>
      <c r="L237">
        <v>1368</v>
      </c>
      <c r="N237">
        <v>1011</v>
      </c>
      <c r="O237" t="s">
        <v>1078</v>
      </c>
      <c r="P237" t="s">
        <v>1078</v>
      </c>
      <c r="Q237">
        <v>1</v>
      </c>
      <c r="X237">
        <v>0.13</v>
      </c>
      <c r="Y237">
        <v>0</v>
      </c>
      <c r="Z237">
        <v>27.66</v>
      </c>
      <c r="AA237">
        <v>11.6</v>
      </c>
      <c r="AB237">
        <v>0</v>
      </c>
      <c r="AC237">
        <v>0</v>
      </c>
      <c r="AD237">
        <v>1</v>
      </c>
      <c r="AE237">
        <v>0</v>
      </c>
      <c r="AF237" t="s">
        <v>172</v>
      </c>
      <c r="AG237">
        <v>0.16250000000000001</v>
      </c>
      <c r="AH237">
        <v>2</v>
      </c>
      <c r="AI237">
        <v>16750395</v>
      </c>
      <c r="AJ237">
        <v>251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</row>
    <row r="238" spans="1:44" x14ac:dyDescent="0.2">
      <c r="A238">
        <f>ROW(Source!A158)</f>
        <v>158</v>
      </c>
      <c r="B238">
        <v>16750403</v>
      </c>
      <c r="C238">
        <v>16750392</v>
      </c>
      <c r="D238">
        <v>15249073</v>
      </c>
      <c r="E238">
        <v>1</v>
      </c>
      <c r="F238">
        <v>1</v>
      </c>
      <c r="G238">
        <v>1</v>
      </c>
      <c r="H238">
        <v>2</v>
      </c>
      <c r="I238" t="s">
        <v>1097</v>
      </c>
      <c r="J238" t="s">
        <v>1098</v>
      </c>
      <c r="K238" t="s">
        <v>1099</v>
      </c>
      <c r="L238">
        <v>1368</v>
      </c>
      <c r="N238">
        <v>1011</v>
      </c>
      <c r="O238" t="s">
        <v>1078</v>
      </c>
      <c r="P238" t="s">
        <v>1078</v>
      </c>
      <c r="Q238">
        <v>1</v>
      </c>
      <c r="X238">
        <v>0.04</v>
      </c>
      <c r="Y238">
        <v>0</v>
      </c>
      <c r="Z238">
        <v>65.709999999999994</v>
      </c>
      <c r="AA238">
        <v>11.6</v>
      </c>
      <c r="AB238">
        <v>0</v>
      </c>
      <c r="AC238">
        <v>0</v>
      </c>
      <c r="AD238">
        <v>1</v>
      </c>
      <c r="AE238">
        <v>0</v>
      </c>
      <c r="AF238" t="s">
        <v>172</v>
      </c>
      <c r="AG238">
        <v>0.05</v>
      </c>
      <c r="AH238">
        <v>2</v>
      </c>
      <c r="AI238">
        <v>16750396</v>
      </c>
      <c r="AJ238">
        <v>252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</row>
    <row r="239" spans="1:44" x14ac:dyDescent="0.2">
      <c r="A239">
        <f>ROW(Source!A158)</f>
        <v>158</v>
      </c>
      <c r="B239">
        <v>16750404</v>
      </c>
      <c r="C239">
        <v>16750392</v>
      </c>
      <c r="D239">
        <v>15167286</v>
      </c>
      <c r="E239">
        <v>1</v>
      </c>
      <c r="F239">
        <v>1</v>
      </c>
      <c r="G239">
        <v>1</v>
      </c>
      <c r="H239">
        <v>3</v>
      </c>
      <c r="I239" t="s">
        <v>1079</v>
      </c>
      <c r="J239" t="s">
        <v>1080</v>
      </c>
      <c r="K239" t="s">
        <v>1081</v>
      </c>
      <c r="L239">
        <v>1339</v>
      </c>
      <c r="N239">
        <v>1007</v>
      </c>
      <c r="O239" t="s">
        <v>283</v>
      </c>
      <c r="P239" t="s">
        <v>283</v>
      </c>
      <c r="Q239">
        <v>1</v>
      </c>
      <c r="X239">
        <v>0.17399999999999999</v>
      </c>
      <c r="Y239">
        <v>2.44</v>
      </c>
      <c r="Z239">
        <v>0</v>
      </c>
      <c r="AA239">
        <v>0</v>
      </c>
      <c r="AB239">
        <v>0</v>
      </c>
      <c r="AC239">
        <v>0</v>
      </c>
      <c r="AD239">
        <v>1</v>
      </c>
      <c r="AE239">
        <v>0</v>
      </c>
      <c r="AF239" t="s">
        <v>6</v>
      </c>
      <c r="AG239">
        <v>0.17399999999999999</v>
      </c>
      <c r="AH239">
        <v>2</v>
      </c>
      <c r="AI239">
        <v>16750397</v>
      </c>
      <c r="AJ239">
        <v>253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</row>
    <row r="240" spans="1:44" x14ac:dyDescent="0.2">
      <c r="A240">
        <f>ROW(Source!A158)</f>
        <v>158</v>
      </c>
      <c r="B240">
        <v>16750405</v>
      </c>
      <c r="C240">
        <v>16750392</v>
      </c>
      <c r="D240">
        <v>15172906</v>
      </c>
      <c r="E240">
        <v>1</v>
      </c>
      <c r="F240">
        <v>1</v>
      </c>
      <c r="G240">
        <v>1</v>
      </c>
      <c r="H240">
        <v>3</v>
      </c>
      <c r="I240" t="s">
        <v>1298</v>
      </c>
      <c r="J240" t="s">
        <v>1299</v>
      </c>
      <c r="K240" t="s">
        <v>1300</v>
      </c>
      <c r="L240">
        <v>1348</v>
      </c>
      <c r="N240">
        <v>1009</v>
      </c>
      <c r="O240" t="s">
        <v>71</v>
      </c>
      <c r="P240" t="s">
        <v>71</v>
      </c>
      <c r="Q240">
        <v>1000</v>
      </c>
      <c r="X240">
        <v>0.9</v>
      </c>
      <c r="Y240">
        <v>11381.57</v>
      </c>
      <c r="Z240">
        <v>0</v>
      </c>
      <c r="AA240">
        <v>0</v>
      </c>
      <c r="AB240">
        <v>0</v>
      </c>
      <c r="AC240">
        <v>0</v>
      </c>
      <c r="AD240">
        <v>1</v>
      </c>
      <c r="AE240">
        <v>0</v>
      </c>
      <c r="AF240" t="s">
        <v>6</v>
      </c>
      <c r="AG240">
        <v>0.9</v>
      </c>
      <c r="AH240">
        <v>2</v>
      </c>
      <c r="AI240">
        <v>16750398</v>
      </c>
      <c r="AJ240">
        <v>254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</row>
    <row r="241" spans="1:44" x14ac:dyDescent="0.2">
      <c r="A241">
        <f>ROW(Source!A158)</f>
        <v>158</v>
      </c>
      <c r="B241">
        <v>16750406</v>
      </c>
      <c r="C241">
        <v>16750392</v>
      </c>
      <c r="D241">
        <v>15203485</v>
      </c>
      <c r="E241">
        <v>1</v>
      </c>
      <c r="F241">
        <v>1</v>
      </c>
      <c r="G241">
        <v>1</v>
      </c>
      <c r="H241">
        <v>3</v>
      </c>
      <c r="I241" t="s">
        <v>1301</v>
      </c>
      <c r="J241" t="s">
        <v>1302</v>
      </c>
      <c r="K241" t="s">
        <v>1303</v>
      </c>
      <c r="L241">
        <v>1346</v>
      </c>
      <c r="N241">
        <v>1009</v>
      </c>
      <c r="O241" t="s">
        <v>323</v>
      </c>
      <c r="P241" t="s">
        <v>323</v>
      </c>
      <c r="Q241">
        <v>1</v>
      </c>
      <c r="X241">
        <v>30</v>
      </c>
      <c r="Y241">
        <v>15.25</v>
      </c>
      <c r="Z241">
        <v>0</v>
      </c>
      <c r="AA241">
        <v>0</v>
      </c>
      <c r="AB241">
        <v>0</v>
      </c>
      <c r="AC241">
        <v>0</v>
      </c>
      <c r="AD241">
        <v>1</v>
      </c>
      <c r="AE241">
        <v>0</v>
      </c>
      <c r="AF241" t="s">
        <v>6</v>
      </c>
      <c r="AG241">
        <v>30</v>
      </c>
      <c r="AH241">
        <v>2</v>
      </c>
      <c r="AI241">
        <v>16750399</v>
      </c>
      <c r="AJ241">
        <v>255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</row>
    <row r="242" spans="1:44" x14ac:dyDescent="0.2">
      <c r="A242">
        <f>ROW(Source!A159)</f>
        <v>159</v>
      </c>
      <c r="B242">
        <v>16750414</v>
      </c>
      <c r="C242">
        <v>16750407</v>
      </c>
      <c r="D242">
        <v>15430767</v>
      </c>
      <c r="E242">
        <v>1</v>
      </c>
      <c r="F242">
        <v>1</v>
      </c>
      <c r="G242">
        <v>1</v>
      </c>
      <c r="H242">
        <v>1</v>
      </c>
      <c r="I242" t="s">
        <v>1070</v>
      </c>
      <c r="J242" t="s">
        <v>6</v>
      </c>
      <c r="K242" t="s">
        <v>1071</v>
      </c>
      <c r="L242">
        <v>1191</v>
      </c>
      <c r="N242">
        <v>1013</v>
      </c>
      <c r="O242" t="s">
        <v>1072</v>
      </c>
      <c r="P242" t="s">
        <v>1072</v>
      </c>
      <c r="Q242">
        <v>1</v>
      </c>
      <c r="X242">
        <v>2.42</v>
      </c>
      <c r="Y242">
        <v>0</v>
      </c>
      <c r="Z242">
        <v>0</v>
      </c>
      <c r="AA242">
        <v>0</v>
      </c>
      <c r="AB242">
        <v>8.5299999999999994</v>
      </c>
      <c r="AC242">
        <v>0</v>
      </c>
      <c r="AD242">
        <v>1</v>
      </c>
      <c r="AE242">
        <v>1</v>
      </c>
      <c r="AF242" t="s">
        <v>460</v>
      </c>
      <c r="AG242">
        <v>13.914999999999999</v>
      </c>
      <c r="AH242">
        <v>2</v>
      </c>
      <c r="AI242">
        <v>16750408</v>
      </c>
      <c r="AJ242">
        <v>256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</row>
    <row r="243" spans="1:44" x14ac:dyDescent="0.2">
      <c r="A243">
        <f>ROW(Source!A159)</f>
        <v>159</v>
      </c>
      <c r="B243">
        <v>16750415</v>
      </c>
      <c r="C243">
        <v>16750407</v>
      </c>
      <c r="D243">
        <v>15430395</v>
      </c>
      <c r="E243">
        <v>1</v>
      </c>
      <c r="F243">
        <v>1</v>
      </c>
      <c r="G243">
        <v>1</v>
      </c>
      <c r="H243">
        <v>1</v>
      </c>
      <c r="I243" t="s">
        <v>1073</v>
      </c>
      <c r="J243" t="s">
        <v>6</v>
      </c>
      <c r="K243" t="s">
        <v>1074</v>
      </c>
      <c r="L243">
        <v>1191</v>
      </c>
      <c r="N243">
        <v>1013</v>
      </c>
      <c r="O243" t="s">
        <v>1072</v>
      </c>
      <c r="P243" t="s">
        <v>1072</v>
      </c>
      <c r="Q243">
        <v>1</v>
      </c>
      <c r="X243">
        <v>0.03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1</v>
      </c>
      <c r="AE243">
        <v>2</v>
      </c>
      <c r="AF243" t="s">
        <v>459</v>
      </c>
      <c r="AG243">
        <v>0.1875</v>
      </c>
      <c r="AH243">
        <v>2</v>
      </c>
      <c r="AI243">
        <v>16750409</v>
      </c>
      <c r="AJ243">
        <v>257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</row>
    <row r="244" spans="1:44" x14ac:dyDescent="0.2">
      <c r="A244">
        <f>ROW(Source!A159)</f>
        <v>159</v>
      </c>
      <c r="B244">
        <v>16750416</v>
      </c>
      <c r="C244">
        <v>16750407</v>
      </c>
      <c r="D244">
        <v>15247970</v>
      </c>
      <c r="E244">
        <v>1</v>
      </c>
      <c r="F244">
        <v>1</v>
      </c>
      <c r="G244">
        <v>1</v>
      </c>
      <c r="H244">
        <v>2</v>
      </c>
      <c r="I244" t="s">
        <v>1295</v>
      </c>
      <c r="J244" t="s">
        <v>1296</v>
      </c>
      <c r="K244" t="s">
        <v>1297</v>
      </c>
      <c r="L244">
        <v>1368</v>
      </c>
      <c r="N244">
        <v>1011</v>
      </c>
      <c r="O244" t="s">
        <v>1078</v>
      </c>
      <c r="P244" t="s">
        <v>1078</v>
      </c>
      <c r="Q244">
        <v>1</v>
      </c>
      <c r="X244">
        <v>0.02</v>
      </c>
      <c r="Y244">
        <v>0</v>
      </c>
      <c r="Z244">
        <v>27.66</v>
      </c>
      <c r="AA244">
        <v>11.6</v>
      </c>
      <c r="AB244">
        <v>0</v>
      </c>
      <c r="AC244">
        <v>0</v>
      </c>
      <c r="AD244">
        <v>1</v>
      </c>
      <c r="AE244">
        <v>0</v>
      </c>
      <c r="AF244" t="s">
        <v>459</v>
      </c>
      <c r="AG244">
        <v>0.125</v>
      </c>
      <c r="AH244">
        <v>2</v>
      </c>
      <c r="AI244">
        <v>16750410</v>
      </c>
      <c r="AJ244">
        <v>258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</row>
    <row r="245" spans="1:44" x14ac:dyDescent="0.2">
      <c r="A245">
        <f>ROW(Source!A159)</f>
        <v>159</v>
      </c>
      <c r="B245">
        <v>16750417</v>
      </c>
      <c r="C245">
        <v>16750407</v>
      </c>
      <c r="D245">
        <v>15249073</v>
      </c>
      <c r="E245">
        <v>1</v>
      </c>
      <c r="F245">
        <v>1</v>
      </c>
      <c r="G245">
        <v>1</v>
      </c>
      <c r="H245">
        <v>2</v>
      </c>
      <c r="I245" t="s">
        <v>1097</v>
      </c>
      <c r="J245" t="s">
        <v>1098</v>
      </c>
      <c r="K245" t="s">
        <v>1099</v>
      </c>
      <c r="L245">
        <v>1368</v>
      </c>
      <c r="N245">
        <v>1011</v>
      </c>
      <c r="O245" t="s">
        <v>1078</v>
      </c>
      <c r="P245" t="s">
        <v>1078</v>
      </c>
      <c r="Q245">
        <v>1</v>
      </c>
      <c r="X245">
        <v>0.01</v>
      </c>
      <c r="Y245">
        <v>0</v>
      </c>
      <c r="Z245">
        <v>65.709999999999994</v>
      </c>
      <c r="AA245">
        <v>11.6</v>
      </c>
      <c r="AB245">
        <v>0</v>
      </c>
      <c r="AC245">
        <v>0</v>
      </c>
      <c r="AD245">
        <v>1</v>
      </c>
      <c r="AE245">
        <v>0</v>
      </c>
      <c r="AF245" t="s">
        <v>459</v>
      </c>
      <c r="AG245">
        <v>6.25E-2</v>
      </c>
      <c r="AH245">
        <v>2</v>
      </c>
      <c r="AI245">
        <v>16750411</v>
      </c>
      <c r="AJ245">
        <v>259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</row>
    <row r="246" spans="1:44" x14ac:dyDescent="0.2">
      <c r="A246">
        <f>ROW(Source!A159)</f>
        <v>159</v>
      </c>
      <c r="B246">
        <v>16750418</v>
      </c>
      <c r="C246">
        <v>16750407</v>
      </c>
      <c r="D246">
        <v>15167286</v>
      </c>
      <c r="E246">
        <v>1</v>
      </c>
      <c r="F246">
        <v>1</v>
      </c>
      <c r="G246">
        <v>1</v>
      </c>
      <c r="H246">
        <v>3</v>
      </c>
      <c r="I246" t="s">
        <v>1079</v>
      </c>
      <c r="J246" t="s">
        <v>1080</v>
      </c>
      <c r="K246" t="s">
        <v>1081</v>
      </c>
      <c r="L246">
        <v>1339</v>
      </c>
      <c r="N246">
        <v>1007</v>
      </c>
      <c r="O246" t="s">
        <v>283</v>
      </c>
      <c r="P246" t="s">
        <v>283</v>
      </c>
      <c r="Q246">
        <v>1</v>
      </c>
      <c r="X246">
        <v>0.03</v>
      </c>
      <c r="Y246">
        <v>2.44</v>
      </c>
      <c r="Z246">
        <v>0</v>
      </c>
      <c r="AA246">
        <v>0</v>
      </c>
      <c r="AB246">
        <v>0</v>
      </c>
      <c r="AC246">
        <v>0</v>
      </c>
      <c r="AD246">
        <v>1</v>
      </c>
      <c r="AE246">
        <v>0</v>
      </c>
      <c r="AF246" t="s">
        <v>458</v>
      </c>
      <c r="AG246">
        <v>0.15</v>
      </c>
      <c r="AH246">
        <v>2</v>
      </c>
      <c r="AI246">
        <v>16750412</v>
      </c>
      <c r="AJ246">
        <v>260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</row>
    <row r="247" spans="1:44" x14ac:dyDescent="0.2">
      <c r="A247">
        <f>ROW(Source!A159)</f>
        <v>159</v>
      </c>
      <c r="B247">
        <v>16750419</v>
      </c>
      <c r="C247">
        <v>16750407</v>
      </c>
      <c r="D247">
        <v>15172906</v>
      </c>
      <c r="E247">
        <v>1</v>
      </c>
      <c r="F247">
        <v>1</v>
      </c>
      <c r="G247">
        <v>1</v>
      </c>
      <c r="H247">
        <v>3</v>
      </c>
      <c r="I247" t="s">
        <v>1298</v>
      </c>
      <c r="J247" t="s">
        <v>1299</v>
      </c>
      <c r="K247" t="s">
        <v>1300</v>
      </c>
      <c r="L247">
        <v>1348</v>
      </c>
      <c r="N247">
        <v>1009</v>
      </c>
      <c r="O247" t="s">
        <v>71</v>
      </c>
      <c r="P247" t="s">
        <v>71</v>
      </c>
      <c r="Q247">
        <v>1000</v>
      </c>
      <c r="X247">
        <v>0.18</v>
      </c>
      <c r="Y247">
        <v>11381.57</v>
      </c>
      <c r="Z247">
        <v>0</v>
      </c>
      <c r="AA247">
        <v>0</v>
      </c>
      <c r="AB247">
        <v>0</v>
      </c>
      <c r="AC247">
        <v>0</v>
      </c>
      <c r="AD247">
        <v>1</v>
      </c>
      <c r="AE247">
        <v>0</v>
      </c>
      <c r="AF247" t="s">
        <v>458</v>
      </c>
      <c r="AG247">
        <v>0.89999999999999991</v>
      </c>
      <c r="AH247">
        <v>2</v>
      </c>
      <c r="AI247">
        <v>16750413</v>
      </c>
      <c r="AJ247">
        <v>261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</row>
    <row r="248" spans="1:44" x14ac:dyDescent="0.2">
      <c r="A248">
        <f>ROW(Source!A160)</f>
        <v>160</v>
      </c>
      <c r="B248">
        <v>16753647</v>
      </c>
      <c r="C248">
        <v>16750463</v>
      </c>
      <c r="D248">
        <v>15430447</v>
      </c>
      <c r="E248">
        <v>1</v>
      </c>
      <c r="F248">
        <v>1</v>
      </c>
      <c r="G248">
        <v>1</v>
      </c>
      <c r="H248">
        <v>1</v>
      </c>
      <c r="I248" t="s">
        <v>1304</v>
      </c>
      <c r="J248" t="s">
        <v>6</v>
      </c>
      <c r="K248" t="s">
        <v>1305</v>
      </c>
      <c r="L248">
        <v>1191</v>
      </c>
      <c r="N248">
        <v>1013</v>
      </c>
      <c r="O248" t="s">
        <v>1072</v>
      </c>
      <c r="P248" t="s">
        <v>1072</v>
      </c>
      <c r="Q248">
        <v>1</v>
      </c>
      <c r="X248">
        <v>80.040000000000006</v>
      </c>
      <c r="Y248">
        <v>0</v>
      </c>
      <c r="Z248">
        <v>0</v>
      </c>
      <c r="AA248">
        <v>0</v>
      </c>
      <c r="AB248">
        <v>9.07</v>
      </c>
      <c r="AC248">
        <v>0</v>
      </c>
      <c r="AD248">
        <v>1</v>
      </c>
      <c r="AE248">
        <v>1</v>
      </c>
      <c r="AF248" t="s">
        <v>173</v>
      </c>
      <c r="AG248">
        <v>92.046000000000006</v>
      </c>
      <c r="AH248">
        <v>2</v>
      </c>
      <c r="AI248">
        <v>16753647</v>
      </c>
      <c r="AJ248">
        <v>262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</row>
    <row r="249" spans="1:44" x14ac:dyDescent="0.2">
      <c r="A249">
        <f>ROW(Source!A160)</f>
        <v>160</v>
      </c>
      <c r="B249">
        <v>16753648</v>
      </c>
      <c r="C249">
        <v>16750463</v>
      </c>
      <c r="D249">
        <v>15430395</v>
      </c>
      <c r="E249">
        <v>1</v>
      </c>
      <c r="F249">
        <v>1</v>
      </c>
      <c r="G249">
        <v>1</v>
      </c>
      <c r="H249">
        <v>1</v>
      </c>
      <c r="I249" t="s">
        <v>1073</v>
      </c>
      <c r="J249" t="s">
        <v>6</v>
      </c>
      <c r="K249" t="s">
        <v>1074</v>
      </c>
      <c r="L249">
        <v>1191</v>
      </c>
      <c r="N249">
        <v>1013</v>
      </c>
      <c r="O249" t="s">
        <v>1072</v>
      </c>
      <c r="P249" t="s">
        <v>1072</v>
      </c>
      <c r="Q249">
        <v>1</v>
      </c>
      <c r="X249">
        <v>2.09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1</v>
      </c>
      <c r="AE249">
        <v>2</v>
      </c>
      <c r="AF249" t="s">
        <v>172</v>
      </c>
      <c r="AG249">
        <v>2.6124999999999998</v>
      </c>
      <c r="AH249">
        <v>2</v>
      </c>
      <c r="AI249">
        <v>16753648</v>
      </c>
      <c r="AJ249">
        <v>263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</row>
    <row r="250" spans="1:44" x14ac:dyDescent="0.2">
      <c r="A250">
        <f>ROW(Source!A160)</f>
        <v>160</v>
      </c>
      <c r="B250">
        <v>16753649</v>
      </c>
      <c r="C250">
        <v>16750463</v>
      </c>
      <c r="D250">
        <v>15249397</v>
      </c>
      <c r="E250">
        <v>1</v>
      </c>
      <c r="F250">
        <v>1</v>
      </c>
      <c r="G250">
        <v>1</v>
      </c>
      <c r="H250">
        <v>2</v>
      </c>
      <c r="I250" t="s">
        <v>1200</v>
      </c>
      <c r="J250" t="s">
        <v>1201</v>
      </c>
      <c r="K250" t="s">
        <v>1202</v>
      </c>
      <c r="L250">
        <v>1368</v>
      </c>
      <c r="N250">
        <v>1011</v>
      </c>
      <c r="O250" t="s">
        <v>1078</v>
      </c>
      <c r="P250" t="s">
        <v>1078</v>
      </c>
      <c r="Q250">
        <v>1</v>
      </c>
      <c r="X250">
        <v>2.09</v>
      </c>
      <c r="Y250">
        <v>0</v>
      </c>
      <c r="Z250">
        <v>90</v>
      </c>
      <c r="AA250">
        <v>10.06</v>
      </c>
      <c r="AB250">
        <v>0</v>
      </c>
      <c r="AC250">
        <v>0</v>
      </c>
      <c r="AD250">
        <v>1</v>
      </c>
      <c r="AE250">
        <v>0</v>
      </c>
      <c r="AF250" t="s">
        <v>172</v>
      </c>
      <c r="AG250">
        <v>2.6124999999999998</v>
      </c>
      <c r="AH250">
        <v>2</v>
      </c>
      <c r="AI250">
        <v>16753649</v>
      </c>
      <c r="AJ250">
        <v>264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</row>
    <row r="251" spans="1:44" x14ac:dyDescent="0.2">
      <c r="A251">
        <f>ROW(Source!A160)</f>
        <v>160</v>
      </c>
      <c r="B251">
        <v>16753650</v>
      </c>
      <c r="C251">
        <v>16750463</v>
      </c>
      <c r="D251">
        <v>15249979</v>
      </c>
      <c r="E251">
        <v>1</v>
      </c>
      <c r="F251">
        <v>1</v>
      </c>
      <c r="G251">
        <v>1</v>
      </c>
      <c r="H251">
        <v>2</v>
      </c>
      <c r="I251" t="s">
        <v>1306</v>
      </c>
      <c r="J251" t="s">
        <v>1307</v>
      </c>
      <c r="K251" t="s">
        <v>1308</v>
      </c>
      <c r="L251">
        <v>1368</v>
      </c>
      <c r="N251">
        <v>1011</v>
      </c>
      <c r="O251" t="s">
        <v>1078</v>
      </c>
      <c r="P251" t="s">
        <v>1078</v>
      </c>
      <c r="Q251">
        <v>1</v>
      </c>
      <c r="X251">
        <v>32</v>
      </c>
      <c r="Y251">
        <v>0</v>
      </c>
      <c r="Z251">
        <v>1.5</v>
      </c>
      <c r="AA251">
        <v>0</v>
      </c>
      <c r="AB251">
        <v>0</v>
      </c>
      <c r="AC251">
        <v>0</v>
      </c>
      <c r="AD251">
        <v>1</v>
      </c>
      <c r="AE251">
        <v>0</v>
      </c>
      <c r="AF251" t="s">
        <v>172</v>
      </c>
      <c r="AG251">
        <v>40</v>
      </c>
      <c r="AH251">
        <v>2</v>
      </c>
      <c r="AI251">
        <v>16753650</v>
      </c>
      <c r="AJ251">
        <v>265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</row>
    <row r="252" spans="1:44" x14ac:dyDescent="0.2">
      <c r="A252">
        <f>ROW(Source!A160)</f>
        <v>160</v>
      </c>
      <c r="B252">
        <v>16753651</v>
      </c>
      <c r="C252">
        <v>16750463</v>
      </c>
      <c r="D252">
        <v>15167286</v>
      </c>
      <c r="E252">
        <v>1</v>
      </c>
      <c r="F252">
        <v>1</v>
      </c>
      <c r="G252">
        <v>1</v>
      </c>
      <c r="H252">
        <v>3</v>
      </c>
      <c r="I252" t="s">
        <v>1079</v>
      </c>
      <c r="J252" t="s">
        <v>1080</v>
      </c>
      <c r="K252" t="s">
        <v>1081</v>
      </c>
      <c r="L252">
        <v>1339</v>
      </c>
      <c r="N252">
        <v>1007</v>
      </c>
      <c r="O252" t="s">
        <v>283</v>
      </c>
      <c r="P252" t="s">
        <v>283</v>
      </c>
      <c r="Q252">
        <v>1</v>
      </c>
      <c r="X252">
        <v>2</v>
      </c>
      <c r="Y252">
        <v>2.44</v>
      </c>
      <c r="Z252">
        <v>0</v>
      </c>
      <c r="AA252">
        <v>0</v>
      </c>
      <c r="AB252">
        <v>0</v>
      </c>
      <c r="AC252">
        <v>0</v>
      </c>
      <c r="AD252">
        <v>1</v>
      </c>
      <c r="AE252">
        <v>0</v>
      </c>
      <c r="AF252" t="s">
        <v>6</v>
      </c>
      <c r="AG252">
        <v>2</v>
      </c>
      <c r="AH252">
        <v>2</v>
      </c>
      <c r="AI252">
        <v>16753651</v>
      </c>
      <c r="AJ252">
        <v>266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</row>
    <row r="253" spans="1:44" x14ac:dyDescent="0.2">
      <c r="A253">
        <f>ROW(Source!A160)</f>
        <v>160</v>
      </c>
      <c r="B253">
        <v>16753652</v>
      </c>
      <c r="C253">
        <v>16750463</v>
      </c>
      <c r="D253">
        <v>15170537</v>
      </c>
      <c r="E253">
        <v>1</v>
      </c>
      <c r="F253">
        <v>1</v>
      </c>
      <c r="G253">
        <v>1</v>
      </c>
      <c r="H253">
        <v>3</v>
      </c>
      <c r="I253" t="s">
        <v>1309</v>
      </c>
      <c r="J253" t="s">
        <v>1310</v>
      </c>
      <c r="K253" t="s">
        <v>1311</v>
      </c>
      <c r="L253">
        <v>1346</v>
      </c>
      <c r="N253">
        <v>1009</v>
      </c>
      <c r="O253" t="s">
        <v>323</v>
      </c>
      <c r="P253" t="s">
        <v>323</v>
      </c>
      <c r="Q253">
        <v>1</v>
      </c>
      <c r="X253">
        <v>2</v>
      </c>
      <c r="Y253">
        <v>5.71</v>
      </c>
      <c r="Z253">
        <v>0</v>
      </c>
      <c r="AA253">
        <v>0</v>
      </c>
      <c r="AB253">
        <v>0</v>
      </c>
      <c r="AC253">
        <v>0</v>
      </c>
      <c r="AD253">
        <v>1</v>
      </c>
      <c r="AE253">
        <v>0</v>
      </c>
      <c r="AF253" t="s">
        <v>6</v>
      </c>
      <c r="AG253">
        <v>2</v>
      </c>
      <c r="AH253">
        <v>2</v>
      </c>
      <c r="AI253">
        <v>16753652</v>
      </c>
      <c r="AJ253">
        <v>267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</row>
    <row r="254" spans="1:44" x14ac:dyDescent="0.2">
      <c r="A254">
        <f>ROW(Source!A161)</f>
        <v>161</v>
      </c>
      <c r="B254">
        <v>16750515</v>
      </c>
      <c r="C254">
        <v>16750503</v>
      </c>
      <c r="D254">
        <v>15436014</v>
      </c>
      <c r="E254">
        <v>1</v>
      </c>
      <c r="F254">
        <v>1</v>
      </c>
      <c r="G254">
        <v>1</v>
      </c>
      <c r="H254">
        <v>1</v>
      </c>
      <c r="I254" t="s">
        <v>1123</v>
      </c>
      <c r="J254" t="s">
        <v>6</v>
      </c>
      <c r="K254" t="s">
        <v>1124</v>
      </c>
      <c r="L254">
        <v>1191</v>
      </c>
      <c r="N254">
        <v>1013</v>
      </c>
      <c r="O254" t="s">
        <v>1072</v>
      </c>
      <c r="P254" t="s">
        <v>1072</v>
      </c>
      <c r="Q254">
        <v>1</v>
      </c>
      <c r="X254">
        <v>310.42</v>
      </c>
      <c r="Y254">
        <v>0</v>
      </c>
      <c r="Z254">
        <v>0</v>
      </c>
      <c r="AA254">
        <v>0</v>
      </c>
      <c r="AB254">
        <v>8.74</v>
      </c>
      <c r="AC254">
        <v>0</v>
      </c>
      <c r="AD254">
        <v>1</v>
      </c>
      <c r="AE254">
        <v>1</v>
      </c>
      <c r="AF254" t="s">
        <v>173</v>
      </c>
      <c r="AG254">
        <v>356.983</v>
      </c>
      <c r="AH254">
        <v>2</v>
      </c>
      <c r="AI254">
        <v>16750504</v>
      </c>
      <c r="AJ254">
        <v>268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</row>
    <row r="255" spans="1:44" x14ac:dyDescent="0.2">
      <c r="A255">
        <f>ROW(Source!A161)</f>
        <v>161</v>
      </c>
      <c r="B255">
        <v>16750516</v>
      </c>
      <c r="C255">
        <v>16750503</v>
      </c>
      <c r="D255">
        <v>15430395</v>
      </c>
      <c r="E255">
        <v>1</v>
      </c>
      <c r="F255">
        <v>1</v>
      </c>
      <c r="G255">
        <v>1</v>
      </c>
      <c r="H255">
        <v>1</v>
      </c>
      <c r="I255" t="s">
        <v>1073</v>
      </c>
      <c r="J255" t="s">
        <v>6</v>
      </c>
      <c r="K255" t="s">
        <v>1074</v>
      </c>
      <c r="L255">
        <v>1191</v>
      </c>
      <c r="N255">
        <v>1013</v>
      </c>
      <c r="O255" t="s">
        <v>1072</v>
      </c>
      <c r="P255" t="s">
        <v>1072</v>
      </c>
      <c r="Q255">
        <v>1</v>
      </c>
      <c r="X255">
        <v>1.73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1</v>
      </c>
      <c r="AE255">
        <v>2</v>
      </c>
      <c r="AF255" t="s">
        <v>172</v>
      </c>
      <c r="AG255">
        <v>2.1625000000000001</v>
      </c>
      <c r="AH255">
        <v>2</v>
      </c>
      <c r="AI255">
        <v>16750505</v>
      </c>
      <c r="AJ255">
        <v>269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</row>
    <row r="256" spans="1:44" x14ac:dyDescent="0.2">
      <c r="A256">
        <f>ROW(Source!A161)</f>
        <v>161</v>
      </c>
      <c r="B256">
        <v>16750517</v>
      </c>
      <c r="C256">
        <v>16750503</v>
      </c>
      <c r="D256">
        <v>15247576</v>
      </c>
      <c r="E256">
        <v>1</v>
      </c>
      <c r="F256">
        <v>1</v>
      </c>
      <c r="G256">
        <v>1</v>
      </c>
      <c r="H256">
        <v>2</v>
      </c>
      <c r="I256" t="s">
        <v>1208</v>
      </c>
      <c r="J256" t="s">
        <v>1209</v>
      </c>
      <c r="K256" t="s">
        <v>1210</v>
      </c>
      <c r="L256">
        <v>1368</v>
      </c>
      <c r="N256">
        <v>1011</v>
      </c>
      <c r="O256" t="s">
        <v>1078</v>
      </c>
      <c r="P256" t="s">
        <v>1078</v>
      </c>
      <c r="Q256">
        <v>1</v>
      </c>
      <c r="X256">
        <v>0.02</v>
      </c>
      <c r="Y256">
        <v>0</v>
      </c>
      <c r="Z256">
        <v>83.43</v>
      </c>
      <c r="AA256">
        <v>13.5</v>
      </c>
      <c r="AB256">
        <v>0</v>
      </c>
      <c r="AC256">
        <v>0</v>
      </c>
      <c r="AD256">
        <v>1</v>
      </c>
      <c r="AE256">
        <v>0</v>
      </c>
      <c r="AF256" t="s">
        <v>172</v>
      </c>
      <c r="AG256">
        <v>2.5000000000000001E-2</v>
      </c>
      <c r="AH256">
        <v>2</v>
      </c>
      <c r="AI256">
        <v>16750506</v>
      </c>
      <c r="AJ256">
        <v>270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</row>
    <row r="257" spans="1:44" x14ac:dyDescent="0.2">
      <c r="A257">
        <f>ROW(Source!A161)</f>
        <v>161</v>
      </c>
      <c r="B257">
        <v>16750518</v>
      </c>
      <c r="C257">
        <v>16750503</v>
      </c>
      <c r="D257">
        <v>15247678</v>
      </c>
      <c r="E257">
        <v>1</v>
      </c>
      <c r="F257">
        <v>1</v>
      </c>
      <c r="G257">
        <v>1</v>
      </c>
      <c r="H257">
        <v>2</v>
      </c>
      <c r="I257" t="s">
        <v>1312</v>
      </c>
      <c r="J257" t="s">
        <v>1313</v>
      </c>
      <c r="K257" t="s">
        <v>1314</v>
      </c>
      <c r="L257">
        <v>1368</v>
      </c>
      <c r="N257">
        <v>1011</v>
      </c>
      <c r="O257" t="s">
        <v>1078</v>
      </c>
      <c r="P257" t="s">
        <v>1078</v>
      </c>
      <c r="Q257">
        <v>1</v>
      </c>
      <c r="X257">
        <v>0.01</v>
      </c>
      <c r="Y257">
        <v>0</v>
      </c>
      <c r="Z257">
        <v>88.01</v>
      </c>
      <c r="AA257">
        <v>11.6</v>
      </c>
      <c r="AB257">
        <v>0</v>
      </c>
      <c r="AC257">
        <v>0</v>
      </c>
      <c r="AD257">
        <v>1</v>
      </c>
      <c r="AE257">
        <v>0</v>
      </c>
      <c r="AF257" t="s">
        <v>172</v>
      </c>
      <c r="AG257">
        <v>1.2500000000000001E-2</v>
      </c>
      <c r="AH257">
        <v>2</v>
      </c>
      <c r="AI257">
        <v>16750507</v>
      </c>
      <c r="AJ257">
        <v>271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</row>
    <row r="258" spans="1:44" x14ac:dyDescent="0.2">
      <c r="A258">
        <f>ROW(Source!A161)</f>
        <v>161</v>
      </c>
      <c r="B258">
        <v>16750519</v>
      </c>
      <c r="C258">
        <v>16750503</v>
      </c>
      <c r="D258">
        <v>15248143</v>
      </c>
      <c r="E258">
        <v>1</v>
      </c>
      <c r="F258">
        <v>1</v>
      </c>
      <c r="G258">
        <v>1</v>
      </c>
      <c r="H258">
        <v>2</v>
      </c>
      <c r="I258" t="s">
        <v>1231</v>
      </c>
      <c r="J258" t="s">
        <v>1232</v>
      </c>
      <c r="K258" t="s">
        <v>1233</v>
      </c>
      <c r="L258">
        <v>1368</v>
      </c>
      <c r="N258">
        <v>1011</v>
      </c>
      <c r="O258" t="s">
        <v>1078</v>
      </c>
      <c r="P258" t="s">
        <v>1078</v>
      </c>
      <c r="Q258">
        <v>1</v>
      </c>
      <c r="X258">
        <v>1.69</v>
      </c>
      <c r="Y258">
        <v>0</v>
      </c>
      <c r="Z258">
        <v>12.39</v>
      </c>
      <c r="AA258">
        <v>10.06</v>
      </c>
      <c r="AB258">
        <v>0</v>
      </c>
      <c r="AC258">
        <v>0</v>
      </c>
      <c r="AD258">
        <v>1</v>
      </c>
      <c r="AE258">
        <v>0</v>
      </c>
      <c r="AF258" t="s">
        <v>172</v>
      </c>
      <c r="AG258">
        <v>2.1124999999999998</v>
      </c>
      <c r="AH258">
        <v>2</v>
      </c>
      <c r="AI258">
        <v>16750508</v>
      </c>
      <c r="AJ258">
        <v>272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</row>
    <row r="259" spans="1:44" x14ac:dyDescent="0.2">
      <c r="A259">
        <f>ROW(Source!A161)</f>
        <v>161</v>
      </c>
      <c r="B259">
        <v>16750520</v>
      </c>
      <c r="C259">
        <v>16750503</v>
      </c>
      <c r="D259">
        <v>15249073</v>
      </c>
      <c r="E259">
        <v>1</v>
      </c>
      <c r="F259">
        <v>1</v>
      </c>
      <c r="G259">
        <v>1</v>
      </c>
      <c r="H259">
        <v>2</v>
      </c>
      <c r="I259" t="s">
        <v>1097</v>
      </c>
      <c r="J259" t="s">
        <v>1098</v>
      </c>
      <c r="K259" t="s">
        <v>1099</v>
      </c>
      <c r="L259">
        <v>1368</v>
      </c>
      <c r="N259">
        <v>1011</v>
      </c>
      <c r="O259" t="s">
        <v>1078</v>
      </c>
      <c r="P259" t="s">
        <v>1078</v>
      </c>
      <c r="Q259">
        <v>1</v>
      </c>
      <c r="X259">
        <v>0.01</v>
      </c>
      <c r="Y259">
        <v>0</v>
      </c>
      <c r="Z259">
        <v>65.709999999999994</v>
      </c>
      <c r="AA259">
        <v>11.6</v>
      </c>
      <c r="AB259">
        <v>0</v>
      </c>
      <c r="AC259">
        <v>0</v>
      </c>
      <c r="AD259">
        <v>1</v>
      </c>
      <c r="AE259">
        <v>0</v>
      </c>
      <c r="AF259" t="s">
        <v>172</v>
      </c>
      <c r="AG259">
        <v>1.2500000000000001E-2</v>
      </c>
      <c r="AH259">
        <v>2</v>
      </c>
      <c r="AI259">
        <v>16750509</v>
      </c>
      <c r="AJ259">
        <v>273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</row>
    <row r="260" spans="1:44" x14ac:dyDescent="0.2">
      <c r="A260">
        <f>ROW(Source!A161)</f>
        <v>161</v>
      </c>
      <c r="B260">
        <v>16750521</v>
      </c>
      <c r="C260">
        <v>16750503</v>
      </c>
      <c r="D260">
        <v>15167286</v>
      </c>
      <c r="E260">
        <v>1</v>
      </c>
      <c r="F260">
        <v>1</v>
      </c>
      <c r="G260">
        <v>1</v>
      </c>
      <c r="H260">
        <v>3</v>
      </c>
      <c r="I260" t="s">
        <v>1079</v>
      </c>
      <c r="J260" t="s">
        <v>1080</v>
      </c>
      <c r="K260" t="s">
        <v>1081</v>
      </c>
      <c r="L260">
        <v>1339</v>
      </c>
      <c r="N260">
        <v>1007</v>
      </c>
      <c r="O260" t="s">
        <v>283</v>
      </c>
      <c r="P260" t="s">
        <v>283</v>
      </c>
      <c r="Q260">
        <v>1</v>
      </c>
      <c r="X260">
        <v>0.44</v>
      </c>
      <c r="Y260">
        <v>2.44</v>
      </c>
      <c r="Z260">
        <v>0</v>
      </c>
      <c r="AA260">
        <v>0</v>
      </c>
      <c r="AB260">
        <v>0</v>
      </c>
      <c r="AC260">
        <v>0</v>
      </c>
      <c r="AD260">
        <v>1</v>
      </c>
      <c r="AE260">
        <v>0</v>
      </c>
      <c r="AF260" t="s">
        <v>6</v>
      </c>
      <c r="AG260">
        <v>0.44</v>
      </c>
      <c r="AH260">
        <v>2</v>
      </c>
      <c r="AI260">
        <v>16750510</v>
      </c>
      <c r="AJ260">
        <v>274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</row>
    <row r="261" spans="1:44" x14ac:dyDescent="0.2">
      <c r="A261">
        <f>ROW(Source!A161)</f>
        <v>161</v>
      </c>
      <c r="B261">
        <v>16750522</v>
      </c>
      <c r="C261">
        <v>16750503</v>
      </c>
      <c r="D261">
        <v>15173044</v>
      </c>
      <c r="E261">
        <v>1</v>
      </c>
      <c r="F261">
        <v>1</v>
      </c>
      <c r="G261">
        <v>1</v>
      </c>
      <c r="H261">
        <v>3</v>
      </c>
      <c r="I261" t="s">
        <v>1315</v>
      </c>
      <c r="J261" t="s">
        <v>1316</v>
      </c>
      <c r="K261" t="s">
        <v>1317</v>
      </c>
      <c r="L261">
        <v>1348</v>
      </c>
      <c r="N261">
        <v>1009</v>
      </c>
      <c r="O261" t="s">
        <v>71</v>
      </c>
      <c r="P261" t="s">
        <v>71</v>
      </c>
      <c r="Q261">
        <v>1000</v>
      </c>
      <c r="X261">
        <v>1.2999999999999999E-2</v>
      </c>
      <c r="Y261">
        <v>6513</v>
      </c>
      <c r="Z261">
        <v>0</v>
      </c>
      <c r="AA261">
        <v>0</v>
      </c>
      <c r="AB261">
        <v>0</v>
      </c>
      <c r="AC261">
        <v>0</v>
      </c>
      <c r="AD261">
        <v>1</v>
      </c>
      <c r="AE261">
        <v>0</v>
      </c>
      <c r="AF261" t="s">
        <v>6</v>
      </c>
      <c r="AG261">
        <v>1.2999999999999999E-2</v>
      </c>
      <c r="AH261">
        <v>2</v>
      </c>
      <c r="AI261">
        <v>16750511</v>
      </c>
      <c r="AJ261">
        <v>275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</row>
    <row r="262" spans="1:44" x14ac:dyDescent="0.2">
      <c r="A262">
        <f>ROW(Source!A161)</f>
        <v>161</v>
      </c>
      <c r="B262">
        <v>16750523</v>
      </c>
      <c r="C262">
        <v>16750503</v>
      </c>
      <c r="D262">
        <v>15187102</v>
      </c>
      <c r="E262">
        <v>1</v>
      </c>
      <c r="F262">
        <v>1</v>
      </c>
      <c r="G262">
        <v>1</v>
      </c>
      <c r="H262">
        <v>3</v>
      </c>
      <c r="I262" t="s">
        <v>470</v>
      </c>
      <c r="J262" t="s">
        <v>472</v>
      </c>
      <c r="K262" t="s">
        <v>471</v>
      </c>
      <c r="L262">
        <v>1327</v>
      </c>
      <c r="N262">
        <v>1005</v>
      </c>
      <c r="O262" t="s">
        <v>89</v>
      </c>
      <c r="P262" t="s">
        <v>89</v>
      </c>
      <c r="Q262">
        <v>1</v>
      </c>
      <c r="X262">
        <v>102</v>
      </c>
      <c r="Y262">
        <v>140.44999999999999</v>
      </c>
      <c r="Z262">
        <v>0</v>
      </c>
      <c r="AA262">
        <v>0</v>
      </c>
      <c r="AB262">
        <v>0</v>
      </c>
      <c r="AC262">
        <v>0</v>
      </c>
      <c r="AD262">
        <v>1</v>
      </c>
      <c r="AE262">
        <v>0</v>
      </c>
      <c r="AF262" t="s">
        <v>6</v>
      </c>
      <c r="AG262">
        <v>102</v>
      </c>
      <c r="AH262">
        <v>2</v>
      </c>
      <c r="AI262">
        <v>16750512</v>
      </c>
      <c r="AJ262">
        <v>276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</row>
    <row r="263" spans="1:44" x14ac:dyDescent="0.2">
      <c r="A263">
        <f>ROW(Source!A161)</f>
        <v>161</v>
      </c>
      <c r="B263">
        <v>16750524</v>
      </c>
      <c r="C263">
        <v>16750503</v>
      </c>
      <c r="D263">
        <v>15162768</v>
      </c>
      <c r="E263">
        <v>17</v>
      </c>
      <c r="F263">
        <v>1</v>
      </c>
      <c r="G263">
        <v>1</v>
      </c>
      <c r="H263">
        <v>3</v>
      </c>
      <c r="I263" t="s">
        <v>1584</v>
      </c>
      <c r="J263" t="s">
        <v>6</v>
      </c>
      <c r="K263" t="s">
        <v>1585</v>
      </c>
      <c r="L263">
        <v>1339</v>
      </c>
      <c r="N263">
        <v>1007</v>
      </c>
      <c r="O263" t="s">
        <v>283</v>
      </c>
      <c r="P263" t="s">
        <v>283</v>
      </c>
      <c r="Q263">
        <v>1</v>
      </c>
      <c r="X263">
        <v>0.01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0</v>
      </c>
      <c r="AF263" t="s">
        <v>6</v>
      </c>
      <c r="AG263">
        <v>0.01</v>
      </c>
      <c r="AH263">
        <v>3</v>
      </c>
      <c r="AI263">
        <v>-1</v>
      </c>
      <c r="AJ263" t="s">
        <v>6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</row>
    <row r="264" spans="1:44" x14ac:dyDescent="0.2">
      <c r="A264">
        <f>ROW(Source!A161)</f>
        <v>161</v>
      </c>
      <c r="B264">
        <v>16750525</v>
      </c>
      <c r="C264">
        <v>16750503</v>
      </c>
      <c r="D264">
        <v>15202597</v>
      </c>
      <c r="E264">
        <v>1</v>
      </c>
      <c r="F264">
        <v>1</v>
      </c>
      <c r="G264">
        <v>1</v>
      </c>
      <c r="H264">
        <v>3</v>
      </c>
      <c r="I264" t="s">
        <v>1318</v>
      </c>
      <c r="J264" t="s">
        <v>1319</v>
      </c>
      <c r="K264" t="s">
        <v>1320</v>
      </c>
      <c r="L264">
        <v>1346</v>
      </c>
      <c r="N264">
        <v>1009</v>
      </c>
      <c r="O264" t="s">
        <v>323</v>
      </c>
      <c r="P264" t="s">
        <v>323</v>
      </c>
      <c r="Q264">
        <v>1</v>
      </c>
      <c r="X264">
        <v>1200</v>
      </c>
      <c r="Y264">
        <v>3.69</v>
      </c>
      <c r="Z264">
        <v>0</v>
      </c>
      <c r="AA264">
        <v>0</v>
      </c>
      <c r="AB264">
        <v>0</v>
      </c>
      <c r="AC264">
        <v>0</v>
      </c>
      <c r="AD264">
        <v>1</v>
      </c>
      <c r="AE264">
        <v>0</v>
      </c>
      <c r="AF264" t="s">
        <v>6</v>
      </c>
      <c r="AG264">
        <v>1200</v>
      </c>
      <c r="AH264">
        <v>2</v>
      </c>
      <c r="AI264">
        <v>16750513</v>
      </c>
      <c r="AJ264">
        <v>278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</row>
    <row r="265" spans="1:44" x14ac:dyDescent="0.2">
      <c r="A265">
        <f>ROW(Source!A161)</f>
        <v>161</v>
      </c>
      <c r="B265">
        <v>16750526</v>
      </c>
      <c r="C265">
        <v>16750503</v>
      </c>
      <c r="D265">
        <v>15162572</v>
      </c>
      <c r="E265">
        <v>17</v>
      </c>
      <c r="F265">
        <v>1</v>
      </c>
      <c r="G265">
        <v>1</v>
      </c>
      <c r="H265">
        <v>3</v>
      </c>
      <c r="I265" t="s">
        <v>1582</v>
      </c>
      <c r="J265" t="s">
        <v>6</v>
      </c>
      <c r="K265" t="s">
        <v>1583</v>
      </c>
      <c r="L265">
        <v>1348</v>
      </c>
      <c r="N265">
        <v>1009</v>
      </c>
      <c r="O265" t="s">
        <v>71</v>
      </c>
      <c r="P265" t="s">
        <v>71</v>
      </c>
      <c r="Q265">
        <v>1000</v>
      </c>
      <c r="X265">
        <v>0</v>
      </c>
      <c r="Y265">
        <v>0</v>
      </c>
      <c r="Z265">
        <v>0</v>
      </c>
      <c r="AA265">
        <v>0</v>
      </c>
      <c r="AB265">
        <v>0</v>
      </c>
      <c r="AC265">
        <v>1</v>
      </c>
      <c r="AD265">
        <v>0</v>
      </c>
      <c r="AE265">
        <v>0</v>
      </c>
      <c r="AF265" t="s">
        <v>6</v>
      </c>
      <c r="AG265">
        <v>0</v>
      </c>
      <c r="AH265">
        <v>3</v>
      </c>
      <c r="AI265">
        <v>-1</v>
      </c>
      <c r="AJ265" t="s">
        <v>6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</row>
    <row r="266" spans="1:44" x14ac:dyDescent="0.2">
      <c r="A266">
        <f>ROW(Source!A164)</f>
        <v>164</v>
      </c>
      <c r="B266">
        <v>16750542</v>
      </c>
      <c r="C266">
        <v>16750529</v>
      </c>
      <c r="D266">
        <v>15435695</v>
      </c>
      <c r="E266">
        <v>1</v>
      </c>
      <c r="F266">
        <v>1</v>
      </c>
      <c r="G266">
        <v>1</v>
      </c>
      <c r="H266">
        <v>1</v>
      </c>
      <c r="I266" t="s">
        <v>1321</v>
      </c>
      <c r="J266" t="s">
        <v>6</v>
      </c>
      <c r="K266" t="s">
        <v>1322</v>
      </c>
      <c r="L266">
        <v>1191</v>
      </c>
      <c r="N266">
        <v>1013</v>
      </c>
      <c r="O266" t="s">
        <v>1072</v>
      </c>
      <c r="P266" t="s">
        <v>1072</v>
      </c>
      <c r="Q266">
        <v>1</v>
      </c>
      <c r="X266">
        <v>26.97</v>
      </c>
      <c r="Y266">
        <v>0</v>
      </c>
      <c r="Z266">
        <v>0</v>
      </c>
      <c r="AA266">
        <v>0</v>
      </c>
      <c r="AB266">
        <v>10.94</v>
      </c>
      <c r="AC266">
        <v>0</v>
      </c>
      <c r="AD266">
        <v>1</v>
      </c>
      <c r="AE266">
        <v>1</v>
      </c>
      <c r="AF266" t="s">
        <v>173</v>
      </c>
      <c r="AG266">
        <v>31.015499999999996</v>
      </c>
      <c r="AH266">
        <v>2</v>
      </c>
      <c r="AI266">
        <v>16750530</v>
      </c>
      <c r="AJ266">
        <v>279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</row>
    <row r="267" spans="1:44" x14ac:dyDescent="0.2">
      <c r="A267">
        <f>ROW(Source!A164)</f>
        <v>164</v>
      </c>
      <c r="B267">
        <v>16750543</v>
      </c>
      <c r="C267">
        <v>16750529</v>
      </c>
      <c r="D267">
        <v>15430395</v>
      </c>
      <c r="E267">
        <v>1</v>
      </c>
      <c r="F267">
        <v>1</v>
      </c>
      <c r="G267">
        <v>1</v>
      </c>
      <c r="H267">
        <v>1</v>
      </c>
      <c r="I267" t="s">
        <v>1073</v>
      </c>
      <c r="J267" t="s">
        <v>6</v>
      </c>
      <c r="K267" t="s">
        <v>1074</v>
      </c>
      <c r="L267">
        <v>1191</v>
      </c>
      <c r="N267">
        <v>1013</v>
      </c>
      <c r="O267" t="s">
        <v>1072</v>
      </c>
      <c r="P267" t="s">
        <v>1072</v>
      </c>
      <c r="Q267">
        <v>1</v>
      </c>
      <c r="X267">
        <v>0.43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1</v>
      </c>
      <c r="AE267">
        <v>2</v>
      </c>
      <c r="AF267" t="s">
        <v>172</v>
      </c>
      <c r="AG267">
        <v>0.53749999999999998</v>
      </c>
      <c r="AH267">
        <v>2</v>
      </c>
      <c r="AI267">
        <v>16750531</v>
      </c>
      <c r="AJ267">
        <v>280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</row>
    <row r="268" spans="1:44" x14ac:dyDescent="0.2">
      <c r="A268">
        <f>ROW(Source!A164)</f>
        <v>164</v>
      </c>
      <c r="B268">
        <v>16750544</v>
      </c>
      <c r="C268">
        <v>16750529</v>
      </c>
      <c r="D268">
        <v>15247974</v>
      </c>
      <c r="E268">
        <v>1</v>
      </c>
      <c r="F268">
        <v>1</v>
      </c>
      <c r="G268">
        <v>1</v>
      </c>
      <c r="H268">
        <v>2</v>
      </c>
      <c r="I268" t="s">
        <v>1075</v>
      </c>
      <c r="J268" t="s">
        <v>1076</v>
      </c>
      <c r="K268" t="s">
        <v>1077</v>
      </c>
      <c r="L268">
        <v>1368</v>
      </c>
      <c r="N268">
        <v>1011</v>
      </c>
      <c r="O268" t="s">
        <v>1078</v>
      </c>
      <c r="P268" t="s">
        <v>1078</v>
      </c>
      <c r="Q268">
        <v>1</v>
      </c>
      <c r="X268">
        <v>0.18</v>
      </c>
      <c r="Y268">
        <v>0</v>
      </c>
      <c r="Z268">
        <v>31.26</v>
      </c>
      <c r="AA268">
        <v>13.5</v>
      </c>
      <c r="AB268">
        <v>0</v>
      </c>
      <c r="AC268">
        <v>0</v>
      </c>
      <c r="AD268">
        <v>1</v>
      </c>
      <c r="AE268">
        <v>0</v>
      </c>
      <c r="AF268" t="s">
        <v>172</v>
      </c>
      <c r="AG268">
        <v>0.22499999999999998</v>
      </c>
      <c r="AH268">
        <v>2</v>
      </c>
      <c r="AI268">
        <v>16750532</v>
      </c>
      <c r="AJ268">
        <v>281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</row>
    <row r="269" spans="1:44" x14ac:dyDescent="0.2">
      <c r="A269">
        <f>ROW(Source!A164)</f>
        <v>164</v>
      </c>
      <c r="B269">
        <v>16750545</v>
      </c>
      <c r="C269">
        <v>16750529</v>
      </c>
      <c r="D269">
        <v>15248306</v>
      </c>
      <c r="E269">
        <v>1</v>
      </c>
      <c r="F269">
        <v>1</v>
      </c>
      <c r="G269">
        <v>1</v>
      </c>
      <c r="H269">
        <v>2</v>
      </c>
      <c r="I269" t="s">
        <v>1323</v>
      </c>
      <c r="J269" t="s">
        <v>1324</v>
      </c>
      <c r="K269" t="s">
        <v>1325</v>
      </c>
      <c r="L269">
        <v>1368</v>
      </c>
      <c r="N269">
        <v>1011</v>
      </c>
      <c r="O269" t="s">
        <v>1078</v>
      </c>
      <c r="P269" t="s">
        <v>1078</v>
      </c>
      <c r="Q269">
        <v>1</v>
      </c>
      <c r="X269">
        <v>4.37</v>
      </c>
      <c r="Y269">
        <v>0</v>
      </c>
      <c r="Z269">
        <v>30</v>
      </c>
      <c r="AA269">
        <v>0</v>
      </c>
      <c r="AB269">
        <v>0</v>
      </c>
      <c r="AC269">
        <v>0</v>
      </c>
      <c r="AD269">
        <v>1</v>
      </c>
      <c r="AE269">
        <v>0</v>
      </c>
      <c r="AF269" t="s">
        <v>172</v>
      </c>
      <c r="AG269">
        <v>5.4625000000000004</v>
      </c>
      <c r="AH269">
        <v>2</v>
      </c>
      <c r="AI269">
        <v>16750533</v>
      </c>
      <c r="AJ269">
        <v>282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</row>
    <row r="270" spans="1:44" x14ac:dyDescent="0.2">
      <c r="A270">
        <f>ROW(Source!A164)</f>
        <v>164</v>
      </c>
      <c r="B270">
        <v>16750546</v>
      </c>
      <c r="C270">
        <v>16750529</v>
      </c>
      <c r="D270">
        <v>15249073</v>
      </c>
      <c r="E270">
        <v>1</v>
      </c>
      <c r="F270">
        <v>1</v>
      </c>
      <c r="G270">
        <v>1</v>
      </c>
      <c r="H270">
        <v>2</v>
      </c>
      <c r="I270" t="s">
        <v>1097</v>
      </c>
      <c r="J270" t="s">
        <v>1098</v>
      </c>
      <c r="K270" t="s">
        <v>1099</v>
      </c>
      <c r="L270">
        <v>1368</v>
      </c>
      <c r="N270">
        <v>1011</v>
      </c>
      <c r="O270" t="s">
        <v>1078</v>
      </c>
      <c r="P270" t="s">
        <v>1078</v>
      </c>
      <c r="Q270">
        <v>1</v>
      </c>
      <c r="X270">
        <v>0.25</v>
      </c>
      <c r="Y270">
        <v>0</v>
      </c>
      <c r="Z270">
        <v>65.709999999999994</v>
      </c>
      <c r="AA270">
        <v>11.6</v>
      </c>
      <c r="AB270">
        <v>0</v>
      </c>
      <c r="AC270">
        <v>0</v>
      </c>
      <c r="AD270">
        <v>1</v>
      </c>
      <c r="AE270">
        <v>0</v>
      </c>
      <c r="AF270" t="s">
        <v>172</v>
      </c>
      <c r="AG270">
        <v>0.3125</v>
      </c>
      <c r="AH270">
        <v>2</v>
      </c>
      <c r="AI270">
        <v>16750534</v>
      </c>
      <c r="AJ270">
        <v>283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</row>
    <row r="271" spans="1:44" x14ac:dyDescent="0.2">
      <c r="A271">
        <f>ROW(Source!A164)</f>
        <v>164</v>
      </c>
      <c r="B271">
        <v>16750547</v>
      </c>
      <c r="C271">
        <v>16750529</v>
      </c>
      <c r="D271">
        <v>15250226</v>
      </c>
      <c r="E271">
        <v>1</v>
      </c>
      <c r="F271">
        <v>1</v>
      </c>
      <c r="G271">
        <v>1</v>
      </c>
      <c r="H271">
        <v>2</v>
      </c>
      <c r="I271" t="s">
        <v>1326</v>
      </c>
      <c r="J271" t="s">
        <v>1327</v>
      </c>
      <c r="K271" t="s">
        <v>1328</v>
      </c>
      <c r="L271">
        <v>1368</v>
      </c>
      <c r="N271">
        <v>1011</v>
      </c>
      <c r="O271" t="s">
        <v>1078</v>
      </c>
      <c r="P271" t="s">
        <v>1078</v>
      </c>
      <c r="Q271">
        <v>1</v>
      </c>
      <c r="X271">
        <v>1.5</v>
      </c>
      <c r="Y271">
        <v>0</v>
      </c>
      <c r="Z271">
        <v>2.7</v>
      </c>
      <c r="AA271">
        <v>0</v>
      </c>
      <c r="AB271">
        <v>0</v>
      </c>
      <c r="AC271">
        <v>0</v>
      </c>
      <c r="AD271">
        <v>1</v>
      </c>
      <c r="AE271">
        <v>0</v>
      </c>
      <c r="AF271" t="s">
        <v>172</v>
      </c>
      <c r="AG271">
        <v>1.875</v>
      </c>
      <c r="AH271">
        <v>2</v>
      </c>
      <c r="AI271">
        <v>16750535</v>
      </c>
      <c r="AJ271">
        <v>284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</row>
    <row r="272" spans="1:44" x14ac:dyDescent="0.2">
      <c r="A272">
        <f>ROW(Source!A164)</f>
        <v>164</v>
      </c>
      <c r="B272">
        <v>16750548</v>
      </c>
      <c r="C272">
        <v>16750529</v>
      </c>
      <c r="D272">
        <v>15165310</v>
      </c>
      <c r="E272">
        <v>1</v>
      </c>
      <c r="F272">
        <v>1</v>
      </c>
      <c r="G272">
        <v>1</v>
      </c>
      <c r="H272">
        <v>3</v>
      </c>
      <c r="I272" t="s">
        <v>1329</v>
      </c>
      <c r="J272" t="s">
        <v>1330</v>
      </c>
      <c r="K272" t="s">
        <v>1331</v>
      </c>
      <c r="L272">
        <v>1348</v>
      </c>
      <c r="N272">
        <v>1009</v>
      </c>
      <c r="O272" t="s">
        <v>71</v>
      </c>
      <c r="P272" t="s">
        <v>71</v>
      </c>
      <c r="Q272">
        <v>1000</v>
      </c>
      <c r="X272">
        <v>8.0000000000000002E-3</v>
      </c>
      <c r="Y272">
        <v>1160</v>
      </c>
      <c r="Z272">
        <v>0</v>
      </c>
      <c r="AA272">
        <v>0</v>
      </c>
      <c r="AB272">
        <v>0</v>
      </c>
      <c r="AC272">
        <v>0</v>
      </c>
      <c r="AD272">
        <v>1</v>
      </c>
      <c r="AE272">
        <v>0</v>
      </c>
      <c r="AF272" t="s">
        <v>6</v>
      </c>
      <c r="AG272">
        <v>8.0000000000000002E-3</v>
      </c>
      <c r="AH272">
        <v>2</v>
      </c>
      <c r="AI272">
        <v>16750536</v>
      </c>
      <c r="AJ272">
        <v>285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</row>
    <row r="273" spans="1:44" x14ac:dyDescent="0.2">
      <c r="A273">
        <f>ROW(Source!A164)</f>
        <v>164</v>
      </c>
      <c r="B273">
        <v>16750549</v>
      </c>
      <c r="C273">
        <v>16750529</v>
      </c>
      <c r="D273">
        <v>15165346</v>
      </c>
      <c r="E273">
        <v>1</v>
      </c>
      <c r="F273">
        <v>1</v>
      </c>
      <c r="G273">
        <v>1</v>
      </c>
      <c r="H273">
        <v>3</v>
      </c>
      <c r="I273" t="s">
        <v>1332</v>
      </c>
      <c r="J273" t="s">
        <v>1333</v>
      </c>
      <c r="K273" t="s">
        <v>1334</v>
      </c>
      <c r="L273">
        <v>1348</v>
      </c>
      <c r="N273">
        <v>1009</v>
      </c>
      <c r="O273" t="s">
        <v>71</v>
      </c>
      <c r="P273" t="s">
        <v>71</v>
      </c>
      <c r="Q273">
        <v>1000</v>
      </c>
      <c r="X273">
        <v>1.9E-2</v>
      </c>
      <c r="Y273">
        <v>1525.5</v>
      </c>
      <c r="Z273">
        <v>0</v>
      </c>
      <c r="AA273">
        <v>0</v>
      </c>
      <c r="AB273">
        <v>0</v>
      </c>
      <c r="AC273">
        <v>0</v>
      </c>
      <c r="AD273">
        <v>1</v>
      </c>
      <c r="AE273">
        <v>0</v>
      </c>
      <c r="AF273" t="s">
        <v>6</v>
      </c>
      <c r="AG273">
        <v>1.9E-2</v>
      </c>
      <c r="AH273">
        <v>2</v>
      </c>
      <c r="AI273">
        <v>16750537</v>
      </c>
      <c r="AJ273">
        <v>286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</row>
    <row r="274" spans="1:44" x14ac:dyDescent="0.2">
      <c r="A274">
        <f>ROW(Source!A164)</f>
        <v>164</v>
      </c>
      <c r="B274">
        <v>16750550</v>
      </c>
      <c r="C274">
        <v>16750529</v>
      </c>
      <c r="D274">
        <v>15165348</v>
      </c>
      <c r="E274">
        <v>1</v>
      </c>
      <c r="F274">
        <v>1</v>
      </c>
      <c r="G274">
        <v>1</v>
      </c>
      <c r="H274">
        <v>3</v>
      </c>
      <c r="I274" t="s">
        <v>1335</v>
      </c>
      <c r="J274" t="s">
        <v>1336</v>
      </c>
      <c r="K274" t="s">
        <v>1337</v>
      </c>
      <c r="L274">
        <v>1348</v>
      </c>
      <c r="N274">
        <v>1009</v>
      </c>
      <c r="O274" t="s">
        <v>71</v>
      </c>
      <c r="P274" t="s">
        <v>71</v>
      </c>
      <c r="Q274">
        <v>1000</v>
      </c>
      <c r="X274">
        <v>0.157</v>
      </c>
      <c r="Y274">
        <v>1383.1</v>
      </c>
      <c r="Z274">
        <v>0</v>
      </c>
      <c r="AA274">
        <v>0</v>
      </c>
      <c r="AB274">
        <v>0</v>
      </c>
      <c r="AC274">
        <v>0</v>
      </c>
      <c r="AD274">
        <v>1</v>
      </c>
      <c r="AE274">
        <v>0</v>
      </c>
      <c r="AF274" t="s">
        <v>6</v>
      </c>
      <c r="AG274">
        <v>0.157</v>
      </c>
      <c r="AH274">
        <v>2</v>
      </c>
      <c r="AI274">
        <v>16750538</v>
      </c>
      <c r="AJ274">
        <v>287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</row>
    <row r="275" spans="1:44" x14ac:dyDescent="0.2">
      <c r="A275">
        <f>ROW(Source!A164)</f>
        <v>164</v>
      </c>
      <c r="B275">
        <v>16750551</v>
      </c>
      <c r="C275">
        <v>16750529</v>
      </c>
      <c r="D275">
        <v>15165532</v>
      </c>
      <c r="E275">
        <v>1</v>
      </c>
      <c r="F275">
        <v>1</v>
      </c>
      <c r="G275">
        <v>1</v>
      </c>
      <c r="H275">
        <v>3</v>
      </c>
      <c r="I275" t="s">
        <v>1338</v>
      </c>
      <c r="J275" t="s">
        <v>1339</v>
      </c>
      <c r="K275" t="s">
        <v>1340</v>
      </c>
      <c r="L275">
        <v>1348</v>
      </c>
      <c r="N275">
        <v>1009</v>
      </c>
      <c r="O275" t="s">
        <v>71</v>
      </c>
      <c r="P275" t="s">
        <v>71</v>
      </c>
      <c r="Q275">
        <v>1000</v>
      </c>
      <c r="X275">
        <v>5.7000000000000002E-2</v>
      </c>
      <c r="Y275">
        <v>6143.8</v>
      </c>
      <c r="Z275">
        <v>0</v>
      </c>
      <c r="AA275">
        <v>0</v>
      </c>
      <c r="AB275">
        <v>0</v>
      </c>
      <c r="AC275">
        <v>0</v>
      </c>
      <c r="AD275">
        <v>1</v>
      </c>
      <c r="AE275">
        <v>0</v>
      </c>
      <c r="AF275" t="s">
        <v>6</v>
      </c>
      <c r="AG275">
        <v>5.7000000000000002E-2</v>
      </c>
      <c r="AH275">
        <v>2</v>
      </c>
      <c r="AI275">
        <v>16750539</v>
      </c>
      <c r="AJ275">
        <v>288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</row>
    <row r="276" spans="1:44" x14ac:dyDescent="0.2">
      <c r="A276">
        <f>ROW(Source!A164)</f>
        <v>164</v>
      </c>
      <c r="B276">
        <v>16750552</v>
      </c>
      <c r="C276">
        <v>16750529</v>
      </c>
      <c r="D276">
        <v>15167803</v>
      </c>
      <c r="E276">
        <v>1</v>
      </c>
      <c r="F276">
        <v>1</v>
      </c>
      <c r="G276">
        <v>1</v>
      </c>
      <c r="H276">
        <v>3</v>
      </c>
      <c r="I276" t="s">
        <v>1341</v>
      </c>
      <c r="J276" t="s">
        <v>1342</v>
      </c>
      <c r="K276" t="s">
        <v>1343</v>
      </c>
      <c r="L276">
        <v>1348</v>
      </c>
      <c r="N276">
        <v>1009</v>
      </c>
      <c r="O276" t="s">
        <v>71</v>
      </c>
      <c r="P276" t="s">
        <v>71</v>
      </c>
      <c r="Q276">
        <v>1000</v>
      </c>
      <c r="X276">
        <v>0.125</v>
      </c>
      <c r="Y276">
        <v>688.8</v>
      </c>
      <c r="Z276">
        <v>0</v>
      </c>
      <c r="AA276">
        <v>0</v>
      </c>
      <c r="AB276">
        <v>0</v>
      </c>
      <c r="AC276">
        <v>0</v>
      </c>
      <c r="AD276">
        <v>1</v>
      </c>
      <c r="AE276">
        <v>0</v>
      </c>
      <c r="AF276" t="s">
        <v>6</v>
      </c>
      <c r="AG276">
        <v>0.125</v>
      </c>
      <c r="AH276">
        <v>2</v>
      </c>
      <c r="AI276">
        <v>16750540</v>
      </c>
      <c r="AJ276">
        <v>289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</row>
    <row r="277" spans="1:44" x14ac:dyDescent="0.2">
      <c r="A277">
        <f>ROW(Source!A164)</f>
        <v>164</v>
      </c>
      <c r="B277">
        <v>16750553</v>
      </c>
      <c r="C277">
        <v>16750529</v>
      </c>
      <c r="D277">
        <v>15171018</v>
      </c>
      <c r="E277">
        <v>1</v>
      </c>
      <c r="F277">
        <v>1</v>
      </c>
      <c r="G277">
        <v>1</v>
      </c>
      <c r="H277">
        <v>3</v>
      </c>
      <c r="I277" t="s">
        <v>1168</v>
      </c>
      <c r="J277" t="s">
        <v>1169</v>
      </c>
      <c r="K277" t="s">
        <v>1170</v>
      </c>
      <c r="L277">
        <v>1346</v>
      </c>
      <c r="N277">
        <v>1009</v>
      </c>
      <c r="O277" t="s">
        <v>323</v>
      </c>
      <c r="P277" t="s">
        <v>323</v>
      </c>
      <c r="Q277">
        <v>1</v>
      </c>
      <c r="X277">
        <v>0.5</v>
      </c>
      <c r="Y277">
        <v>1.82</v>
      </c>
      <c r="Z277">
        <v>0</v>
      </c>
      <c r="AA277">
        <v>0</v>
      </c>
      <c r="AB277">
        <v>0</v>
      </c>
      <c r="AC277">
        <v>0</v>
      </c>
      <c r="AD277">
        <v>1</v>
      </c>
      <c r="AE277">
        <v>0</v>
      </c>
      <c r="AF277" t="s">
        <v>6</v>
      </c>
      <c r="AG277">
        <v>0.5</v>
      </c>
      <c r="AH277">
        <v>2</v>
      </c>
      <c r="AI277">
        <v>16750541</v>
      </c>
      <c r="AJ277">
        <v>290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</row>
    <row r="278" spans="1:44" x14ac:dyDescent="0.2">
      <c r="A278">
        <f>ROW(Source!A165)</f>
        <v>165</v>
      </c>
      <c r="B278">
        <v>16750582</v>
      </c>
      <c r="C278">
        <v>16750575</v>
      </c>
      <c r="D278">
        <v>15430397</v>
      </c>
      <c r="E278">
        <v>1</v>
      </c>
      <c r="F278">
        <v>1</v>
      </c>
      <c r="G278">
        <v>1</v>
      </c>
      <c r="H278">
        <v>1</v>
      </c>
      <c r="I278" t="s">
        <v>1234</v>
      </c>
      <c r="J278" t="s">
        <v>6</v>
      </c>
      <c r="K278" t="s">
        <v>1235</v>
      </c>
      <c r="L278">
        <v>1191</v>
      </c>
      <c r="N278">
        <v>1013</v>
      </c>
      <c r="O278" t="s">
        <v>1072</v>
      </c>
      <c r="P278" t="s">
        <v>1072</v>
      </c>
      <c r="Q278">
        <v>1</v>
      </c>
      <c r="X278">
        <v>25.61</v>
      </c>
      <c r="Y278">
        <v>0</v>
      </c>
      <c r="Z278">
        <v>0</v>
      </c>
      <c r="AA278">
        <v>0</v>
      </c>
      <c r="AB278">
        <v>9.4</v>
      </c>
      <c r="AC278">
        <v>0</v>
      </c>
      <c r="AD278">
        <v>1</v>
      </c>
      <c r="AE278">
        <v>1</v>
      </c>
      <c r="AF278" t="s">
        <v>173</v>
      </c>
      <c r="AG278">
        <v>29.451499999999996</v>
      </c>
      <c r="AH278">
        <v>2</v>
      </c>
      <c r="AI278">
        <v>16750576</v>
      </c>
      <c r="AJ278">
        <v>291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</row>
    <row r="279" spans="1:44" x14ac:dyDescent="0.2">
      <c r="A279">
        <f>ROW(Source!A165)</f>
        <v>165</v>
      </c>
      <c r="B279">
        <v>16750583</v>
      </c>
      <c r="C279">
        <v>16750575</v>
      </c>
      <c r="D279">
        <v>15430395</v>
      </c>
      <c r="E279">
        <v>1</v>
      </c>
      <c r="F279">
        <v>1</v>
      </c>
      <c r="G279">
        <v>1</v>
      </c>
      <c r="H279">
        <v>1</v>
      </c>
      <c r="I279" t="s">
        <v>1073</v>
      </c>
      <c r="J279" t="s">
        <v>6</v>
      </c>
      <c r="K279" t="s">
        <v>1074</v>
      </c>
      <c r="L279">
        <v>1191</v>
      </c>
      <c r="N279">
        <v>1013</v>
      </c>
      <c r="O279" t="s">
        <v>1072</v>
      </c>
      <c r="P279" t="s">
        <v>1072</v>
      </c>
      <c r="Q279">
        <v>1</v>
      </c>
      <c r="X279">
        <v>0.1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1</v>
      </c>
      <c r="AE279">
        <v>2</v>
      </c>
      <c r="AF279" t="s">
        <v>172</v>
      </c>
      <c r="AG279">
        <v>0.125</v>
      </c>
      <c r="AH279">
        <v>2</v>
      </c>
      <c r="AI279">
        <v>16750577</v>
      </c>
      <c r="AJ279">
        <v>292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</row>
    <row r="280" spans="1:44" x14ac:dyDescent="0.2">
      <c r="A280">
        <f>ROW(Source!A165)</f>
        <v>165</v>
      </c>
      <c r="B280">
        <v>16750584</v>
      </c>
      <c r="C280">
        <v>16750575</v>
      </c>
      <c r="D280">
        <v>15249073</v>
      </c>
      <c r="E280">
        <v>1</v>
      </c>
      <c r="F280">
        <v>1</v>
      </c>
      <c r="G280">
        <v>1</v>
      </c>
      <c r="H280">
        <v>2</v>
      </c>
      <c r="I280" t="s">
        <v>1097</v>
      </c>
      <c r="J280" t="s">
        <v>1098</v>
      </c>
      <c r="K280" t="s">
        <v>1099</v>
      </c>
      <c r="L280">
        <v>1368</v>
      </c>
      <c r="N280">
        <v>1011</v>
      </c>
      <c r="O280" t="s">
        <v>1078</v>
      </c>
      <c r="P280" t="s">
        <v>1078</v>
      </c>
      <c r="Q280">
        <v>1</v>
      </c>
      <c r="X280">
        <v>0.1</v>
      </c>
      <c r="Y280">
        <v>0</v>
      </c>
      <c r="Z280">
        <v>65.709999999999994</v>
      </c>
      <c r="AA280">
        <v>11.6</v>
      </c>
      <c r="AB280">
        <v>0</v>
      </c>
      <c r="AC280">
        <v>0</v>
      </c>
      <c r="AD280">
        <v>1</v>
      </c>
      <c r="AE280">
        <v>0</v>
      </c>
      <c r="AF280" t="s">
        <v>172</v>
      </c>
      <c r="AG280">
        <v>0.125</v>
      </c>
      <c r="AH280">
        <v>2</v>
      </c>
      <c r="AI280">
        <v>16750578</v>
      </c>
      <c r="AJ280">
        <v>293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</row>
    <row r="281" spans="1:44" x14ac:dyDescent="0.2">
      <c r="A281">
        <f>ROW(Source!A165)</f>
        <v>165</v>
      </c>
      <c r="B281">
        <v>16750585</v>
      </c>
      <c r="C281">
        <v>16750575</v>
      </c>
      <c r="D281">
        <v>15162728</v>
      </c>
      <c r="E281">
        <v>17</v>
      </c>
      <c r="F281">
        <v>1</v>
      </c>
      <c r="G281">
        <v>1</v>
      </c>
      <c r="H281">
        <v>3</v>
      </c>
      <c r="I281" t="s">
        <v>490</v>
      </c>
      <c r="J281" t="s">
        <v>6</v>
      </c>
      <c r="K281" t="s">
        <v>491</v>
      </c>
      <c r="L281">
        <v>1327</v>
      </c>
      <c r="N281">
        <v>1005</v>
      </c>
      <c r="O281" t="s">
        <v>89</v>
      </c>
      <c r="P281" t="s">
        <v>89</v>
      </c>
      <c r="Q281">
        <v>1</v>
      </c>
      <c r="X281">
        <v>102.5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0</v>
      </c>
      <c r="AE281">
        <v>0</v>
      </c>
      <c r="AF281" t="s">
        <v>6</v>
      </c>
      <c r="AG281">
        <v>102.5</v>
      </c>
      <c r="AH281">
        <v>2</v>
      </c>
      <c r="AI281">
        <v>16750579</v>
      </c>
      <c r="AJ281">
        <v>294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</row>
    <row r="282" spans="1:44" x14ac:dyDescent="0.2">
      <c r="A282">
        <f>ROW(Source!A165)</f>
        <v>165</v>
      </c>
      <c r="B282">
        <v>16750586</v>
      </c>
      <c r="C282">
        <v>16750575</v>
      </c>
      <c r="D282">
        <v>15197694</v>
      </c>
      <c r="E282">
        <v>1</v>
      </c>
      <c r="F282">
        <v>1</v>
      </c>
      <c r="G282">
        <v>1</v>
      </c>
      <c r="H282">
        <v>3</v>
      </c>
      <c r="I282" t="s">
        <v>1344</v>
      </c>
      <c r="J282" t="s">
        <v>1345</v>
      </c>
      <c r="K282" t="s">
        <v>1346</v>
      </c>
      <c r="L282">
        <v>1330</v>
      </c>
      <c r="N282">
        <v>1005</v>
      </c>
      <c r="O282" t="s">
        <v>1347</v>
      </c>
      <c r="P282" t="s">
        <v>1347</v>
      </c>
      <c r="Q282">
        <v>10</v>
      </c>
      <c r="X282">
        <v>10.5</v>
      </c>
      <c r="Y282">
        <v>34.9</v>
      </c>
      <c r="Z282">
        <v>0</v>
      </c>
      <c r="AA282">
        <v>0</v>
      </c>
      <c r="AB282">
        <v>0</v>
      </c>
      <c r="AC282">
        <v>0</v>
      </c>
      <c r="AD282">
        <v>1</v>
      </c>
      <c r="AE282">
        <v>0</v>
      </c>
      <c r="AF282" t="s">
        <v>6</v>
      </c>
      <c r="AG282">
        <v>10.5</v>
      </c>
      <c r="AH282">
        <v>2</v>
      </c>
      <c r="AI282">
        <v>16750580</v>
      </c>
      <c r="AJ282">
        <v>296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</row>
    <row r="283" spans="1:44" x14ac:dyDescent="0.2">
      <c r="A283">
        <f>ROW(Source!A168)</f>
        <v>168</v>
      </c>
      <c r="B283">
        <v>16750597</v>
      </c>
      <c r="C283">
        <v>16750589</v>
      </c>
      <c r="D283">
        <v>15447742</v>
      </c>
      <c r="E283">
        <v>1</v>
      </c>
      <c r="F283">
        <v>1</v>
      </c>
      <c r="G283">
        <v>1</v>
      </c>
      <c r="H283">
        <v>1</v>
      </c>
      <c r="I283" t="s">
        <v>1348</v>
      </c>
      <c r="J283" t="s">
        <v>6</v>
      </c>
      <c r="K283" t="s">
        <v>1349</v>
      </c>
      <c r="L283">
        <v>1191</v>
      </c>
      <c r="N283">
        <v>1013</v>
      </c>
      <c r="O283" t="s">
        <v>1072</v>
      </c>
      <c r="P283" t="s">
        <v>1072</v>
      </c>
      <c r="Q283">
        <v>1</v>
      </c>
      <c r="X283">
        <v>9.01</v>
      </c>
      <c r="Y283">
        <v>0</v>
      </c>
      <c r="Z283">
        <v>0</v>
      </c>
      <c r="AA283">
        <v>0</v>
      </c>
      <c r="AB283">
        <v>9.76</v>
      </c>
      <c r="AC283">
        <v>0</v>
      </c>
      <c r="AD283">
        <v>1</v>
      </c>
      <c r="AE283">
        <v>1</v>
      </c>
      <c r="AF283" t="s">
        <v>173</v>
      </c>
      <c r="AG283">
        <v>10.361499999999999</v>
      </c>
      <c r="AH283">
        <v>2</v>
      </c>
      <c r="AI283">
        <v>16750590</v>
      </c>
      <c r="AJ283">
        <v>297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</row>
    <row r="284" spans="1:44" x14ac:dyDescent="0.2">
      <c r="A284">
        <f>ROW(Source!A168)</f>
        <v>168</v>
      </c>
      <c r="B284">
        <v>16750598</v>
      </c>
      <c r="C284">
        <v>16750589</v>
      </c>
      <c r="D284">
        <v>15430395</v>
      </c>
      <c r="E284">
        <v>1</v>
      </c>
      <c r="F284">
        <v>1</v>
      </c>
      <c r="G284">
        <v>1</v>
      </c>
      <c r="H284">
        <v>1</v>
      </c>
      <c r="I284" t="s">
        <v>1073</v>
      </c>
      <c r="J284" t="s">
        <v>6</v>
      </c>
      <c r="K284" t="s">
        <v>1074</v>
      </c>
      <c r="L284">
        <v>1191</v>
      </c>
      <c r="N284">
        <v>1013</v>
      </c>
      <c r="O284" t="s">
        <v>1072</v>
      </c>
      <c r="P284" t="s">
        <v>1072</v>
      </c>
      <c r="Q284">
        <v>1</v>
      </c>
      <c r="X284">
        <v>0.04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1</v>
      </c>
      <c r="AE284">
        <v>2</v>
      </c>
      <c r="AF284" t="s">
        <v>172</v>
      </c>
      <c r="AG284">
        <v>0.05</v>
      </c>
      <c r="AH284">
        <v>2</v>
      </c>
      <c r="AI284">
        <v>16750591</v>
      </c>
      <c r="AJ284">
        <v>298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</row>
    <row r="285" spans="1:44" x14ac:dyDescent="0.2">
      <c r="A285">
        <f>ROW(Source!A168)</f>
        <v>168</v>
      </c>
      <c r="B285">
        <v>16750599</v>
      </c>
      <c r="C285">
        <v>16750589</v>
      </c>
      <c r="D285">
        <v>15247974</v>
      </c>
      <c r="E285">
        <v>1</v>
      </c>
      <c r="F285">
        <v>1</v>
      </c>
      <c r="G285">
        <v>1</v>
      </c>
      <c r="H285">
        <v>2</v>
      </c>
      <c r="I285" t="s">
        <v>1075</v>
      </c>
      <c r="J285" t="s">
        <v>1076</v>
      </c>
      <c r="K285" t="s">
        <v>1077</v>
      </c>
      <c r="L285">
        <v>1368</v>
      </c>
      <c r="N285">
        <v>1011</v>
      </c>
      <c r="O285" t="s">
        <v>1078</v>
      </c>
      <c r="P285" t="s">
        <v>1078</v>
      </c>
      <c r="Q285">
        <v>1</v>
      </c>
      <c r="X285">
        <v>5.0000000000000001E-3</v>
      </c>
      <c r="Y285">
        <v>0</v>
      </c>
      <c r="Z285">
        <v>31.26</v>
      </c>
      <c r="AA285">
        <v>13.5</v>
      </c>
      <c r="AB285">
        <v>0</v>
      </c>
      <c r="AC285">
        <v>0</v>
      </c>
      <c r="AD285">
        <v>1</v>
      </c>
      <c r="AE285">
        <v>0</v>
      </c>
      <c r="AF285" t="s">
        <v>172</v>
      </c>
      <c r="AG285">
        <v>6.2500000000000003E-3</v>
      </c>
      <c r="AH285">
        <v>2</v>
      </c>
      <c r="AI285">
        <v>16750592</v>
      </c>
      <c r="AJ285">
        <v>299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</row>
    <row r="286" spans="1:44" x14ac:dyDescent="0.2">
      <c r="A286">
        <f>ROW(Source!A168)</f>
        <v>168</v>
      </c>
      <c r="B286">
        <v>16750600</v>
      </c>
      <c r="C286">
        <v>16750589</v>
      </c>
      <c r="D286">
        <v>15249073</v>
      </c>
      <c r="E286">
        <v>1</v>
      </c>
      <c r="F286">
        <v>1</v>
      </c>
      <c r="G286">
        <v>1</v>
      </c>
      <c r="H286">
        <v>2</v>
      </c>
      <c r="I286" t="s">
        <v>1097</v>
      </c>
      <c r="J286" t="s">
        <v>1098</v>
      </c>
      <c r="K286" t="s">
        <v>1099</v>
      </c>
      <c r="L286">
        <v>1368</v>
      </c>
      <c r="N286">
        <v>1011</v>
      </c>
      <c r="O286" t="s">
        <v>1078</v>
      </c>
      <c r="P286" t="s">
        <v>1078</v>
      </c>
      <c r="Q286">
        <v>1</v>
      </c>
      <c r="X286">
        <v>0.03</v>
      </c>
      <c r="Y286">
        <v>0</v>
      </c>
      <c r="Z286">
        <v>65.709999999999994</v>
      </c>
      <c r="AA286">
        <v>11.6</v>
      </c>
      <c r="AB286">
        <v>0</v>
      </c>
      <c r="AC286">
        <v>0</v>
      </c>
      <c r="AD286">
        <v>1</v>
      </c>
      <c r="AE286">
        <v>0</v>
      </c>
      <c r="AF286" t="s">
        <v>172</v>
      </c>
      <c r="AG286">
        <v>3.7499999999999999E-2</v>
      </c>
      <c r="AH286">
        <v>2</v>
      </c>
      <c r="AI286">
        <v>16750593</v>
      </c>
      <c r="AJ286">
        <v>300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</row>
    <row r="287" spans="1:44" x14ac:dyDescent="0.2">
      <c r="A287">
        <f>ROW(Source!A168)</f>
        <v>168</v>
      </c>
      <c r="B287">
        <v>16750601</v>
      </c>
      <c r="C287">
        <v>16750589</v>
      </c>
      <c r="D287">
        <v>15162756</v>
      </c>
      <c r="E287">
        <v>17</v>
      </c>
      <c r="F287">
        <v>1</v>
      </c>
      <c r="G287">
        <v>1</v>
      </c>
      <c r="H287">
        <v>3</v>
      </c>
      <c r="I287" t="s">
        <v>501</v>
      </c>
      <c r="J287" t="s">
        <v>6</v>
      </c>
      <c r="K287" t="s">
        <v>502</v>
      </c>
      <c r="L287">
        <v>1301</v>
      </c>
      <c r="N287">
        <v>1003</v>
      </c>
      <c r="O287" t="s">
        <v>206</v>
      </c>
      <c r="P287" t="s">
        <v>206</v>
      </c>
      <c r="Q287">
        <v>1</v>
      </c>
      <c r="X287">
        <v>101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0</v>
      </c>
      <c r="AE287">
        <v>0</v>
      </c>
      <c r="AF287" t="s">
        <v>6</v>
      </c>
      <c r="AG287">
        <v>101</v>
      </c>
      <c r="AH287">
        <v>2</v>
      </c>
      <c r="AI287">
        <v>16750594</v>
      </c>
      <c r="AJ287">
        <v>301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</row>
    <row r="288" spans="1:44" x14ac:dyDescent="0.2">
      <c r="A288">
        <f>ROW(Source!A168)</f>
        <v>168</v>
      </c>
      <c r="B288">
        <v>16750602</v>
      </c>
      <c r="C288">
        <v>16750589</v>
      </c>
      <c r="D288">
        <v>15204415</v>
      </c>
      <c r="E288">
        <v>1</v>
      </c>
      <c r="F288">
        <v>1</v>
      </c>
      <c r="G288">
        <v>1</v>
      </c>
      <c r="H288">
        <v>3</v>
      </c>
      <c r="I288" t="s">
        <v>1350</v>
      </c>
      <c r="J288" t="s">
        <v>1351</v>
      </c>
      <c r="K288" t="s">
        <v>1352</v>
      </c>
      <c r="L288">
        <v>1346</v>
      </c>
      <c r="N288">
        <v>1009</v>
      </c>
      <c r="O288" t="s">
        <v>323</v>
      </c>
      <c r="P288" t="s">
        <v>323</v>
      </c>
      <c r="Q288">
        <v>1</v>
      </c>
      <c r="X288">
        <v>5.15</v>
      </c>
      <c r="Y288">
        <v>8.36</v>
      </c>
      <c r="Z288">
        <v>0</v>
      </c>
      <c r="AA288">
        <v>0</v>
      </c>
      <c r="AB288">
        <v>0</v>
      </c>
      <c r="AC288">
        <v>0</v>
      </c>
      <c r="AD288">
        <v>1</v>
      </c>
      <c r="AE288">
        <v>0</v>
      </c>
      <c r="AF288" t="s">
        <v>6</v>
      </c>
      <c r="AG288">
        <v>5.15</v>
      </c>
      <c r="AH288">
        <v>2</v>
      </c>
      <c r="AI288">
        <v>16750595</v>
      </c>
      <c r="AJ288">
        <v>303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</row>
    <row r="289" spans="1:44" x14ac:dyDescent="0.2">
      <c r="A289">
        <f>ROW(Source!A171)</f>
        <v>171</v>
      </c>
      <c r="B289">
        <v>16750612</v>
      </c>
      <c r="C289">
        <v>16750605</v>
      </c>
      <c r="D289">
        <v>15435721</v>
      </c>
      <c r="E289">
        <v>1</v>
      </c>
      <c r="F289">
        <v>1</v>
      </c>
      <c r="G289">
        <v>1</v>
      </c>
      <c r="H289">
        <v>1</v>
      </c>
      <c r="I289" t="s">
        <v>1353</v>
      </c>
      <c r="J289" t="s">
        <v>6</v>
      </c>
      <c r="K289" t="s">
        <v>1354</v>
      </c>
      <c r="L289">
        <v>1191</v>
      </c>
      <c r="N289">
        <v>1013</v>
      </c>
      <c r="O289" t="s">
        <v>1072</v>
      </c>
      <c r="P289" t="s">
        <v>1072</v>
      </c>
      <c r="Q289">
        <v>1</v>
      </c>
      <c r="X289">
        <v>23.82</v>
      </c>
      <c r="Y289">
        <v>0</v>
      </c>
      <c r="Z289">
        <v>0</v>
      </c>
      <c r="AA289">
        <v>0</v>
      </c>
      <c r="AB289">
        <v>9.51</v>
      </c>
      <c r="AC289">
        <v>0</v>
      </c>
      <c r="AD289">
        <v>1</v>
      </c>
      <c r="AE289">
        <v>1</v>
      </c>
      <c r="AF289" t="s">
        <v>173</v>
      </c>
      <c r="AG289">
        <v>27.392999999999997</v>
      </c>
      <c r="AH289">
        <v>2</v>
      </c>
      <c r="AI289">
        <v>16750606</v>
      </c>
      <c r="AJ289">
        <v>304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</row>
    <row r="290" spans="1:44" x14ac:dyDescent="0.2">
      <c r="A290">
        <f>ROW(Source!A171)</f>
        <v>171</v>
      </c>
      <c r="B290">
        <v>16750613</v>
      </c>
      <c r="C290">
        <v>16750605</v>
      </c>
      <c r="D290">
        <v>15430395</v>
      </c>
      <c r="E290">
        <v>1</v>
      </c>
      <c r="F290">
        <v>1</v>
      </c>
      <c r="G290">
        <v>1</v>
      </c>
      <c r="H290">
        <v>1</v>
      </c>
      <c r="I290" t="s">
        <v>1073</v>
      </c>
      <c r="J290" t="s">
        <v>6</v>
      </c>
      <c r="K290" t="s">
        <v>1074</v>
      </c>
      <c r="L290">
        <v>1191</v>
      </c>
      <c r="N290">
        <v>1013</v>
      </c>
      <c r="O290" t="s">
        <v>1072</v>
      </c>
      <c r="P290" t="s">
        <v>1072</v>
      </c>
      <c r="Q290">
        <v>1</v>
      </c>
      <c r="X290">
        <v>0.11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1</v>
      </c>
      <c r="AE290">
        <v>2</v>
      </c>
      <c r="AF290" t="s">
        <v>172</v>
      </c>
      <c r="AG290">
        <v>0.13750000000000001</v>
      </c>
      <c r="AH290">
        <v>2</v>
      </c>
      <c r="AI290">
        <v>16750607</v>
      </c>
      <c r="AJ290">
        <v>305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</row>
    <row r="291" spans="1:44" x14ac:dyDescent="0.2">
      <c r="A291">
        <f>ROW(Source!A171)</f>
        <v>171</v>
      </c>
      <c r="B291">
        <v>16750614</v>
      </c>
      <c r="C291">
        <v>16750605</v>
      </c>
      <c r="D291">
        <v>15247974</v>
      </c>
      <c r="E291">
        <v>1</v>
      </c>
      <c r="F291">
        <v>1</v>
      </c>
      <c r="G291">
        <v>1</v>
      </c>
      <c r="H291">
        <v>2</v>
      </c>
      <c r="I291" t="s">
        <v>1075</v>
      </c>
      <c r="J291" t="s">
        <v>1076</v>
      </c>
      <c r="K291" t="s">
        <v>1077</v>
      </c>
      <c r="L291">
        <v>1368</v>
      </c>
      <c r="N291">
        <v>1011</v>
      </c>
      <c r="O291" t="s">
        <v>1078</v>
      </c>
      <c r="P291" t="s">
        <v>1078</v>
      </c>
      <c r="Q291">
        <v>1</v>
      </c>
      <c r="X291">
        <v>0.05</v>
      </c>
      <c r="Y291">
        <v>0</v>
      </c>
      <c r="Z291">
        <v>31.26</v>
      </c>
      <c r="AA291">
        <v>13.5</v>
      </c>
      <c r="AB291">
        <v>0</v>
      </c>
      <c r="AC291">
        <v>0</v>
      </c>
      <c r="AD291">
        <v>1</v>
      </c>
      <c r="AE291">
        <v>0</v>
      </c>
      <c r="AF291" t="s">
        <v>172</v>
      </c>
      <c r="AG291">
        <v>6.25E-2</v>
      </c>
      <c r="AH291">
        <v>2</v>
      </c>
      <c r="AI291">
        <v>16750608</v>
      </c>
      <c r="AJ291">
        <v>306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</row>
    <row r="292" spans="1:44" x14ac:dyDescent="0.2">
      <c r="A292">
        <f>ROW(Source!A171)</f>
        <v>171</v>
      </c>
      <c r="B292">
        <v>16750615</v>
      </c>
      <c r="C292">
        <v>16750605</v>
      </c>
      <c r="D292">
        <v>15249073</v>
      </c>
      <c r="E292">
        <v>1</v>
      </c>
      <c r="F292">
        <v>1</v>
      </c>
      <c r="G292">
        <v>1</v>
      </c>
      <c r="H292">
        <v>2</v>
      </c>
      <c r="I292" t="s">
        <v>1097</v>
      </c>
      <c r="J292" t="s">
        <v>1098</v>
      </c>
      <c r="K292" t="s">
        <v>1099</v>
      </c>
      <c r="L292">
        <v>1368</v>
      </c>
      <c r="N292">
        <v>1011</v>
      </c>
      <c r="O292" t="s">
        <v>1078</v>
      </c>
      <c r="P292" t="s">
        <v>1078</v>
      </c>
      <c r="Q292">
        <v>1</v>
      </c>
      <c r="X292">
        <v>0.06</v>
      </c>
      <c r="Y292">
        <v>0</v>
      </c>
      <c r="Z292">
        <v>65.709999999999994</v>
      </c>
      <c r="AA292">
        <v>11.6</v>
      </c>
      <c r="AB292">
        <v>0</v>
      </c>
      <c r="AC292">
        <v>0</v>
      </c>
      <c r="AD292">
        <v>1</v>
      </c>
      <c r="AE292">
        <v>0</v>
      </c>
      <c r="AF292" t="s">
        <v>172</v>
      </c>
      <c r="AG292">
        <v>7.4999999999999997E-2</v>
      </c>
      <c r="AH292">
        <v>2</v>
      </c>
      <c r="AI292">
        <v>16750609</v>
      </c>
      <c r="AJ292">
        <v>307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</row>
    <row r="293" spans="1:44" x14ac:dyDescent="0.2">
      <c r="A293">
        <f>ROW(Source!A171)</f>
        <v>171</v>
      </c>
      <c r="B293">
        <v>16750616</v>
      </c>
      <c r="C293">
        <v>16750605</v>
      </c>
      <c r="D293">
        <v>15161703</v>
      </c>
      <c r="E293">
        <v>17</v>
      </c>
      <c r="F293">
        <v>1</v>
      </c>
      <c r="G293">
        <v>1</v>
      </c>
      <c r="H293">
        <v>3</v>
      </c>
      <c r="I293" t="s">
        <v>1586</v>
      </c>
      <c r="J293" t="s">
        <v>6</v>
      </c>
      <c r="K293" t="s">
        <v>1587</v>
      </c>
      <c r="L293">
        <v>1339</v>
      </c>
      <c r="N293">
        <v>1007</v>
      </c>
      <c r="O293" t="s">
        <v>283</v>
      </c>
      <c r="P293" t="s">
        <v>283</v>
      </c>
      <c r="Q293">
        <v>1</v>
      </c>
      <c r="X293">
        <v>0.16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 t="s">
        <v>6</v>
      </c>
      <c r="AG293">
        <v>0.16</v>
      </c>
      <c r="AH293">
        <v>3</v>
      </c>
      <c r="AI293">
        <v>-1</v>
      </c>
      <c r="AJ293" t="s">
        <v>6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</row>
    <row r="294" spans="1:44" x14ac:dyDescent="0.2">
      <c r="A294">
        <f>ROW(Source!A171)</f>
        <v>171</v>
      </c>
      <c r="B294">
        <v>16750617</v>
      </c>
      <c r="C294">
        <v>16750605</v>
      </c>
      <c r="D294">
        <v>15162753</v>
      </c>
      <c r="E294">
        <v>17</v>
      </c>
      <c r="F294">
        <v>1</v>
      </c>
      <c r="G294">
        <v>1</v>
      </c>
      <c r="H294">
        <v>3</v>
      </c>
      <c r="I294" t="s">
        <v>512</v>
      </c>
      <c r="J294" t="s">
        <v>6</v>
      </c>
      <c r="K294" t="s">
        <v>513</v>
      </c>
      <c r="L294">
        <v>1301</v>
      </c>
      <c r="N294">
        <v>1003</v>
      </c>
      <c r="O294" t="s">
        <v>206</v>
      </c>
      <c r="P294" t="s">
        <v>206</v>
      </c>
      <c r="Q294">
        <v>1</v>
      </c>
      <c r="X294">
        <v>101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0</v>
      </c>
      <c r="AF294" t="s">
        <v>6</v>
      </c>
      <c r="AG294">
        <v>101</v>
      </c>
      <c r="AH294">
        <v>2</v>
      </c>
      <c r="AI294">
        <v>16750610</v>
      </c>
      <c r="AJ294">
        <v>308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</row>
    <row r="295" spans="1:44" x14ac:dyDescent="0.2">
      <c r="A295">
        <f>ROW(Source!A174)</f>
        <v>174</v>
      </c>
      <c r="B295">
        <v>16750626</v>
      </c>
      <c r="C295">
        <v>16750620</v>
      </c>
      <c r="D295">
        <v>15436014</v>
      </c>
      <c r="E295">
        <v>1</v>
      </c>
      <c r="F295">
        <v>1</v>
      </c>
      <c r="G295">
        <v>1</v>
      </c>
      <c r="H295">
        <v>1</v>
      </c>
      <c r="I295" t="s">
        <v>1123</v>
      </c>
      <c r="J295" t="s">
        <v>6</v>
      </c>
      <c r="K295" t="s">
        <v>1124</v>
      </c>
      <c r="L295">
        <v>1191</v>
      </c>
      <c r="N295">
        <v>1013</v>
      </c>
      <c r="O295" t="s">
        <v>1072</v>
      </c>
      <c r="P295" t="s">
        <v>1072</v>
      </c>
      <c r="Q295">
        <v>1</v>
      </c>
      <c r="X295">
        <v>16.64</v>
      </c>
      <c r="Y295">
        <v>0</v>
      </c>
      <c r="Z295">
        <v>0</v>
      </c>
      <c r="AA295">
        <v>0</v>
      </c>
      <c r="AB295">
        <v>8.74</v>
      </c>
      <c r="AC295">
        <v>0</v>
      </c>
      <c r="AD295">
        <v>1</v>
      </c>
      <c r="AE295">
        <v>1</v>
      </c>
      <c r="AF295" t="s">
        <v>173</v>
      </c>
      <c r="AG295">
        <v>19.135999999999999</v>
      </c>
      <c r="AH295">
        <v>2</v>
      </c>
      <c r="AI295">
        <v>16750621</v>
      </c>
      <c r="AJ295">
        <v>310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</row>
    <row r="296" spans="1:44" x14ac:dyDescent="0.2">
      <c r="A296">
        <f>ROW(Source!A174)</f>
        <v>174</v>
      </c>
      <c r="B296">
        <v>16750627</v>
      </c>
      <c r="C296">
        <v>16750620</v>
      </c>
      <c r="D296">
        <v>15169972</v>
      </c>
      <c r="E296">
        <v>1</v>
      </c>
      <c r="F296">
        <v>1</v>
      </c>
      <c r="G296">
        <v>1</v>
      </c>
      <c r="H296">
        <v>3</v>
      </c>
      <c r="I296" t="s">
        <v>1355</v>
      </c>
      <c r="J296" t="s">
        <v>1356</v>
      </c>
      <c r="K296" t="s">
        <v>1357</v>
      </c>
      <c r="L296">
        <v>1355</v>
      </c>
      <c r="N296">
        <v>1010</v>
      </c>
      <c r="O296" t="s">
        <v>724</v>
      </c>
      <c r="P296" t="s">
        <v>724</v>
      </c>
      <c r="Q296">
        <v>100</v>
      </c>
      <c r="X296">
        <v>6.7</v>
      </c>
      <c r="Y296">
        <v>12</v>
      </c>
      <c r="Z296">
        <v>0</v>
      </c>
      <c r="AA296">
        <v>0</v>
      </c>
      <c r="AB296">
        <v>0</v>
      </c>
      <c r="AC296">
        <v>0</v>
      </c>
      <c r="AD296">
        <v>1</v>
      </c>
      <c r="AE296">
        <v>0</v>
      </c>
      <c r="AF296" t="s">
        <v>6</v>
      </c>
      <c r="AG296">
        <v>6.7</v>
      </c>
      <c r="AH296">
        <v>2</v>
      </c>
      <c r="AI296">
        <v>16750622</v>
      </c>
      <c r="AJ296">
        <v>311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</row>
    <row r="297" spans="1:44" x14ac:dyDescent="0.2">
      <c r="A297">
        <f>ROW(Source!A174)</f>
        <v>174</v>
      </c>
      <c r="B297">
        <v>16750628</v>
      </c>
      <c r="C297">
        <v>16750620</v>
      </c>
      <c r="D297">
        <v>15162775</v>
      </c>
      <c r="E297">
        <v>17</v>
      </c>
      <c r="F297">
        <v>1</v>
      </c>
      <c r="G297">
        <v>1</v>
      </c>
      <c r="H297">
        <v>3</v>
      </c>
      <c r="I297" t="s">
        <v>527</v>
      </c>
      <c r="J297" t="s">
        <v>6</v>
      </c>
      <c r="K297" t="s">
        <v>528</v>
      </c>
      <c r="L297">
        <v>1301</v>
      </c>
      <c r="N297">
        <v>1003</v>
      </c>
      <c r="O297" t="s">
        <v>206</v>
      </c>
      <c r="P297" t="s">
        <v>206</v>
      </c>
      <c r="Q297">
        <v>1</v>
      </c>
      <c r="X297">
        <v>105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 t="s">
        <v>6</v>
      </c>
      <c r="AG297">
        <v>105</v>
      </c>
      <c r="AH297">
        <v>2</v>
      </c>
      <c r="AI297">
        <v>16750623</v>
      </c>
      <c r="AJ297">
        <v>312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</row>
    <row r="298" spans="1:44" x14ac:dyDescent="0.2">
      <c r="A298">
        <f>ROW(Source!A178)</f>
        <v>178</v>
      </c>
      <c r="B298">
        <v>16750638</v>
      </c>
      <c r="C298">
        <v>16750632</v>
      </c>
      <c r="D298">
        <v>15430397</v>
      </c>
      <c r="E298">
        <v>1</v>
      </c>
      <c r="F298">
        <v>1</v>
      </c>
      <c r="G298">
        <v>1</v>
      </c>
      <c r="H298">
        <v>1</v>
      </c>
      <c r="I298" t="s">
        <v>1234</v>
      </c>
      <c r="J298" t="s">
        <v>6</v>
      </c>
      <c r="K298" t="s">
        <v>1235</v>
      </c>
      <c r="L298">
        <v>1191</v>
      </c>
      <c r="N298">
        <v>1013</v>
      </c>
      <c r="O298" t="s">
        <v>1072</v>
      </c>
      <c r="P298" t="s">
        <v>1072</v>
      </c>
      <c r="Q298">
        <v>1</v>
      </c>
      <c r="X298">
        <v>102.46</v>
      </c>
      <c r="Y298">
        <v>0</v>
      </c>
      <c r="Z298">
        <v>0</v>
      </c>
      <c r="AA298">
        <v>0</v>
      </c>
      <c r="AB298">
        <v>9.4</v>
      </c>
      <c r="AC298">
        <v>0</v>
      </c>
      <c r="AD298">
        <v>1</v>
      </c>
      <c r="AE298">
        <v>1</v>
      </c>
      <c r="AF298" t="s">
        <v>173</v>
      </c>
      <c r="AG298">
        <v>117.82899999999998</v>
      </c>
      <c r="AH298">
        <v>2</v>
      </c>
      <c r="AI298">
        <v>16750633</v>
      </c>
      <c r="AJ298">
        <v>315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</row>
    <row r="299" spans="1:44" x14ac:dyDescent="0.2">
      <c r="A299">
        <f>ROW(Source!A178)</f>
        <v>178</v>
      </c>
      <c r="B299">
        <v>16750639</v>
      </c>
      <c r="C299">
        <v>16750632</v>
      </c>
      <c r="D299">
        <v>15430395</v>
      </c>
      <c r="E299">
        <v>1</v>
      </c>
      <c r="F299">
        <v>1</v>
      </c>
      <c r="G299">
        <v>1</v>
      </c>
      <c r="H299">
        <v>1</v>
      </c>
      <c r="I299" t="s">
        <v>1073</v>
      </c>
      <c r="J299" t="s">
        <v>6</v>
      </c>
      <c r="K299" t="s">
        <v>1074</v>
      </c>
      <c r="L299">
        <v>1191</v>
      </c>
      <c r="N299">
        <v>1013</v>
      </c>
      <c r="O299" t="s">
        <v>1072</v>
      </c>
      <c r="P299" t="s">
        <v>1072</v>
      </c>
      <c r="Q299">
        <v>1</v>
      </c>
      <c r="X299">
        <v>5.34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1</v>
      </c>
      <c r="AE299">
        <v>2</v>
      </c>
      <c r="AF299" t="s">
        <v>172</v>
      </c>
      <c r="AG299">
        <v>6.6749999999999998</v>
      </c>
      <c r="AH299">
        <v>2</v>
      </c>
      <c r="AI299">
        <v>16750634</v>
      </c>
      <c r="AJ299">
        <v>316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</row>
    <row r="300" spans="1:44" x14ac:dyDescent="0.2">
      <c r="A300">
        <f>ROW(Source!A178)</f>
        <v>178</v>
      </c>
      <c r="B300">
        <v>16750640</v>
      </c>
      <c r="C300">
        <v>16750632</v>
      </c>
      <c r="D300">
        <v>15247974</v>
      </c>
      <c r="E300">
        <v>1</v>
      </c>
      <c r="F300">
        <v>1</v>
      </c>
      <c r="G300">
        <v>1</v>
      </c>
      <c r="H300">
        <v>2</v>
      </c>
      <c r="I300" t="s">
        <v>1075</v>
      </c>
      <c r="J300" t="s">
        <v>1076</v>
      </c>
      <c r="K300" t="s">
        <v>1077</v>
      </c>
      <c r="L300">
        <v>1368</v>
      </c>
      <c r="N300">
        <v>1011</v>
      </c>
      <c r="O300" t="s">
        <v>1078</v>
      </c>
      <c r="P300" t="s">
        <v>1078</v>
      </c>
      <c r="Q300">
        <v>1</v>
      </c>
      <c r="X300">
        <v>0.76</v>
      </c>
      <c r="Y300">
        <v>0</v>
      </c>
      <c r="Z300">
        <v>31.26</v>
      </c>
      <c r="AA300">
        <v>13.5</v>
      </c>
      <c r="AB300">
        <v>0</v>
      </c>
      <c r="AC300">
        <v>0</v>
      </c>
      <c r="AD300">
        <v>1</v>
      </c>
      <c r="AE300">
        <v>0</v>
      </c>
      <c r="AF300" t="s">
        <v>172</v>
      </c>
      <c r="AG300">
        <v>0.95</v>
      </c>
      <c r="AH300">
        <v>2</v>
      </c>
      <c r="AI300">
        <v>16750635</v>
      </c>
      <c r="AJ300">
        <v>317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</row>
    <row r="301" spans="1:44" x14ac:dyDescent="0.2">
      <c r="A301">
        <f>ROW(Source!A178)</f>
        <v>178</v>
      </c>
      <c r="B301">
        <v>16750641</v>
      </c>
      <c r="C301">
        <v>16750632</v>
      </c>
      <c r="D301">
        <v>15249073</v>
      </c>
      <c r="E301">
        <v>1</v>
      </c>
      <c r="F301">
        <v>1</v>
      </c>
      <c r="G301">
        <v>1</v>
      </c>
      <c r="H301">
        <v>2</v>
      </c>
      <c r="I301" t="s">
        <v>1097</v>
      </c>
      <c r="J301" t="s">
        <v>1098</v>
      </c>
      <c r="K301" t="s">
        <v>1099</v>
      </c>
      <c r="L301">
        <v>1368</v>
      </c>
      <c r="N301">
        <v>1011</v>
      </c>
      <c r="O301" t="s">
        <v>1078</v>
      </c>
      <c r="P301" t="s">
        <v>1078</v>
      </c>
      <c r="Q301">
        <v>1</v>
      </c>
      <c r="X301">
        <v>4.58</v>
      </c>
      <c r="Y301">
        <v>0</v>
      </c>
      <c r="Z301">
        <v>65.709999999999994</v>
      </c>
      <c r="AA301">
        <v>11.6</v>
      </c>
      <c r="AB301">
        <v>0</v>
      </c>
      <c r="AC301">
        <v>0</v>
      </c>
      <c r="AD301">
        <v>1</v>
      </c>
      <c r="AE301">
        <v>0</v>
      </c>
      <c r="AF301" t="s">
        <v>172</v>
      </c>
      <c r="AG301">
        <v>5.7249999999999996</v>
      </c>
      <c r="AH301">
        <v>2</v>
      </c>
      <c r="AI301">
        <v>16750636</v>
      </c>
      <c r="AJ301">
        <v>318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</row>
    <row r="302" spans="1:44" x14ac:dyDescent="0.2">
      <c r="A302">
        <f>ROW(Source!A178)</f>
        <v>178</v>
      </c>
      <c r="B302">
        <v>16750642</v>
      </c>
      <c r="C302">
        <v>16750632</v>
      </c>
      <c r="D302">
        <v>15167143</v>
      </c>
      <c r="E302">
        <v>1</v>
      </c>
      <c r="F302">
        <v>1</v>
      </c>
      <c r="G302">
        <v>1</v>
      </c>
      <c r="H302">
        <v>3</v>
      </c>
      <c r="I302" t="s">
        <v>1358</v>
      </c>
      <c r="J302" t="s">
        <v>1359</v>
      </c>
      <c r="K302" t="s">
        <v>1360</v>
      </c>
      <c r="L302">
        <v>1327</v>
      </c>
      <c r="N302">
        <v>1005</v>
      </c>
      <c r="O302" t="s">
        <v>89</v>
      </c>
      <c r="P302" t="s">
        <v>89</v>
      </c>
      <c r="Q302">
        <v>1</v>
      </c>
      <c r="X302">
        <v>103</v>
      </c>
      <c r="Y302">
        <v>51.8</v>
      </c>
      <c r="Z302">
        <v>0</v>
      </c>
      <c r="AA302">
        <v>0</v>
      </c>
      <c r="AB302">
        <v>0</v>
      </c>
      <c r="AC302">
        <v>0</v>
      </c>
      <c r="AD302">
        <v>1</v>
      </c>
      <c r="AE302">
        <v>0</v>
      </c>
      <c r="AF302" t="s">
        <v>6</v>
      </c>
      <c r="AG302">
        <v>103</v>
      </c>
      <c r="AH302">
        <v>2</v>
      </c>
      <c r="AI302">
        <v>16750637</v>
      </c>
      <c r="AJ302">
        <v>319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</row>
    <row r="303" spans="1:44" x14ac:dyDescent="0.2">
      <c r="A303">
        <f>ROW(Source!A179)</f>
        <v>179</v>
      </c>
      <c r="B303">
        <v>16750654</v>
      </c>
      <c r="C303">
        <v>16750643</v>
      </c>
      <c r="D303">
        <v>15430397</v>
      </c>
      <c r="E303">
        <v>1</v>
      </c>
      <c r="F303">
        <v>1</v>
      </c>
      <c r="G303">
        <v>1</v>
      </c>
      <c r="H303">
        <v>1</v>
      </c>
      <c r="I303" t="s">
        <v>1234</v>
      </c>
      <c r="J303" t="s">
        <v>6</v>
      </c>
      <c r="K303" t="s">
        <v>1235</v>
      </c>
      <c r="L303">
        <v>1191</v>
      </c>
      <c r="N303">
        <v>1013</v>
      </c>
      <c r="O303" t="s">
        <v>1072</v>
      </c>
      <c r="P303" t="s">
        <v>1072</v>
      </c>
      <c r="Q303">
        <v>1</v>
      </c>
      <c r="X303">
        <v>108.36</v>
      </c>
      <c r="Y303">
        <v>0</v>
      </c>
      <c r="Z303">
        <v>0</v>
      </c>
      <c r="AA303">
        <v>0</v>
      </c>
      <c r="AB303">
        <v>9.4</v>
      </c>
      <c r="AC303">
        <v>0</v>
      </c>
      <c r="AD303">
        <v>1</v>
      </c>
      <c r="AE303">
        <v>1</v>
      </c>
      <c r="AF303" t="s">
        <v>173</v>
      </c>
      <c r="AG303">
        <v>124.61399999999999</v>
      </c>
      <c r="AH303">
        <v>2</v>
      </c>
      <c r="AI303">
        <v>16750644</v>
      </c>
      <c r="AJ303">
        <v>320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</row>
    <row r="304" spans="1:44" x14ac:dyDescent="0.2">
      <c r="A304">
        <f>ROW(Source!A179)</f>
        <v>179</v>
      </c>
      <c r="B304">
        <v>16750655</v>
      </c>
      <c r="C304">
        <v>16750643</v>
      </c>
      <c r="D304">
        <v>15430395</v>
      </c>
      <c r="E304">
        <v>1</v>
      </c>
      <c r="F304">
        <v>1</v>
      </c>
      <c r="G304">
        <v>1</v>
      </c>
      <c r="H304">
        <v>1</v>
      </c>
      <c r="I304" t="s">
        <v>1073</v>
      </c>
      <c r="J304" t="s">
        <v>6</v>
      </c>
      <c r="K304" t="s">
        <v>1074</v>
      </c>
      <c r="L304">
        <v>1191</v>
      </c>
      <c r="N304">
        <v>1013</v>
      </c>
      <c r="O304" t="s">
        <v>1072</v>
      </c>
      <c r="P304" t="s">
        <v>1072</v>
      </c>
      <c r="Q304">
        <v>1</v>
      </c>
      <c r="X304">
        <v>0.39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1</v>
      </c>
      <c r="AE304">
        <v>2</v>
      </c>
      <c r="AF304" t="s">
        <v>172</v>
      </c>
      <c r="AG304">
        <v>0.48750000000000004</v>
      </c>
      <c r="AH304">
        <v>2</v>
      </c>
      <c r="AI304">
        <v>16750645</v>
      </c>
      <c r="AJ304">
        <v>321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</row>
    <row r="305" spans="1:44" x14ac:dyDescent="0.2">
      <c r="A305">
        <f>ROW(Source!A179)</f>
        <v>179</v>
      </c>
      <c r="B305">
        <v>16750656</v>
      </c>
      <c r="C305">
        <v>16750643</v>
      </c>
      <c r="D305">
        <v>15247680</v>
      </c>
      <c r="E305">
        <v>1</v>
      </c>
      <c r="F305">
        <v>1</v>
      </c>
      <c r="G305">
        <v>1</v>
      </c>
      <c r="H305">
        <v>2</v>
      </c>
      <c r="I305" t="s">
        <v>1211</v>
      </c>
      <c r="J305" t="s">
        <v>1212</v>
      </c>
      <c r="K305" t="s">
        <v>1213</v>
      </c>
      <c r="L305">
        <v>1368</v>
      </c>
      <c r="N305">
        <v>1011</v>
      </c>
      <c r="O305" t="s">
        <v>1078</v>
      </c>
      <c r="P305" t="s">
        <v>1078</v>
      </c>
      <c r="Q305">
        <v>1</v>
      </c>
      <c r="X305">
        <v>0.25</v>
      </c>
      <c r="Y305">
        <v>0</v>
      </c>
      <c r="Z305">
        <v>111.99</v>
      </c>
      <c r="AA305">
        <v>13.5</v>
      </c>
      <c r="AB305">
        <v>0</v>
      </c>
      <c r="AC305">
        <v>0</v>
      </c>
      <c r="AD305">
        <v>1</v>
      </c>
      <c r="AE305">
        <v>0</v>
      </c>
      <c r="AF305" t="s">
        <v>172</v>
      </c>
      <c r="AG305">
        <v>0.3125</v>
      </c>
      <c r="AH305">
        <v>2</v>
      </c>
      <c r="AI305">
        <v>16750646</v>
      </c>
      <c r="AJ305">
        <v>322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</row>
    <row r="306" spans="1:44" x14ac:dyDescent="0.2">
      <c r="A306">
        <f>ROW(Source!A179)</f>
        <v>179</v>
      </c>
      <c r="B306">
        <v>16750657</v>
      </c>
      <c r="C306">
        <v>16750643</v>
      </c>
      <c r="D306">
        <v>15247880</v>
      </c>
      <c r="E306">
        <v>1</v>
      </c>
      <c r="F306">
        <v>1</v>
      </c>
      <c r="G306">
        <v>1</v>
      </c>
      <c r="H306">
        <v>2</v>
      </c>
      <c r="I306" t="s">
        <v>1361</v>
      </c>
      <c r="J306" t="s">
        <v>1362</v>
      </c>
      <c r="K306" t="s">
        <v>1363</v>
      </c>
      <c r="L306">
        <v>1368</v>
      </c>
      <c r="N306">
        <v>1011</v>
      </c>
      <c r="O306" t="s">
        <v>1078</v>
      </c>
      <c r="P306" t="s">
        <v>1078</v>
      </c>
      <c r="Q306">
        <v>1</v>
      </c>
      <c r="X306">
        <v>16.2</v>
      </c>
      <c r="Y306">
        <v>0</v>
      </c>
      <c r="Z306">
        <v>6.9</v>
      </c>
      <c r="AA306">
        <v>0</v>
      </c>
      <c r="AB306">
        <v>0</v>
      </c>
      <c r="AC306">
        <v>0</v>
      </c>
      <c r="AD306">
        <v>1</v>
      </c>
      <c r="AE306">
        <v>0</v>
      </c>
      <c r="AF306" t="s">
        <v>172</v>
      </c>
      <c r="AG306">
        <v>20.25</v>
      </c>
      <c r="AH306">
        <v>2</v>
      </c>
      <c r="AI306">
        <v>16750647</v>
      </c>
      <c r="AJ306">
        <v>323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</row>
    <row r="307" spans="1:44" x14ac:dyDescent="0.2">
      <c r="A307">
        <f>ROW(Source!A179)</f>
        <v>179</v>
      </c>
      <c r="B307">
        <v>16750658</v>
      </c>
      <c r="C307">
        <v>16750643</v>
      </c>
      <c r="D307">
        <v>15249073</v>
      </c>
      <c r="E307">
        <v>1</v>
      </c>
      <c r="F307">
        <v>1</v>
      </c>
      <c r="G307">
        <v>1</v>
      </c>
      <c r="H307">
        <v>2</v>
      </c>
      <c r="I307" t="s">
        <v>1097</v>
      </c>
      <c r="J307" t="s">
        <v>1098</v>
      </c>
      <c r="K307" t="s">
        <v>1099</v>
      </c>
      <c r="L307">
        <v>1368</v>
      </c>
      <c r="N307">
        <v>1011</v>
      </c>
      <c r="O307" t="s">
        <v>1078</v>
      </c>
      <c r="P307" t="s">
        <v>1078</v>
      </c>
      <c r="Q307">
        <v>1</v>
      </c>
      <c r="X307">
        <v>0.14000000000000001</v>
      </c>
      <c r="Y307">
        <v>0</v>
      </c>
      <c r="Z307">
        <v>65.709999999999994</v>
      </c>
      <c r="AA307">
        <v>11.6</v>
      </c>
      <c r="AB307">
        <v>0</v>
      </c>
      <c r="AC307">
        <v>0</v>
      </c>
      <c r="AD307">
        <v>1</v>
      </c>
      <c r="AE307">
        <v>0</v>
      </c>
      <c r="AF307" t="s">
        <v>172</v>
      </c>
      <c r="AG307">
        <v>0.17500000000000002</v>
      </c>
      <c r="AH307">
        <v>2</v>
      </c>
      <c r="AI307">
        <v>16750648</v>
      </c>
      <c r="AJ307">
        <v>324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</row>
    <row r="308" spans="1:44" x14ac:dyDescent="0.2">
      <c r="A308">
        <f>ROW(Source!A179)</f>
        <v>179</v>
      </c>
      <c r="B308">
        <v>16750659</v>
      </c>
      <c r="C308">
        <v>16750643</v>
      </c>
      <c r="D308">
        <v>15192822</v>
      </c>
      <c r="E308">
        <v>1</v>
      </c>
      <c r="F308">
        <v>1</v>
      </c>
      <c r="G308">
        <v>1</v>
      </c>
      <c r="H308">
        <v>3</v>
      </c>
      <c r="I308" t="s">
        <v>1364</v>
      </c>
      <c r="J308" t="s">
        <v>1365</v>
      </c>
      <c r="K308" t="s">
        <v>1366</v>
      </c>
      <c r="L308">
        <v>1301</v>
      </c>
      <c r="N308">
        <v>1003</v>
      </c>
      <c r="O308" t="s">
        <v>206</v>
      </c>
      <c r="P308" t="s">
        <v>206</v>
      </c>
      <c r="Q308">
        <v>1</v>
      </c>
      <c r="X308">
        <v>100</v>
      </c>
      <c r="Y308">
        <v>20.47</v>
      </c>
      <c r="Z308">
        <v>0</v>
      </c>
      <c r="AA308">
        <v>0</v>
      </c>
      <c r="AB308">
        <v>0</v>
      </c>
      <c r="AC308">
        <v>0</v>
      </c>
      <c r="AD308">
        <v>1</v>
      </c>
      <c r="AE308">
        <v>0</v>
      </c>
      <c r="AF308" t="s">
        <v>6</v>
      </c>
      <c r="AG308">
        <v>100</v>
      </c>
      <c r="AH308">
        <v>2</v>
      </c>
      <c r="AI308">
        <v>16750649</v>
      </c>
      <c r="AJ308">
        <v>325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</row>
    <row r="309" spans="1:44" x14ac:dyDescent="0.2">
      <c r="A309">
        <f>ROW(Source!A179)</f>
        <v>179</v>
      </c>
      <c r="B309">
        <v>16750660</v>
      </c>
      <c r="C309">
        <v>16750643</v>
      </c>
      <c r="D309">
        <v>15192828</v>
      </c>
      <c r="E309">
        <v>1</v>
      </c>
      <c r="F309">
        <v>1</v>
      </c>
      <c r="G309">
        <v>1</v>
      </c>
      <c r="H309">
        <v>3</v>
      </c>
      <c r="I309" t="s">
        <v>1367</v>
      </c>
      <c r="J309" t="s">
        <v>1368</v>
      </c>
      <c r="K309" t="s">
        <v>1369</v>
      </c>
      <c r="L309">
        <v>1355</v>
      </c>
      <c r="N309">
        <v>1010</v>
      </c>
      <c r="O309" t="s">
        <v>724</v>
      </c>
      <c r="P309" t="s">
        <v>724</v>
      </c>
      <c r="Q309">
        <v>100</v>
      </c>
      <c r="X309">
        <v>0.7</v>
      </c>
      <c r="Y309">
        <v>366</v>
      </c>
      <c r="Z309">
        <v>0</v>
      </c>
      <c r="AA309">
        <v>0</v>
      </c>
      <c r="AB309">
        <v>0</v>
      </c>
      <c r="AC309">
        <v>0</v>
      </c>
      <c r="AD309">
        <v>1</v>
      </c>
      <c r="AE309">
        <v>0</v>
      </c>
      <c r="AF309" t="s">
        <v>6</v>
      </c>
      <c r="AG309">
        <v>0.7</v>
      </c>
      <c r="AH309">
        <v>2</v>
      </c>
      <c r="AI309">
        <v>16750650</v>
      </c>
      <c r="AJ309">
        <v>326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</row>
    <row r="310" spans="1:44" x14ac:dyDescent="0.2">
      <c r="A310">
        <f>ROW(Source!A179)</f>
        <v>179</v>
      </c>
      <c r="B310">
        <v>16750661</v>
      </c>
      <c r="C310">
        <v>16750643</v>
      </c>
      <c r="D310">
        <v>15192835</v>
      </c>
      <c r="E310">
        <v>1</v>
      </c>
      <c r="F310">
        <v>1</v>
      </c>
      <c r="G310">
        <v>1</v>
      </c>
      <c r="H310">
        <v>3</v>
      </c>
      <c r="I310" t="s">
        <v>538</v>
      </c>
      <c r="J310" t="s">
        <v>540</v>
      </c>
      <c r="K310" t="s">
        <v>539</v>
      </c>
      <c r="L310">
        <v>1301</v>
      </c>
      <c r="N310">
        <v>1003</v>
      </c>
      <c r="O310" t="s">
        <v>206</v>
      </c>
      <c r="P310" t="s">
        <v>206</v>
      </c>
      <c r="Q310">
        <v>1</v>
      </c>
      <c r="X310">
        <v>0</v>
      </c>
      <c r="Y310">
        <v>6.28</v>
      </c>
      <c r="Z310">
        <v>0</v>
      </c>
      <c r="AA310">
        <v>0</v>
      </c>
      <c r="AB310">
        <v>0</v>
      </c>
      <c r="AC310">
        <v>1</v>
      </c>
      <c r="AD310">
        <v>0</v>
      </c>
      <c r="AE310">
        <v>0</v>
      </c>
      <c r="AF310" t="s">
        <v>6</v>
      </c>
      <c r="AG310">
        <v>0</v>
      </c>
      <c r="AH310">
        <v>2</v>
      </c>
      <c r="AI310">
        <v>16750651</v>
      </c>
      <c r="AJ310">
        <v>327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</row>
    <row r="311" spans="1:44" x14ac:dyDescent="0.2">
      <c r="A311">
        <f>ROW(Source!A179)</f>
        <v>179</v>
      </c>
      <c r="B311">
        <v>16750662</v>
      </c>
      <c r="C311">
        <v>16750643</v>
      </c>
      <c r="D311">
        <v>15192866</v>
      </c>
      <c r="E311">
        <v>1</v>
      </c>
      <c r="F311">
        <v>1</v>
      </c>
      <c r="G311">
        <v>1</v>
      </c>
      <c r="H311">
        <v>3</v>
      </c>
      <c r="I311" t="s">
        <v>542</v>
      </c>
      <c r="J311" t="s">
        <v>544</v>
      </c>
      <c r="K311" t="s">
        <v>543</v>
      </c>
      <c r="L311">
        <v>1301</v>
      </c>
      <c r="N311">
        <v>1003</v>
      </c>
      <c r="O311" t="s">
        <v>206</v>
      </c>
      <c r="P311" t="s">
        <v>206</v>
      </c>
      <c r="Q311">
        <v>1</v>
      </c>
      <c r="X311">
        <v>1050</v>
      </c>
      <c r="Y311">
        <v>24.71</v>
      </c>
      <c r="Z311">
        <v>0</v>
      </c>
      <c r="AA311">
        <v>0</v>
      </c>
      <c r="AB311">
        <v>0</v>
      </c>
      <c r="AC311">
        <v>0</v>
      </c>
      <c r="AD311">
        <v>1</v>
      </c>
      <c r="AE311">
        <v>0</v>
      </c>
      <c r="AF311" t="s">
        <v>6</v>
      </c>
      <c r="AG311">
        <v>1050</v>
      </c>
      <c r="AH311">
        <v>2</v>
      </c>
      <c r="AI311">
        <v>16750652</v>
      </c>
      <c r="AJ311">
        <v>329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</row>
    <row r="312" spans="1:44" x14ac:dyDescent="0.2">
      <c r="A312">
        <f>ROW(Source!A183)</f>
        <v>183</v>
      </c>
      <c r="B312">
        <v>16750804</v>
      </c>
      <c r="C312">
        <v>16750801</v>
      </c>
      <c r="D312">
        <v>15433629</v>
      </c>
      <c r="E312">
        <v>1</v>
      </c>
      <c r="F312">
        <v>1</v>
      </c>
      <c r="G312">
        <v>1</v>
      </c>
      <c r="H312">
        <v>1</v>
      </c>
      <c r="I312" t="s">
        <v>1370</v>
      </c>
      <c r="J312" t="s">
        <v>6</v>
      </c>
      <c r="K312" t="s">
        <v>1371</v>
      </c>
      <c r="L312">
        <v>1191</v>
      </c>
      <c r="N312">
        <v>1013</v>
      </c>
      <c r="O312" t="s">
        <v>1072</v>
      </c>
      <c r="P312" t="s">
        <v>1072</v>
      </c>
      <c r="Q312">
        <v>1</v>
      </c>
      <c r="X312">
        <v>1.03</v>
      </c>
      <c r="Y312">
        <v>0</v>
      </c>
      <c r="Z312">
        <v>0</v>
      </c>
      <c r="AA312">
        <v>0</v>
      </c>
      <c r="AB312">
        <v>7.19</v>
      </c>
      <c r="AC312">
        <v>0</v>
      </c>
      <c r="AD312">
        <v>1</v>
      </c>
      <c r="AE312">
        <v>1</v>
      </c>
      <c r="AF312" t="s">
        <v>6</v>
      </c>
      <c r="AG312">
        <v>1.03</v>
      </c>
      <c r="AH312">
        <v>2</v>
      </c>
      <c r="AI312">
        <v>16750802</v>
      </c>
      <c r="AJ312">
        <v>330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</row>
    <row r="313" spans="1:44" x14ac:dyDescent="0.2">
      <c r="A313">
        <f>ROW(Source!A183)</f>
        <v>183</v>
      </c>
      <c r="B313">
        <v>16750805</v>
      </c>
      <c r="C313">
        <v>16750801</v>
      </c>
      <c r="D313">
        <v>15170984</v>
      </c>
      <c r="E313">
        <v>1</v>
      </c>
      <c r="F313">
        <v>1</v>
      </c>
      <c r="G313">
        <v>1</v>
      </c>
      <c r="H313">
        <v>3</v>
      </c>
      <c r="I313" t="s">
        <v>1372</v>
      </c>
      <c r="J313" t="s">
        <v>1373</v>
      </c>
      <c r="K313" t="s">
        <v>1374</v>
      </c>
      <c r="L313">
        <v>1355</v>
      </c>
      <c r="N313">
        <v>1010</v>
      </c>
      <c r="O313" t="s">
        <v>724</v>
      </c>
      <c r="P313" t="s">
        <v>724</v>
      </c>
      <c r="Q313">
        <v>100</v>
      </c>
      <c r="X313">
        <v>0.2</v>
      </c>
      <c r="Y313">
        <v>82</v>
      </c>
      <c r="Z313">
        <v>0</v>
      </c>
      <c r="AA313">
        <v>0</v>
      </c>
      <c r="AB313">
        <v>0</v>
      </c>
      <c r="AC313">
        <v>0</v>
      </c>
      <c r="AD313">
        <v>1</v>
      </c>
      <c r="AE313">
        <v>0</v>
      </c>
      <c r="AF313" t="s">
        <v>6</v>
      </c>
      <c r="AG313">
        <v>0.2</v>
      </c>
      <c r="AH313">
        <v>2</v>
      </c>
      <c r="AI313">
        <v>16750803</v>
      </c>
      <c r="AJ313">
        <v>331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</row>
    <row r="314" spans="1:44" x14ac:dyDescent="0.2">
      <c r="A314">
        <f>ROW(Source!A253)</f>
        <v>253</v>
      </c>
      <c r="B314">
        <v>16750812</v>
      </c>
      <c r="C314">
        <v>16750808</v>
      </c>
      <c r="D314">
        <v>15432010</v>
      </c>
      <c r="E314">
        <v>1</v>
      </c>
      <c r="F314">
        <v>1</v>
      </c>
      <c r="G314">
        <v>1</v>
      </c>
      <c r="H314">
        <v>1</v>
      </c>
      <c r="I314" t="s">
        <v>1375</v>
      </c>
      <c r="J314" t="s">
        <v>6</v>
      </c>
      <c r="K314" t="s">
        <v>1376</v>
      </c>
      <c r="L314">
        <v>1191</v>
      </c>
      <c r="N314">
        <v>1013</v>
      </c>
      <c r="O314" t="s">
        <v>1072</v>
      </c>
      <c r="P314" t="s">
        <v>1072</v>
      </c>
      <c r="Q314">
        <v>1</v>
      </c>
      <c r="X314">
        <v>17.89</v>
      </c>
      <c r="Y314">
        <v>0</v>
      </c>
      <c r="Z314">
        <v>0</v>
      </c>
      <c r="AA314">
        <v>0</v>
      </c>
      <c r="AB314">
        <v>8.02</v>
      </c>
      <c r="AC314">
        <v>0</v>
      </c>
      <c r="AD314">
        <v>1</v>
      </c>
      <c r="AE314">
        <v>1</v>
      </c>
      <c r="AF314" t="s">
        <v>6</v>
      </c>
      <c r="AG314">
        <v>17.89</v>
      </c>
      <c r="AH314">
        <v>2</v>
      </c>
      <c r="AI314">
        <v>16750809</v>
      </c>
      <c r="AJ314">
        <v>332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</row>
    <row r="315" spans="1:44" x14ac:dyDescent="0.2">
      <c r="A315">
        <f>ROW(Source!A253)</f>
        <v>253</v>
      </c>
      <c r="B315">
        <v>16750813</v>
      </c>
      <c r="C315">
        <v>16750808</v>
      </c>
      <c r="D315">
        <v>15430395</v>
      </c>
      <c r="E315">
        <v>1</v>
      </c>
      <c r="F315">
        <v>1</v>
      </c>
      <c r="G315">
        <v>1</v>
      </c>
      <c r="H315">
        <v>1</v>
      </c>
      <c r="I315" t="s">
        <v>1073</v>
      </c>
      <c r="J315" t="s">
        <v>6</v>
      </c>
      <c r="K315" t="s">
        <v>1074</v>
      </c>
      <c r="L315">
        <v>1191</v>
      </c>
      <c r="N315">
        <v>1013</v>
      </c>
      <c r="O315" t="s">
        <v>1072</v>
      </c>
      <c r="P315" t="s">
        <v>1072</v>
      </c>
      <c r="Q315">
        <v>1</v>
      </c>
      <c r="X315">
        <v>0.08</v>
      </c>
      <c r="Y315">
        <v>0</v>
      </c>
      <c r="Z315">
        <v>0</v>
      </c>
      <c r="AA315">
        <v>0</v>
      </c>
      <c r="AB315">
        <v>0</v>
      </c>
      <c r="AC315">
        <v>0</v>
      </c>
      <c r="AD315">
        <v>1</v>
      </c>
      <c r="AE315">
        <v>2</v>
      </c>
      <c r="AF315" t="s">
        <v>6</v>
      </c>
      <c r="AG315">
        <v>0.08</v>
      </c>
      <c r="AH315">
        <v>2</v>
      </c>
      <c r="AI315">
        <v>16750810</v>
      </c>
      <c r="AJ315">
        <v>333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</row>
    <row r="316" spans="1:44" x14ac:dyDescent="0.2">
      <c r="A316">
        <f>ROW(Source!A253)</f>
        <v>253</v>
      </c>
      <c r="B316">
        <v>16750814</v>
      </c>
      <c r="C316">
        <v>16750808</v>
      </c>
      <c r="D316">
        <v>15247974</v>
      </c>
      <c r="E316">
        <v>1</v>
      </c>
      <c r="F316">
        <v>1</v>
      </c>
      <c r="G316">
        <v>1</v>
      </c>
      <c r="H316">
        <v>2</v>
      </c>
      <c r="I316" t="s">
        <v>1075</v>
      </c>
      <c r="J316" t="s">
        <v>1076</v>
      </c>
      <c r="K316" t="s">
        <v>1077</v>
      </c>
      <c r="L316">
        <v>1368</v>
      </c>
      <c r="N316">
        <v>1011</v>
      </c>
      <c r="O316" t="s">
        <v>1078</v>
      </c>
      <c r="P316" t="s">
        <v>1078</v>
      </c>
      <c r="Q316">
        <v>1</v>
      </c>
      <c r="X316">
        <v>0.08</v>
      </c>
      <c r="Y316">
        <v>0</v>
      </c>
      <c r="Z316">
        <v>31.26</v>
      </c>
      <c r="AA316">
        <v>13.5</v>
      </c>
      <c r="AB316">
        <v>0</v>
      </c>
      <c r="AC316">
        <v>0</v>
      </c>
      <c r="AD316">
        <v>1</v>
      </c>
      <c r="AE316">
        <v>0</v>
      </c>
      <c r="AF316" t="s">
        <v>6</v>
      </c>
      <c r="AG316">
        <v>0.08</v>
      </c>
      <c r="AH316">
        <v>2</v>
      </c>
      <c r="AI316">
        <v>16750811</v>
      </c>
      <c r="AJ316">
        <v>334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</row>
    <row r="317" spans="1:44" x14ac:dyDescent="0.2">
      <c r="A317">
        <f>ROW(Source!A254)</f>
        <v>254</v>
      </c>
      <c r="B317">
        <v>16750819</v>
      </c>
      <c r="C317">
        <v>16750815</v>
      </c>
      <c r="D317">
        <v>15430517</v>
      </c>
      <c r="E317">
        <v>1</v>
      </c>
      <c r="F317">
        <v>1</v>
      </c>
      <c r="G317">
        <v>1</v>
      </c>
      <c r="H317">
        <v>1</v>
      </c>
      <c r="I317" t="s">
        <v>1085</v>
      </c>
      <c r="J317" t="s">
        <v>6</v>
      </c>
      <c r="K317" t="s">
        <v>1086</v>
      </c>
      <c r="L317">
        <v>1191</v>
      </c>
      <c r="N317">
        <v>1013</v>
      </c>
      <c r="O317" t="s">
        <v>1072</v>
      </c>
      <c r="P317" t="s">
        <v>1072</v>
      </c>
      <c r="Q317">
        <v>1</v>
      </c>
      <c r="X317">
        <v>9.64</v>
      </c>
      <c r="Y317">
        <v>0</v>
      </c>
      <c r="Z317">
        <v>0</v>
      </c>
      <c r="AA317">
        <v>0</v>
      </c>
      <c r="AB317">
        <v>7.8</v>
      </c>
      <c r="AC317">
        <v>0</v>
      </c>
      <c r="AD317">
        <v>1</v>
      </c>
      <c r="AE317">
        <v>1</v>
      </c>
      <c r="AF317" t="s">
        <v>6</v>
      </c>
      <c r="AG317">
        <v>9.64</v>
      </c>
      <c r="AH317">
        <v>2</v>
      </c>
      <c r="AI317">
        <v>16750816</v>
      </c>
      <c r="AJ317">
        <v>335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</row>
    <row r="318" spans="1:44" x14ac:dyDescent="0.2">
      <c r="A318">
        <f>ROW(Source!A254)</f>
        <v>254</v>
      </c>
      <c r="B318">
        <v>16750820</v>
      </c>
      <c r="C318">
        <v>16750815</v>
      </c>
      <c r="D318">
        <v>15430395</v>
      </c>
      <c r="E318">
        <v>1</v>
      </c>
      <c r="F318">
        <v>1</v>
      </c>
      <c r="G318">
        <v>1</v>
      </c>
      <c r="H318">
        <v>1</v>
      </c>
      <c r="I318" t="s">
        <v>1073</v>
      </c>
      <c r="J318" t="s">
        <v>6</v>
      </c>
      <c r="K318" t="s">
        <v>1074</v>
      </c>
      <c r="L318">
        <v>1191</v>
      </c>
      <c r="N318">
        <v>1013</v>
      </c>
      <c r="O318" t="s">
        <v>1072</v>
      </c>
      <c r="P318" t="s">
        <v>1072</v>
      </c>
      <c r="Q318">
        <v>1</v>
      </c>
      <c r="X318">
        <v>0.01</v>
      </c>
      <c r="Y318">
        <v>0</v>
      </c>
      <c r="Z318">
        <v>0</v>
      </c>
      <c r="AA318">
        <v>0</v>
      </c>
      <c r="AB318">
        <v>0</v>
      </c>
      <c r="AC318">
        <v>0</v>
      </c>
      <c r="AD318">
        <v>1</v>
      </c>
      <c r="AE318">
        <v>2</v>
      </c>
      <c r="AF318" t="s">
        <v>6</v>
      </c>
      <c r="AG318">
        <v>0.01</v>
      </c>
      <c r="AH318">
        <v>2</v>
      </c>
      <c r="AI318">
        <v>16750817</v>
      </c>
      <c r="AJ318">
        <v>336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</row>
    <row r="319" spans="1:44" x14ac:dyDescent="0.2">
      <c r="A319">
        <f>ROW(Source!A254)</f>
        <v>254</v>
      </c>
      <c r="B319">
        <v>16750821</v>
      </c>
      <c r="C319">
        <v>16750815</v>
      </c>
      <c r="D319">
        <v>15247974</v>
      </c>
      <c r="E319">
        <v>1</v>
      </c>
      <c r="F319">
        <v>1</v>
      </c>
      <c r="G319">
        <v>1</v>
      </c>
      <c r="H319">
        <v>2</v>
      </c>
      <c r="I319" t="s">
        <v>1075</v>
      </c>
      <c r="J319" t="s">
        <v>1076</v>
      </c>
      <c r="K319" t="s">
        <v>1077</v>
      </c>
      <c r="L319">
        <v>1368</v>
      </c>
      <c r="N319">
        <v>1011</v>
      </c>
      <c r="O319" t="s">
        <v>1078</v>
      </c>
      <c r="P319" t="s">
        <v>1078</v>
      </c>
      <c r="Q319">
        <v>1</v>
      </c>
      <c r="X319">
        <v>0.01</v>
      </c>
      <c r="Y319">
        <v>0</v>
      </c>
      <c r="Z319">
        <v>31.26</v>
      </c>
      <c r="AA319">
        <v>13.5</v>
      </c>
      <c r="AB319">
        <v>0</v>
      </c>
      <c r="AC319">
        <v>0</v>
      </c>
      <c r="AD319">
        <v>1</v>
      </c>
      <c r="AE319">
        <v>0</v>
      </c>
      <c r="AF319" t="s">
        <v>6</v>
      </c>
      <c r="AG319">
        <v>0.01</v>
      </c>
      <c r="AH319">
        <v>2</v>
      </c>
      <c r="AI319">
        <v>16750818</v>
      </c>
      <c r="AJ319">
        <v>337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</row>
    <row r="320" spans="1:44" x14ac:dyDescent="0.2">
      <c r="A320">
        <f>ROW(Source!A255)</f>
        <v>255</v>
      </c>
      <c r="B320">
        <v>16750824</v>
      </c>
      <c r="C320">
        <v>16750822</v>
      </c>
      <c r="D320">
        <v>15430517</v>
      </c>
      <c r="E320">
        <v>1</v>
      </c>
      <c r="F320">
        <v>1</v>
      </c>
      <c r="G320">
        <v>1</v>
      </c>
      <c r="H320">
        <v>1</v>
      </c>
      <c r="I320" t="s">
        <v>1085</v>
      </c>
      <c r="J320" t="s">
        <v>6</v>
      </c>
      <c r="K320" t="s">
        <v>1086</v>
      </c>
      <c r="L320">
        <v>1191</v>
      </c>
      <c r="N320">
        <v>1013</v>
      </c>
      <c r="O320" t="s">
        <v>1072</v>
      </c>
      <c r="P320" t="s">
        <v>1072</v>
      </c>
      <c r="Q320">
        <v>1</v>
      </c>
      <c r="X320">
        <v>5.84</v>
      </c>
      <c r="Y320">
        <v>0</v>
      </c>
      <c r="Z320">
        <v>0</v>
      </c>
      <c r="AA320">
        <v>0</v>
      </c>
      <c r="AB320">
        <v>7.8</v>
      </c>
      <c r="AC320">
        <v>0</v>
      </c>
      <c r="AD320">
        <v>1</v>
      </c>
      <c r="AE320">
        <v>1</v>
      </c>
      <c r="AF320" t="s">
        <v>6</v>
      </c>
      <c r="AG320">
        <v>5.84</v>
      </c>
      <c r="AH320">
        <v>2</v>
      </c>
      <c r="AI320">
        <v>16750823</v>
      </c>
      <c r="AJ320">
        <v>338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</row>
    <row r="321" spans="1:44" x14ac:dyDescent="0.2">
      <c r="A321">
        <f>ROW(Source!A256)</f>
        <v>256</v>
      </c>
      <c r="B321">
        <v>16750832</v>
      </c>
      <c r="C321">
        <v>16750825</v>
      </c>
      <c r="D321">
        <v>15435721</v>
      </c>
      <c r="E321">
        <v>1</v>
      </c>
      <c r="F321">
        <v>1</v>
      </c>
      <c r="G321">
        <v>1</v>
      </c>
      <c r="H321">
        <v>1</v>
      </c>
      <c r="I321" t="s">
        <v>1353</v>
      </c>
      <c r="J321" t="s">
        <v>6</v>
      </c>
      <c r="K321" t="s">
        <v>1354</v>
      </c>
      <c r="L321">
        <v>1191</v>
      </c>
      <c r="N321">
        <v>1013</v>
      </c>
      <c r="O321" t="s">
        <v>1072</v>
      </c>
      <c r="P321" t="s">
        <v>1072</v>
      </c>
      <c r="Q321">
        <v>1</v>
      </c>
      <c r="X321">
        <v>16.29</v>
      </c>
      <c r="Y321">
        <v>0</v>
      </c>
      <c r="Z321">
        <v>0</v>
      </c>
      <c r="AA321">
        <v>0</v>
      </c>
      <c r="AB321">
        <v>9.51</v>
      </c>
      <c r="AC321">
        <v>0</v>
      </c>
      <c r="AD321">
        <v>1</v>
      </c>
      <c r="AE321">
        <v>1</v>
      </c>
      <c r="AF321" t="s">
        <v>590</v>
      </c>
      <c r="AG321">
        <v>4.8869999999999996</v>
      </c>
      <c r="AH321">
        <v>2</v>
      </c>
      <c r="AI321">
        <v>16750826</v>
      </c>
      <c r="AJ321">
        <v>339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</row>
    <row r="322" spans="1:44" x14ac:dyDescent="0.2">
      <c r="A322">
        <f>ROW(Source!A256)</f>
        <v>256</v>
      </c>
      <c r="B322">
        <v>16750833</v>
      </c>
      <c r="C322">
        <v>16750825</v>
      </c>
      <c r="D322">
        <v>15430395</v>
      </c>
      <c r="E322">
        <v>1</v>
      </c>
      <c r="F322">
        <v>1</v>
      </c>
      <c r="G322">
        <v>1</v>
      </c>
      <c r="H322">
        <v>1</v>
      </c>
      <c r="I322" t="s">
        <v>1073</v>
      </c>
      <c r="J322" t="s">
        <v>6</v>
      </c>
      <c r="K322" t="s">
        <v>1074</v>
      </c>
      <c r="L322">
        <v>1191</v>
      </c>
      <c r="N322">
        <v>1013</v>
      </c>
      <c r="O322" t="s">
        <v>1072</v>
      </c>
      <c r="P322" t="s">
        <v>1072</v>
      </c>
      <c r="Q322">
        <v>1</v>
      </c>
      <c r="X322">
        <v>0.01</v>
      </c>
      <c r="Y322">
        <v>0</v>
      </c>
      <c r="Z322">
        <v>0</v>
      </c>
      <c r="AA322">
        <v>0</v>
      </c>
      <c r="AB322">
        <v>0</v>
      </c>
      <c r="AC322">
        <v>0</v>
      </c>
      <c r="AD322">
        <v>1</v>
      </c>
      <c r="AE322">
        <v>2</v>
      </c>
      <c r="AF322" t="s">
        <v>590</v>
      </c>
      <c r="AG322">
        <v>3.0000000000000001E-3</v>
      </c>
      <c r="AH322">
        <v>2</v>
      </c>
      <c r="AI322">
        <v>16750827</v>
      </c>
      <c r="AJ322">
        <v>340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</row>
    <row r="323" spans="1:44" x14ac:dyDescent="0.2">
      <c r="A323">
        <f>ROW(Source!A256)</f>
        <v>256</v>
      </c>
      <c r="B323">
        <v>16750834</v>
      </c>
      <c r="C323">
        <v>16750825</v>
      </c>
      <c r="D323">
        <v>15247974</v>
      </c>
      <c r="E323">
        <v>1</v>
      </c>
      <c r="F323">
        <v>1</v>
      </c>
      <c r="G323">
        <v>1</v>
      </c>
      <c r="H323">
        <v>2</v>
      </c>
      <c r="I323" t="s">
        <v>1075</v>
      </c>
      <c r="J323" t="s">
        <v>1076</v>
      </c>
      <c r="K323" t="s">
        <v>1077</v>
      </c>
      <c r="L323">
        <v>1368</v>
      </c>
      <c r="N323">
        <v>1011</v>
      </c>
      <c r="O323" t="s">
        <v>1078</v>
      </c>
      <c r="P323" t="s">
        <v>1078</v>
      </c>
      <c r="Q323">
        <v>1</v>
      </c>
      <c r="X323">
        <v>0.01</v>
      </c>
      <c r="Y323">
        <v>0</v>
      </c>
      <c r="Z323">
        <v>31.26</v>
      </c>
      <c r="AA323">
        <v>13.5</v>
      </c>
      <c r="AB323">
        <v>0</v>
      </c>
      <c r="AC323">
        <v>0</v>
      </c>
      <c r="AD323">
        <v>1</v>
      </c>
      <c r="AE323">
        <v>0</v>
      </c>
      <c r="AF323" t="s">
        <v>590</v>
      </c>
      <c r="AG323">
        <v>3.0000000000000001E-3</v>
      </c>
      <c r="AH323">
        <v>2</v>
      </c>
      <c r="AI323">
        <v>16750828</v>
      </c>
      <c r="AJ323">
        <v>341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</row>
    <row r="324" spans="1:44" x14ac:dyDescent="0.2">
      <c r="A324">
        <f>ROW(Source!A256)</f>
        <v>256</v>
      </c>
      <c r="B324">
        <v>16750835</v>
      </c>
      <c r="C324">
        <v>16750825</v>
      </c>
      <c r="D324">
        <v>15170076</v>
      </c>
      <c r="E324">
        <v>1</v>
      </c>
      <c r="F324">
        <v>1</v>
      </c>
      <c r="G324">
        <v>1</v>
      </c>
      <c r="H324">
        <v>3</v>
      </c>
      <c r="I324" t="s">
        <v>1377</v>
      </c>
      <c r="J324" t="s">
        <v>1378</v>
      </c>
      <c r="K324" t="s">
        <v>1379</v>
      </c>
      <c r="L324">
        <v>1356</v>
      </c>
      <c r="N324">
        <v>1010</v>
      </c>
      <c r="O324" t="s">
        <v>288</v>
      </c>
      <c r="P324" t="s">
        <v>288</v>
      </c>
      <c r="Q324">
        <v>1000</v>
      </c>
      <c r="X324">
        <v>0.2</v>
      </c>
      <c r="Y324">
        <v>180</v>
      </c>
      <c r="Z324">
        <v>0</v>
      </c>
      <c r="AA324">
        <v>0</v>
      </c>
      <c r="AB324">
        <v>0</v>
      </c>
      <c r="AC324">
        <v>0</v>
      </c>
      <c r="AD324">
        <v>1</v>
      </c>
      <c r="AE324">
        <v>0</v>
      </c>
      <c r="AF324" t="s">
        <v>92</v>
      </c>
      <c r="AG324">
        <v>0</v>
      </c>
      <c r="AH324">
        <v>2</v>
      </c>
      <c r="AI324">
        <v>16750829</v>
      </c>
      <c r="AJ324">
        <v>342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</row>
    <row r="325" spans="1:44" x14ac:dyDescent="0.2">
      <c r="A325">
        <f>ROW(Source!A256)</f>
        <v>256</v>
      </c>
      <c r="B325">
        <v>16750836</v>
      </c>
      <c r="C325">
        <v>16750825</v>
      </c>
      <c r="D325">
        <v>15170438</v>
      </c>
      <c r="E325">
        <v>1</v>
      </c>
      <c r="F325">
        <v>1</v>
      </c>
      <c r="G325">
        <v>1</v>
      </c>
      <c r="H325">
        <v>3</v>
      </c>
      <c r="I325" t="s">
        <v>1380</v>
      </c>
      <c r="J325" t="s">
        <v>1381</v>
      </c>
      <c r="K325" t="s">
        <v>1382</v>
      </c>
      <c r="L325">
        <v>1348</v>
      </c>
      <c r="N325">
        <v>1009</v>
      </c>
      <c r="O325" t="s">
        <v>71</v>
      </c>
      <c r="P325" t="s">
        <v>71</v>
      </c>
      <c r="Q325">
        <v>1000</v>
      </c>
      <c r="X325">
        <v>1E-3</v>
      </c>
      <c r="Y325">
        <v>12430</v>
      </c>
      <c r="Z325">
        <v>0</v>
      </c>
      <c r="AA325">
        <v>0</v>
      </c>
      <c r="AB325">
        <v>0</v>
      </c>
      <c r="AC325">
        <v>0</v>
      </c>
      <c r="AD325">
        <v>1</v>
      </c>
      <c r="AE325">
        <v>0</v>
      </c>
      <c r="AF325" t="s">
        <v>92</v>
      </c>
      <c r="AG325">
        <v>0</v>
      </c>
      <c r="AH325">
        <v>2</v>
      </c>
      <c r="AI325">
        <v>16750830</v>
      </c>
      <c r="AJ325">
        <v>343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</row>
    <row r="326" spans="1:44" x14ac:dyDescent="0.2">
      <c r="A326">
        <f>ROW(Source!A256)</f>
        <v>256</v>
      </c>
      <c r="B326">
        <v>16750837</v>
      </c>
      <c r="C326">
        <v>16750825</v>
      </c>
      <c r="D326">
        <v>15164559</v>
      </c>
      <c r="E326">
        <v>17</v>
      </c>
      <c r="F326">
        <v>1</v>
      </c>
      <c r="G326">
        <v>1</v>
      </c>
      <c r="H326">
        <v>3</v>
      </c>
      <c r="I326" t="s">
        <v>1383</v>
      </c>
      <c r="J326" t="s">
        <v>6</v>
      </c>
      <c r="K326" t="s">
        <v>1384</v>
      </c>
      <c r="L326">
        <v>1374</v>
      </c>
      <c r="N326">
        <v>1013</v>
      </c>
      <c r="O326" t="s">
        <v>1385</v>
      </c>
      <c r="P326" t="s">
        <v>1385</v>
      </c>
      <c r="Q326">
        <v>1</v>
      </c>
      <c r="X326">
        <v>3.1</v>
      </c>
      <c r="Y326">
        <v>1</v>
      </c>
      <c r="Z326">
        <v>0</v>
      </c>
      <c r="AA326">
        <v>0</v>
      </c>
      <c r="AB326">
        <v>0</v>
      </c>
      <c r="AC326">
        <v>0</v>
      </c>
      <c r="AD326">
        <v>1</v>
      </c>
      <c r="AE326">
        <v>0</v>
      </c>
      <c r="AF326" t="s">
        <v>92</v>
      </c>
      <c r="AG326">
        <v>0</v>
      </c>
      <c r="AH326">
        <v>2</v>
      </c>
      <c r="AI326">
        <v>16750831</v>
      </c>
      <c r="AJ326">
        <v>344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</row>
    <row r="327" spans="1:44" x14ac:dyDescent="0.2">
      <c r="A327">
        <f>ROW(Source!A257)</f>
        <v>257</v>
      </c>
      <c r="B327">
        <v>16750847</v>
      </c>
      <c r="C327">
        <v>16750838</v>
      </c>
      <c r="D327">
        <v>15442878</v>
      </c>
      <c r="E327">
        <v>1</v>
      </c>
      <c r="F327">
        <v>1</v>
      </c>
      <c r="G327">
        <v>1</v>
      </c>
      <c r="H327">
        <v>1</v>
      </c>
      <c r="I327" t="s">
        <v>1386</v>
      </c>
      <c r="J327" t="s">
        <v>6</v>
      </c>
      <c r="K327" t="s">
        <v>1387</v>
      </c>
      <c r="L327">
        <v>1191</v>
      </c>
      <c r="N327">
        <v>1013</v>
      </c>
      <c r="O327" t="s">
        <v>1072</v>
      </c>
      <c r="P327" t="s">
        <v>1072</v>
      </c>
      <c r="Q327">
        <v>1</v>
      </c>
      <c r="X327">
        <v>0.9</v>
      </c>
      <c r="Y327">
        <v>0</v>
      </c>
      <c r="Z327">
        <v>0</v>
      </c>
      <c r="AA327">
        <v>0</v>
      </c>
      <c r="AB327">
        <v>10.5</v>
      </c>
      <c r="AC327">
        <v>0</v>
      </c>
      <c r="AD327">
        <v>1</v>
      </c>
      <c r="AE327">
        <v>1</v>
      </c>
      <c r="AF327" t="s">
        <v>590</v>
      </c>
      <c r="AG327">
        <v>0.27</v>
      </c>
      <c r="AH327">
        <v>2</v>
      </c>
      <c r="AI327">
        <v>16750839</v>
      </c>
      <c r="AJ327">
        <v>345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</row>
    <row r="328" spans="1:44" x14ac:dyDescent="0.2">
      <c r="A328">
        <f>ROW(Source!A257)</f>
        <v>257</v>
      </c>
      <c r="B328">
        <v>16750848</v>
      </c>
      <c r="C328">
        <v>16750838</v>
      </c>
      <c r="D328">
        <v>15430395</v>
      </c>
      <c r="E328">
        <v>1</v>
      </c>
      <c r="F328">
        <v>1</v>
      </c>
      <c r="G328">
        <v>1</v>
      </c>
      <c r="H328">
        <v>1</v>
      </c>
      <c r="I328" t="s">
        <v>1073</v>
      </c>
      <c r="J328" t="s">
        <v>6</v>
      </c>
      <c r="K328" t="s">
        <v>1074</v>
      </c>
      <c r="L328">
        <v>1191</v>
      </c>
      <c r="N328">
        <v>1013</v>
      </c>
      <c r="O328" t="s">
        <v>1072</v>
      </c>
      <c r="P328" t="s">
        <v>1072</v>
      </c>
      <c r="Q328">
        <v>1</v>
      </c>
      <c r="X328">
        <v>0.2</v>
      </c>
      <c r="Y328">
        <v>0</v>
      </c>
      <c r="Z328">
        <v>0</v>
      </c>
      <c r="AA328">
        <v>0</v>
      </c>
      <c r="AB328">
        <v>0</v>
      </c>
      <c r="AC328">
        <v>0</v>
      </c>
      <c r="AD328">
        <v>1</v>
      </c>
      <c r="AE328">
        <v>2</v>
      </c>
      <c r="AF328" t="s">
        <v>590</v>
      </c>
      <c r="AG328">
        <v>0.06</v>
      </c>
      <c r="AH328">
        <v>2</v>
      </c>
      <c r="AI328">
        <v>16750840</v>
      </c>
      <c r="AJ328">
        <v>346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</row>
    <row r="329" spans="1:44" x14ac:dyDescent="0.2">
      <c r="A329">
        <f>ROW(Source!A257)</f>
        <v>257</v>
      </c>
      <c r="B329">
        <v>16750849</v>
      </c>
      <c r="C329">
        <v>16750838</v>
      </c>
      <c r="D329">
        <v>15247680</v>
      </c>
      <c r="E329">
        <v>1</v>
      </c>
      <c r="F329">
        <v>1</v>
      </c>
      <c r="G329">
        <v>1</v>
      </c>
      <c r="H329">
        <v>2</v>
      </c>
      <c r="I329" t="s">
        <v>1211</v>
      </c>
      <c r="J329" t="s">
        <v>1212</v>
      </c>
      <c r="K329" t="s">
        <v>1213</v>
      </c>
      <c r="L329">
        <v>1368</v>
      </c>
      <c r="N329">
        <v>1011</v>
      </c>
      <c r="O329" t="s">
        <v>1078</v>
      </c>
      <c r="P329" t="s">
        <v>1078</v>
      </c>
      <c r="Q329">
        <v>1</v>
      </c>
      <c r="X329">
        <v>0.1</v>
      </c>
      <c r="Y329">
        <v>0</v>
      </c>
      <c r="Z329">
        <v>111.99</v>
      </c>
      <c r="AA329">
        <v>13.5</v>
      </c>
      <c r="AB329">
        <v>0</v>
      </c>
      <c r="AC329">
        <v>0</v>
      </c>
      <c r="AD329">
        <v>1</v>
      </c>
      <c r="AE329">
        <v>0</v>
      </c>
      <c r="AF329" t="s">
        <v>590</v>
      </c>
      <c r="AG329">
        <v>0.03</v>
      </c>
      <c r="AH329">
        <v>2</v>
      </c>
      <c r="AI329">
        <v>16750841</v>
      </c>
      <c r="AJ329">
        <v>347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</row>
    <row r="330" spans="1:44" x14ac:dyDescent="0.2">
      <c r="A330">
        <f>ROW(Source!A257)</f>
        <v>257</v>
      </c>
      <c r="B330">
        <v>16750850</v>
      </c>
      <c r="C330">
        <v>16750838</v>
      </c>
      <c r="D330">
        <v>15249073</v>
      </c>
      <c r="E330">
        <v>1</v>
      </c>
      <c r="F330">
        <v>1</v>
      </c>
      <c r="G330">
        <v>1</v>
      </c>
      <c r="H330">
        <v>2</v>
      </c>
      <c r="I330" t="s">
        <v>1097</v>
      </c>
      <c r="J330" t="s">
        <v>1098</v>
      </c>
      <c r="K330" t="s">
        <v>1099</v>
      </c>
      <c r="L330">
        <v>1368</v>
      </c>
      <c r="N330">
        <v>1011</v>
      </c>
      <c r="O330" t="s">
        <v>1078</v>
      </c>
      <c r="P330" t="s">
        <v>1078</v>
      </c>
      <c r="Q330">
        <v>1</v>
      </c>
      <c r="X330">
        <v>0.1</v>
      </c>
      <c r="Y330">
        <v>0</v>
      </c>
      <c r="Z330">
        <v>65.709999999999994</v>
      </c>
      <c r="AA330">
        <v>11.6</v>
      </c>
      <c r="AB330">
        <v>0</v>
      </c>
      <c r="AC330">
        <v>0</v>
      </c>
      <c r="AD330">
        <v>1</v>
      </c>
      <c r="AE330">
        <v>0</v>
      </c>
      <c r="AF330" t="s">
        <v>590</v>
      </c>
      <c r="AG330">
        <v>0.03</v>
      </c>
      <c r="AH330">
        <v>2</v>
      </c>
      <c r="AI330">
        <v>16750842</v>
      </c>
      <c r="AJ330">
        <v>348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</row>
    <row r="331" spans="1:44" x14ac:dyDescent="0.2">
      <c r="A331">
        <f>ROW(Source!A257)</f>
        <v>257</v>
      </c>
      <c r="B331">
        <v>16750851</v>
      </c>
      <c r="C331">
        <v>16750838</v>
      </c>
      <c r="D331">
        <v>15167588</v>
      </c>
      <c r="E331">
        <v>1</v>
      </c>
      <c r="F331">
        <v>1</v>
      </c>
      <c r="G331">
        <v>1</v>
      </c>
      <c r="H331">
        <v>3</v>
      </c>
      <c r="I331" t="s">
        <v>1388</v>
      </c>
      <c r="J331" t="s">
        <v>1389</v>
      </c>
      <c r="K331" t="s">
        <v>1390</v>
      </c>
      <c r="L331">
        <v>1346</v>
      </c>
      <c r="N331">
        <v>1009</v>
      </c>
      <c r="O331" t="s">
        <v>323</v>
      </c>
      <c r="P331" t="s">
        <v>323</v>
      </c>
      <c r="Q331">
        <v>1</v>
      </c>
      <c r="X331">
        <v>0.01</v>
      </c>
      <c r="Y331">
        <v>30.4</v>
      </c>
      <c r="Z331">
        <v>0</v>
      </c>
      <c r="AA331">
        <v>0</v>
      </c>
      <c r="AB331">
        <v>0</v>
      </c>
      <c r="AC331">
        <v>0</v>
      </c>
      <c r="AD331">
        <v>1</v>
      </c>
      <c r="AE331">
        <v>0</v>
      </c>
      <c r="AF331" t="s">
        <v>92</v>
      </c>
      <c r="AG331">
        <v>0</v>
      </c>
      <c r="AH331">
        <v>2</v>
      </c>
      <c r="AI331">
        <v>16750843</v>
      </c>
      <c r="AJ331">
        <v>349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</row>
    <row r="332" spans="1:44" x14ac:dyDescent="0.2">
      <c r="A332">
        <f>ROW(Source!A257)</f>
        <v>257</v>
      </c>
      <c r="B332">
        <v>16750852</v>
      </c>
      <c r="C332">
        <v>16750838</v>
      </c>
      <c r="D332">
        <v>15169942</v>
      </c>
      <c r="E332">
        <v>1</v>
      </c>
      <c r="F332">
        <v>1</v>
      </c>
      <c r="G332">
        <v>1</v>
      </c>
      <c r="H332">
        <v>3</v>
      </c>
      <c r="I332" t="s">
        <v>1391</v>
      </c>
      <c r="J332" t="s">
        <v>1392</v>
      </c>
      <c r="K332" t="s">
        <v>1291</v>
      </c>
      <c r="L332">
        <v>1346</v>
      </c>
      <c r="N332">
        <v>1009</v>
      </c>
      <c r="O332" t="s">
        <v>323</v>
      </c>
      <c r="P332" t="s">
        <v>323</v>
      </c>
      <c r="Q332">
        <v>1</v>
      </c>
      <c r="X332">
        <v>0.3</v>
      </c>
      <c r="Y332">
        <v>9.0399999999999991</v>
      </c>
      <c r="Z332">
        <v>0</v>
      </c>
      <c r="AA332">
        <v>0</v>
      </c>
      <c r="AB332">
        <v>0</v>
      </c>
      <c r="AC332">
        <v>0</v>
      </c>
      <c r="AD332">
        <v>1</v>
      </c>
      <c r="AE332">
        <v>0</v>
      </c>
      <c r="AF332" t="s">
        <v>92</v>
      </c>
      <c r="AG332">
        <v>0</v>
      </c>
      <c r="AH332">
        <v>2</v>
      </c>
      <c r="AI332">
        <v>16750844</v>
      </c>
      <c r="AJ332">
        <v>350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</row>
    <row r="333" spans="1:44" x14ac:dyDescent="0.2">
      <c r="A333">
        <f>ROW(Source!A257)</f>
        <v>257</v>
      </c>
      <c r="B333">
        <v>16750853</v>
      </c>
      <c r="C333">
        <v>16750838</v>
      </c>
      <c r="D333">
        <v>15191488</v>
      </c>
      <c r="E333">
        <v>1</v>
      </c>
      <c r="F333">
        <v>1</v>
      </c>
      <c r="G333">
        <v>1</v>
      </c>
      <c r="H333">
        <v>3</v>
      </c>
      <c r="I333" t="s">
        <v>1393</v>
      </c>
      <c r="J333" t="s">
        <v>1394</v>
      </c>
      <c r="K333" t="s">
        <v>1395</v>
      </c>
      <c r="L333">
        <v>1348</v>
      </c>
      <c r="N333">
        <v>1009</v>
      </c>
      <c r="O333" t="s">
        <v>71</v>
      </c>
      <c r="P333" t="s">
        <v>71</v>
      </c>
      <c r="Q333">
        <v>1000</v>
      </c>
      <c r="X333">
        <v>5.9999999999999995E-4</v>
      </c>
      <c r="Y333">
        <v>5000</v>
      </c>
      <c r="Z333">
        <v>0</v>
      </c>
      <c r="AA333">
        <v>0</v>
      </c>
      <c r="AB333">
        <v>0</v>
      </c>
      <c r="AC333">
        <v>0</v>
      </c>
      <c r="AD333">
        <v>1</v>
      </c>
      <c r="AE333">
        <v>0</v>
      </c>
      <c r="AF333" t="s">
        <v>92</v>
      </c>
      <c r="AG333">
        <v>0</v>
      </c>
      <c r="AH333">
        <v>2</v>
      </c>
      <c r="AI333">
        <v>16750845</v>
      </c>
      <c r="AJ333">
        <v>351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</row>
    <row r="334" spans="1:44" x14ac:dyDescent="0.2">
      <c r="A334">
        <f>ROW(Source!A257)</f>
        <v>257</v>
      </c>
      <c r="B334">
        <v>16750854</v>
      </c>
      <c r="C334">
        <v>16750838</v>
      </c>
      <c r="D334">
        <v>15164559</v>
      </c>
      <c r="E334">
        <v>17</v>
      </c>
      <c r="F334">
        <v>1</v>
      </c>
      <c r="G334">
        <v>1</v>
      </c>
      <c r="H334">
        <v>3</v>
      </c>
      <c r="I334" t="s">
        <v>1383</v>
      </c>
      <c r="J334" t="s">
        <v>6</v>
      </c>
      <c r="K334" t="s">
        <v>1384</v>
      </c>
      <c r="L334">
        <v>1374</v>
      </c>
      <c r="N334">
        <v>1013</v>
      </c>
      <c r="O334" t="s">
        <v>1385</v>
      </c>
      <c r="P334" t="s">
        <v>1385</v>
      </c>
      <c r="Q334">
        <v>1</v>
      </c>
      <c r="X334">
        <v>0.19</v>
      </c>
      <c r="Y334">
        <v>1</v>
      </c>
      <c r="Z334">
        <v>0</v>
      </c>
      <c r="AA334">
        <v>0</v>
      </c>
      <c r="AB334">
        <v>0</v>
      </c>
      <c r="AC334">
        <v>0</v>
      </c>
      <c r="AD334">
        <v>1</v>
      </c>
      <c r="AE334">
        <v>0</v>
      </c>
      <c r="AF334" t="s">
        <v>92</v>
      </c>
      <c r="AG334">
        <v>0</v>
      </c>
      <c r="AH334">
        <v>2</v>
      </c>
      <c r="AI334">
        <v>16750846</v>
      </c>
      <c r="AJ334">
        <v>352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</row>
    <row r="335" spans="1:44" x14ac:dyDescent="0.2">
      <c r="A335">
        <f>ROW(Source!A292)</f>
        <v>292</v>
      </c>
      <c r="B335">
        <v>16750863</v>
      </c>
      <c r="C335">
        <v>16750855</v>
      </c>
      <c r="D335">
        <v>15446300</v>
      </c>
      <c r="E335">
        <v>1</v>
      </c>
      <c r="F335">
        <v>1</v>
      </c>
      <c r="G335">
        <v>1</v>
      </c>
      <c r="H335">
        <v>1</v>
      </c>
      <c r="I335" t="s">
        <v>1095</v>
      </c>
      <c r="J335" t="s">
        <v>6</v>
      </c>
      <c r="K335" t="s">
        <v>1096</v>
      </c>
      <c r="L335">
        <v>1191</v>
      </c>
      <c r="N335">
        <v>1013</v>
      </c>
      <c r="O335" t="s">
        <v>1072</v>
      </c>
      <c r="P335" t="s">
        <v>1072</v>
      </c>
      <c r="Q335">
        <v>1</v>
      </c>
      <c r="X335">
        <v>94.4</v>
      </c>
      <c r="Y335">
        <v>0</v>
      </c>
      <c r="Z335">
        <v>0</v>
      </c>
      <c r="AA335">
        <v>0</v>
      </c>
      <c r="AB335">
        <v>9.92</v>
      </c>
      <c r="AC335">
        <v>0</v>
      </c>
      <c r="AD335">
        <v>1</v>
      </c>
      <c r="AE335">
        <v>1</v>
      </c>
      <c r="AF335" t="s">
        <v>6</v>
      </c>
      <c r="AG335">
        <v>94.4</v>
      </c>
      <c r="AH335">
        <v>2</v>
      </c>
      <c r="AI335">
        <v>16750856</v>
      </c>
      <c r="AJ335">
        <v>353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</row>
    <row r="336" spans="1:44" x14ac:dyDescent="0.2">
      <c r="A336">
        <f>ROW(Source!A292)</f>
        <v>292</v>
      </c>
      <c r="B336">
        <v>16750864</v>
      </c>
      <c r="C336">
        <v>16750855</v>
      </c>
      <c r="D336">
        <v>15430395</v>
      </c>
      <c r="E336">
        <v>1</v>
      </c>
      <c r="F336">
        <v>1</v>
      </c>
      <c r="G336">
        <v>1</v>
      </c>
      <c r="H336">
        <v>1</v>
      </c>
      <c r="I336" t="s">
        <v>1073</v>
      </c>
      <c r="J336" t="s">
        <v>6</v>
      </c>
      <c r="K336" t="s">
        <v>1074</v>
      </c>
      <c r="L336">
        <v>1191</v>
      </c>
      <c r="N336">
        <v>1013</v>
      </c>
      <c r="O336" t="s">
        <v>1072</v>
      </c>
      <c r="P336" t="s">
        <v>1072</v>
      </c>
      <c r="Q336">
        <v>1</v>
      </c>
      <c r="X336">
        <v>0.4</v>
      </c>
      <c r="Y336">
        <v>0</v>
      </c>
      <c r="Z336">
        <v>0</v>
      </c>
      <c r="AA336">
        <v>0</v>
      </c>
      <c r="AB336">
        <v>0</v>
      </c>
      <c r="AC336">
        <v>0</v>
      </c>
      <c r="AD336">
        <v>1</v>
      </c>
      <c r="AE336">
        <v>2</v>
      </c>
      <c r="AF336" t="s">
        <v>6</v>
      </c>
      <c r="AG336">
        <v>0.4</v>
      </c>
      <c r="AH336">
        <v>2</v>
      </c>
      <c r="AI336">
        <v>16750857</v>
      </c>
      <c r="AJ336">
        <v>354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</row>
    <row r="337" spans="1:44" x14ac:dyDescent="0.2">
      <c r="A337">
        <f>ROW(Source!A292)</f>
        <v>292</v>
      </c>
      <c r="B337">
        <v>16750865</v>
      </c>
      <c r="C337">
        <v>16750855</v>
      </c>
      <c r="D337">
        <v>15247680</v>
      </c>
      <c r="E337">
        <v>1</v>
      </c>
      <c r="F337">
        <v>1</v>
      </c>
      <c r="G337">
        <v>1</v>
      </c>
      <c r="H337">
        <v>2</v>
      </c>
      <c r="I337" t="s">
        <v>1211</v>
      </c>
      <c r="J337" t="s">
        <v>1212</v>
      </c>
      <c r="K337" t="s">
        <v>1213</v>
      </c>
      <c r="L337">
        <v>1368</v>
      </c>
      <c r="N337">
        <v>1011</v>
      </c>
      <c r="O337" t="s">
        <v>1078</v>
      </c>
      <c r="P337" t="s">
        <v>1078</v>
      </c>
      <c r="Q337">
        <v>1</v>
      </c>
      <c r="X337">
        <v>0.2</v>
      </c>
      <c r="Y337">
        <v>0</v>
      </c>
      <c r="Z337">
        <v>111.99</v>
      </c>
      <c r="AA337">
        <v>13.5</v>
      </c>
      <c r="AB337">
        <v>0</v>
      </c>
      <c r="AC337">
        <v>0</v>
      </c>
      <c r="AD337">
        <v>1</v>
      </c>
      <c r="AE337">
        <v>0</v>
      </c>
      <c r="AF337" t="s">
        <v>6</v>
      </c>
      <c r="AG337">
        <v>0.2</v>
      </c>
      <c r="AH337">
        <v>2</v>
      </c>
      <c r="AI337">
        <v>16750858</v>
      </c>
      <c r="AJ337">
        <v>355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</row>
    <row r="338" spans="1:44" x14ac:dyDescent="0.2">
      <c r="A338">
        <f>ROW(Source!A292)</f>
        <v>292</v>
      </c>
      <c r="B338">
        <v>16750866</v>
      </c>
      <c r="C338">
        <v>16750855</v>
      </c>
      <c r="D338">
        <v>15249073</v>
      </c>
      <c r="E338">
        <v>1</v>
      </c>
      <c r="F338">
        <v>1</v>
      </c>
      <c r="G338">
        <v>1</v>
      </c>
      <c r="H338">
        <v>2</v>
      </c>
      <c r="I338" t="s">
        <v>1097</v>
      </c>
      <c r="J338" t="s">
        <v>1098</v>
      </c>
      <c r="K338" t="s">
        <v>1099</v>
      </c>
      <c r="L338">
        <v>1368</v>
      </c>
      <c r="N338">
        <v>1011</v>
      </c>
      <c r="O338" t="s">
        <v>1078</v>
      </c>
      <c r="P338" t="s">
        <v>1078</v>
      </c>
      <c r="Q338">
        <v>1</v>
      </c>
      <c r="X338">
        <v>0.2</v>
      </c>
      <c r="Y338">
        <v>0</v>
      </c>
      <c r="Z338">
        <v>65.709999999999994</v>
      </c>
      <c r="AA338">
        <v>11.6</v>
      </c>
      <c r="AB338">
        <v>0</v>
      </c>
      <c r="AC338">
        <v>0</v>
      </c>
      <c r="AD338">
        <v>1</v>
      </c>
      <c r="AE338">
        <v>0</v>
      </c>
      <c r="AF338" t="s">
        <v>6</v>
      </c>
      <c r="AG338">
        <v>0.2</v>
      </c>
      <c r="AH338">
        <v>2</v>
      </c>
      <c r="AI338">
        <v>16750859</v>
      </c>
      <c r="AJ338">
        <v>356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</row>
    <row r="339" spans="1:44" x14ac:dyDescent="0.2">
      <c r="A339">
        <f>ROW(Source!A292)</f>
        <v>292</v>
      </c>
      <c r="B339">
        <v>16750867</v>
      </c>
      <c r="C339">
        <v>16750855</v>
      </c>
      <c r="D339">
        <v>15221296</v>
      </c>
      <c r="E339">
        <v>1</v>
      </c>
      <c r="F339">
        <v>1</v>
      </c>
      <c r="G339">
        <v>1</v>
      </c>
      <c r="H339">
        <v>3</v>
      </c>
      <c r="I339" t="s">
        <v>1396</v>
      </c>
      <c r="J339" t="s">
        <v>1397</v>
      </c>
      <c r="K339" t="s">
        <v>1398</v>
      </c>
      <c r="L339">
        <v>1355</v>
      </c>
      <c r="N339">
        <v>1010</v>
      </c>
      <c r="O339" t="s">
        <v>724</v>
      </c>
      <c r="P339" t="s">
        <v>724</v>
      </c>
      <c r="Q339">
        <v>100</v>
      </c>
      <c r="X339">
        <v>1.02</v>
      </c>
      <c r="Y339">
        <v>100</v>
      </c>
      <c r="Z339">
        <v>0</v>
      </c>
      <c r="AA339">
        <v>0</v>
      </c>
      <c r="AB339">
        <v>0</v>
      </c>
      <c r="AC339">
        <v>0</v>
      </c>
      <c r="AD339">
        <v>1</v>
      </c>
      <c r="AE339">
        <v>0</v>
      </c>
      <c r="AF339" t="s">
        <v>6</v>
      </c>
      <c r="AG339">
        <v>1.02</v>
      </c>
      <c r="AH339">
        <v>2</v>
      </c>
      <c r="AI339">
        <v>16750860</v>
      </c>
      <c r="AJ339">
        <v>358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</row>
    <row r="340" spans="1:44" x14ac:dyDescent="0.2">
      <c r="A340">
        <f>ROW(Source!A292)</f>
        <v>292</v>
      </c>
      <c r="B340">
        <v>16750868</v>
      </c>
      <c r="C340">
        <v>16750855</v>
      </c>
      <c r="D340">
        <v>15164559</v>
      </c>
      <c r="E340">
        <v>17</v>
      </c>
      <c r="F340">
        <v>1</v>
      </c>
      <c r="G340">
        <v>1</v>
      </c>
      <c r="H340">
        <v>3</v>
      </c>
      <c r="I340" t="s">
        <v>1383</v>
      </c>
      <c r="J340" t="s">
        <v>6</v>
      </c>
      <c r="K340" t="s">
        <v>1384</v>
      </c>
      <c r="L340">
        <v>1374</v>
      </c>
      <c r="N340">
        <v>1013</v>
      </c>
      <c r="O340" t="s">
        <v>1385</v>
      </c>
      <c r="P340" t="s">
        <v>1385</v>
      </c>
      <c r="Q340">
        <v>1</v>
      </c>
      <c r="X340">
        <v>18.73</v>
      </c>
      <c r="Y340">
        <v>1</v>
      </c>
      <c r="Z340">
        <v>0</v>
      </c>
      <c r="AA340">
        <v>0</v>
      </c>
      <c r="AB340">
        <v>0</v>
      </c>
      <c r="AC340">
        <v>0</v>
      </c>
      <c r="AD340">
        <v>1</v>
      </c>
      <c r="AE340">
        <v>0</v>
      </c>
      <c r="AF340" t="s">
        <v>6</v>
      </c>
      <c r="AG340">
        <v>18.73</v>
      </c>
      <c r="AH340">
        <v>2</v>
      </c>
      <c r="AI340">
        <v>16750861</v>
      </c>
      <c r="AJ340">
        <v>359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</row>
    <row r="341" spans="1:44" x14ac:dyDescent="0.2">
      <c r="A341">
        <f>ROW(Source!A294)</f>
        <v>294</v>
      </c>
      <c r="B341">
        <v>16750880</v>
      </c>
      <c r="C341">
        <v>16750870</v>
      </c>
      <c r="D341">
        <v>15446300</v>
      </c>
      <c r="E341">
        <v>1</v>
      </c>
      <c r="F341">
        <v>1</v>
      </c>
      <c r="G341">
        <v>1</v>
      </c>
      <c r="H341">
        <v>1</v>
      </c>
      <c r="I341" t="s">
        <v>1095</v>
      </c>
      <c r="J341" t="s">
        <v>6</v>
      </c>
      <c r="K341" t="s">
        <v>1096</v>
      </c>
      <c r="L341">
        <v>1191</v>
      </c>
      <c r="N341">
        <v>1013</v>
      </c>
      <c r="O341" t="s">
        <v>1072</v>
      </c>
      <c r="P341" t="s">
        <v>1072</v>
      </c>
      <c r="Q341">
        <v>1</v>
      </c>
      <c r="X341">
        <v>35.130000000000003</v>
      </c>
      <c r="Y341">
        <v>0</v>
      </c>
      <c r="Z341">
        <v>0</v>
      </c>
      <c r="AA341">
        <v>0</v>
      </c>
      <c r="AB341">
        <v>9.92</v>
      </c>
      <c r="AC341">
        <v>0</v>
      </c>
      <c r="AD341">
        <v>1</v>
      </c>
      <c r="AE341">
        <v>1</v>
      </c>
      <c r="AF341" t="s">
        <v>6</v>
      </c>
      <c r="AG341">
        <v>35.130000000000003</v>
      </c>
      <c r="AH341">
        <v>2</v>
      </c>
      <c r="AI341">
        <v>16750871</v>
      </c>
      <c r="AJ341">
        <v>360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</row>
    <row r="342" spans="1:44" x14ac:dyDescent="0.2">
      <c r="A342">
        <f>ROW(Source!A294)</f>
        <v>294</v>
      </c>
      <c r="B342">
        <v>16750881</v>
      </c>
      <c r="C342">
        <v>16750870</v>
      </c>
      <c r="D342">
        <v>15430395</v>
      </c>
      <c r="E342">
        <v>1</v>
      </c>
      <c r="F342">
        <v>1</v>
      </c>
      <c r="G342">
        <v>1</v>
      </c>
      <c r="H342">
        <v>1</v>
      </c>
      <c r="I342" t="s">
        <v>1073</v>
      </c>
      <c r="J342" t="s">
        <v>6</v>
      </c>
      <c r="K342" t="s">
        <v>1074</v>
      </c>
      <c r="L342">
        <v>1191</v>
      </c>
      <c r="N342">
        <v>1013</v>
      </c>
      <c r="O342" t="s">
        <v>1072</v>
      </c>
      <c r="P342" t="s">
        <v>1072</v>
      </c>
      <c r="Q342">
        <v>1</v>
      </c>
      <c r="X342">
        <v>0.05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1</v>
      </c>
      <c r="AE342">
        <v>2</v>
      </c>
      <c r="AF342" t="s">
        <v>6</v>
      </c>
      <c r="AG342">
        <v>0.05</v>
      </c>
      <c r="AH342">
        <v>2</v>
      </c>
      <c r="AI342">
        <v>16750872</v>
      </c>
      <c r="AJ342">
        <v>361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</row>
    <row r="343" spans="1:44" x14ac:dyDescent="0.2">
      <c r="A343">
        <f>ROW(Source!A294)</f>
        <v>294</v>
      </c>
      <c r="B343">
        <v>16750882</v>
      </c>
      <c r="C343">
        <v>16750870</v>
      </c>
      <c r="D343">
        <v>15247680</v>
      </c>
      <c r="E343">
        <v>1</v>
      </c>
      <c r="F343">
        <v>1</v>
      </c>
      <c r="G343">
        <v>1</v>
      </c>
      <c r="H343">
        <v>2</v>
      </c>
      <c r="I343" t="s">
        <v>1211</v>
      </c>
      <c r="J343" t="s">
        <v>1212</v>
      </c>
      <c r="K343" t="s">
        <v>1213</v>
      </c>
      <c r="L343">
        <v>1368</v>
      </c>
      <c r="N343">
        <v>1011</v>
      </c>
      <c r="O343" t="s">
        <v>1078</v>
      </c>
      <c r="P343" t="s">
        <v>1078</v>
      </c>
      <c r="Q343">
        <v>1</v>
      </c>
      <c r="X343">
        <v>0.03</v>
      </c>
      <c r="Y343">
        <v>0</v>
      </c>
      <c r="Z343">
        <v>111.99</v>
      </c>
      <c r="AA343">
        <v>13.5</v>
      </c>
      <c r="AB343">
        <v>0</v>
      </c>
      <c r="AC343">
        <v>0</v>
      </c>
      <c r="AD343">
        <v>1</v>
      </c>
      <c r="AE343">
        <v>0</v>
      </c>
      <c r="AF343" t="s">
        <v>6</v>
      </c>
      <c r="AG343">
        <v>0.03</v>
      </c>
      <c r="AH343">
        <v>2</v>
      </c>
      <c r="AI343">
        <v>16750873</v>
      </c>
      <c r="AJ343">
        <v>362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</row>
    <row r="344" spans="1:44" x14ac:dyDescent="0.2">
      <c r="A344">
        <f>ROW(Source!A294)</f>
        <v>294</v>
      </c>
      <c r="B344">
        <v>16750883</v>
      </c>
      <c r="C344">
        <v>16750870</v>
      </c>
      <c r="D344">
        <v>15249073</v>
      </c>
      <c r="E344">
        <v>1</v>
      </c>
      <c r="F344">
        <v>1</v>
      </c>
      <c r="G344">
        <v>1</v>
      </c>
      <c r="H344">
        <v>2</v>
      </c>
      <c r="I344" t="s">
        <v>1097</v>
      </c>
      <c r="J344" t="s">
        <v>1098</v>
      </c>
      <c r="K344" t="s">
        <v>1099</v>
      </c>
      <c r="L344">
        <v>1368</v>
      </c>
      <c r="N344">
        <v>1011</v>
      </c>
      <c r="O344" t="s">
        <v>1078</v>
      </c>
      <c r="P344" t="s">
        <v>1078</v>
      </c>
      <c r="Q344">
        <v>1</v>
      </c>
      <c r="X344">
        <v>0.02</v>
      </c>
      <c r="Y344">
        <v>0</v>
      </c>
      <c r="Z344">
        <v>65.709999999999994</v>
      </c>
      <c r="AA344">
        <v>11.6</v>
      </c>
      <c r="AB344">
        <v>0</v>
      </c>
      <c r="AC344">
        <v>0</v>
      </c>
      <c r="AD344">
        <v>1</v>
      </c>
      <c r="AE344">
        <v>0</v>
      </c>
      <c r="AF344" t="s">
        <v>6</v>
      </c>
      <c r="AG344">
        <v>0.02</v>
      </c>
      <c r="AH344">
        <v>2</v>
      </c>
      <c r="AI344">
        <v>16750874</v>
      </c>
      <c r="AJ344">
        <v>363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</row>
    <row r="345" spans="1:44" x14ac:dyDescent="0.2">
      <c r="A345">
        <f>ROW(Source!A294)</f>
        <v>294</v>
      </c>
      <c r="B345">
        <v>16750884</v>
      </c>
      <c r="C345">
        <v>16750870</v>
      </c>
      <c r="D345">
        <v>15170074</v>
      </c>
      <c r="E345">
        <v>1</v>
      </c>
      <c r="F345">
        <v>1</v>
      </c>
      <c r="G345">
        <v>1</v>
      </c>
      <c r="H345">
        <v>3</v>
      </c>
      <c r="I345" t="s">
        <v>1399</v>
      </c>
      <c r="J345" t="s">
        <v>1400</v>
      </c>
      <c r="K345" t="s">
        <v>1401</v>
      </c>
      <c r="L345">
        <v>1355</v>
      </c>
      <c r="N345">
        <v>1010</v>
      </c>
      <c r="O345" t="s">
        <v>724</v>
      </c>
      <c r="P345" t="s">
        <v>724</v>
      </c>
      <c r="Q345">
        <v>100</v>
      </c>
      <c r="X345">
        <v>1.02</v>
      </c>
      <c r="Y345">
        <v>86</v>
      </c>
      <c r="Z345">
        <v>0</v>
      </c>
      <c r="AA345">
        <v>0</v>
      </c>
      <c r="AB345">
        <v>0</v>
      </c>
      <c r="AC345">
        <v>0</v>
      </c>
      <c r="AD345">
        <v>1</v>
      </c>
      <c r="AE345">
        <v>0</v>
      </c>
      <c r="AF345" t="s">
        <v>6</v>
      </c>
      <c r="AG345">
        <v>1.02</v>
      </c>
      <c r="AH345">
        <v>2</v>
      </c>
      <c r="AI345">
        <v>16750875</v>
      </c>
      <c r="AJ345">
        <v>364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</row>
    <row r="346" spans="1:44" x14ac:dyDescent="0.2">
      <c r="A346">
        <f>ROW(Source!A294)</f>
        <v>294</v>
      </c>
      <c r="B346">
        <v>16750885</v>
      </c>
      <c r="C346">
        <v>16750870</v>
      </c>
      <c r="D346">
        <v>15170434</v>
      </c>
      <c r="E346">
        <v>1</v>
      </c>
      <c r="F346">
        <v>1</v>
      </c>
      <c r="G346">
        <v>1</v>
      </c>
      <c r="H346">
        <v>3</v>
      </c>
      <c r="I346" t="s">
        <v>1402</v>
      </c>
      <c r="J346" t="s">
        <v>1403</v>
      </c>
      <c r="K346" t="s">
        <v>1404</v>
      </c>
      <c r="L346">
        <v>1348</v>
      </c>
      <c r="N346">
        <v>1009</v>
      </c>
      <c r="O346" t="s">
        <v>71</v>
      </c>
      <c r="P346" t="s">
        <v>71</v>
      </c>
      <c r="Q346">
        <v>1000</v>
      </c>
      <c r="X346">
        <v>1.6000000000000001E-4</v>
      </c>
      <c r="Y346">
        <v>29800</v>
      </c>
      <c r="Z346">
        <v>0</v>
      </c>
      <c r="AA346">
        <v>0</v>
      </c>
      <c r="AB346">
        <v>0</v>
      </c>
      <c r="AC346">
        <v>0</v>
      </c>
      <c r="AD346">
        <v>1</v>
      </c>
      <c r="AE346">
        <v>0</v>
      </c>
      <c r="AF346" t="s">
        <v>6</v>
      </c>
      <c r="AG346">
        <v>1.6000000000000001E-4</v>
      </c>
      <c r="AH346">
        <v>2</v>
      </c>
      <c r="AI346">
        <v>16750876</v>
      </c>
      <c r="AJ346">
        <v>365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</row>
    <row r="347" spans="1:44" x14ac:dyDescent="0.2">
      <c r="A347">
        <f>ROW(Source!A294)</f>
        <v>294</v>
      </c>
      <c r="B347">
        <v>16750886</v>
      </c>
      <c r="C347">
        <v>16750870</v>
      </c>
      <c r="D347">
        <v>15170438</v>
      </c>
      <c r="E347">
        <v>1</v>
      </c>
      <c r="F347">
        <v>1</v>
      </c>
      <c r="G347">
        <v>1</v>
      </c>
      <c r="H347">
        <v>3</v>
      </c>
      <c r="I347" t="s">
        <v>1380</v>
      </c>
      <c r="J347" t="s">
        <v>1381</v>
      </c>
      <c r="K347" t="s">
        <v>1382</v>
      </c>
      <c r="L347">
        <v>1348</v>
      </c>
      <c r="N347">
        <v>1009</v>
      </c>
      <c r="O347" t="s">
        <v>71</v>
      </c>
      <c r="P347" t="s">
        <v>71</v>
      </c>
      <c r="Q347">
        <v>1000</v>
      </c>
      <c r="X347">
        <v>2.9999999999999997E-4</v>
      </c>
      <c r="Y347">
        <v>12430</v>
      </c>
      <c r="Z347">
        <v>0</v>
      </c>
      <c r="AA347">
        <v>0</v>
      </c>
      <c r="AB347">
        <v>0</v>
      </c>
      <c r="AC347">
        <v>0</v>
      </c>
      <c r="AD347">
        <v>1</v>
      </c>
      <c r="AE347">
        <v>0</v>
      </c>
      <c r="AF347" t="s">
        <v>6</v>
      </c>
      <c r="AG347">
        <v>2.9999999999999997E-4</v>
      </c>
      <c r="AH347">
        <v>2</v>
      </c>
      <c r="AI347">
        <v>16750877</v>
      </c>
      <c r="AJ347">
        <v>366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</row>
    <row r="348" spans="1:44" x14ac:dyDescent="0.2">
      <c r="A348">
        <f>ROW(Source!A294)</f>
        <v>294</v>
      </c>
      <c r="B348">
        <v>16750887</v>
      </c>
      <c r="C348">
        <v>16750870</v>
      </c>
      <c r="D348">
        <v>15164559</v>
      </c>
      <c r="E348">
        <v>17</v>
      </c>
      <c r="F348">
        <v>1</v>
      </c>
      <c r="G348">
        <v>1</v>
      </c>
      <c r="H348">
        <v>3</v>
      </c>
      <c r="I348" t="s">
        <v>1383</v>
      </c>
      <c r="J348" t="s">
        <v>6</v>
      </c>
      <c r="K348" t="s">
        <v>1384</v>
      </c>
      <c r="L348">
        <v>1374</v>
      </c>
      <c r="N348">
        <v>1013</v>
      </c>
      <c r="O348" t="s">
        <v>1385</v>
      </c>
      <c r="P348" t="s">
        <v>1385</v>
      </c>
      <c r="Q348">
        <v>1</v>
      </c>
      <c r="X348">
        <v>6.97</v>
      </c>
      <c r="Y348">
        <v>1</v>
      </c>
      <c r="Z348">
        <v>0</v>
      </c>
      <c r="AA348">
        <v>0</v>
      </c>
      <c r="AB348">
        <v>0</v>
      </c>
      <c r="AC348">
        <v>0</v>
      </c>
      <c r="AD348">
        <v>1</v>
      </c>
      <c r="AE348">
        <v>0</v>
      </c>
      <c r="AF348" t="s">
        <v>6</v>
      </c>
      <c r="AG348">
        <v>6.97</v>
      </c>
      <c r="AH348">
        <v>2</v>
      </c>
      <c r="AI348">
        <v>16750878</v>
      </c>
      <c r="AJ348">
        <v>368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</row>
    <row r="349" spans="1:44" x14ac:dyDescent="0.2">
      <c r="A349">
        <f>ROW(Source!A296)</f>
        <v>296</v>
      </c>
      <c r="B349">
        <v>16750900</v>
      </c>
      <c r="C349">
        <v>16750889</v>
      </c>
      <c r="D349">
        <v>15446300</v>
      </c>
      <c r="E349">
        <v>1</v>
      </c>
      <c r="F349">
        <v>1</v>
      </c>
      <c r="G349">
        <v>1</v>
      </c>
      <c r="H349">
        <v>1</v>
      </c>
      <c r="I349" t="s">
        <v>1095</v>
      </c>
      <c r="J349" t="s">
        <v>6</v>
      </c>
      <c r="K349" t="s">
        <v>1096</v>
      </c>
      <c r="L349">
        <v>1191</v>
      </c>
      <c r="N349">
        <v>1013</v>
      </c>
      <c r="O349" t="s">
        <v>1072</v>
      </c>
      <c r="P349" t="s">
        <v>1072</v>
      </c>
      <c r="Q349">
        <v>1</v>
      </c>
      <c r="X349">
        <v>31.6</v>
      </c>
      <c r="Y349">
        <v>0</v>
      </c>
      <c r="Z349">
        <v>0</v>
      </c>
      <c r="AA349">
        <v>0</v>
      </c>
      <c r="AB349">
        <v>9.92</v>
      </c>
      <c r="AC349">
        <v>0</v>
      </c>
      <c r="AD349">
        <v>1</v>
      </c>
      <c r="AE349">
        <v>1</v>
      </c>
      <c r="AF349" t="s">
        <v>6</v>
      </c>
      <c r="AG349">
        <v>31.6</v>
      </c>
      <c r="AH349">
        <v>2</v>
      </c>
      <c r="AI349">
        <v>16750890</v>
      </c>
      <c r="AJ349">
        <v>369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</row>
    <row r="350" spans="1:44" x14ac:dyDescent="0.2">
      <c r="A350">
        <f>ROW(Source!A296)</f>
        <v>296</v>
      </c>
      <c r="B350">
        <v>16750901</v>
      </c>
      <c r="C350">
        <v>16750889</v>
      </c>
      <c r="D350">
        <v>15430395</v>
      </c>
      <c r="E350">
        <v>1</v>
      </c>
      <c r="F350">
        <v>1</v>
      </c>
      <c r="G350">
        <v>1</v>
      </c>
      <c r="H350">
        <v>1</v>
      </c>
      <c r="I350" t="s">
        <v>1073</v>
      </c>
      <c r="J350" t="s">
        <v>6</v>
      </c>
      <c r="K350" t="s">
        <v>1074</v>
      </c>
      <c r="L350">
        <v>1191</v>
      </c>
      <c r="N350">
        <v>1013</v>
      </c>
      <c r="O350" t="s">
        <v>1072</v>
      </c>
      <c r="P350" t="s">
        <v>1072</v>
      </c>
      <c r="Q350">
        <v>1</v>
      </c>
      <c r="X350">
        <v>0.05</v>
      </c>
      <c r="Y350">
        <v>0</v>
      </c>
      <c r="Z350">
        <v>0</v>
      </c>
      <c r="AA350">
        <v>0</v>
      </c>
      <c r="AB350">
        <v>0</v>
      </c>
      <c r="AC350">
        <v>0</v>
      </c>
      <c r="AD350">
        <v>1</v>
      </c>
      <c r="AE350">
        <v>2</v>
      </c>
      <c r="AF350" t="s">
        <v>6</v>
      </c>
      <c r="AG350">
        <v>0.05</v>
      </c>
      <c r="AH350">
        <v>2</v>
      </c>
      <c r="AI350">
        <v>16750891</v>
      </c>
      <c r="AJ350">
        <v>370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</row>
    <row r="351" spans="1:44" x14ac:dyDescent="0.2">
      <c r="A351">
        <f>ROW(Source!A296)</f>
        <v>296</v>
      </c>
      <c r="B351">
        <v>16750902</v>
      </c>
      <c r="C351">
        <v>16750889</v>
      </c>
      <c r="D351">
        <v>15247680</v>
      </c>
      <c r="E351">
        <v>1</v>
      </c>
      <c r="F351">
        <v>1</v>
      </c>
      <c r="G351">
        <v>1</v>
      </c>
      <c r="H351">
        <v>2</v>
      </c>
      <c r="I351" t="s">
        <v>1211</v>
      </c>
      <c r="J351" t="s">
        <v>1212</v>
      </c>
      <c r="K351" t="s">
        <v>1213</v>
      </c>
      <c r="L351">
        <v>1368</v>
      </c>
      <c r="N351">
        <v>1011</v>
      </c>
      <c r="O351" t="s">
        <v>1078</v>
      </c>
      <c r="P351" t="s">
        <v>1078</v>
      </c>
      <c r="Q351">
        <v>1</v>
      </c>
      <c r="X351">
        <v>0.03</v>
      </c>
      <c r="Y351">
        <v>0</v>
      </c>
      <c r="Z351">
        <v>111.99</v>
      </c>
      <c r="AA351">
        <v>13.5</v>
      </c>
      <c r="AB351">
        <v>0</v>
      </c>
      <c r="AC351">
        <v>0</v>
      </c>
      <c r="AD351">
        <v>1</v>
      </c>
      <c r="AE351">
        <v>0</v>
      </c>
      <c r="AF351" t="s">
        <v>6</v>
      </c>
      <c r="AG351">
        <v>0.03</v>
      </c>
      <c r="AH351">
        <v>2</v>
      </c>
      <c r="AI351">
        <v>16750892</v>
      </c>
      <c r="AJ351">
        <v>371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</row>
    <row r="352" spans="1:44" x14ac:dyDescent="0.2">
      <c r="A352">
        <f>ROW(Source!A296)</f>
        <v>296</v>
      </c>
      <c r="B352">
        <v>16750903</v>
      </c>
      <c r="C352">
        <v>16750889</v>
      </c>
      <c r="D352">
        <v>15249073</v>
      </c>
      <c r="E352">
        <v>1</v>
      </c>
      <c r="F352">
        <v>1</v>
      </c>
      <c r="G352">
        <v>1</v>
      </c>
      <c r="H352">
        <v>2</v>
      </c>
      <c r="I352" t="s">
        <v>1097</v>
      </c>
      <c r="J352" t="s">
        <v>1098</v>
      </c>
      <c r="K352" t="s">
        <v>1099</v>
      </c>
      <c r="L352">
        <v>1368</v>
      </c>
      <c r="N352">
        <v>1011</v>
      </c>
      <c r="O352" t="s">
        <v>1078</v>
      </c>
      <c r="P352" t="s">
        <v>1078</v>
      </c>
      <c r="Q352">
        <v>1</v>
      </c>
      <c r="X352">
        <v>0.02</v>
      </c>
      <c r="Y352">
        <v>0</v>
      </c>
      <c r="Z352">
        <v>65.709999999999994</v>
      </c>
      <c r="AA352">
        <v>11.6</v>
      </c>
      <c r="AB352">
        <v>0</v>
      </c>
      <c r="AC352">
        <v>0</v>
      </c>
      <c r="AD352">
        <v>1</v>
      </c>
      <c r="AE352">
        <v>0</v>
      </c>
      <c r="AF352" t="s">
        <v>6</v>
      </c>
      <c r="AG352">
        <v>0.02</v>
      </c>
      <c r="AH352">
        <v>2</v>
      </c>
      <c r="AI352">
        <v>16750893</v>
      </c>
      <c r="AJ352">
        <v>372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</row>
    <row r="353" spans="1:44" x14ac:dyDescent="0.2">
      <c r="A353">
        <f>ROW(Source!A296)</f>
        <v>296</v>
      </c>
      <c r="B353">
        <v>16750904</v>
      </c>
      <c r="C353">
        <v>16750889</v>
      </c>
      <c r="D353">
        <v>15167588</v>
      </c>
      <c r="E353">
        <v>1</v>
      </c>
      <c r="F353">
        <v>1</v>
      </c>
      <c r="G353">
        <v>1</v>
      </c>
      <c r="H353">
        <v>3</v>
      </c>
      <c r="I353" t="s">
        <v>1388</v>
      </c>
      <c r="J353" t="s">
        <v>1389</v>
      </c>
      <c r="K353" t="s">
        <v>1390</v>
      </c>
      <c r="L353">
        <v>1346</v>
      </c>
      <c r="N353">
        <v>1009</v>
      </c>
      <c r="O353" t="s">
        <v>323</v>
      </c>
      <c r="P353" t="s">
        <v>323</v>
      </c>
      <c r="Q353">
        <v>1</v>
      </c>
      <c r="X353">
        <v>0.11</v>
      </c>
      <c r="Y353">
        <v>30.4</v>
      </c>
      <c r="Z353">
        <v>0</v>
      </c>
      <c r="AA353">
        <v>0</v>
      </c>
      <c r="AB353">
        <v>0</v>
      </c>
      <c r="AC353">
        <v>0</v>
      </c>
      <c r="AD353">
        <v>1</v>
      </c>
      <c r="AE353">
        <v>0</v>
      </c>
      <c r="AF353" t="s">
        <v>6</v>
      </c>
      <c r="AG353">
        <v>0.11</v>
      </c>
      <c r="AH353">
        <v>2</v>
      </c>
      <c r="AI353">
        <v>16750894</v>
      </c>
      <c r="AJ353">
        <v>373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</row>
    <row r="354" spans="1:44" x14ac:dyDescent="0.2">
      <c r="A354">
        <f>ROW(Source!A296)</f>
        <v>296</v>
      </c>
      <c r="B354">
        <v>16750905</v>
      </c>
      <c r="C354">
        <v>16750889</v>
      </c>
      <c r="D354">
        <v>15170074</v>
      </c>
      <c r="E354">
        <v>1</v>
      </c>
      <c r="F354">
        <v>1</v>
      </c>
      <c r="G354">
        <v>1</v>
      </c>
      <c r="H354">
        <v>3</v>
      </c>
      <c r="I354" t="s">
        <v>1399</v>
      </c>
      <c r="J354" t="s">
        <v>1400</v>
      </c>
      <c r="K354" t="s">
        <v>1401</v>
      </c>
      <c r="L354">
        <v>1355</v>
      </c>
      <c r="N354">
        <v>1010</v>
      </c>
      <c r="O354" t="s">
        <v>724</v>
      </c>
      <c r="P354" t="s">
        <v>724</v>
      </c>
      <c r="Q354">
        <v>100</v>
      </c>
      <c r="X354">
        <v>1.02</v>
      </c>
      <c r="Y354">
        <v>86</v>
      </c>
      <c r="Z354">
        <v>0</v>
      </c>
      <c r="AA354">
        <v>0</v>
      </c>
      <c r="AB354">
        <v>0</v>
      </c>
      <c r="AC354">
        <v>0</v>
      </c>
      <c r="AD354">
        <v>1</v>
      </c>
      <c r="AE354">
        <v>0</v>
      </c>
      <c r="AF354" t="s">
        <v>6</v>
      </c>
      <c r="AG354">
        <v>1.02</v>
      </c>
      <c r="AH354">
        <v>2</v>
      </c>
      <c r="AI354">
        <v>16750895</v>
      </c>
      <c r="AJ354">
        <v>374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</row>
    <row r="355" spans="1:44" x14ac:dyDescent="0.2">
      <c r="A355">
        <f>ROW(Source!A296)</f>
        <v>296</v>
      </c>
      <c r="B355">
        <v>16750906</v>
      </c>
      <c r="C355">
        <v>16750889</v>
      </c>
      <c r="D355">
        <v>15170434</v>
      </c>
      <c r="E355">
        <v>1</v>
      </c>
      <c r="F355">
        <v>1</v>
      </c>
      <c r="G355">
        <v>1</v>
      </c>
      <c r="H355">
        <v>3</v>
      </c>
      <c r="I355" t="s">
        <v>1402</v>
      </c>
      <c r="J355" t="s">
        <v>1403</v>
      </c>
      <c r="K355" t="s">
        <v>1404</v>
      </c>
      <c r="L355">
        <v>1348</v>
      </c>
      <c r="N355">
        <v>1009</v>
      </c>
      <c r="O355" t="s">
        <v>71</v>
      </c>
      <c r="P355" t="s">
        <v>71</v>
      </c>
      <c r="Q355">
        <v>1000</v>
      </c>
      <c r="X355">
        <v>1.6000000000000001E-4</v>
      </c>
      <c r="Y355">
        <v>29800</v>
      </c>
      <c r="Z355">
        <v>0</v>
      </c>
      <c r="AA355">
        <v>0</v>
      </c>
      <c r="AB355">
        <v>0</v>
      </c>
      <c r="AC355">
        <v>0</v>
      </c>
      <c r="AD355">
        <v>1</v>
      </c>
      <c r="AE355">
        <v>0</v>
      </c>
      <c r="AF355" t="s">
        <v>6</v>
      </c>
      <c r="AG355">
        <v>1.6000000000000001E-4</v>
      </c>
      <c r="AH355">
        <v>2</v>
      </c>
      <c r="AI355">
        <v>16750896</v>
      </c>
      <c r="AJ355">
        <v>375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</row>
    <row r="356" spans="1:44" x14ac:dyDescent="0.2">
      <c r="A356">
        <f>ROW(Source!A296)</f>
        <v>296</v>
      </c>
      <c r="B356">
        <v>16750907</v>
      </c>
      <c r="C356">
        <v>16750889</v>
      </c>
      <c r="D356">
        <v>15170438</v>
      </c>
      <c r="E356">
        <v>1</v>
      </c>
      <c r="F356">
        <v>1</v>
      </c>
      <c r="G356">
        <v>1</v>
      </c>
      <c r="H356">
        <v>3</v>
      </c>
      <c r="I356" t="s">
        <v>1380</v>
      </c>
      <c r="J356" t="s">
        <v>1381</v>
      </c>
      <c r="K356" t="s">
        <v>1382</v>
      </c>
      <c r="L356">
        <v>1348</v>
      </c>
      <c r="N356">
        <v>1009</v>
      </c>
      <c r="O356" t="s">
        <v>71</v>
      </c>
      <c r="P356" t="s">
        <v>71</v>
      </c>
      <c r="Q356">
        <v>1000</v>
      </c>
      <c r="X356">
        <v>2.9999999999999997E-4</v>
      </c>
      <c r="Y356">
        <v>12430</v>
      </c>
      <c r="Z356">
        <v>0</v>
      </c>
      <c r="AA356">
        <v>0</v>
      </c>
      <c r="AB356">
        <v>0</v>
      </c>
      <c r="AC356">
        <v>0</v>
      </c>
      <c r="AD356">
        <v>1</v>
      </c>
      <c r="AE356">
        <v>0</v>
      </c>
      <c r="AF356" t="s">
        <v>6</v>
      </c>
      <c r="AG356">
        <v>2.9999999999999997E-4</v>
      </c>
      <c r="AH356">
        <v>2</v>
      </c>
      <c r="AI356">
        <v>16750897</v>
      </c>
      <c r="AJ356">
        <v>376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</row>
    <row r="357" spans="1:44" x14ac:dyDescent="0.2">
      <c r="A357">
        <f>ROW(Source!A296)</f>
        <v>296</v>
      </c>
      <c r="B357">
        <v>16750908</v>
      </c>
      <c r="C357">
        <v>16750889</v>
      </c>
      <c r="D357">
        <v>15164559</v>
      </c>
      <c r="E357">
        <v>17</v>
      </c>
      <c r="F357">
        <v>1</v>
      </c>
      <c r="G357">
        <v>1</v>
      </c>
      <c r="H357">
        <v>3</v>
      </c>
      <c r="I357" t="s">
        <v>1383</v>
      </c>
      <c r="J357" t="s">
        <v>6</v>
      </c>
      <c r="K357" t="s">
        <v>1384</v>
      </c>
      <c r="L357">
        <v>1374</v>
      </c>
      <c r="N357">
        <v>1013</v>
      </c>
      <c r="O357" t="s">
        <v>1385</v>
      </c>
      <c r="P357" t="s">
        <v>1385</v>
      </c>
      <c r="Q357">
        <v>1</v>
      </c>
      <c r="X357">
        <v>6.27</v>
      </c>
      <c r="Y357">
        <v>1</v>
      </c>
      <c r="Z357">
        <v>0</v>
      </c>
      <c r="AA357">
        <v>0</v>
      </c>
      <c r="AB357">
        <v>0</v>
      </c>
      <c r="AC357">
        <v>0</v>
      </c>
      <c r="AD357">
        <v>1</v>
      </c>
      <c r="AE357">
        <v>0</v>
      </c>
      <c r="AF357" t="s">
        <v>6</v>
      </c>
      <c r="AG357">
        <v>6.27</v>
      </c>
      <c r="AH357">
        <v>2</v>
      </c>
      <c r="AI357">
        <v>16750898</v>
      </c>
      <c r="AJ357">
        <v>378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</row>
    <row r="358" spans="1:44" x14ac:dyDescent="0.2">
      <c r="A358">
        <f>ROW(Source!A298)</f>
        <v>298</v>
      </c>
      <c r="B358">
        <v>16750915</v>
      </c>
      <c r="C358">
        <v>16750910</v>
      </c>
      <c r="D358">
        <v>15438286</v>
      </c>
      <c r="E358">
        <v>1</v>
      </c>
      <c r="F358">
        <v>1</v>
      </c>
      <c r="G358">
        <v>1</v>
      </c>
      <c r="H358">
        <v>1</v>
      </c>
      <c r="I358" t="s">
        <v>1177</v>
      </c>
      <c r="J358" t="s">
        <v>6</v>
      </c>
      <c r="K358" t="s">
        <v>1178</v>
      </c>
      <c r="L358">
        <v>1191</v>
      </c>
      <c r="N358">
        <v>1013</v>
      </c>
      <c r="O358" t="s">
        <v>1072</v>
      </c>
      <c r="P358" t="s">
        <v>1072</v>
      </c>
      <c r="Q358">
        <v>1</v>
      </c>
      <c r="X358">
        <v>15.2</v>
      </c>
      <c r="Y358">
        <v>0</v>
      </c>
      <c r="Z358">
        <v>0</v>
      </c>
      <c r="AA358">
        <v>0</v>
      </c>
      <c r="AB358">
        <v>9.18</v>
      </c>
      <c r="AC358">
        <v>0</v>
      </c>
      <c r="AD358">
        <v>1</v>
      </c>
      <c r="AE358">
        <v>1</v>
      </c>
      <c r="AF358" t="s">
        <v>6</v>
      </c>
      <c r="AG358">
        <v>15.2</v>
      </c>
      <c r="AH358">
        <v>2</v>
      </c>
      <c r="AI358">
        <v>16750911</v>
      </c>
      <c r="AJ358">
        <v>379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</row>
    <row r="359" spans="1:44" x14ac:dyDescent="0.2">
      <c r="A359">
        <f>ROW(Source!A298)</f>
        <v>298</v>
      </c>
      <c r="B359">
        <v>16750916</v>
      </c>
      <c r="C359">
        <v>16750910</v>
      </c>
      <c r="D359">
        <v>15170155</v>
      </c>
      <c r="E359">
        <v>1</v>
      </c>
      <c r="F359">
        <v>1</v>
      </c>
      <c r="G359">
        <v>1</v>
      </c>
      <c r="H359">
        <v>3</v>
      </c>
      <c r="I359" t="s">
        <v>1405</v>
      </c>
      <c r="J359" t="s">
        <v>1406</v>
      </c>
      <c r="K359" t="s">
        <v>1407</v>
      </c>
      <c r="L359">
        <v>1355</v>
      </c>
      <c r="N359">
        <v>1010</v>
      </c>
      <c r="O359" t="s">
        <v>724</v>
      </c>
      <c r="P359" t="s">
        <v>724</v>
      </c>
      <c r="Q359">
        <v>100</v>
      </c>
      <c r="X359">
        <v>1.75</v>
      </c>
      <c r="Y359">
        <v>8</v>
      </c>
      <c r="Z359">
        <v>0</v>
      </c>
      <c r="AA359">
        <v>0</v>
      </c>
      <c r="AB359">
        <v>0</v>
      </c>
      <c r="AC359">
        <v>0</v>
      </c>
      <c r="AD359">
        <v>1</v>
      </c>
      <c r="AE359">
        <v>0</v>
      </c>
      <c r="AF359" t="s">
        <v>6</v>
      </c>
      <c r="AG359">
        <v>1.75</v>
      </c>
      <c r="AH359">
        <v>2</v>
      </c>
      <c r="AI359">
        <v>16750912</v>
      </c>
      <c r="AJ359">
        <v>380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</row>
    <row r="360" spans="1:44" x14ac:dyDescent="0.2">
      <c r="A360">
        <f>ROW(Source!A298)</f>
        <v>298</v>
      </c>
      <c r="B360">
        <v>16750917</v>
      </c>
      <c r="C360">
        <v>16750910</v>
      </c>
      <c r="D360">
        <v>15164559</v>
      </c>
      <c r="E360">
        <v>17</v>
      </c>
      <c r="F360">
        <v>1</v>
      </c>
      <c r="G360">
        <v>1</v>
      </c>
      <c r="H360">
        <v>3</v>
      </c>
      <c r="I360" t="s">
        <v>1383</v>
      </c>
      <c r="J360" t="s">
        <v>6</v>
      </c>
      <c r="K360" t="s">
        <v>1384</v>
      </c>
      <c r="L360">
        <v>1374</v>
      </c>
      <c r="N360">
        <v>1013</v>
      </c>
      <c r="O360" t="s">
        <v>1385</v>
      </c>
      <c r="P360" t="s">
        <v>1385</v>
      </c>
      <c r="Q360">
        <v>1</v>
      </c>
      <c r="X360">
        <v>2.79</v>
      </c>
      <c r="Y360">
        <v>1</v>
      </c>
      <c r="Z360">
        <v>0</v>
      </c>
      <c r="AA360">
        <v>0</v>
      </c>
      <c r="AB360">
        <v>0</v>
      </c>
      <c r="AC360">
        <v>0</v>
      </c>
      <c r="AD360">
        <v>1</v>
      </c>
      <c r="AE360">
        <v>0</v>
      </c>
      <c r="AF360" t="s">
        <v>6</v>
      </c>
      <c r="AG360">
        <v>2.79</v>
      </c>
      <c r="AH360">
        <v>2</v>
      </c>
      <c r="AI360">
        <v>16750913</v>
      </c>
      <c r="AJ360">
        <v>382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</row>
    <row r="361" spans="1:44" x14ac:dyDescent="0.2">
      <c r="A361">
        <f>ROW(Source!A300)</f>
        <v>300</v>
      </c>
      <c r="B361">
        <v>16750931</v>
      </c>
      <c r="C361">
        <v>16750919</v>
      </c>
      <c r="D361">
        <v>15430397</v>
      </c>
      <c r="E361">
        <v>1</v>
      </c>
      <c r="F361">
        <v>1</v>
      </c>
      <c r="G361">
        <v>1</v>
      </c>
      <c r="H361">
        <v>1</v>
      </c>
      <c r="I361" t="s">
        <v>1234</v>
      </c>
      <c r="J361" t="s">
        <v>6</v>
      </c>
      <c r="K361" t="s">
        <v>1235</v>
      </c>
      <c r="L361">
        <v>1191</v>
      </c>
      <c r="N361">
        <v>1013</v>
      </c>
      <c r="O361" t="s">
        <v>1072</v>
      </c>
      <c r="P361" t="s">
        <v>1072</v>
      </c>
      <c r="Q361">
        <v>1</v>
      </c>
      <c r="X361">
        <v>5.39</v>
      </c>
      <c r="Y361">
        <v>0</v>
      </c>
      <c r="Z361">
        <v>0</v>
      </c>
      <c r="AA361">
        <v>0</v>
      </c>
      <c r="AB361">
        <v>9.4</v>
      </c>
      <c r="AC361">
        <v>0</v>
      </c>
      <c r="AD361">
        <v>1</v>
      </c>
      <c r="AE361">
        <v>1</v>
      </c>
      <c r="AF361" t="s">
        <v>6</v>
      </c>
      <c r="AG361">
        <v>5.39</v>
      </c>
      <c r="AH361">
        <v>2</v>
      </c>
      <c r="AI361">
        <v>16750920</v>
      </c>
      <c r="AJ361">
        <v>383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</row>
    <row r="362" spans="1:44" x14ac:dyDescent="0.2">
      <c r="A362">
        <f>ROW(Source!A300)</f>
        <v>300</v>
      </c>
      <c r="B362">
        <v>16750932</v>
      </c>
      <c r="C362">
        <v>16750919</v>
      </c>
      <c r="D362">
        <v>15430395</v>
      </c>
      <c r="E362">
        <v>1</v>
      </c>
      <c r="F362">
        <v>1</v>
      </c>
      <c r="G362">
        <v>1</v>
      </c>
      <c r="H362">
        <v>1</v>
      </c>
      <c r="I362" t="s">
        <v>1073</v>
      </c>
      <c r="J362" t="s">
        <v>6</v>
      </c>
      <c r="K362" t="s">
        <v>1074</v>
      </c>
      <c r="L362">
        <v>1191</v>
      </c>
      <c r="N362">
        <v>1013</v>
      </c>
      <c r="O362" t="s">
        <v>1072</v>
      </c>
      <c r="P362" t="s">
        <v>1072</v>
      </c>
      <c r="Q362">
        <v>1</v>
      </c>
      <c r="X362">
        <v>0.04</v>
      </c>
      <c r="Y362">
        <v>0</v>
      </c>
      <c r="Z362">
        <v>0</v>
      </c>
      <c r="AA362">
        <v>0</v>
      </c>
      <c r="AB362">
        <v>0</v>
      </c>
      <c r="AC362">
        <v>0</v>
      </c>
      <c r="AD362">
        <v>1</v>
      </c>
      <c r="AE362">
        <v>2</v>
      </c>
      <c r="AF362" t="s">
        <v>6</v>
      </c>
      <c r="AG362">
        <v>0.04</v>
      </c>
      <c r="AH362">
        <v>2</v>
      </c>
      <c r="AI362">
        <v>16750921</v>
      </c>
      <c r="AJ362">
        <v>384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</row>
    <row r="363" spans="1:44" x14ac:dyDescent="0.2">
      <c r="A363">
        <f>ROW(Source!A300)</f>
        <v>300</v>
      </c>
      <c r="B363">
        <v>16750933</v>
      </c>
      <c r="C363">
        <v>16750919</v>
      </c>
      <c r="D363">
        <v>15247680</v>
      </c>
      <c r="E363">
        <v>1</v>
      </c>
      <c r="F363">
        <v>1</v>
      </c>
      <c r="G363">
        <v>1</v>
      </c>
      <c r="H363">
        <v>2</v>
      </c>
      <c r="I363" t="s">
        <v>1211</v>
      </c>
      <c r="J363" t="s">
        <v>1212</v>
      </c>
      <c r="K363" t="s">
        <v>1213</v>
      </c>
      <c r="L363">
        <v>1368</v>
      </c>
      <c r="N363">
        <v>1011</v>
      </c>
      <c r="O363" t="s">
        <v>1078</v>
      </c>
      <c r="P363" t="s">
        <v>1078</v>
      </c>
      <c r="Q363">
        <v>1</v>
      </c>
      <c r="X363">
        <v>0.02</v>
      </c>
      <c r="Y363">
        <v>0</v>
      </c>
      <c r="Z363">
        <v>111.99</v>
      </c>
      <c r="AA363">
        <v>13.5</v>
      </c>
      <c r="AB363">
        <v>0</v>
      </c>
      <c r="AC363">
        <v>0</v>
      </c>
      <c r="AD363">
        <v>1</v>
      </c>
      <c r="AE363">
        <v>0</v>
      </c>
      <c r="AF363" t="s">
        <v>6</v>
      </c>
      <c r="AG363">
        <v>0.02</v>
      </c>
      <c r="AH363">
        <v>2</v>
      </c>
      <c r="AI363">
        <v>16750922</v>
      </c>
      <c r="AJ363">
        <v>385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</row>
    <row r="364" spans="1:44" x14ac:dyDescent="0.2">
      <c r="A364">
        <f>ROW(Source!A300)</f>
        <v>300</v>
      </c>
      <c r="B364">
        <v>16750934</v>
      </c>
      <c r="C364">
        <v>16750919</v>
      </c>
      <c r="D364">
        <v>15249073</v>
      </c>
      <c r="E364">
        <v>1</v>
      </c>
      <c r="F364">
        <v>1</v>
      </c>
      <c r="G364">
        <v>1</v>
      </c>
      <c r="H364">
        <v>2</v>
      </c>
      <c r="I364" t="s">
        <v>1097</v>
      </c>
      <c r="J364" t="s">
        <v>1098</v>
      </c>
      <c r="K364" t="s">
        <v>1099</v>
      </c>
      <c r="L364">
        <v>1368</v>
      </c>
      <c r="N364">
        <v>1011</v>
      </c>
      <c r="O364" t="s">
        <v>1078</v>
      </c>
      <c r="P364" t="s">
        <v>1078</v>
      </c>
      <c r="Q364">
        <v>1</v>
      </c>
      <c r="X364">
        <v>0.02</v>
      </c>
      <c r="Y364">
        <v>0</v>
      </c>
      <c r="Z364">
        <v>65.709999999999994</v>
      </c>
      <c r="AA364">
        <v>11.6</v>
      </c>
      <c r="AB364">
        <v>0</v>
      </c>
      <c r="AC364">
        <v>0</v>
      </c>
      <c r="AD364">
        <v>1</v>
      </c>
      <c r="AE364">
        <v>0</v>
      </c>
      <c r="AF364" t="s">
        <v>6</v>
      </c>
      <c r="AG364">
        <v>0.02</v>
      </c>
      <c r="AH364">
        <v>2</v>
      </c>
      <c r="AI364">
        <v>16750923</v>
      </c>
      <c r="AJ364">
        <v>386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</row>
    <row r="365" spans="1:44" x14ac:dyDescent="0.2">
      <c r="A365">
        <f>ROW(Source!A300)</f>
        <v>300</v>
      </c>
      <c r="B365">
        <v>16750935</v>
      </c>
      <c r="C365">
        <v>16750919</v>
      </c>
      <c r="D365">
        <v>15167588</v>
      </c>
      <c r="E365">
        <v>1</v>
      </c>
      <c r="F365">
        <v>1</v>
      </c>
      <c r="G365">
        <v>1</v>
      </c>
      <c r="H365">
        <v>3</v>
      </c>
      <c r="I365" t="s">
        <v>1388</v>
      </c>
      <c r="J365" t="s">
        <v>1389</v>
      </c>
      <c r="K365" t="s">
        <v>1390</v>
      </c>
      <c r="L365">
        <v>1346</v>
      </c>
      <c r="N365">
        <v>1009</v>
      </c>
      <c r="O365" t="s">
        <v>323</v>
      </c>
      <c r="P365" t="s">
        <v>323</v>
      </c>
      <c r="Q365">
        <v>1</v>
      </c>
      <c r="X365">
        <v>0.16</v>
      </c>
      <c r="Y365">
        <v>30.4</v>
      </c>
      <c r="Z365">
        <v>0</v>
      </c>
      <c r="AA365">
        <v>0</v>
      </c>
      <c r="AB365">
        <v>0</v>
      </c>
      <c r="AC365">
        <v>0</v>
      </c>
      <c r="AD365">
        <v>1</v>
      </c>
      <c r="AE365">
        <v>0</v>
      </c>
      <c r="AF365" t="s">
        <v>6</v>
      </c>
      <c r="AG365">
        <v>0.16</v>
      </c>
      <c r="AH365">
        <v>2</v>
      </c>
      <c r="AI365">
        <v>16750924</v>
      </c>
      <c r="AJ365">
        <v>387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</row>
    <row r="366" spans="1:44" x14ac:dyDescent="0.2">
      <c r="A366">
        <f>ROW(Source!A300)</f>
        <v>300</v>
      </c>
      <c r="B366">
        <v>16750936</v>
      </c>
      <c r="C366">
        <v>16750919</v>
      </c>
      <c r="D366">
        <v>15167867</v>
      </c>
      <c r="E366">
        <v>1</v>
      </c>
      <c r="F366">
        <v>1</v>
      </c>
      <c r="G366">
        <v>1</v>
      </c>
      <c r="H366">
        <v>3</v>
      </c>
      <c r="I366" t="s">
        <v>1408</v>
      </c>
      <c r="J366" t="s">
        <v>1409</v>
      </c>
      <c r="K366" t="s">
        <v>1410</v>
      </c>
      <c r="L366">
        <v>1348</v>
      </c>
      <c r="N366">
        <v>1009</v>
      </c>
      <c r="O366" t="s">
        <v>71</v>
      </c>
      <c r="P366" t="s">
        <v>71</v>
      </c>
      <c r="Q366">
        <v>1000</v>
      </c>
      <c r="X366">
        <v>5.9999999999999995E-4</v>
      </c>
      <c r="Y366">
        <v>1820</v>
      </c>
      <c r="Z366">
        <v>0</v>
      </c>
      <c r="AA366">
        <v>0</v>
      </c>
      <c r="AB366">
        <v>0</v>
      </c>
      <c r="AC366">
        <v>0</v>
      </c>
      <c r="AD366">
        <v>1</v>
      </c>
      <c r="AE366">
        <v>0</v>
      </c>
      <c r="AF366" t="s">
        <v>6</v>
      </c>
      <c r="AG366">
        <v>5.9999999999999995E-4</v>
      </c>
      <c r="AH366">
        <v>2</v>
      </c>
      <c r="AI366">
        <v>16750925</v>
      </c>
      <c r="AJ366">
        <v>388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</row>
    <row r="367" spans="1:44" x14ac:dyDescent="0.2">
      <c r="A367">
        <f>ROW(Source!A300)</f>
        <v>300</v>
      </c>
      <c r="B367">
        <v>16750937</v>
      </c>
      <c r="C367">
        <v>16750919</v>
      </c>
      <c r="D367">
        <v>15203834</v>
      </c>
      <c r="E367">
        <v>1</v>
      </c>
      <c r="F367">
        <v>1</v>
      </c>
      <c r="G367">
        <v>1</v>
      </c>
      <c r="H367">
        <v>3</v>
      </c>
      <c r="I367" t="s">
        <v>1411</v>
      </c>
      <c r="J367" t="s">
        <v>1412</v>
      </c>
      <c r="K367" t="s">
        <v>374</v>
      </c>
      <c r="L367">
        <v>1346</v>
      </c>
      <c r="N367">
        <v>1009</v>
      </c>
      <c r="O367" t="s">
        <v>323</v>
      </c>
      <c r="P367" t="s">
        <v>323</v>
      </c>
      <c r="Q367">
        <v>1</v>
      </c>
      <c r="X367">
        <v>0.02</v>
      </c>
      <c r="Y367">
        <v>28.6</v>
      </c>
      <c r="Z367">
        <v>0</v>
      </c>
      <c r="AA367">
        <v>0</v>
      </c>
      <c r="AB367">
        <v>0</v>
      </c>
      <c r="AC367">
        <v>0</v>
      </c>
      <c r="AD367">
        <v>1</v>
      </c>
      <c r="AE367">
        <v>0</v>
      </c>
      <c r="AF367" t="s">
        <v>6</v>
      </c>
      <c r="AG367">
        <v>0.02</v>
      </c>
      <c r="AH367">
        <v>2</v>
      </c>
      <c r="AI367">
        <v>16750926</v>
      </c>
      <c r="AJ367">
        <v>389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</row>
    <row r="368" spans="1:44" x14ac:dyDescent="0.2">
      <c r="A368">
        <f>ROW(Source!A300)</f>
        <v>300</v>
      </c>
      <c r="B368">
        <v>16750938</v>
      </c>
      <c r="C368">
        <v>16750919</v>
      </c>
      <c r="D368">
        <v>15217527</v>
      </c>
      <c r="E368">
        <v>1</v>
      </c>
      <c r="F368">
        <v>1</v>
      </c>
      <c r="G368">
        <v>1</v>
      </c>
      <c r="H368">
        <v>3</v>
      </c>
      <c r="I368" t="s">
        <v>1413</v>
      </c>
      <c r="J368" t="s">
        <v>1414</v>
      </c>
      <c r="K368" t="s">
        <v>1415</v>
      </c>
      <c r="L368">
        <v>1355</v>
      </c>
      <c r="N368">
        <v>1010</v>
      </c>
      <c r="O368" t="s">
        <v>724</v>
      </c>
      <c r="P368" t="s">
        <v>724</v>
      </c>
      <c r="Q368">
        <v>100</v>
      </c>
      <c r="X368">
        <v>0.05</v>
      </c>
      <c r="Y368">
        <v>110</v>
      </c>
      <c r="Z368">
        <v>0</v>
      </c>
      <c r="AA368">
        <v>0</v>
      </c>
      <c r="AB368">
        <v>0</v>
      </c>
      <c r="AC368">
        <v>0</v>
      </c>
      <c r="AD368">
        <v>1</v>
      </c>
      <c r="AE368">
        <v>0</v>
      </c>
      <c r="AF368" t="s">
        <v>6</v>
      </c>
      <c r="AG368">
        <v>0.05</v>
      </c>
      <c r="AH368">
        <v>2</v>
      </c>
      <c r="AI368">
        <v>16750927</v>
      </c>
      <c r="AJ368">
        <v>390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</row>
    <row r="369" spans="1:44" x14ac:dyDescent="0.2">
      <c r="A369">
        <f>ROW(Source!A300)</f>
        <v>300</v>
      </c>
      <c r="B369">
        <v>16750939</v>
      </c>
      <c r="C369">
        <v>16750919</v>
      </c>
      <c r="D369">
        <v>15217578</v>
      </c>
      <c r="E369">
        <v>1</v>
      </c>
      <c r="F369">
        <v>1</v>
      </c>
      <c r="G369">
        <v>1</v>
      </c>
      <c r="H369">
        <v>3</v>
      </c>
      <c r="I369" t="s">
        <v>1416</v>
      </c>
      <c r="J369" t="s">
        <v>1417</v>
      </c>
      <c r="K369" t="s">
        <v>1418</v>
      </c>
      <c r="L369">
        <v>1356</v>
      </c>
      <c r="N369">
        <v>1010</v>
      </c>
      <c r="O369" t="s">
        <v>288</v>
      </c>
      <c r="P369" t="s">
        <v>288</v>
      </c>
      <c r="Q369">
        <v>1000</v>
      </c>
      <c r="X369">
        <v>1.2200000000000001E-2</v>
      </c>
      <c r="Y369">
        <v>119</v>
      </c>
      <c r="Z369">
        <v>0</v>
      </c>
      <c r="AA369">
        <v>0</v>
      </c>
      <c r="AB369">
        <v>0</v>
      </c>
      <c r="AC369">
        <v>0</v>
      </c>
      <c r="AD369">
        <v>1</v>
      </c>
      <c r="AE369">
        <v>0</v>
      </c>
      <c r="AF369" t="s">
        <v>6</v>
      </c>
      <c r="AG369">
        <v>1.2200000000000001E-2</v>
      </c>
      <c r="AH369">
        <v>2</v>
      </c>
      <c r="AI369">
        <v>16750928</v>
      </c>
      <c r="AJ369">
        <v>391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</row>
    <row r="370" spans="1:44" x14ac:dyDescent="0.2">
      <c r="A370">
        <f>ROW(Source!A300)</f>
        <v>300</v>
      </c>
      <c r="B370">
        <v>16750940</v>
      </c>
      <c r="C370">
        <v>16750919</v>
      </c>
      <c r="D370">
        <v>15164559</v>
      </c>
      <c r="E370">
        <v>17</v>
      </c>
      <c r="F370">
        <v>1</v>
      </c>
      <c r="G370">
        <v>1</v>
      </c>
      <c r="H370">
        <v>3</v>
      </c>
      <c r="I370" t="s">
        <v>1383</v>
      </c>
      <c r="J370" t="s">
        <v>6</v>
      </c>
      <c r="K370" t="s">
        <v>1384</v>
      </c>
      <c r="L370">
        <v>1374</v>
      </c>
      <c r="N370">
        <v>1013</v>
      </c>
      <c r="O370" t="s">
        <v>1385</v>
      </c>
      <c r="P370" t="s">
        <v>1385</v>
      </c>
      <c r="Q370">
        <v>1</v>
      </c>
      <c r="X370">
        <v>1.01</v>
      </c>
      <c r="Y370">
        <v>1</v>
      </c>
      <c r="Z370">
        <v>0</v>
      </c>
      <c r="AA370">
        <v>0</v>
      </c>
      <c r="AB370">
        <v>0</v>
      </c>
      <c r="AC370">
        <v>0</v>
      </c>
      <c r="AD370">
        <v>1</v>
      </c>
      <c r="AE370">
        <v>0</v>
      </c>
      <c r="AF370" t="s">
        <v>6</v>
      </c>
      <c r="AG370">
        <v>1.01</v>
      </c>
      <c r="AH370">
        <v>2</v>
      </c>
      <c r="AI370">
        <v>16750929</v>
      </c>
      <c r="AJ370">
        <v>393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</row>
    <row r="371" spans="1:44" x14ac:dyDescent="0.2">
      <c r="A371">
        <f>ROW(Source!A302)</f>
        <v>302</v>
      </c>
      <c r="B371">
        <v>16750983</v>
      </c>
      <c r="C371">
        <v>16750976</v>
      </c>
      <c r="D371">
        <v>15447742</v>
      </c>
      <c r="E371">
        <v>1</v>
      </c>
      <c r="F371">
        <v>1</v>
      </c>
      <c r="G371">
        <v>1</v>
      </c>
      <c r="H371">
        <v>1</v>
      </c>
      <c r="I371" t="s">
        <v>1348</v>
      </c>
      <c r="J371" t="s">
        <v>6</v>
      </c>
      <c r="K371" t="s">
        <v>1349</v>
      </c>
      <c r="L371">
        <v>1191</v>
      </c>
      <c r="N371">
        <v>1013</v>
      </c>
      <c r="O371" t="s">
        <v>1072</v>
      </c>
      <c r="P371" t="s">
        <v>1072</v>
      </c>
      <c r="Q371">
        <v>1</v>
      </c>
      <c r="X371">
        <v>0.5</v>
      </c>
      <c r="Y371">
        <v>0</v>
      </c>
      <c r="Z371">
        <v>0</v>
      </c>
      <c r="AA371">
        <v>0</v>
      </c>
      <c r="AB371">
        <v>9.76</v>
      </c>
      <c r="AC371">
        <v>0</v>
      </c>
      <c r="AD371">
        <v>1</v>
      </c>
      <c r="AE371">
        <v>1</v>
      </c>
      <c r="AF371" t="s">
        <v>6</v>
      </c>
      <c r="AG371">
        <v>0.5</v>
      </c>
      <c r="AH371">
        <v>2</v>
      </c>
      <c r="AI371">
        <v>16750977</v>
      </c>
      <c r="AJ371">
        <v>394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</row>
    <row r="372" spans="1:44" x14ac:dyDescent="0.2">
      <c r="A372">
        <f>ROW(Source!A302)</f>
        <v>302</v>
      </c>
      <c r="B372">
        <v>16750984</v>
      </c>
      <c r="C372">
        <v>16750976</v>
      </c>
      <c r="D372">
        <v>15170438</v>
      </c>
      <c r="E372">
        <v>1</v>
      </c>
      <c r="F372">
        <v>1</v>
      </c>
      <c r="G372">
        <v>1</v>
      </c>
      <c r="H372">
        <v>3</v>
      </c>
      <c r="I372" t="s">
        <v>1380</v>
      </c>
      <c r="J372" t="s">
        <v>1381</v>
      </c>
      <c r="K372" t="s">
        <v>1382</v>
      </c>
      <c r="L372">
        <v>1348</v>
      </c>
      <c r="N372">
        <v>1009</v>
      </c>
      <c r="O372" t="s">
        <v>71</v>
      </c>
      <c r="P372" t="s">
        <v>71</v>
      </c>
      <c r="Q372">
        <v>1000</v>
      </c>
      <c r="X372">
        <v>1.0000000000000001E-5</v>
      </c>
      <c r="Y372">
        <v>12430</v>
      </c>
      <c r="Z372">
        <v>0</v>
      </c>
      <c r="AA372">
        <v>0</v>
      </c>
      <c r="AB372">
        <v>0</v>
      </c>
      <c r="AC372">
        <v>0</v>
      </c>
      <c r="AD372">
        <v>1</v>
      </c>
      <c r="AE372">
        <v>0</v>
      </c>
      <c r="AF372" t="s">
        <v>6</v>
      </c>
      <c r="AG372">
        <v>1.0000000000000001E-5</v>
      </c>
      <c r="AH372">
        <v>2</v>
      </c>
      <c r="AI372">
        <v>16750978</v>
      </c>
      <c r="AJ372">
        <v>395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</row>
    <row r="373" spans="1:44" x14ac:dyDescent="0.2">
      <c r="A373">
        <f>ROW(Source!A302)</f>
        <v>302</v>
      </c>
      <c r="B373">
        <v>16750985</v>
      </c>
      <c r="C373">
        <v>16750976</v>
      </c>
      <c r="D373">
        <v>15171982</v>
      </c>
      <c r="E373">
        <v>1</v>
      </c>
      <c r="F373">
        <v>1</v>
      </c>
      <c r="G373">
        <v>1</v>
      </c>
      <c r="H373">
        <v>3</v>
      </c>
      <c r="I373" t="s">
        <v>1082</v>
      </c>
      <c r="J373" t="s">
        <v>1083</v>
      </c>
      <c r="K373" t="s">
        <v>1084</v>
      </c>
      <c r="L373">
        <v>1348</v>
      </c>
      <c r="N373">
        <v>1009</v>
      </c>
      <c r="O373" t="s">
        <v>71</v>
      </c>
      <c r="P373" t="s">
        <v>71</v>
      </c>
      <c r="Q373">
        <v>1000</v>
      </c>
      <c r="X373">
        <v>5.0000000000000002E-5</v>
      </c>
      <c r="Y373">
        <v>729.98</v>
      </c>
      <c r="Z373">
        <v>0</v>
      </c>
      <c r="AA373">
        <v>0</v>
      </c>
      <c r="AB373">
        <v>0</v>
      </c>
      <c r="AC373">
        <v>0</v>
      </c>
      <c r="AD373">
        <v>1</v>
      </c>
      <c r="AE373">
        <v>0</v>
      </c>
      <c r="AF373" t="s">
        <v>6</v>
      </c>
      <c r="AG373">
        <v>5.0000000000000002E-5</v>
      </c>
      <c r="AH373">
        <v>2</v>
      </c>
      <c r="AI373">
        <v>16750979</v>
      </c>
      <c r="AJ373">
        <v>396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</row>
    <row r="374" spans="1:44" x14ac:dyDescent="0.2">
      <c r="A374">
        <f>ROW(Source!A302)</f>
        <v>302</v>
      </c>
      <c r="B374">
        <v>16750986</v>
      </c>
      <c r="C374">
        <v>16750976</v>
      </c>
      <c r="D374">
        <v>15191144</v>
      </c>
      <c r="E374">
        <v>1</v>
      </c>
      <c r="F374">
        <v>1</v>
      </c>
      <c r="G374">
        <v>1</v>
      </c>
      <c r="H374">
        <v>3</v>
      </c>
      <c r="I374" t="s">
        <v>1419</v>
      </c>
      <c r="J374" t="s">
        <v>1420</v>
      </c>
      <c r="K374" t="s">
        <v>1421</v>
      </c>
      <c r="L374">
        <v>1348</v>
      </c>
      <c r="N374">
        <v>1009</v>
      </c>
      <c r="O374" t="s">
        <v>71</v>
      </c>
      <c r="P374" t="s">
        <v>71</v>
      </c>
      <c r="Q374">
        <v>1000</v>
      </c>
      <c r="X374">
        <v>1.0000000000000001E-5</v>
      </c>
      <c r="Y374">
        <v>14690</v>
      </c>
      <c r="Z374">
        <v>0</v>
      </c>
      <c r="AA374">
        <v>0</v>
      </c>
      <c r="AB374">
        <v>0</v>
      </c>
      <c r="AC374">
        <v>0</v>
      </c>
      <c r="AD374">
        <v>1</v>
      </c>
      <c r="AE374">
        <v>0</v>
      </c>
      <c r="AF374" t="s">
        <v>6</v>
      </c>
      <c r="AG374">
        <v>1.0000000000000001E-5</v>
      </c>
      <c r="AH374">
        <v>2</v>
      </c>
      <c r="AI374">
        <v>16750980</v>
      </c>
      <c r="AJ374">
        <v>397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</row>
    <row r="375" spans="1:44" x14ac:dyDescent="0.2">
      <c r="A375">
        <f>ROW(Source!A302)</f>
        <v>302</v>
      </c>
      <c r="B375">
        <v>16750987</v>
      </c>
      <c r="C375">
        <v>16750976</v>
      </c>
      <c r="D375">
        <v>15164559</v>
      </c>
      <c r="E375">
        <v>17</v>
      </c>
      <c r="F375">
        <v>1</v>
      </c>
      <c r="G375">
        <v>1</v>
      </c>
      <c r="H375">
        <v>3</v>
      </c>
      <c r="I375" t="s">
        <v>1383</v>
      </c>
      <c r="J375" t="s">
        <v>6</v>
      </c>
      <c r="K375" t="s">
        <v>1384</v>
      </c>
      <c r="L375">
        <v>1374</v>
      </c>
      <c r="N375">
        <v>1013</v>
      </c>
      <c r="O375" t="s">
        <v>1385</v>
      </c>
      <c r="P375" t="s">
        <v>1385</v>
      </c>
      <c r="Q375">
        <v>1</v>
      </c>
      <c r="X375">
        <v>0.1</v>
      </c>
      <c r="Y375">
        <v>1</v>
      </c>
      <c r="Z375">
        <v>0</v>
      </c>
      <c r="AA375">
        <v>0</v>
      </c>
      <c r="AB375">
        <v>0</v>
      </c>
      <c r="AC375">
        <v>0</v>
      </c>
      <c r="AD375">
        <v>1</v>
      </c>
      <c r="AE375">
        <v>0</v>
      </c>
      <c r="AF375" t="s">
        <v>6</v>
      </c>
      <c r="AG375">
        <v>0.1</v>
      </c>
      <c r="AH375">
        <v>2</v>
      </c>
      <c r="AI375">
        <v>16750981</v>
      </c>
      <c r="AJ375">
        <v>399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</row>
    <row r="376" spans="1:44" x14ac:dyDescent="0.2">
      <c r="A376">
        <f>ROW(Source!A304)</f>
        <v>304</v>
      </c>
      <c r="B376">
        <v>16750991</v>
      </c>
      <c r="C376">
        <v>16750989</v>
      </c>
      <c r="D376">
        <v>15430767</v>
      </c>
      <c r="E376">
        <v>1</v>
      </c>
      <c r="F376">
        <v>1</v>
      </c>
      <c r="G376">
        <v>1</v>
      </c>
      <c r="H376">
        <v>1</v>
      </c>
      <c r="I376" t="s">
        <v>1070</v>
      </c>
      <c r="J376" t="s">
        <v>6</v>
      </c>
      <c r="K376" t="s">
        <v>1071</v>
      </c>
      <c r="L376">
        <v>1191</v>
      </c>
      <c r="N376">
        <v>1013</v>
      </c>
      <c r="O376" t="s">
        <v>1072</v>
      </c>
      <c r="P376" t="s">
        <v>1072</v>
      </c>
      <c r="Q376">
        <v>1</v>
      </c>
      <c r="X376">
        <v>5.49</v>
      </c>
      <c r="Y376">
        <v>0</v>
      </c>
      <c r="Z376">
        <v>0</v>
      </c>
      <c r="AA376">
        <v>0</v>
      </c>
      <c r="AB376">
        <v>8.5299999999999994</v>
      </c>
      <c r="AC376">
        <v>0</v>
      </c>
      <c r="AD376">
        <v>1</v>
      </c>
      <c r="AE376">
        <v>1</v>
      </c>
      <c r="AF376" t="s">
        <v>6</v>
      </c>
      <c r="AG376">
        <v>5.49</v>
      </c>
      <c r="AH376">
        <v>2</v>
      </c>
      <c r="AI376">
        <v>16750990</v>
      </c>
      <c r="AJ376">
        <v>400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</row>
    <row r="377" spans="1:44" x14ac:dyDescent="0.2">
      <c r="A377">
        <f>ROW(Source!A304)</f>
        <v>304</v>
      </c>
      <c r="B377">
        <v>16750992</v>
      </c>
      <c r="C377">
        <v>16750989</v>
      </c>
      <c r="D377">
        <v>15164566</v>
      </c>
      <c r="E377">
        <v>17</v>
      </c>
      <c r="F377">
        <v>1</v>
      </c>
      <c r="G377">
        <v>1</v>
      </c>
      <c r="H377">
        <v>3</v>
      </c>
      <c r="I377" t="s">
        <v>69</v>
      </c>
      <c r="J377" t="s">
        <v>6</v>
      </c>
      <c r="K377" t="s">
        <v>70</v>
      </c>
      <c r="L377">
        <v>1348</v>
      </c>
      <c r="N377">
        <v>1009</v>
      </c>
      <c r="O377" t="s">
        <v>71</v>
      </c>
      <c r="P377" t="s">
        <v>71</v>
      </c>
      <c r="Q377">
        <v>1000</v>
      </c>
      <c r="X377">
        <v>6.0000000000000001E-3</v>
      </c>
      <c r="Y377">
        <v>0</v>
      </c>
      <c r="Z377">
        <v>0</v>
      </c>
      <c r="AA377">
        <v>0</v>
      </c>
      <c r="AB377">
        <v>0</v>
      </c>
      <c r="AC377">
        <v>0</v>
      </c>
      <c r="AD377">
        <v>0</v>
      </c>
      <c r="AE377">
        <v>0</v>
      </c>
      <c r="AF377" t="s">
        <v>6</v>
      </c>
      <c r="AG377">
        <v>6.0000000000000001E-3</v>
      </c>
      <c r="AH377">
        <v>3</v>
      </c>
      <c r="AI377">
        <v>-1</v>
      </c>
      <c r="AJ377" t="s">
        <v>6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</row>
    <row r="378" spans="1:44" x14ac:dyDescent="0.2">
      <c r="A378">
        <f>ROW(Source!A305)</f>
        <v>305</v>
      </c>
      <c r="B378">
        <v>16751005</v>
      </c>
      <c r="C378">
        <v>16750993</v>
      </c>
      <c r="D378">
        <v>15430397</v>
      </c>
      <c r="E378">
        <v>1</v>
      </c>
      <c r="F378">
        <v>1</v>
      </c>
      <c r="G378">
        <v>1</v>
      </c>
      <c r="H378">
        <v>1</v>
      </c>
      <c r="I378" t="s">
        <v>1234</v>
      </c>
      <c r="J378" t="s">
        <v>6</v>
      </c>
      <c r="K378" t="s">
        <v>1235</v>
      </c>
      <c r="L378">
        <v>1191</v>
      </c>
      <c r="N378">
        <v>1013</v>
      </c>
      <c r="O378" t="s">
        <v>1072</v>
      </c>
      <c r="P378" t="s">
        <v>1072</v>
      </c>
      <c r="Q378">
        <v>1</v>
      </c>
      <c r="X378">
        <v>15.28</v>
      </c>
      <c r="Y378">
        <v>0</v>
      </c>
      <c r="Z378">
        <v>0</v>
      </c>
      <c r="AA378">
        <v>0</v>
      </c>
      <c r="AB378">
        <v>9.4</v>
      </c>
      <c r="AC378">
        <v>0</v>
      </c>
      <c r="AD378">
        <v>1</v>
      </c>
      <c r="AE378">
        <v>1</v>
      </c>
      <c r="AF378" t="s">
        <v>6</v>
      </c>
      <c r="AG378">
        <v>15.28</v>
      </c>
      <c r="AH378">
        <v>2</v>
      </c>
      <c r="AI378">
        <v>16750994</v>
      </c>
      <c r="AJ378">
        <v>401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</row>
    <row r="379" spans="1:44" x14ac:dyDescent="0.2">
      <c r="A379">
        <f>ROW(Source!A305)</f>
        <v>305</v>
      </c>
      <c r="B379">
        <v>16751006</v>
      </c>
      <c r="C379">
        <v>16750993</v>
      </c>
      <c r="D379">
        <v>15430395</v>
      </c>
      <c r="E379">
        <v>1</v>
      </c>
      <c r="F379">
        <v>1</v>
      </c>
      <c r="G379">
        <v>1</v>
      </c>
      <c r="H379">
        <v>1</v>
      </c>
      <c r="I379" t="s">
        <v>1073</v>
      </c>
      <c r="J379" t="s">
        <v>6</v>
      </c>
      <c r="K379" t="s">
        <v>1074</v>
      </c>
      <c r="L379">
        <v>1191</v>
      </c>
      <c r="N379">
        <v>1013</v>
      </c>
      <c r="O379" t="s">
        <v>1072</v>
      </c>
      <c r="P379" t="s">
        <v>1072</v>
      </c>
      <c r="Q379">
        <v>1</v>
      </c>
      <c r="X379">
        <v>0.22</v>
      </c>
      <c r="Y379">
        <v>0</v>
      </c>
      <c r="Z379">
        <v>0</v>
      </c>
      <c r="AA379">
        <v>0</v>
      </c>
      <c r="AB379">
        <v>0</v>
      </c>
      <c r="AC379">
        <v>0</v>
      </c>
      <c r="AD379">
        <v>1</v>
      </c>
      <c r="AE379">
        <v>2</v>
      </c>
      <c r="AF379" t="s">
        <v>6</v>
      </c>
      <c r="AG379">
        <v>0.22</v>
      </c>
      <c r="AH379">
        <v>2</v>
      </c>
      <c r="AI379">
        <v>16750995</v>
      </c>
      <c r="AJ379">
        <v>402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</row>
    <row r="380" spans="1:44" x14ac:dyDescent="0.2">
      <c r="A380">
        <f>ROW(Source!A305)</f>
        <v>305</v>
      </c>
      <c r="B380">
        <v>16751007</v>
      </c>
      <c r="C380">
        <v>16750993</v>
      </c>
      <c r="D380">
        <v>15247680</v>
      </c>
      <c r="E380">
        <v>1</v>
      </c>
      <c r="F380">
        <v>1</v>
      </c>
      <c r="G380">
        <v>1</v>
      </c>
      <c r="H380">
        <v>2</v>
      </c>
      <c r="I380" t="s">
        <v>1211</v>
      </c>
      <c r="J380" t="s">
        <v>1212</v>
      </c>
      <c r="K380" t="s">
        <v>1213</v>
      </c>
      <c r="L380">
        <v>1368</v>
      </c>
      <c r="N380">
        <v>1011</v>
      </c>
      <c r="O380" t="s">
        <v>1078</v>
      </c>
      <c r="P380" t="s">
        <v>1078</v>
      </c>
      <c r="Q380">
        <v>1</v>
      </c>
      <c r="X380">
        <v>0.11</v>
      </c>
      <c r="Y380">
        <v>0</v>
      </c>
      <c r="Z380">
        <v>111.99</v>
      </c>
      <c r="AA380">
        <v>13.5</v>
      </c>
      <c r="AB380">
        <v>0</v>
      </c>
      <c r="AC380">
        <v>0</v>
      </c>
      <c r="AD380">
        <v>1</v>
      </c>
      <c r="AE380">
        <v>0</v>
      </c>
      <c r="AF380" t="s">
        <v>6</v>
      </c>
      <c r="AG380">
        <v>0.11</v>
      </c>
      <c r="AH380">
        <v>2</v>
      </c>
      <c r="AI380">
        <v>16750996</v>
      </c>
      <c r="AJ380">
        <v>403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</row>
    <row r="381" spans="1:44" x14ac:dyDescent="0.2">
      <c r="A381">
        <f>ROW(Source!A305)</f>
        <v>305</v>
      </c>
      <c r="B381">
        <v>16751008</v>
      </c>
      <c r="C381">
        <v>16750993</v>
      </c>
      <c r="D381">
        <v>15249073</v>
      </c>
      <c r="E381">
        <v>1</v>
      </c>
      <c r="F381">
        <v>1</v>
      </c>
      <c r="G381">
        <v>1</v>
      </c>
      <c r="H381">
        <v>2</v>
      </c>
      <c r="I381" t="s">
        <v>1097</v>
      </c>
      <c r="J381" t="s">
        <v>1098</v>
      </c>
      <c r="K381" t="s">
        <v>1099</v>
      </c>
      <c r="L381">
        <v>1368</v>
      </c>
      <c r="N381">
        <v>1011</v>
      </c>
      <c r="O381" t="s">
        <v>1078</v>
      </c>
      <c r="P381" t="s">
        <v>1078</v>
      </c>
      <c r="Q381">
        <v>1</v>
      </c>
      <c r="X381">
        <v>0.11</v>
      </c>
      <c r="Y381">
        <v>0</v>
      </c>
      <c r="Z381">
        <v>65.709999999999994</v>
      </c>
      <c r="AA381">
        <v>11.6</v>
      </c>
      <c r="AB381">
        <v>0</v>
      </c>
      <c r="AC381">
        <v>0</v>
      </c>
      <c r="AD381">
        <v>1</v>
      </c>
      <c r="AE381">
        <v>0</v>
      </c>
      <c r="AF381" t="s">
        <v>6</v>
      </c>
      <c r="AG381">
        <v>0.11</v>
      </c>
      <c r="AH381">
        <v>2</v>
      </c>
      <c r="AI381">
        <v>16750997</v>
      </c>
      <c r="AJ381">
        <v>404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</row>
    <row r="382" spans="1:44" x14ac:dyDescent="0.2">
      <c r="A382">
        <f>ROW(Source!A305)</f>
        <v>305</v>
      </c>
      <c r="B382">
        <v>16751009</v>
      </c>
      <c r="C382">
        <v>16750993</v>
      </c>
      <c r="D382">
        <v>15172838</v>
      </c>
      <c r="E382">
        <v>1</v>
      </c>
      <c r="F382">
        <v>1</v>
      </c>
      <c r="G382">
        <v>1</v>
      </c>
      <c r="H382">
        <v>3</v>
      </c>
      <c r="I382" t="s">
        <v>1422</v>
      </c>
      <c r="J382" t="s">
        <v>1423</v>
      </c>
      <c r="K382" t="s">
        <v>1424</v>
      </c>
      <c r="L382">
        <v>1339</v>
      </c>
      <c r="N382">
        <v>1007</v>
      </c>
      <c r="O382" t="s">
        <v>283</v>
      </c>
      <c r="P382" t="s">
        <v>283</v>
      </c>
      <c r="Q382">
        <v>1</v>
      </c>
      <c r="X382">
        <v>2.1000000000000001E-2</v>
      </c>
      <c r="Y382">
        <v>600</v>
      </c>
      <c r="Z382">
        <v>0</v>
      </c>
      <c r="AA382">
        <v>0</v>
      </c>
      <c r="AB382">
        <v>0</v>
      </c>
      <c r="AC382">
        <v>0</v>
      </c>
      <c r="AD382">
        <v>1</v>
      </c>
      <c r="AE382">
        <v>0</v>
      </c>
      <c r="AF382" t="s">
        <v>6</v>
      </c>
      <c r="AG382">
        <v>2.1000000000000001E-2</v>
      </c>
      <c r="AH382">
        <v>2</v>
      </c>
      <c r="AI382">
        <v>16750998</v>
      </c>
      <c r="AJ382">
        <v>405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</row>
    <row r="383" spans="1:44" x14ac:dyDescent="0.2">
      <c r="A383">
        <f>ROW(Source!A305)</f>
        <v>305</v>
      </c>
      <c r="B383">
        <v>16751010</v>
      </c>
      <c r="C383">
        <v>16750993</v>
      </c>
      <c r="D383">
        <v>15202442</v>
      </c>
      <c r="E383">
        <v>1</v>
      </c>
      <c r="F383">
        <v>1</v>
      </c>
      <c r="G383">
        <v>1</v>
      </c>
      <c r="H383">
        <v>3</v>
      </c>
      <c r="I383" t="s">
        <v>1425</v>
      </c>
      <c r="J383" t="s">
        <v>1426</v>
      </c>
      <c r="K383" t="s">
        <v>1427</v>
      </c>
      <c r="L383">
        <v>1346</v>
      </c>
      <c r="N383">
        <v>1009</v>
      </c>
      <c r="O383" t="s">
        <v>323</v>
      </c>
      <c r="P383" t="s">
        <v>323</v>
      </c>
      <c r="Q383">
        <v>1</v>
      </c>
      <c r="X383">
        <v>0.4</v>
      </c>
      <c r="Y383">
        <v>25.8</v>
      </c>
      <c r="Z383">
        <v>0</v>
      </c>
      <c r="AA383">
        <v>0</v>
      </c>
      <c r="AB383">
        <v>0</v>
      </c>
      <c r="AC383">
        <v>0</v>
      </c>
      <c r="AD383">
        <v>1</v>
      </c>
      <c r="AE383">
        <v>0</v>
      </c>
      <c r="AF383" t="s">
        <v>6</v>
      </c>
      <c r="AG383">
        <v>0.4</v>
      </c>
      <c r="AH383">
        <v>2</v>
      </c>
      <c r="AI383">
        <v>16750999</v>
      </c>
      <c r="AJ383">
        <v>406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</row>
    <row r="384" spans="1:44" x14ac:dyDescent="0.2">
      <c r="A384">
        <f>ROW(Source!A305)</f>
        <v>305</v>
      </c>
      <c r="B384">
        <v>16751011</v>
      </c>
      <c r="C384">
        <v>16750993</v>
      </c>
      <c r="D384">
        <v>15217585</v>
      </c>
      <c r="E384">
        <v>1</v>
      </c>
      <c r="F384">
        <v>1</v>
      </c>
      <c r="G384">
        <v>1</v>
      </c>
      <c r="H384">
        <v>3</v>
      </c>
      <c r="I384" t="s">
        <v>1428</v>
      </c>
      <c r="J384" t="s">
        <v>1429</v>
      </c>
      <c r="K384" t="s">
        <v>1430</v>
      </c>
      <c r="L384">
        <v>1356</v>
      </c>
      <c r="N384">
        <v>1010</v>
      </c>
      <c r="O384" t="s">
        <v>288</v>
      </c>
      <c r="P384" t="s">
        <v>288</v>
      </c>
      <c r="Q384">
        <v>1000</v>
      </c>
      <c r="X384">
        <v>3.2000000000000001E-2</v>
      </c>
      <c r="Y384">
        <v>270</v>
      </c>
      <c r="Z384">
        <v>0</v>
      </c>
      <c r="AA384">
        <v>0</v>
      </c>
      <c r="AB384">
        <v>0</v>
      </c>
      <c r="AC384">
        <v>0</v>
      </c>
      <c r="AD384">
        <v>1</v>
      </c>
      <c r="AE384">
        <v>0</v>
      </c>
      <c r="AF384" t="s">
        <v>6</v>
      </c>
      <c r="AG384">
        <v>3.2000000000000001E-2</v>
      </c>
      <c r="AH384">
        <v>2</v>
      </c>
      <c r="AI384">
        <v>16751000</v>
      </c>
      <c r="AJ384">
        <v>407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</row>
    <row r="385" spans="1:44" x14ac:dyDescent="0.2">
      <c r="A385">
        <f>ROW(Source!A305)</f>
        <v>305</v>
      </c>
      <c r="B385">
        <v>16751012</v>
      </c>
      <c r="C385">
        <v>16750993</v>
      </c>
      <c r="D385">
        <v>15217593</v>
      </c>
      <c r="E385">
        <v>1</v>
      </c>
      <c r="F385">
        <v>1</v>
      </c>
      <c r="G385">
        <v>1</v>
      </c>
      <c r="H385">
        <v>3</v>
      </c>
      <c r="I385" t="s">
        <v>1431</v>
      </c>
      <c r="J385" t="s">
        <v>1432</v>
      </c>
      <c r="K385" t="s">
        <v>1433</v>
      </c>
      <c r="L385">
        <v>1358</v>
      </c>
      <c r="N385">
        <v>1010</v>
      </c>
      <c r="O385" t="s">
        <v>615</v>
      </c>
      <c r="P385" t="s">
        <v>615</v>
      </c>
      <c r="Q385">
        <v>10</v>
      </c>
      <c r="X385">
        <v>1</v>
      </c>
      <c r="Y385">
        <v>19.899999999999999</v>
      </c>
      <c r="Z385">
        <v>0</v>
      </c>
      <c r="AA385">
        <v>0</v>
      </c>
      <c r="AB385">
        <v>0</v>
      </c>
      <c r="AC385">
        <v>0</v>
      </c>
      <c r="AD385">
        <v>1</v>
      </c>
      <c r="AE385">
        <v>0</v>
      </c>
      <c r="AF385" t="s">
        <v>6</v>
      </c>
      <c r="AG385">
        <v>1</v>
      </c>
      <c r="AH385">
        <v>2</v>
      </c>
      <c r="AI385">
        <v>16751001</v>
      </c>
      <c r="AJ385">
        <v>408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</row>
    <row r="386" spans="1:44" x14ac:dyDescent="0.2">
      <c r="A386">
        <f>ROW(Source!A305)</f>
        <v>305</v>
      </c>
      <c r="B386">
        <v>16751013</v>
      </c>
      <c r="C386">
        <v>16750993</v>
      </c>
      <c r="D386">
        <v>15218939</v>
      </c>
      <c r="E386">
        <v>1</v>
      </c>
      <c r="F386">
        <v>1</v>
      </c>
      <c r="G386">
        <v>1</v>
      </c>
      <c r="H386">
        <v>3</v>
      </c>
      <c r="I386" t="s">
        <v>1434</v>
      </c>
      <c r="J386" t="s">
        <v>1435</v>
      </c>
      <c r="K386" t="s">
        <v>1436</v>
      </c>
      <c r="L386">
        <v>1354</v>
      </c>
      <c r="N386">
        <v>1010</v>
      </c>
      <c r="O386" t="s">
        <v>53</v>
      </c>
      <c r="P386" t="s">
        <v>53</v>
      </c>
      <c r="Q386">
        <v>1</v>
      </c>
      <c r="X386">
        <v>0.5</v>
      </c>
      <c r="Y386">
        <v>66.819999999999993</v>
      </c>
      <c r="Z386">
        <v>0</v>
      </c>
      <c r="AA386">
        <v>0</v>
      </c>
      <c r="AB386">
        <v>0</v>
      </c>
      <c r="AC386">
        <v>0</v>
      </c>
      <c r="AD386">
        <v>1</v>
      </c>
      <c r="AE386">
        <v>0</v>
      </c>
      <c r="AF386" t="s">
        <v>6</v>
      </c>
      <c r="AG386">
        <v>0.5</v>
      </c>
      <c r="AH386">
        <v>2</v>
      </c>
      <c r="AI386">
        <v>16751002</v>
      </c>
      <c r="AJ386">
        <v>409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</row>
    <row r="387" spans="1:44" x14ac:dyDescent="0.2">
      <c r="A387">
        <f>ROW(Source!A305)</f>
        <v>305</v>
      </c>
      <c r="B387">
        <v>16751014</v>
      </c>
      <c r="C387">
        <v>16750993</v>
      </c>
      <c r="D387">
        <v>15164559</v>
      </c>
      <c r="E387">
        <v>17</v>
      </c>
      <c r="F387">
        <v>1</v>
      </c>
      <c r="G387">
        <v>1</v>
      </c>
      <c r="H387">
        <v>3</v>
      </c>
      <c r="I387" t="s">
        <v>1383</v>
      </c>
      <c r="J387" t="s">
        <v>6</v>
      </c>
      <c r="K387" t="s">
        <v>1384</v>
      </c>
      <c r="L387">
        <v>1374</v>
      </c>
      <c r="N387">
        <v>1013</v>
      </c>
      <c r="O387" t="s">
        <v>1385</v>
      </c>
      <c r="P387" t="s">
        <v>1385</v>
      </c>
      <c r="Q387">
        <v>1</v>
      </c>
      <c r="X387">
        <v>2.87</v>
      </c>
      <c r="Y387">
        <v>1</v>
      </c>
      <c r="Z387">
        <v>0</v>
      </c>
      <c r="AA387">
        <v>0</v>
      </c>
      <c r="AB387">
        <v>0</v>
      </c>
      <c r="AC387">
        <v>0</v>
      </c>
      <c r="AD387">
        <v>1</v>
      </c>
      <c r="AE387">
        <v>0</v>
      </c>
      <c r="AF387" t="s">
        <v>6</v>
      </c>
      <c r="AG387">
        <v>2.87</v>
      </c>
      <c r="AH387">
        <v>2</v>
      </c>
      <c r="AI387">
        <v>16751003</v>
      </c>
      <c r="AJ387">
        <v>411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</row>
    <row r="388" spans="1:44" x14ac:dyDescent="0.2">
      <c r="A388">
        <f>ROW(Source!A307)</f>
        <v>307</v>
      </c>
      <c r="B388">
        <v>16751026</v>
      </c>
      <c r="C388">
        <v>16751016</v>
      </c>
      <c r="D388">
        <v>15442878</v>
      </c>
      <c r="E388">
        <v>1</v>
      </c>
      <c r="F388">
        <v>1</v>
      </c>
      <c r="G388">
        <v>1</v>
      </c>
      <c r="H388">
        <v>1</v>
      </c>
      <c r="I388" t="s">
        <v>1386</v>
      </c>
      <c r="J388" t="s">
        <v>6</v>
      </c>
      <c r="K388" t="s">
        <v>1387</v>
      </c>
      <c r="L388">
        <v>1191</v>
      </c>
      <c r="N388">
        <v>1013</v>
      </c>
      <c r="O388" t="s">
        <v>1072</v>
      </c>
      <c r="P388" t="s">
        <v>1072</v>
      </c>
      <c r="Q388">
        <v>1</v>
      </c>
      <c r="X388">
        <v>0.9</v>
      </c>
      <c r="Y388">
        <v>0</v>
      </c>
      <c r="Z388">
        <v>0</v>
      </c>
      <c r="AA388">
        <v>0</v>
      </c>
      <c r="AB388">
        <v>10.5</v>
      </c>
      <c r="AC388">
        <v>0</v>
      </c>
      <c r="AD388">
        <v>1</v>
      </c>
      <c r="AE388">
        <v>1</v>
      </c>
      <c r="AF388" t="s">
        <v>6</v>
      </c>
      <c r="AG388">
        <v>0.9</v>
      </c>
      <c r="AH388">
        <v>2</v>
      </c>
      <c r="AI388">
        <v>16751017</v>
      </c>
      <c r="AJ388">
        <v>412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</row>
    <row r="389" spans="1:44" x14ac:dyDescent="0.2">
      <c r="A389">
        <f>ROW(Source!A307)</f>
        <v>307</v>
      </c>
      <c r="B389">
        <v>16751027</v>
      </c>
      <c r="C389">
        <v>16751016</v>
      </c>
      <c r="D389">
        <v>15430395</v>
      </c>
      <c r="E389">
        <v>1</v>
      </c>
      <c r="F389">
        <v>1</v>
      </c>
      <c r="G389">
        <v>1</v>
      </c>
      <c r="H389">
        <v>1</v>
      </c>
      <c r="I389" t="s">
        <v>1073</v>
      </c>
      <c r="J389" t="s">
        <v>6</v>
      </c>
      <c r="K389" t="s">
        <v>1074</v>
      </c>
      <c r="L389">
        <v>1191</v>
      </c>
      <c r="N389">
        <v>1013</v>
      </c>
      <c r="O389" t="s">
        <v>1072</v>
      </c>
      <c r="P389" t="s">
        <v>1072</v>
      </c>
      <c r="Q389">
        <v>1</v>
      </c>
      <c r="X389">
        <v>0.2</v>
      </c>
      <c r="Y389">
        <v>0</v>
      </c>
      <c r="Z389">
        <v>0</v>
      </c>
      <c r="AA389">
        <v>0</v>
      </c>
      <c r="AB389">
        <v>0</v>
      </c>
      <c r="AC389">
        <v>0</v>
      </c>
      <c r="AD389">
        <v>1</v>
      </c>
      <c r="AE389">
        <v>2</v>
      </c>
      <c r="AF389" t="s">
        <v>6</v>
      </c>
      <c r="AG389">
        <v>0.2</v>
      </c>
      <c r="AH389">
        <v>2</v>
      </c>
      <c r="AI389">
        <v>16751018</v>
      </c>
      <c r="AJ389">
        <v>413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</row>
    <row r="390" spans="1:44" x14ac:dyDescent="0.2">
      <c r="A390">
        <f>ROW(Source!A307)</f>
        <v>307</v>
      </c>
      <c r="B390">
        <v>16751028</v>
      </c>
      <c r="C390">
        <v>16751016</v>
      </c>
      <c r="D390">
        <v>15247680</v>
      </c>
      <c r="E390">
        <v>1</v>
      </c>
      <c r="F390">
        <v>1</v>
      </c>
      <c r="G390">
        <v>1</v>
      </c>
      <c r="H390">
        <v>2</v>
      </c>
      <c r="I390" t="s">
        <v>1211</v>
      </c>
      <c r="J390" t="s">
        <v>1212</v>
      </c>
      <c r="K390" t="s">
        <v>1213</v>
      </c>
      <c r="L390">
        <v>1368</v>
      </c>
      <c r="N390">
        <v>1011</v>
      </c>
      <c r="O390" t="s">
        <v>1078</v>
      </c>
      <c r="P390" t="s">
        <v>1078</v>
      </c>
      <c r="Q390">
        <v>1</v>
      </c>
      <c r="X390">
        <v>0.1</v>
      </c>
      <c r="Y390">
        <v>0</v>
      </c>
      <c r="Z390">
        <v>111.99</v>
      </c>
      <c r="AA390">
        <v>13.5</v>
      </c>
      <c r="AB390">
        <v>0</v>
      </c>
      <c r="AC390">
        <v>0</v>
      </c>
      <c r="AD390">
        <v>1</v>
      </c>
      <c r="AE390">
        <v>0</v>
      </c>
      <c r="AF390" t="s">
        <v>6</v>
      </c>
      <c r="AG390">
        <v>0.1</v>
      </c>
      <c r="AH390">
        <v>2</v>
      </c>
      <c r="AI390">
        <v>16751019</v>
      </c>
      <c r="AJ390">
        <v>414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</row>
    <row r="391" spans="1:44" x14ac:dyDescent="0.2">
      <c r="A391">
        <f>ROW(Source!A307)</f>
        <v>307</v>
      </c>
      <c r="B391">
        <v>16751029</v>
      </c>
      <c r="C391">
        <v>16751016</v>
      </c>
      <c r="D391">
        <v>15249073</v>
      </c>
      <c r="E391">
        <v>1</v>
      </c>
      <c r="F391">
        <v>1</v>
      </c>
      <c r="G391">
        <v>1</v>
      </c>
      <c r="H391">
        <v>2</v>
      </c>
      <c r="I391" t="s">
        <v>1097</v>
      </c>
      <c r="J391" t="s">
        <v>1098</v>
      </c>
      <c r="K391" t="s">
        <v>1099</v>
      </c>
      <c r="L391">
        <v>1368</v>
      </c>
      <c r="N391">
        <v>1011</v>
      </c>
      <c r="O391" t="s">
        <v>1078</v>
      </c>
      <c r="P391" t="s">
        <v>1078</v>
      </c>
      <c r="Q391">
        <v>1</v>
      </c>
      <c r="X391">
        <v>0.1</v>
      </c>
      <c r="Y391">
        <v>0</v>
      </c>
      <c r="Z391">
        <v>65.709999999999994</v>
      </c>
      <c r="AA391">
        <v>11.6</v>
      </c>
      <c r="AB391">
        <v>0</v>
      </c>
      <c r="AC391">
        <v>0</v>
      </c>
      <c r="AD391">
        <v>1</v>
      </c>
      <c r="AE391">
        <v>0</v>
      </c>
      <c r="AF391" t="s">
        <v>6</v>
      </c>
      <c r="AG391">
        <v>0.1</v>
      </c>
      <c r="AH391">
        <v>2</v>
      </c>
      <c r="AI391">
        <v>16751020</v>
      </c>
      <c r="AJ391">
        <v>415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</row>
    <row r="392" spans="1:44" x14ac:dyDescent="0.2">
      <c r="A392">
        <f>ROW(Source!A307)</f>
        <v>307</v>
      </c>
      <c r="B392">
        <v>16751030</v>
      </c>
      <c r="C392">
        <v>16751016</v>
      </c>
      <c r="D392">
        <v>15167588</v>
      </c>
      <c r="E392">
        <v>1</v>
      </c>
      <c r="F392">
        <v>1</v>
      </c>
      <c r="G392">
        <v>1</v>
      </c>
      <c r="H392">
        <v>3</v>
      </c>
      <c r="I392" t="s">
        <v>1388</v>
      </c>
      <c r="J392" t="s">
        <v>1389</v>
      </c>
      <c r="K392" t="s">
        <v>1390</v>
      </c>
      <c r="L392">
        <v>1346</v>
      </c>
      <c r="N392">
        <v>1009</v>
      </c>
      <c r="O392" t="s">
        <v>323</v>
      </c>
      <c r="P392" t="s">
        <v>323</v>
      </c>
      <c r="Q392">
        <v>1</v>
      </c>
      <c r="X392">
        <v>0.01</v>
      </c>
      <c r="Y392">
        <v>30.4</v>
      </c>
      <c r="Z392">
        <v>0</v>
      </c>
      <c r="AA392">
        <v>0</v>
      </c>
      <c r="AB392">
        <v>0</v>
      </c>
      <c r="AC392">
        <v>0</v>
      </c>
      <c r="AD392">
        <v>1</v>
      </c>
      <c r="AE392">
        <v>0</v>
      </c>
      <c r="AF392" t="s">
        <v>6</v>
      </c>
      <c r="AG392">
        <v>0.01</v>
      </c>
      <c r="AH392">
        <v>2</v>
      </c>
      <c r="AI392">
        <v>16751021</v>
      </c>
      <c r="AJ392">
        <v>416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</row>
    <row r="393" spans="1:44" x14ac:dyDescent="0.2">
      <c r="A393">
        <f>ROW(Source!A307)</f>
        <v>307</v>
      </c>
      <c r="B393">
        <v>16751031</v>
      </c>
      <c r="C393">
        <v>16751016</v>
      </c>
      <c r="D393">
        <v>15169942</v>
      </c>
      <c r="E393">
        <v>1</v>
      </c>
      <c r="F393">
        <v>1</v>
      </c>
      <c r="G393">
        <v>1</v>
      </c>
      <c r="H393">
        <v>3</v>
      </c>
      <c r="I393" t="s">
        <v>1391</v>
      </c>
      <c r="J393" t="s">
        <v>1392</v>
      </c>
      <c r="K393" t="s">
        <v>1291</v>
      </c>
      <c r="L393">
        <v>1346</v>
      </c>
      <c r="N393">
        <v>1009</v>
      </c>
      <c r="O393" t="s">
        <v>323</v>
      </c>
      <c r="P393" t="s">
        <v>323</v>
      </c>
      <c r="Q393">
        <v>1</v>
      </c>
      <c r="X393">
        <v>0.3</v>
      </c>
      <c r="Y393">
        <v>9.0399999999999991</v>
      </c>
      <c r="Z393">
        <v>0</v>
      </c>
      <c r="AA393">
        <v>0</v>
      </c>
      <c r="AB393">
        <v>0</v>
      </c>
      <c r="AC393">
        <v>0</v>
      </c>
      <c r="AD393">
        <v>1</v>
      </c>
      <c r="AE393">
        <v>0</v>
      </c>
      <c r="AF393" t="s">
        <v>6</v>
      </c>
      <c r="AG393">
        <v>0.3</v>
      </c>
      <c r="AH393">
        <v>2</v>
      </c>
      <c r="AI393">
        <v>16751022</v>
      </c>
      <c r="AJ393">
        <v>417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</row>
    <row r="394" spans="1:44" x14ac:dyDescent="0.2">
      <c r="A394">
        <f>ROW(Source!A307)</f>
        <v>307</v>
      </c>
      <c r="B394">
        <v>16751032</v>
      </c>
      <c r="C394">
        <v>16751016</v>
      </c>
      <c r="D394">
        <v>15191488</v>
      </c>
      <c r="E394">
        <v>1</v>
      </c>
      <c r="F394">
        <v>1</v>
      </c>
      <c r="G394">
        <v>1</v>
      </c>
      <c r="H394">
        <v>3</v>
      </c>
      <c r="I394" t="s">
        <v>1393</v>
      </c>
      <c r="J394" t="s">
        <v>1394</v>
      </c>
      <c r="K394" t="s">
        <v>1395</v>
      </c>
      <c r="L394">
        <v>1348</v>
      </c>
      <c r="N394">
        <v>1009</v>
      </c>
      <c r="O394" t="s">
        <v>71</v>
      </c>
      <c r="P394" t="s">
        <v>71</v>
      </c>
      <c r="Q394">
        <v>1000</v>
      </c>
      <c r="X394">
        <v>5.9999999999999995E-4</v>
      </c>
      <c r="Y394">
        <v>5000</v>
      </c>
      <c r="Z394">
        <v>0</v>
      </c>
      <c r="AA394">
        <v>0</v>
      </c>
      <c r="AB394">
        <v>0</v>
      </c>
      <c r="AC394">
        <v>0</v>
      </c>
      <c r="AD394">
        <v>1</v>
      </c>
      <c r="AE394">
        <v>0</v>
      </c>
      <c r="AF394" t="s">
        <v>6</v>
      </c>
      <c r="AG394">
        <v>5.9999999999999995E-4</v>
      </c>
      <c r="AH394">
        <v>2</v>
      </c>
      <c r="AI394">
        <v>16751023</v>
      </c>
      <c r="AJ394">
        <v>418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</row>
    <row r="395" spans="1:44" x14ac:dyDescent="0.2">
      <c r="A395">
        <f>ROW(Source!A307)</f>
        <v>307</v>
      </c>
      <c r="B395">
        <v>16751033</v>
      </c>
      <c r="C395">
        <v>16751016</v>
      </c>
      <c r="D395">
        <v>15164559</v>
      </c>
      <c r="E395">
        <v>17</v>
      </c>
      <c r="F395">
        <v>1</v>
      </c>
      <c r="G395">
        <v>1</v>
      </c>
      <c r="H395">
        <v>3</v>
      </c>
      <c r="I395" t="s">
        <v>1383</v>
      </c>
      <c r="J395" t="s">
        <v>6</v>
      </c>
      <c r="K395" t="s">
        <v>1384</v>
      </c>
      <c r="L395">
        <v>1374</v>
      </c>
      <c r="N395">
        <v>1013</v>
      </c>
      <c r="O395" t="s">
        <v>1385</v>
      </c>
      <c r="P395" t="s">
        <v>1385</v>
      </c>
      <c r="Q395">
        <v>1</v>
      </c>
      <c r="X395">
        <v>0.19</v>
      </c>
      <c r="Y395">
        <v>1</v>
      </c>
      <c r="Z395">
        <v>0</v>
      </c>
      <c r="AA395">
        <v>0</v>
      </c>
      <c r="AB395">
        <v>0</v>
      </c>
      <c r="AC395">
        <v>0</v>
      </c>
      <c r="AD395">
        <v>1</v>
      </c>
      <c r="AE395">
        <v>0</v>
      </c>
      <c r="AF395" t="s">
        <v>6</v>
      </c>
      <c r="AG395">
        <v>0.19</v>
      </c>
      <c r="AH395">
        <v>2</v>
      </c>
      <c r="AI395">
        <v>16751024</v>
      </c>
      <c r="AJ395">
        <v>420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</row>
    <row r="396" spans="1:44" x14ac:dyDescent="0.2">
      <c r="A396">
        <f>ROW(Source!A309)</f>
        <v>309</v>
      </c>
      <c r="B396">
        <v>16751051</v>
      </c>
      <c r="C396">
        <v>16751035</v>
      </c>
      <c r="D396">
        <v>15435721</v>
      </c>
      <c r="E396">
        <v>1</v>
      </c>
      <c r="F396">
        <v>1</v>
      </c>
      <c r="G396">
        <v>1</v>
      </c>
      <c r="H396">
        <v>1</v>
      </c>
      <c r="I396" t="s">
        <v>1353</v>
      </c>
      <c r="J396" t="s">
        <v>6</v>
      </c>
      <c r="K396" t="s">
        <v>1354</v>
      </c>
      <c r="L396">
        <v>1191</v>
      </c>
      <c r="N396">
        <v>1013</v>
      </c>
      <c r="O396" t="s">
        <v>1072</v>
      </c>
      <c r="P396" t="s">
        <v>1072</v>
      </c>
      <c r="Q396">
        <v>1</v>
      </c>
      <c r="X396">
        <v>1.62</v>
      </c>
      <c r="Y396">
        <v>0</v>
      </c>
      <c r="Z396">
        <v>0</v>
      </c>
      <c r="AA396">
        <v>0</v>
      </c>
      <c r="AB396">
        <v>9.51</v>
      </c>
      <c r="AC396">
        <v>0</v>
      </c>
      <c r="AD396">
        <v>1</v>
      </c>
      <c r="AE396">
        <v>1</v>
      </c>
      <c r="AF396" t="s">
        <v>6</v>
      </c>
      <c r="AG396">
        <v>1.62</v>
      </c>
      <c r="AH396">
        <v>2</v>
      </c>
      <c r="AI396">
        <v>16751036</v>
      </c>
      <c r="AJ396">
        <v>421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</row>
    <row r="397" spans="1:44" x14ac:dyDescent="0.2">
      <c r="A397">
        <f>ROW(Source!A309)</f>
        <v>309</v>
      </c>
      <c r="B397">
        <v>16751052</v>
      </c>
      <c r="C397">
        <v>16751035</v>
      </c>
      <c r="D397">
        <v>15249377</v>
      </c>
      <c r="E397">
        <v>1</v>
      </c>
      <c r="F397">
        <v>1</v>
      </c>
      <c r="G397">
        <v>1</v>
      </c>
      <c r="H397">
        <v>2</v>
      </c>
      <c r="I397" t="s">
        <v>1100</v>
      </c>
      <c r="J397" t="s">
        <v>1101</v>
      </c>
      <c r="K397" t="s">
        <v>1102</v>
      </c>
      <c r="L397">
        <v>1368</v>
      </c>
      <c r="N397">
        <v>1011</v>
      </c>
      <c r="O397" t="s">
        <v>1078</v>
      </c>
      <c r="P397" t="s">
        <v>1078</v>
      </c>
      <c r="Q397">
        <v>1</v>
      </c>
      <c r="X397">
        <v>0.14000000000000001</v>
      </c>
      <c r="Y397">
        <v>0</v>
      </c>
      <c r="Z397">
        <v>8.1</v>
      </c>
      <c r="AA397">
        <v>0</v>
      </c>
      <c r="AB397">
        <v>0</v>
      </c>
      <c r="AC397">
        <v>0</v>
      </c>
      <c r="AD397">
        <v>1</v>
      </c>
      <c r="AE397">
        <v>0</v>
      </c>
      <c r="AF397" t="s">
        <v>6</v>
      </c>
      <c r="AG397">
        <v>0.14000000000000001</v>
      </c>
      <c r="AH397">
        <v>2</v>
      </c>
      <c r="AI397">
        <v>16751037</v>
      </c>
      <c r="AJ397">
        <v>422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</row>
    <row r="398" spans="1:44" x14ac:dyDescent="0.2">
      <c r="A398">
        <f>ROW(Source!A309)</f>
        <v>309</v>
      </c>
      <c r="B398">
        <v>16751053</v>
      </c>
      <c r="C398">
        <v>16751035</v>
      </c>
      <c r="D398">
        <v>15165537</v>
      </c>
      <c r="E398">
        <v>1</v>
      </c>
      <c r="F398">
        <v>1</v>
      </c>
      <c r="G398">
        <v>1</v>
      </c>
      <c r="H398">
        <v>3</v>
      </c>
      <c r="I398" t="s">
        <v>1437</v>
      </c>
      <c r="J398" t="s">
        <v>1438</v>
      </c>
      <c r="K398" t="s">
        <v>1439</v>
      </c>
      <c r="L398">
        <v>1346</v>
      </c>
      <c r="N398">
        <v>1009</v>
      </c>
      <c r="O398" t="s">
        <v>323</v>
      </c>
      <c r="P398" t="s">
        <v>323</v>
      </c>
      <c r="Q398">
        <v>1</v>
      </c>
      <c r="X398">
        <v>6.0000000000000001E-3</v>
      </c>
      <c r="Y398">
        <v>44.97</v>
      </c>
      <c r="Z398">
        <v>0</v>
      </c>
      <c r="AA398">
        <v>0</v>
      </c>
      <c r="AB398">
        <v>0</v>
      </c>
      <c r="AC398">
        <v>0</v>
      </c>
      <c r="AD398">
        <v>1</v>
      </c>
      <c r="AE398">
        <v>0</v>
      </c>
      <c r="AF398" t="s">
        <v>6</v>
      </c>
      <c r="AG398">
        <v>6.0000000000000001E-3</v>
      </c>
      <c r="AH398">
        <v>2</v>
      </c>
      <c r="AI398">
        <v>16751038</v>
      </c>
      <c r="AJ398">
        <v>423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</row>
    <row r="399" spans="1:44" x14ac:dyDescent="0.2">
      <c r="A399">
        <f>ROW(Source!A309)</f>
        <v>309</v>
      </c>
      <c r="B399">
        <v>16751054</v>
      </c>
      <c r="C399">
        <v>16751035</v>
      </c>
      <c r="D399">
        <v>15167269</v>
      </c>
      <c r="E399">
        <v>1</v>
      </c>
      <c r="F399">
        <v>1</v>
      </c>
      <c r="G399">
        <v>1</v>
      </c>
      <c r="H399">
        <v>3</v>
      </c>
      <c r="I399" t="s">
        <v>1440</v>
      </c>
      <c r="J399" t="s">
        <v>1441</v>
      </c>
      <c r="K399" t="s">
        <v>1442</v>
      </c>
      <c r="L399">
        <v>1346</v>
      </c>
      <c r="N399">
        <v>1009</v>
      </c>
      <c r="O399" t="s">
        <v>323</v>
      </c>
      <c r="P399" t="s">
        <v>323</v>
      </c>
      <c r="Q399">
        <v>1</v>
      </c>
      <c r="X399">
        <v>1E-3</v>
      </c>
      <c r="Y399">
        <v>11.5</v>
      </c>
      <c r="Z399">
        <v>0</v>
      </c>
      <c r="AA399">
        <v>0</v>
      </c>
      <c r="AB399">
        <v>0</v>
      </c>
      <c r="AC399">
        <v>0</v>
      </c>
      <c r="AD399">
        <v>1</v>
      </c>
      <c r="AE399">
        <v>0</v>
      </c>
      <c r="AF399" t="s">
        <v>6</v>
      </c>
      <c r="AG399">
        <v>1E-3</v>
      </c>
      <c r="AH399">
        <v>2</v>
      </c>
      <c r="AI399">
        <v>16751039</v>
      </c>
      <c r="AJ399">
        <v>424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</row>
    <row r="400" spans="1:44" x14ac:dyDescent="0.2">
      <c r="A400">
        <f>ROW(Source!A309)</f>
        <v>309</v>
      </c>
      <c r="B400">
        <v>16751055</v>
      </c>
      <c r="C400">
        <v>16751035</v>
      </c>
      <c r="D400">
        <v>15167588</v>
      </c>
      <c r="E400">
        <v>1</v>
      </c>
      <c r="F400">
        <v>1</v>
      </c>
      <c r="G400">
        <v>1</v>
      </c>
      <c r="H400">
        <v>3</v>
      </c>
      <c r="I400" t="s">
        <v>1388</v>
      </c>
      <c r="J400" t="s">
        <v>1389</v>
      </c>
      <c r="K400" t="s">
        <v>1390</v>
      </c>
      <c r="L400">
        <v>1346</v>
      </c>
      <c r="N400">
        <v>1009</v>
      </c>
      <c r="O400" t="s">
        <v>323</v>
      </c>
      <c r="P400" t="s">
        <v>323</v>
      </c>
      <c r="Q400">
        <v>1</v>
      </c>
      <c r="X400">
        <v>1.2E-2</v>
      </c>
      <c r="Y400">
        <v>30.4</v>
      </c>
      <c r="Z400">
        <v>0</v>
      </c>
      <c r="AA400">
        <v>0</v>
      </c>
      <c r="AB400">
        <v>0</v>
      </c>
      <c r="AC400">
        <v>0</v>
      </c>
      <c r="AD400">
        <v>1</v>
      </c>
      <c r="AE400">
        <v>0</v>
      </c>
      <c r="AF400" t="s">
        <v>6</v>
      </c>
      <c r="AG400">
        <v>1.2E-2</v>
      </c>
      <c r="AH400">
        <v>2</v>
      </c>
      <c r="AI400">
        <v>16751040</v>
      </c>
      <c r="AJ400">
        <v>425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</row>
    <row r="401" spans="1:44" x14ac:dyDescent="0.2">
      <c r="A401">
        <f>ROW(Source!A309)</f>
        <v>309</v>
      </c>
      <c r="B401">
        <v>16751056</v>
      </c>
      <c r="C401">
        <v>16751035</v>
      </c>
      <c r="D401">
        <v>15168752</v>
      </c>
      <c r="E401">
        <v>1</v>
      </c>
      <c r="F401">
        <v>1</v>
      </c>
      <c r="G401">
        <v>1</v>
      </c>
      <c r="H401">
        <v>3</v>
      </c>
      <c r="I401" t="s">
        <v>1443</v>
      </c>
      <c r="J401" t="s">
        <v>1444</v>
      </c>
      <c r="K401" t="s">
        <v>1445</v>
      </c>
      <c r="L401">
        <v>1346</v>
      </c>
      <c r="N401">
        <v>1009</v>
      </c>
      <c r="O401" t="s">
        <v>323</v>
      </c>
      <c r="P401" t="s">
        <v>323</v>
      </c>
      <c r="Q401">
        <v>1</v>
      </c>
      <c r="X401">
        <v>7.0000000000000007E-2</v>
      </c>
      <c r="Y401">
        <v>10.57</v>
      </c>
      <c r="Z401">
        <v>0</v>
      </c>
      <c r="AA401">
        <v>0</v>
      </c>
      <c r="AB401">
        <v>0</v>
      </c>
      <c r="AC401">
        <v>0</v>
      </c>
      <c r="AD401">
        <v>1</v>
      </c>
      <c r="AE401">
        <v>0</v>
      </c>
      <c r="AF401" t="s">
        <v>6</v>
      </c>
      <c r="AG401">
        <v>7.0000000000000007E-2</v>
      </c>
      <c r="AH401">
        <v>2</v>
      </c>
      <c r="AI401">
        <v>16751041</v>
      </c>
      <c r="AJ401">
        <v>426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</row>
    <row r="402" spans="1:44" x14ac:dyDescent="0.2">
      <c r="A402">
        <f>ROW(Source!A309)</f>
        <v>309</v>
      </c>
      <c r="B402">
        <v>16751057</v>
      </c>
      <c r="C402">
        <v>16751035</v>
      </c>
      <c r="D402">
        <v>15169942</v>
      </c>
      <c r="E402">
        <v>1</v>
      </c>
      <c r="F402">
        <v>1</v>
      </c>
      <c r="G402">
        <v>1</v>
      </c>
      <c r="H402">
        <v>3</v>
      </c>
      <c r="I402" t="s">
        <v>1391</v>
      </c>
      <c r="J402" t="s">
        <v>1392</v>
      </c>
      <c r="K402" t="s">
        <v>1291</v>
      </c>
      <c r="L402">
        <v>1346</v>
      </c>
      <c r="N402">
        <v>1009</v>
      </c>
      <c r="O402" t="s">
        <v>323</v>
      </c>
      <c r="P402" t="s">
        <v>323</v>
      </c>
      <c r="Q402">
        <v>1</v>
      </c>
      <c r="X402">
        <v>4.9000000000000002E-2</v>
      </c>
      <c r="Y402">
        <v>9.0399999999999991</v>
      </c>
      <c r="Z402">
        <v>0</v>
      </c>
      <c r="AA402">
        <v>0</v>
      </c>
      <c r="AB402">
        <v>0</v>
      </c>
      <c r="AC402">
        <v>0</v>
      </c>
      <c r="AD402">
        <v>1</v>
      </c>
      <c r="AE402">
        <v>0</v>
      </c>
      <c r="AF402" t="s">
        <v>6</v>
      </c>
      <c r="AG402">
        <v>4.9000000000000002E-2</v>
      </c>
      <c r="AH402">
        <v>2</v>
      </c>
      <c r="AI402">
        <v>16751042</v>
      </c>
      <c r="AJ402">
        <v>427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</row>
    <row r="403" spans="1:44" x14ac:dyDescent="0.2">
      <c r="A403">
        <f>ROW(Source!A309)</f>
        <v>309</v>
      </c>
      <c r="B403">
        <v>16751058</v>
      </c>
      <c r="C403">
        <v>16751035</v>
      </c>
      <c r="D403">
        <v>15170074</v>
      </c>
      <c r="E403">
        <v>1</v>
      </c>
      <c r="F403">
        <v>1</v>
      </c>
      <c r="G403">
        <v>1</v>
      </c>
      <c r="H403">
        <v>3</v>
      </c>
      <c r="I403" t="s">
        <v>1399</v>
      </c>
      <c r="J403" t="s">
        <v>1400</v>
      </c>
      <c r="K403" t="s">
        <v>1401</v>
      </c>
      <c r="L403">
        <v>1355</v>
      </c>
      <c r="N403">
        <v>1010</v>
      </c>
      <c r="O403" t="s">
        <v>724</v>
      </c>
      <c r="P403" t="s">
        <v>724</v>
      </c>
      <c r="Q403">
        <v>100</v>
      </c>
      <c r="X403">
        <v>0.02</v>
      </c>
      <c r="Y403">
        <v>86</v>
      </c>
      <c r="Z403">
        <v>0</v>
      </c>
      <c r="AA403">
        <v>0</v>
      </c>
      <c r="AB403">
        <v>0</v>
      </c>
      <c r="AC403">
        <v>0</v>
      </c>
      <c r="AD403">
        <v>1</v>
      </c>
      <c r="AE403">
        <v>0</v>
      </c>
      <c r="AF403" t="s">
        <v>6</v>
      </c>
      <c r="AG403">
        <v>0.02</v>
      </c>
      <c r="AH403">
        <v>2</v>
      </c>
      <c r="AI403">
        <v>16751043</v>
      </c>
      <c r="AJ403">
        <v>428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</row>
    <row r="404" spans="1:44" x14ac:dyDescent="0.2">
      <c r="A404">
        <f>ROW(Source!A309)</f>
        <v>309</v>
      </c>
      <c r="B404">
        <v>16751059</v>
      </c>
      <c r="C404">
        <v>16751035</v>
      </c>
      <c r="D404">
        <v>15170994</v>
      </c>
      <c r="E404">
        <v>1</v>
      </c>
      <c r="F404">
        <v>1</v>
      </c>
      <c r="G404">
        <v>1</v>
      </c>
      <c r="H404">
        <v>3</v>
      </c>
      <c r="I404" t="s">
        <v>1446</v>
      </c>
      <c r="J404" t="s">
        <v>1447</v>
      </c>
      <c r="K404" t="s">
        <v>1448</v>
      </c>
      <c r="L404">
        <v>1346</v>
      </c>
      <c r="N404">
        <v>1009</v>
      </c>
      <c r="O404" t="s">
        <v>323</v>
      </c>
      <c r="P404" t="s">
        <v>323</v>
      </c>
      <c r="Q404">
        <v>1</v>
      </c>
      <c r="X404">
        <v>1E-3</v>
      </c>
      <c r="Y404">
        <v>133.05000000000001</v>
      </c>
      <c r="Z404">
        <v>0</v>
      </c>
      <c r="AA404">
        <v>0</v>
      </c>
      <c r="AB404">
        <v>0</v>
      </c>
      <c r="AC404">
        <v>0</v>
      </c>
      <c r="AD404">
        <v>1</v>
      </c>
      <c r="AE404">
        <v>0</v>
      </c>
      <c r="AF404" t="s">
        <v>6</v>
      </c>
      <c r="AG404">
        <v>1E-3</v>
      </c>
      <c r="AH404">
        <v>2</v>
      </c>
      <c r="AI404">
        <v>16751044</v>
      </c>
      <c r="AJ404">
        <v>429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</row>
    <row r="405" spans="1:44" x14ac:dyDescent="0.2">
      <c r="A405">
        <f>ROW(Source!A309)</f>
        <v>309</v>
      </c>
      <c r="B405">
        <v>16751060</v>
      </c>
      <c r="C405">
        <v>16751035</v>
      </c>
      <c r="D405">
        <v>15188647</v>
      </c>
      <c r="E405">
        <v>1</v>
      </c>
      <c r="F405">
        <v>1</v>
      </c>
      <c r="G405">
        <v>1</v>
      </c>
      <c r="H405">
        <v>3</v>
      </c>
      <c r="I405" t="s">
        <v>1449</v>
      </c>
      <c r="J405" t="s">
        <v>1450</v>
      </c>
      <c r="K405" t="s">
        <v>1451</v>
      </c>
      <c r="L405">
        <v>1348</v>
      </c>
      <c r="N405">
        <v>1009</v>
      </c>
      <c r="O405" t="s">
        <v>71</v>
      </c>
      <c r="P405" t="s">
        <v>71</v>
      </c>
      <c r="Q405">
        <v>1000</v>
      </c>
      <c r="X405">
        <v>4.0000000000000001E-3</v>
      </c>
      <c r="Y405">
        <v>11500</v>
      </c>
      <c r="Z405">
        <v>0</v>
      </c>
      <c r="AA405">
        <v>0</v>
      </c>
      <c r="AB405">
        <v>0</v>
      </c>
      <c r="AC405">
        <v>0</v>
      </c>
      <c r="AD405">
        <v>1</v>
      </c>
      <c r="AE405">
        <v>0</v>
      </c>
      <c r="AF405" t="s">
        <v>6</v>
      </c>
      <c r="AG405">
        <v>4.0000000000000001E-3</v>
      </c>
      <c r="AH405">
        <v>2</v>
      </c>
      <c r="AI405">
        <v>16751045</v>
      </c>
      <c r="AJ405">
        <v>430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</row>
    <row r="406" spans="1:44" x14ac:dyDescent="0.2">
      <c r="A406">
        <f>ROW(Source!A309)</f>
        <v>309</v>
      </c>
      <c r="B406">
        <v>16751061</v>
      </c>
      <c r="C406">
        <v>16751035</v>
      </c>
      <c r="D406">
        <v>15203834</v>
      </c>
      <c r="E406">
        <v>1</v>
      </c>
      <c r="F406">
        <v>1</v>
      </c>
      <c r="G406">
        <v>1</v>
      </c>
      <c r="H406">
        <v>3</v>
      </c>
      <c r="I406" t="s">
        <v>1411</v>
      </c>
      <c r="J406" t="s">
        <v>1412</v>
      </c>
      <c r="K406" t="s">
        <v>374</v>
      </c>
      <c r="L406">
        <v>1346</v>
      </c>
      <c r="N406">
        <v>1009</v>
      </c>
      <c r="O406" t="s">
        <v>323</v>
      </c>
      <c r="P406" t="s">
        <v>323</v>
      </c>
      <c r="Q406">
        <v>1</v>
      </c>
      <c r="X406">
        <v>4.7E-2</v>
      </c>
      <c r="Y406">
        <v>28.6</v>
      </c>
      <c r="Z406">
        <v>0</v>
      </c>
      <c r="AA406">
        <v>0</v>
      </c>
      <c r="AB406">
        <v>0</v>
      </c>
      <c r="AC406">
        <v>0</v>
      </c>
      <c r="AD406">
        <v>1</v>
      </c>
      <c r="AE406">
        <v>0</v>
      </c>
      <c r="AF406" t="s">
        <v>6</v>
      </c>
      <c r="AG406">
        <v>4.7E-2</v>
      </c>
      <c r="AH406">
        <v>2</v>
      </c>
      <c r="AI406">
        <v>16751046</v>
      </c>
      <c r="AJ406">
        <v>431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</row>
    <row r="407" spans="1:44" x14ac:dyDescent="0.2">
      <c r="A407">
        <f>ROW(Source!A309)</f>
        <v>309</v>
      </c>
      <c r="B407">
        <v>16751062</v>
      </c>
      <c r="C407">
        <v>16751035</v>
      </c>
      <c r="D407">
        <v>15203987</v>
      </c>
      <c r="E407">
        <v>1</v>
      </c>
      <c r="F407">
        <v>1</v>
      </c>
      <c r="G407">
        <v>1</v>
      </c>
      <c r="H407">
        <v>3</v>
      </c>
      <c r="I407" t="s">
        <v>1452</v>
      </c>
      <c r="J407" t="s">
        <v>1453</v>
      </c>
      <c r="K407" t="s">
        <v>1454</v>
      </c>
      <c r="L407">
        <v>1346</v>
      </c>
      <c r="N407">
        <v>1009</v>
      </c>
      <c r="O407" t="s">
        <v>323</v>
      </c>
      <c r="P407" t="s">
        <v>323</v>
      </c>
      <c r="Q407">
        <v>1</v>
      </c>
      <c r="X407">
        <v>6.0000000000000001E-3</v>
      </c>
      <c r="Y407">
        <v>35.630000000000003</v>
      </c>
      <c r="Z407">
        <v>0</v>
      </c>
      <c r="AA407">
        <v>0</v>
      </c>
      <c r="AB407">
        <v>0</v>
      </c>
      <c r="AC407">
        <v>0</v>
      </c>
      <c r="AD407">
        <v>1</v>
      </c>
      <c r="AE407">
        <v>0</v>
      </c>
      <c r="AF407" t="s">
        <v>6</v>
      </c>
      <c r="AG407">
        <v>6.0000000000000001E-3</v>
      </c>
      <c r="AH407">
        <v>2</v>
      </c>
      <c r="AI407">
        <v>16751047</v>
      </c>
      <c r="AJ407">
        <v>432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</row>
    <row r="408" spans="1:44" x14ac:dyDescent="0.2">
      <c r="A408">
        <f>ROW(Source!A309)</f>
        <v>309</v>
      </c>
      <c r="B408">
        <v>16751063</v>
      </c>
      <c r="C408">
        <v>16751035</v>
      </c>
      <c r="D408">
        <v>15217463</v>
      </c>
      <c r="E408">
        <v>1</v>
      </c>
      <c r="F408">
        <v>1</v>
      </c>
      <c r="G408">
        <v>1</v>
      </c>
      <c r="H408">
        <v>3</v>
      </c>
      <c r="I408" t="s">
        <v>1455</v>
      </c>
      <c r="J408" t="s">
        <v>1456</v>
      </c>
      <c r="K408" t="s">
        <v>1457</v>
      </c>
      <c r="L408">
        <v>1358</v>
      </c>
      <c r="N408">
        <v>1010</v>
      </c>
      <c r="O408" t="s">
        <v>615</v>
      </c>
      <c r="P408" t="s">
        <v>615</v>
      </c>
      <c r="Q408">
        <v>10</v>
      </c>
      <c r="X408">
        <v>0.1</v>
      </c>
      <c r="Y408">
        <v>39</v>
      </c>
      <c r="Z408">
        <v>0</v>
      </c>
      <c r="AA408">
        <v>0</v>
      </c>
      <c r="AB408">
        <v>0</v>
      </c>
      <c r="AC408">
        <v>0</v>
      </c>
      <c r="AD408">
        <v>1</v>
      </c>
      <c r="AE408">
        <v>0</v>
      </c>
      <c r="AF408" t="s">
        <v>6</v>
      </c>
      <c r="AG408">
        <v>0.1</v>
      </c>
      <c r="AH408">
        <v>2</v>
      </c>
      <c r="AI408">
        <v>16751048</v>
      </c>
      <c r="AJ408">
        <v>433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</row>
    <row r="409" spans="1:44" x14ac:dyDescent="0.2">
      <c r="A409">
        <f>ROW(Source!A309)</f>
        <v>309</v>
      </c>
      <c r="B409">
        <v>16751064</v>
      </c>
      <c r="C409">
        <v>16751035</v>
      </c>
      <c r="D409">
        <v>15164559</v>
      </c>
      <c r="E409">
        <v>17</v>
      </c>
      <c r="F409">
        <v>1</v>
      </c>
      <c r="G409">
        <v>1</v>
      </c>
      <c r="H409">
        <v>3</v>
      </c>
      <c r="I409" t="s">
        <v>1383</v>
      </c>
      <c r="J409" t="s">
        <v>6</v>
      </c>
      <c r="K409" t="s">
        <v>1384</v>
      </c>
      <c r="L409">
        <v>1374</v>
      </c>
      <c r="N409">
        <v>1013</v>
      </c>
      <c r="O409" t="s">
        <v>1385</v>
      </c>
      <c r="P409" t="s">
        <v>1385</v>
      </c>
      <c r="Q409">
        <v>1</v>
      </c>
      <c r="X409">
        <v>0.31</v>
      </c>
      <c r="Y409">
        <v>1</v>
      </c>
      <c r="Z409">
        <v>0</v>
      </c>
      <c r="AA409">
        <v>0</v>
      </c>
      <c r="AB409">
        <v>0</v>
      </c>
      <c r="AC409">
        <v>0</v>
      </c>
      <c r="AD409">
        <v>1</v>
      </c>
      <c r="AE409">
        <v>0</v>
      </c>
      <c r="AF409" t="s">
        <v>6</v>
      </c>
      <c r="AG409">
        <v>0.31</v>
      </c>
      <c r="AH409">
        <v>2</v>
      </c>
      <c r="AI409">
        <v>16751049</v>
      </c>
      <c r="AJ409">
        <v>435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</row>
    <row r="410" spans="1:44" x14ac:dyDescent="0.2">
      <c r="A410">
        <f>ROW(Source!A311)</f>
        <v>311</v>
      </c>
      <c r="B410">
        <v>16751072</v>
      </c>
      <c r="C410">
        <v>16751066</v>
      </c>
      <c r="D410">
        <v>15446300</v>
      </c>
      <c r="E410">
        <v>1</v>
      </c>
      <c r="F410">
        <v>1</v>
      </c>
      <c r="G410">
        <v>1</v>
      </c>
      <c r="H410">
        <v>1</v>
      </c>
      <c r="I410" t="s">
        <v>1095</v>
      </c>
      <c r="J410" t="s">
        <v>6</v>
      </c>
      <c r="K410" t="s">
        <v>1096</v>
      </c>
      <c r="L410">
        <v>1191</v>
      </c>
      <c r="N410">
        <v>1013</v>
      </c>
      <c r="O410" t="s">
        <v>1072</v>
      </c>
      <c r="P410" t="s">
        <v>1072</v>
      </c>
      <c r="Q410">
        <v>1</v>
      </c>
      <c r="X410">
        <v>1.1200000000000001</v>
      </c>
      <c r="Y410">
        <v>0</v>
      </c>
      <c r="Z410">
        <v>0</v>
      </c>
      <c r="AA410">
        <v>0</v>
      </c>
      <c r="AB410">
        <v>9.92</v>
      </c>
      <c r="AC410">
        <v>0</v>
      </c>
      <c r="AD410">
        <v>1</v>
      </c>
      <c r="AE410">
        <v>1</v>
      </c>
      <c r="AF410" t="s">
        <v>6</v>
      </c>
      <c r="AG410">
        <v>1.1200000000000001</v>
      </c>
      <c r="AH410">
        <v>2</v>
      </c>
      <c r="AI410">
        <v>16751069</v>
      </c>
      <c r="AJ410">
        <v>436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</row>
    <row r="411" spans="1:44" x14ac:dyDescent="0.2">
      <c r="A411">
        <f>ROW(Source!A311)</f>
        <v>311</v>
      </c>
      <c r="B411">
        <v>16751073</v>
      </c>
      <c r="C411">
        <v>16751066</v>
      </c>
      <c r="D411">
        <v>15169942</v>
      </c>
      <c r="E411">
        <v>1</v>
      </c>
      <c r="F411">
        <v>1</v>
      </c>
      <c r="G411">
        <v>1</v>
      </c>
      <c r="H411">
        <v>3</v>
      </c>
      <c r="I411" t="s">
        <v>1391</v>
      </c>
      <c r="J411" t="s">
        <v>1392</v>
      </c>
      <c r="K411" t="s">
        <v>1291</v>
      </c>
      <c r="L411">
        <v>1346</v>
      </c>
      <c r="N411">
        <v>1009</v>
      </c>
      <c r="O411" t="s">
        <v>323</v>
      </c>
      <c r="P411" t="s">
        <v>323</v>
      </c>
      <c r="Q411">
        <v>1</v>
      </c>
      <c r="X411">
        <v>0.02</v>
      </c>
      <c r="Y411">
        <v>9.0399999999999991</v>
      </c>
      <c r="Z411">
        <v>0</v>
      </c>
      <c r="AA411">
        <v>0</v>
      </c>
      <c r="AB411">
        <v>0</v>
      </c>
      <c r="AC411">
        <v>0</v>
      </c>
      <c r="AD411">
        <v>1</v>
      </c>
      <c r="AE411">
        <v>0</v>
      </c>
      <c r="AF411" t="s">
        <v>6</v>
      </c>
      <c r="AG411">
        <v>0.02</v>
      </c>
      <c r="AH411">
        <v>2</v>
      </c>
      <c r="AI411">
        <v>16751070</v>
      </c>
      <c r="AJ411">
        <v>437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</row>
    <row r="412" spans="1:44" x14ac:dyDescent="0.2">
      <c r="A412">
        <f>ROW(Source!A311)</f>
        <v>311</v>
      </c>
      <c r="B412">
        <v>16751074</v>
      </c>
      <c r="C412">
        <v>16751066</v>
      </c>
      <c r="D412">
        <v>15164559</v>
      </c>
      <c r="E412">
        <v>17</v>
      </c>
      <c r="F412">
        <v>1</v>
      </c>
      <c r="G412">
        <v>1</v>
      </c>
      <c r="H412">
        <v>3</v>
      </c>
      <c r="I412" t="s">
        <v>1383</v>
      </c>
      <c r="J412" t="s">
        <v>6</v>
      </c>
      <c r="K412" t="s">
        <v>1384</v>
      </c>
      <c r="L412">
        <v>1374</v>
      </c>
      <c r="N412">
        <v>1013</v>
      </c>
      <c r="O412" t="s">
        <v>1385</v>
      </c>
      <c r="P412" t="s">
        <v>1385</v>
      </c>
      <c r="Q412">
        <v>1</v>
      </c>
      <c r="X412">
        <v>0.22</v>
      </c>
      <c r="Y412">
        <v>1</v>
      </c>
      <c r="Z412">
        <v>0</v>
      </c>
      <c r="AA412">
        <v>0</v>
      </c>
      <c r="AB412">
        <v>0</v>
      </c>
      <c r="AC412">
        <v>0</v>
      </c>
      <c r="AD412">
        <v>1</v>
      </c>
      <c r="AE412">
        <v>0</v>
      </c>
      <c r="AF412" t="s">
        <v>6</v>
      </c>
      <c r="AG412">
        <v>0.22</v>
      </c>
      <c r="AH412">
        <v>2</v>
      </c>
      <c r="AI412">
        <v>16751071</v>
      </c>
      <c r="AJ412">
        <v>440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</row>
    <row r="413" spans="1:44" x14ac:dyDescent="0.2">
      <c r="A413">
        <f>ROW(Source!A314)</f>
        <v>314</v>
      </c>
      <c r="B413">
        <v>16751091</v>
      </c>
      <c r="C413">
        <v>16751077</v>
      </c>
      <c r="D413">
        <v>15430397</v>
      </c>
      <c r="E413">
        <v>1</v>
      </c>
      <c r="F413">
        <v>1</v>
      </c>
      <c r="G413">
        <v>1</v>
      </c>
      <c r="H413">
        <v>1</v>
      </c>
      <c r="I413" t="s">
        <v>1234</v>
      </c>
      <c r="J413" t="s">
        <v>6</v>
      </c>
      <c r="K413" t="s">
        <v>1235</v>
      </c>
      <c r="L413">
        <v>1191</v>
      </c>
      <c r="N413">
        <v>1013</v>
      </c>
      <c r="O413" t="s">
        <v>1072</v>
      </c>
      <c r="P413" t="s">
        <v>1072</v>
      </c>
      <c r="Q413">
        <v>1</v>
      </c>
      <c r="X413">
        <v>8.56</v>
      </c>
      <c r="Y413">
        <v>0</v>
      </c>
      <c r="Z413">
        <v>0</v>
      </c>
      <c r="AA413">
        <v>0</v>
      </c>
      <c r="AB413">
        <v>9.4</v>
      </c>
      <c r="AC413">
        <v>0</v>
      </c>
      <c r="AD413">
        <v>1</v>
      </c>
      <c r="AE413">
        <v>1</v>
      </c>
      <c r="AF413" t="s">
        <v>6</v>
      </c>
      <c r="AG413">
        <v>8.56</v>
      </c>
      <c r="AH413">
        <v>2</v>
      </c>
      <c r="AI413">
        <v>16751078</v>
      </c>
      <c r="AJ413">
        <v>441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</row>
    <row r="414" spans="1:44" x14ac:dyDescent="0.2">
      <c r="A414">
        <f>ROW(Source!A314)</f>
        <v>314</v>
      </c>
      <c r="B414">
        <v>16751092</v>
      </c>
      <c r="C414">
        <v>16751077</v>
      </c>
      <c r="D414">
        <v>15430395</v>
      </c>
      <c r="E414">
        <v>1</v>
      </c>
      <c r="F414">
        <v>1</v>
      </c>
      <c r="G414">
        <v>1</v>
      </c>
      <c r="H414">
        <v>1</v>
      </c>
      <c r="I414" t="s">
        <v>1073</v>
      </c>
      <c r="J414" t="s">
        <v>6</v>
      </c>
      <c r="K414" t="s">
        <v>1074</v>
      </c>
      <c r="L414">
        <v>1191</v>
      </c>
      <c r="N414">
        <v>1013</v>
      </c>
      <c r="O414" t="s">
        <v>1072</v>
      </c>
      <c r="P414" t="s">
        <v>1072</v>
      </c>
      <c r="Q414">
        <v>1</v>
      </c>
      <c r="X414">
        <v>2.27</v>
      </c>
      <c r="Y414">
        <v>0</v>
      </c>
      <c r="Z414">
        <v>0</v>
      </c>
      <c r="AA414">
        <v>0</v>
      </c>
      <c r="AB414">
        <v>0</v>
      </c>
      <c r="AC414">
        <v>0</v>
      </c>
      <c r="AD414">
        <v>1</v>
      </c>
      <c r="AE414">
        <v>2</v>
      </c>
      <c r="AF414" t="s">
        <v>6</v>
      </c>
      <c r="AG414">
        <v>2.27</v>
      </c>
      <c r="AH414">
        <v>2</v>
      </c>
      <c r="AI414">
        <v>16751079</v>
      </c>
      <c r="AJ414">
        <v>442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</row>
    <row r="415" spans="1:44" x14ac:dyDescent="0.2">
      <c r="A415">
        <f>ROW(Source!A314)</f>
        <v>314</v>
      </c>
      <c r="B415">
        <v>16751093</v>
      </c>
      <c r="C415">
        <v>16751077</v>
      </c>
      <c r="D415">
        <v>15247680</v>
      </c>
      <c r="E415">
        <v>1</v>
      </c>
      <c r="F415">
        <v>1</v>
      </c>
      <c r="G415">
        <v>1</v>
      </c>
      <c r="H415">
        <v>2</v>
      </c>
      <c r="I415" t="s">
        <v>1211</v>
      </c>
      <c r="J415" t="s">
        <v>1212</v>
      </c>
      <c r="K415" t="s">
        <v>1213</v>
      </c>
      <c r="L415">
        <v>1368</v>
      </c>
      <c r="N415">
        <v>1011</v>
      </c>
      <c r="O415" t="s">
        <v>1078</v>
      </c>
      <c r="P415" t="s">
        <v>1078</v>
      </c>
      <c r="Q415">
        <v>1</v>
      </c>
      <c r="X415">
        <v>0.1</v>
      </c>
      <c r="Y415">
        <v>0</v>
      </c>
      <c r="Z415">
        <v>111.99</v>
      </c>
      <c r="AA415">
        <v>13.5</v>
      </c>
      <c r="AB415">
        <v>0</v>
      </c>
      <c r="AC415">
        <v>0</v>
      </c>
      <c r="AD415">
        <v>1</v>
      </c>
      <c r="AE415">
        <v>0</v>
      </c>
      <c r="AF415" t="s">
        <v>6</v>
      </c>
      <c r="AG415">
        <v>0.1</v>
      </c>
      <c r="AH415">
        <v>2</v>
      </c>
      <c r="AI415">
        <v>16751080</v>
      </c>
      <c r="AJ415">
        <v>443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</row>
    <row r="416" spans="1:44" x14ac:dyDescent="0.2">
      <c r="A416">
        <f>ROW(Source!A314)</f>
        <v>314</v>
      </c>
      <c r="B416">
        <v>16751094</v>
      </c>
      <c r="C416">
        <v>16751077</v>
      </c>
      <c r="D416">
        <v>15247962</v>
      </c>
      <c r="E416">
        <v>1</v>
      </c>
      <c r="F416">
        <v>1</v>
      </c>
      <c r="G416">
        <v>1</v>
      </c>
      <c r="H416">
        <v>2</v>
      </c>
      <c r="I416" t="s">
        <v>1458</v>
      </c>
      <c r="J416" t="s">
        <v>1459</v>
      </c>
      <c r="K416" t="s">
        <v>1460</v>
      </c>
      <c r="L416">
        <v>1368</v>
      </c>
      <c r="N416">
        <v>1011</v>
      </c>
      <c r="O416" t="s">
        <v>1078</v>
      </c>
      <c r="P416" t="s">
        <v>1078</v>
      </c>
      <c r="Q416">
        <v>1</v>
      </c>
      <c r="X416">
        <v>2.0699999999999998</v>
      </c>
      <c r="Y416">
        <v>0</v>
      </c>
      <c r="Z416">
        <v>29.6</v>
      </c>
      <c r="AA416">
        <v>10.06</v>
      </c>
      <c r="AB416">
        <v>0</v>
      </c>
      <c r="AC416">
        <v>0</v>
      </c>
      <c r="AD416">
        <v>1</v>
      </c>
      <c r="AE416">
        <v>0</v>
      </c>
      <c r="AF416" t="s">
        <v>6</v>
      </c>
      <c r="AG416">
        <v>2.0699999999999998</v>
      </c>
      <c r="AH416">
        <v>2</v>
      </c>
      <c r="AI416">
        <v>16751081</v>
      </c>
      <c r="AJ416">
        <v>444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</row>
    <row r="417" spans="1:44" x14ac:dyDescent="0.2">
      <c r="A417">
        <f>ROW(Source!A314)</f>
        <v>314</v>
      </c>
      <c r="B417">
        <v>16751095</v>
      </c>
      <c r="C417">
        <v>16751077</v>
      </c>
      <c r="D417">
        <v>15249073</v>
      </c>
      <c r="E417">
        <v>1</v>
      </c>
      <c r="F417">
        <v>1</v>
      </c>
      <c r="G417">
        <v>1</v>
      </c>
      <c r="H417">
        <v>2</v>
      </c>
      <c r="I417" t="s">
        <v>1097</v>
      </c>
      <c r="J417" t="s">
        <v>1098</v>
      </c>
      <c r="K417" t="s">
        <v>1099</v>
      </c>
      <c r="L417">
        <v>1368</v>
      </c>
      <c r="N417">
        <v>1011</v>
      </c>
      <c r="O417" t="s">
        <v>1078</v>
      </c>
      <c r="P417" t="s">
        <v>1078</v>
      </c>
      <c r="Q417">
        <v>1</v>
      </c>
      <c r="X417">
        <v>0.1</v>
      </c>
      <c r="Y417">
        <v>0</v>
      </c>
      <c r="Z417">
        <v>65.709999999999994</v>
      </c>
      <c r="AA417">
        <v>11.6</v>
      </c>
      <c r="AB417">
        <v>0</v>
      </c>
      <c r="AC417">
        <v>0</v>
      </c>
      <c r="AD417">
        <v>1</v>
      </c>
      <c r="AE417">
        <v>0</v>
      </c>
      <c r="AF417" t="s">
        <v>6</v>
      </c>
      <c r="AG417">
        <v>0.1</v>
      </c>
      <c r="AH417">
        <v>2</v>
      </c>
      <c r="AI417">
        <v>16751082</v>
      </c>
      <c r="AJ417">
        <v>445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</row>
    <row r="418" spans="1:44" x14ac:dyDescent="0.2">
      <c r="A418">
        <f>ROW(Source!A314)</f>
        <v>314</v>
      </c>
      <c r="B418">
        <v>16751096</v>
      </c>
      <c r="C418">
        <v>16751077</v>
      </c>
      <c r="D418">
        <v>15249377</v>
      </c>
      <c r="E418">
        <v>1</v>
      </c>
      <c r="F418">
        <v>1</v>
      </c>
      <c r="G418">
        <v>1</v>
      </c>
      <c r="H418">
        <v>2</v>
      </c>
      <c r="I418" t="s">
        <v>1100</v>
      </c>
      <c r="J418" t="s">
        <v>1101</v>
      </c>
      <c r="K418" t="s">
        <v>1102</v>
      </c>
      <c r="L418">
        <v>1368</v>
      </c>
      <c r="N418">
        <v>1011</v>
      </c>
      <c r="O418" t="s">
        <v>1078</v>
      </c>
      <c r="P418" t="s">
        <v>1078</v>
      </c>
      <c r="Q418">
        <v>1</v>
      </c>
      <c r="X418">
        <v>1.93</v>
      </c>
      <c r="Y418">
        <v>0</v>
      </c>
      <c r="Z418">
        <v>8.1</v>
      </c>
      <c r="AA418">
        <v>0</v>
      </c>
      <c r="AB418">
        <v>0</v>
      </c>
      <c r="AC418">
        <v>0</v>
      </c>
      <c r="AD418">
        <v>1</v>
      </c>
      <c r="AE418">
        <v>0</v>
      </c>
      <c r="AF418" t="s">
        <v>6</v>
      </c>
      <c r="AG418">
        <v>1.93</v>
      </c>
      <c r="AH418">
        <v>2</v>
      </c>
      <c r="AI418">
        <v>16751083</v>
      </c>
      <c r="AJ418">
        <v>446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</row>
    <row r="419" spans="1:44" x14ac:dyDescent="0.2">
      <c r="A419">
        <f>ROW(Source!A314)</f>
        <v>314</v>
      </c>
      <c r="B419">
        <v>16751097</v>
      </c>
      <c r="C419">
        <v>16751077</v>
      </c>
      <c r="D419">
        <v>15168752</v>
      </c>
      <c r="E419">
        <v>1</v>
      </c>
      <c r="F419">
        <v>1</v>
      </c>
      <c r="G419">
        <v>1</v>
      </c>
      <c r="H419">
        <v>3</v>
      </c>
      <c r="I419" t="s">
        <v>1443</v>
      </c>
      <c r="J419" t="s">
        <v>1444</v>
      </c>
      <c r="K419" t="s">
        <v>1445</v>
      </c>
      <c r="L419">
        <v>1346</v>
      </c>
      <c r="N419">
        <v>1009</v>
      </c>
      <c r="O419" t="s">
        <v>323</v>
      </c>
      <c r="P419" t="s">
        <v>323</v>
      </c>
      <c r="Q419">
        <v>1</v>
      </c>
      <c r="X419">
        <v>2.14</v>
      </c>
      <c r="Y419">
        <v>10.57</v>
      </c>
      <c r="Z419">
        <v>0</v>
      </c>
      <c r="AA419">
        <v>0</v>
      </c>
      <c r="AB419">
        <v>0</v>
      </c>
      <c r="AC419">
        <v>0</v>
      </c>
      <c r="AD419">
        <v>1</v>
      </c>
      <c r="AE419">
        <v>0</v>
      </c>
      <c r="AF419" t="s">
        <v>6</v>
      </c>
      <c r="AG419">
        <v>2.14</v>
      </c>
      <c r="AH419">
        <v>2</v>
      </c>
      <c r="AI419">
        <v>16751084</v>
      </c>
      <c r="AJ419">
        <v>447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</row>
    <row r="420" spans="1:44" x14ac:dyDescent="0.2">
      <c r="A420">
        <f>ROW(Source!A314)</f>
        <v>314</v>
      </c>
      <c r="B420">
        <v>16751098</v>
      </c>
      <c r="C420">
        <v>16751077</v>
      </c>
      <c r="D420">
        <v>15169942</v>
      </c>
      <c r="E420">
        <v>1</v>
      </c>
      <c r="F420">
        <v>1</v>
      </c>
      <c r="G420">
        <v>1</v>
      </c>
      <c r="H420">
        <v>3</v>
      </c>
      <c r="I420" t="s">
        <v>1391</v>
      </c>
      <c r="J420" t="s">
        <v>1392</v>
      </c>
      <c r="K420" t="s">
        <v>1291</v>
      </c>
      <c r="L420">
        <v>1346</v>
      </c>
      <c r="N420">
        <v>1009</v>
      </c>
      <c r="O420" t="s">
        <v>323</v>
      </c>
      <c r="P420" t="s">
        <v>323</v>
      </c>
      <c r="Q420">
        <v>1</v>
      </c>
      <c r="X420">
        <v>1.25</v>
      </c>
      <c r="Y420">
        <v>9.0399999999999991</v>
      </c>
      <c r="Z420">
        <v>0</v>
      </c>
      <c r="AA420">
        <v>0</v>
      </c>
      <c r="AB420">
        <v>0</v>
      </c>
      <c r="AC420">
        <v>0</v>
      </c>
      <c r="AD420">
        <v>1</v>
      </c>
      <c r="AE420">
        <v>0</v>
      </c>
      <c r="AF420" t="s">
        <v>6</v>
      </c>
      <c r="AG420">
        <v>1.25</v>
      </c>
      <c r="AH420">
        <v>2</v>
      </c>
      <c r="AI420">
        <v>16751085</v>
      </c>
      <c r="AJ420">
        <v>448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</row>
    <row r="421" spans="1:44" x14ac:dyDescent="0.2">
      <c r="A421">
        <f>ROW(Source!A314)</f>
        <v>314</v>
      </c>
      <c r="B421">
        <v>16751099</v>
      </c>
      <c r="C421">
        <v>16751077</v>
      </c>
      <c r="D421">
        <v>15170074</v>
      </c>
      <c r="E421">
        <v>1</v>
      </c>
      <c r="F421">
        <v>1</v>
      </c>
      <c r="G421">
        <v>1</v>
      </c>
      <c r="H421">
        <v>3</v>
      </c>
      <c r="I421" t="s">
        <v>1399</v>
      </c>
      <c r="J421" t="s">
        <v>1400</v>
      </c>
      <c r="K421" t="s">
        <v>1401</v>
      </c>
      <c r="L421">
        <v>1355</v>
      </c>
      <c r="N421">
        <v>1010</v>
      </c>
      <c r="O421" t="s">
        <v>724</v>
      </c>
      <c r="P421" t="s">
        <v>724</v>
      </c>
      <c r="Q421">
        <v>100</v>
      </c>
      <c r="X421">
        <v>0.3</v>
      </c>
      <c r="Y421">
        <v>86</v>
      </c>
      <c r="Z421">
        <v>0</v>
      </c>
      <c r="AA421">
        <v>0</v>
      </c>
      <c r="AB421">
        <v>0</v>
      </c>
      <c r="AC421">
        <v>0</v>
      </c>
      <c r="AD421">
        <v>1</v>
      </c>
      <c r="AE421">
        <v>0</v>
      </c>
      <c r="AF421" t="s">
        <v>6</v>
      </c>
      <c r="AG421">
        <v>0.3</v>
      </c>
      <c r="AH421">
        <v>2</v>
      </c>
      <c r="AI421">
        <v>16751086</v>
      </c>
      <c r="AJ421">
        <v>449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</row>
    <row r="422" spans="1:44" x14ac:dyDescent="0.2">
      <c r="A422">
        <f>ROW(Source!A314)</f>
        <v>314</v>
      </c>
      <c r="B422">
        <v>16751100</v>
      </c>
      <c r="C422">
        <v>16751077</v>
      </c>
      <c r="D422">
        <v>15217313</v>
      </c>
      <c r="E422">
        <v>1</v>
      </c>
      <c r="F422">
        <v>1</v>
      </c>
      <c r="G422">
        <v>1</v>
      </c>
      <c r="H422">
        <v>3</v>
      </c>
      <c r="I422" t="s">
        <v>1461</v>
      </c>
      <c r="J422" t="s">
        <v>1462</v>
      </c>
      <c r="K422" t="s">
        <v>1463</v>
      </c>
      <c r="L422">
        <v>1354</v>
      </c>
      <c r="N422">
        <v>1010</v>
      </c>
      <c r="O422" t="s">
        <v>53</v>
      </c>
      <c r="P422" t="s">
        <v>53</v>
      </c>
      <c r="Q422">
        <v>1</v>
      </c>
      <c r="X422">
        <v>30</v>
      </c>
      <c r="Y422">
        <v>10.54</v>
      </c>
      <c r="Z422">
        <v>0</v>
      </c>
      <c r="AA422">
        <v>0</v>
      </c>
      <c r="AB422">
        <v>0</v>
      </c>
      <c r="AC422">
        <v>0</v>
      </c>
      <c r="AD422">
        <v>1</v>
      </c>
      <c r="AE422">
        <v>0</v>
      </c>
      <c r="AF422" t="s">
        <v>6</v>
      </c>
      <c r="AG422">
        <v>30</v>
      </c>
      <c r="AH422">
        <v>2</v>
      </c>
      <c r="AI422">
        <v>16751087</v>
      </c>
      <c r="AJ422">
        <v>450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</row>
    <row r="423" spans="1:44" x14ac:dyDescent="0.2">
      <c r="A423">
        <f>ROW(Source!A314)</f>
        <v>314</v>
      </c>
      <c r="B423">
        <v>16751101</v>
      </c>
      <c r="C423">
        <v>16751077</v>
      </c>
      <c r="D423">
        <v>15219265</v>
      </c>
      <c r="E423">
        <v>1</v>
      </c>
      <c r="F423">
        <v>1</v>
      </c>
      <c r="G423">
        <v>1</v>
      </c>
      <c r="H423">
        <v>3</v>
      </c>
      <c r="I423" t="s">
        <v>1464</v>
      </c>
      <c r="J423" t="s">
        <v>1465</v>
      </c>
      <c r="K423" t="s">
        <v>1466</v>
      </c>
      <c r="L423">
        <v>1354</v>
      </c>
      <c r="N423">
        <v>1010</v>
      </c>
      <c r="O423" t="s">
        <v>53</v>
      </c>
      <c r="P423" t="s">
        <v>53</v>
      </c>
      <c r="Q423">
        <v>1</v>
      </c>
      <c r="X423">
        <v>6</v>
      </c>
      <c r="Y423">
        <v>5</v>
      </c>
      <c r="Z423">
        <v>0</v>
      </c>
      <c r="AA423">
        <v>0</v>
      </c>
      <c r="AB423">
        <v>0</v>
      </c>
      <c r="AC423">
        <v>0</v>
      </c>
      <c r="AD423">
        <v>1</v>
      </c>
      <c r="AE423">
        <v>0</v>
      </c>
      <c r="AF423" t="s">
        <v>6</v>
      </c>
      <c r="AG423">
        <v>6</v>
      </c>
      <c r="AH423">
        <v>2</v>
      </c>
      <c r="AI423">
        <v>16751088</v>
      </c>
      <c r="AJ423">
        <v>452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</row>
    <row r="424" spans="1:44" x14ac:dyDescent="0.2">
      <c r="A424">
        <f>ROW(Source!A314)</f>
        <v>314</v>
      </c>
      <c r="B424">
        <v>16751102</v>
      </c>
      <c r="C424">
        <v>16751077</v>
      </c>
      <c r="D424">
        <v>15164559</v>
      </c>
      <c r="E424">
        <v>17</v>
      </c>
      <c r="F424">
        <v>1</v>
      </c>
      <c r="G424">
        <v>1</v>
      </c>
      <c r="H424">
        <v>3</v>
      </c>
      <c r="I424" t="s">
        <v>1383</v>
      </c>
      <c r="J424" t="s">
        <v>6</v>
      </c>
      <c r="K424" t="s">
        <v>1384</v>
      </c>
      <c r="L424">
        <v>1374</v>
      </c>
      <c r="N424">
        <v>1013</v>
      </c>
      <c r="O424" t="s">
        <v>1385</v>
      </c>
      <c r="P424" t="s">
        <v>1385</v>
      </c>
      <c r="Q424">
        <v>1</v>
      </c>
      <c r="X424">
        <v>1.61</v>
      </c>
      <c r="Y424">
        <v>1</v>
      </c>
      <c r="Z424">
        <v>0</v>
      </c>
      <c r="AA424">
        <v>0</v>
      </c>
      <c r="AB424">
        <v>0</v>
      </c>
      <c r="AC424">
        <v>0</v>
      </c>
      <c r="AD424">
        <v>1</v>
      </c>
      <c r="AE424">
        <v>0</v>
      </c>
      <c r="AF424" t="s">
        <v>6</v>
      </c>
      <c r="AG424">
        <v>1.61</v>
      </c>
      <c r="AH424">
        <v>2</v>
      </c>
      <c r="AI424">
        <v>16751089</v>
      </c>
      <c r="AJ424">
        <v>453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</row>
    <row r="425" spans="1:44" x14ac:dyDescent="0.2">
      <c r="A425">
        <f>ROW(Source!A316)</f>
        <v>316</v>
      </c>
      <c r="B425">
        <v>16751117</v>
      </c>
      <c r="C425">
        <v>16751104</v>
      </c>
      <c r="D425">
        <v>15436556</v>
      </c>
      <c r="E425">
        <v>1</v>
      </c>
      <c r="F425">
        <v>1</v>
      </c>
      <c r="G425">
        <v>1</v>
      </c>
      <c r="H425">
        <v>1</v>
      </c>
      <c r="I425" t="s">
        <v>1265</v>
      </c>
      <c r="J425" t="s">
        <v>6</v>
      </c>
      <c r="K425" t="s">
        <v>1266</v>
      </c>
      <c r="L425">
        <v>1191</v>
      </c>
      <c r="N425">
        <v>1013</v>
      </c>
      <c r="O425" t="s">
        <v>1072</v>
      </c>
      <c r="P425" t="s">
        <v>1072</v>
      </c>
      <c r="Q425">
        <v>1</v>
      </c>
      <c r="X425">
        <v>13.41</v>
      </c>
      <c r="Y425">
        <v>0</v>
      </c>
      <c r="Z425">
        <v>0</v>
      </c>
      <c r="AA425">
        <v>0</v>
      </c>
      <c r="AB425">
        <v>9.6199999999999992</v>
      </c>
      <c r="AC425">
        <v>0</v>
      </c>
      <c r="AD425">
        <v>1</v>
      </c>
      <c r="AE425">
        <v>1</v>
      </c>
      <c r="AF425" t="s">
        <v>6</v>
      </c>
      <c r="AG425">
        <v>13.41</v>
      </c>
      <c r="AH425">
        <v>2</v>
      </c>
      <c r="AI425">
        <v>16751106</v>
      </c>
      <c r="AJ425">
        <v>454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</row>
    <row r="426" spans="1:44" x14ac:dyDescent="0.2">
      <c r="A426">
        <f>ROW(Source!A316)</f>
        <v>316</v>
      </c>
      <c r="B426">
        <v>16751118</v>
      </c>
      <c r="C426">
        <v>16751104</v>
      </c>
      <c r="D426">
        <v>15430395</v>
      </c>
      <c r="E426">
        <v>1</v>
      </c>
      <c r="F426">
        <v>1</v>
      </c>
      <c r="G426">
        <v>1</v>
      </c>
      <c r="H426">
        <v>1</v>
      </c>
      <c r="I426" t="s">
        <v>1073</v>
      </c>
      <c r="J426" t="s">
        <v>6</v>
      </c>
      <c r="K426" t="s">
        <v>1074</v>
      </c>
      <c r="L426">
        <v>1191</v>
      </c>
      <c r="N426">
        <v>1013</v>
      </c>
      <c r="O426" t="s">
        <v>1072</v>
      </c>
      <c r="P426" t="s">
        <v>1072</v>
      </c>
      <c r="Q426">
        <v>1</v>
      </c>
      <c r="X426">
        <v>4.58</v>
      </c>
      <c r="Y426">
        <v>0</v>
      </c>
      <c r="Z426">
        <v>0</v>
      </c>
      <c r="AA426">
        <v>0</v>
      </c>
      <c r="AB426">
        <v>0</v>
      </c>
      <c r="AC426">
        <v>0</v>
      </c>
      <c r="AD426">
        <v>1</v>
      </c>
      <c r="AE426">
        <v>2</v>
      </c>
      <c r="AF426" t="s">
        <v>6</v>
      </c>
      <c r="AG426">
        <v>4.58</v>
      </c>
      <c r="AH426">
        <v>2</v>
      </c>
      <c r="AI426">
        <v>16751107</v>
      </c>
      <c r="AJ426">
        <v>455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</row>
    <row r="427" spans="1:44" x14ac:dyDescent="0.2">
      <c r="A427">
        <f>ROW(Source!A316)</f>
        <v>316</v>
      </c>
      <c r="B427">
        <v>16751119</v>
      </c>
      <c r="C427">
        <v>16751104</v>
      </c>
      <c r="D427">
        <v>15247680</v>
      </c>
      <c r="E427">
        <v>1</v>
      </c>
      <c r="F427">
        <v>1</v>
      </c>
      <c r="G427">
        <v>1</v>
      </c>
      <c r="H427">
        <v>2</v>
      </c>
      <c r="I427" t="s">
        <v>1211</v>
      </c>
      <c r="J427" t="s">
        <v>1212</v>
      </c>
      <c r="K427" t="s">
        <v>1213</v>
      </c>
      <c r="L427">
        <v>1368</v>
      </c>
      <c r="N427">
        <v>1011</v>
      </c>
      <c r="O427" t="s">
        <v>1078</v>
      </c>
      <c r="P427" t="s">
        <v>1078</v>
      </c>
      <c r="Q427">
        <v>1</v>
      </c>
      <c r="X427">
        <v>0.2</v>
      </c>
      <c r="Y427">
        <v>0</v>
      </c>
      <c r="Z427">
        <v>111.99</v>
      </c>
      <c r="AA427">
        <v>13.5</v>
      </c>
      <c r="AB427">
        <v>0</v>
      </c>
      <c r="AC427">
        <v>0</v>
      </c>
      <c r="AD427">
        <v>1</v>
      </c>
      <c r="AE427">
        <v>0</v>
      </c>
      <c r="AF427" t="s">
        <v>6</v>
      </c>
      <c r="AG427">
        <v>0.2</v>
      </c>
      <c r="AH427">
        <v>2</v>
      </c>
      <c r="AI427">
        <v>16751108</v>
      </c>
      <c r="AJ427">
        <v>456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</row>
    <row r="428" spans="1:44" x14ac:dyDescent="0.2">
      <c r="A428">
        <f>ROW(Source!A316)</f>
        <v>316</v>
      </c>
      <c r="B428">
        <v>16751120</v>
      </c>
      <c r="C428">
        <v>16751104</v>
      </c>
      <c r="D428">
        <v>15247814</v>
      </c>
      <c r="E428">
        <v>1</v>
      </c>
      <c r="F428">
        <v>1</v>
      </c>
      <c r="G428">
        <v>1</v>
      </c>
      <c r="H428">
        <v>2</v>
      </c>
      <c r="I428" t="s">
        <v>1467</v>
      </c>
      <c r="J428" t="s">
        <v>1468</v>
      </c>
      <c r="K428" t="s">
        <v>1469</v>
      </c>
      <c r="L428">
        <v>1368</v>
      </c>
      <c r="N428">
        <v>1011</v>
      </c>
      <c r="O428" t="s">
        <v>1078</v>
      </c>
      <c r="P428" t="s">
        <v>1078</v>
      </c>
      <c r="Q428">
        <v>1</v>
      </c>
      <c r="X428">
        <v>3.13</v>
      </c>
      <c r="Y428">
        <v>0</v>
      </c>
      <c r="Z428">
        <v>0.9</v>
      </c>
      <c r="AA428">
        <v>0</v>
      </c>
      <c r="AB428">
        <v>0</v>
      </c>
      <c r="AC428">
        <v>0</v>
      </c>
      <c r="AD428">
        <v>1</v>
      </c>
      <c r="AE428">
        <v>0</v>
      </c>
      <c r="AF428" t="s">
        <v>6</v>
      </c>
      <c r="AG428">
        <v>3.13</v>
      </c>
      <c r="AH428">
        <v>2</v>
      </c>
      <c r="AI428">
        <v>16751109</v>
      </c>
      <c r="AJ428">
        <v>457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</row>
    <row r="429" spans="1:44" x14ac:dyDescent="0.2">
      <c r="A429">
        <f>ROW(Source!A316)</f>
        <v>316</v>
      </c>
      <c r="B429">
        <v>16751121</v>
      </c>
      <c r="C429">
        <v>16751104</v>
      </c>
      <c r="D429">
        <v>15247879</v>
      </c>
      <c r="E429">
        <v>1</v>
      </c>
      <c r="F429">
        <v>1</v>
      </c>
      <c r="G429">
        <v>1</v>
      </c>
      <c r="H429">
        <v>2</v>
      </c>
      <c r="I429" t="s">
        <v>1470</v>
      </c>
      <c r="J429" t="s">
        <v>1471</v>
      </c>
      <c r="K429" t="s">
        <v>1472</v>
      </c>
      <c r="L429">
        <v>1368</v>
      </c>
      <c r="N429">
        <v>1011</v>
      </c>
      <c r="O429" t="s">
        <v>1078</v>
      </c>
      <c r="P429" t="s">
        <v>1078</v>
      </c>
      <c r="Q429">
        <v>1</v>
      </c>
      <c r="X429">
        <v>3.13</v>
      </c>
      <c r="Y429">
        <v>0</v>
      </c>
      <c r="Z429">
        <v>3.28</v>
      </c>
      <c r="AA429">
        <v>0</v>
      </c>
      <c r="AB429">
        <v>0</v>
      </c>
      <c r="AC429">
        <v>0</v>
      </c>
      <c r="AD429">
        <v>1</v>
      </c>
      <c r="AE429">
        <v>0</v>
      </c>
      <c r="AF429" t="s">
        <v>6</v>
      </c>
      <c r="AG429">
        <v>3.13</v>
      </c>
      <c r="AH429">
        <v>2</v>
      </c>
      <c r="AI429">
        <v>16751110</v>
      </c>
      <c r="AJ429">
        <v>458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</row>
    <row r="430" spans="1:44" x14ac:dyDescent="0.2">
      <c r="A430">
        <f>ROW(Source!A316)</f>
        <v>316</v>
      </c>
      <c r="B430">
        <v>16751122</v>
      </c>
      <c r="C430">
        <v>16751104</v>
      </c>
      <c r="D430">
        <v>15248014</v>
      </c>
      <c r="E430">
        <v>1</v>
      </c>
      <c r="F430">
        <v>1</v>
      </c>
      <c r="G430">
        <v>1</v>
      </c>
      <c r="H430">
        <v>2</v>
      </c>
      <c r="I430" t="s">
        <v>1473</v>
      </c>
      <c r="J430" t="s">
        <v>1474</v>
      </c>
      <c r="K430" t="s">
        <v>1475</v>
      </c>
      <c r="L430">
        <v>1368</v>
      </c>
      <c r="N430">
        <v>1011</v>
      </c>
      <c r="O430" t="s">
        <v>1078</v>
      </c>
      <c r="P430" t="s">
        <v>1078</v>
      </c>
      <c r="Q430">
        <v>1</v>
      </c>
      <c r="X430">
        <v>4.18</v>
      </c>
      <c r="Y430">
        <v>0</v>
      </c>
      <c r="Z430">
        <v>142.69999999999999</v>
      </c>
      <c r="AA430">
        <v>13.5</v>
      </c>
      <c r="AB430">
        <v>0</v>
      </c>
      <c r="AC430">
        <v>0</v>
      </c>
      <c r="AD430">
        <v>1</v>
      </c>
      <c r="AE430">
        <v>0</v>
      </c>
      <c r="AF430" t="s">
        <v>6</v>
      </c>
      <c r="AG430">
        <v>4.18</v>
      </c>
      <c r="AH430">
        <v>2</v>
      </c>
      <c r="AI430">
        <v>16751111</v>
      </c>
      <c r="AJ430">
        <v>459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</row>
    <row r="431" spans="1:44" x14ac:dyDescent="0.2">
      <c r="A431">
        <f>ROW(Source!A316)</f>
        <v>316</v>
      </c>
      <c r="B431">
        <v>16751123</v>
      </c>
      <c r="C431">
        <v>16751104</v>
      </c>
      <c r="D431">
        <v>15249073</v>
      </c>
      <c r="E431">
        <v>1</v>
      </c>
      <c r="F431">
        <v>1</v>
      </c>
      <c r="G431">
        <v>1</v>
      </c>
      <c r="H431">
        <v>2</v>
      </c>
      <c r="I431" t="s">
        <v>1097</v>
      </c>
      <c r="J431" t="s">
        <v>1098</v>
      </c>
      <c r="K431" t="s">
        <v>1099</v>
      </c>
      <c r="L431">
        <v>1368</v>
      </c>
      <c r="N431">
        <v>1011</v>
      </c>
      <c r="O431" t="s">
        <v>1078</v>
      </c>
      <c r="P431" t="s">
        <v>1078</v>
      </c>
      <c r="Q431">
        <v>1</v>
      </c>
      <c r="X431">
        <v>0.2</v>
      </c>
      <c r="Y431">
        <v>0</v>
      </c>
      <c r="Z431">
        <v>65.709999999999994</v>
      </c>
      <c r="AA431">
        <v>11.6</v>
      </c>
      <c r="AB431">
        <v>0</v>
      </c>
      <c r="AC431">
        <v>0</v>
      </c>
      <c r="AD431">
        <v>1</v>
      </c>
      <c r="AE431">
        <v>0</v>
      </c>
      <c r="AF431" t="s">
        <v>6</v>
      </c>
      <c r="AG431">
        <v>0.2</v>
      </c>
      <c r="AH431">
        <v>2</v>
      </c>
      <c r="AI431">
        <v>16751112</v>
      </c>
      <c r="AJ431">
        <v>460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</row>
    <row r="432" spans="1:44" x14ac:dyDescent="0.2">
      <c r="A432">
        <f>ROW(Source!A316)</f>
        <v>316</v>
      </c>
      <c r="B432">
        <v>16751124</v>
      </c>
      <c r="C432">
        <v>16751104</v>
      </c>
      <c r="D432">
        <v>15167600</v>
      </c>
      <c r="E432">
        <v>1</v>
      </c>
      <c r="F432">
        <v>1</v>
      </c>
      <c r="G432">
        <v>1</v>
      </c>
      <c r="H432">
        <v>3</v>
      </c>
      <c r="I432" t="s">
        <v>1476</v>
      </c>
      <c r="J432" t="s">
        <v>1477</v>
      </c>
      <c r="K432" t="s">
        <v>1478</v>
      </c>
      <c r="L432">
        <v>1308</v>
      </c>
      <c r="N432">
        <v>1003</v>
      </c>
      <c r="O432" t="s">
        <v>34</v>
      </c>
      <c r="P432" t="s">
        <v>34</v>
      </c>
      <c r="Q432">
        <v>100</v>
      </c>
      <c r="X432">
        <v>2.4500000000000001E-2</v>
      </c>
      <c r="Y432">
        <v>120</v>
      </c>
      <c r="Z432">
        <v>0</v>
      </c>
      <c r="AA432">
        <v>0</v>
      </c>
      <c r="AB432">
        <v>0</v>
      </c>
      <c r="AC432">
        <v>0</v>
      </c>
      <c r="AD432">
        <v>1</v>
      </c>
      <c r="AE432">
        <v>0</v>
      </c>
      <c r="AF432" t="s">
        <v>6</v>
      </c>
      <c r="AG432">
        <v>2.4500000000000001E-2</v>
      </c>
      <c r="AH432">
        <v>2</v>
      </c>
      <c r="AI432">
        <v>16751113</v>
      </c>
      <c r="AJ432">
        <v>461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</row>
    <row r="433" spans="1:44" x14ac:dyDescent="0.2">
      <c r="A433">
        <f>ROW(Source!A316)</f>
        <v>316</v>
      </c>
      <c r="B433">
        <v>16751125</v>
      </c>
      <c r="C433">
        <v>16751104</v>
      </c>
      <c r="D433">
        <v>15195042</v>
      </c>
      <c r="E433">
        <v>1</v>
      </c>
      <c r="F433">
        <v>1</v>
      </c>
      <c r="G433">
        <v>1</v>
      </c>
      <c r="H433">
        <v>3</v>
      </c>
      <c r="I433" t="s">
        <v>1479</v>
      </c>
      <c r="J433" t="s">
        <v>1480</v>
      </c>
      <c r="K433" t="s">
        <v>1481</v>
      </c>
      <c r="L433">
        <v>1346</v>
      </c>
      <c r="N433">
        <v>1009</v>
      </c>
      <c r="O433" t="s">
        <v>323</v>
      </c>
      <c r="P433" t="s">
        <v>323</v>
      </c>
      <c r="Q433">
        <v>1</v>
      </c>
      <c r="X433">
        <v>0.5</v>
      </c>
      <c r="Y433">
        <v>68.05</v>
      </c>
      <c r="Z433">
        <v>0</v>
      </c>
      <c r="AA433">
        <v>0</v>
      </c>
      <c r="AB433">
        <v>0</v>
      </c>
      <c r="AC433">
        <v>0</v>
      </c>
      <c r="AD433">
        <v>1</v>
      </c>
      <c r="AE433">
        <v>0</v>
      </c>
      <c r="AF433" t="s">
        <v>6</v>
      </c>
      <c r="AG433">
        <v>0.5</v>
      </c>
      <c r="AH433">
        <v>2</v>
      </c>
      <c r="AI433">
        <v>16751114</v>
      </c>
      <c r="AJ433">
        <v>462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</row>
    <row r="434" spans="1:44" x14ac:dyDescent="0.2">
      <c r="A434">
        <f>ROW(Source!A316)</f>
        <v>316</v>
      </c>
      <c r="B434">
        <v>16751126</v>
      </c>
      <c r="C434">
        <v>16751104</v>
      </c>
      <c r="D434">
        <v>15203871</v>
      </c>
      <c r="E434">
        <v>1</v>
      </c>
      <c r="F434">
        <v>1</v>
      </c>
      <c r="G434">
        <v>1</v>
      </c>
      <c r="H434">
        <v>3</v>
      </c>
      <c r="I434" t="s">
        <v>1482</v>
      </c>
      <c r="J434" t="s">
        <v>1483</v>
      </c>
      <c r="K434" t="s">
        <v>1484</v>
      </c>
      <c r="L434">
        <v>1348</v>
      </c>
      <c r="N434">
        <v>1009</v>
      </c>
      <c r="O434" t="s">
        <v>71</v>
      </c>
      <c r="P434" t="s">
        <v>71</v>
      </c>
      <c r="Q434">
        <v>1000</v>
      </c>
      <c r="X434">
        <v>2.8800000000000002E-3</v>
      </c>
      <c r="Y434">
        <v>7826.9</v>
      </c>
      <c r="Z434">
        <v>0</v>
      </c>
      <c r="AA434">
        <v>0</v>
      </c>
      <c r="AB434">
        <v>0</v>
      </c>
      <c r="AC434">
        <v>0</v>
      </c>
      <c r="AD434">
        <v>1</v>
      </c>
      <c r="AE434">
        <v>0</v>
      </c>
      <c r="AF434" t="s">
        <v>6</v>
      </c>
      <c r="AG434">
        <v>2.8800000000000002E-3</v>
      </c>
      <c r="AH434">
        <v>2</v>
      </c>
      <c r="AI434">
        <v>16751115</v>
      </c>
      <c r="AJ434">
        <v>463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</row>
    <row r="435" spans="1:44" x14ac:dyDescent="0.2">
      <c r="A435">
        <f>ROW(Source!A316)</f>
        <v>316</v>
      </c>
      <c r="B435">
        <v>16751127</v>
      </c>
      <c r="C435">
        <v>16751104</v>
      </c>
      <c r="D435">
        <v>15164559</v>
      </c>
      <c r="E435">
        <v>17</v>
      </c>
      <c r="F435">
        <v>1</v>
      </c>
      <c r="G435">
        <v>1</v>
      </c>
      <c r="H435">
        <v>3</v>
      </c>
      <c r="I435" t="s">
        <v>1383</v>
      </c>
      <c r="J435" t="s">
        <v>6</v>
      </c>
      <c r="K435" t="s">
        <v>1384</v>
      </c>
      <c r="L435">
        <v>1374</v>
      </c>
      <c r="N435">
        <v>1013</v>
      </c>
      <c r="O435" t="s">
        <v>1385</v>
      </c>
      <c r="P435" t="s">
        <v>1385</v>
      </c>
      <c r="Q435">
        <v>1</v>
      </c>
      <c r="X435">
        <v>2.58</v>
      </c>
      <c r="Y435">
        <v>1</v>
      </c>
      <c r="Z435">
        <v>0</v>
      </c>
      <c r="AA435">
        <v>0</v>
      </c>
      <c r="AB435">
        <v>0</v>
      </c>
      <c r="AC435">
        <v>0</v>
      </c>
      <c r="AD435">
        <v>1</v>
      </c>
      <c r="AE435">
        <v>0</v>
      </c>
      <c r="AF435" t="s">
        <v>6</v>
      </c>
      <c r="AG435">
        <v>2.58</v>
      </c>
      <c r="AH435">
        <v>2</v>
      </c>
      <c r="AI435">
        <v>16751116</v>
      </c>
      <c r="AJ435">
        <v>465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</row>
    <row r="436" spans="1:44" x14ac:dyDescent="0.2">
      <c r="A436">
        <f>ROW(Source!A352)</f>
        <v>352</v>
      </c>
      <c r="B436">
        <v>16751137</v>
      </c>
      <c r="C436">
        <v>16751129</v>
      </c>
      <c r="D436">
        <v>15435721</v>
      </c>
      <c r="E436">
        <v>1</v>
      </c>
      <c r="F436">
        <v>1</v>
      </c>
      <c r="G436">
        <v>1</v>
      </c>
      <c r="H436">
        <v>1</v>
      </c>
      <c r="I436" t="s">
        <v>1353</v>
      </c>
      <c r="J436" t="s">
        <v>6</v>
      </c>
      <c r="K436" t="s">
        <v>1354</v>
      </c>
      <c r="L436">
        <v>1191</v>
      </c>
      <c r="N436">
        <v>1013</v>
      </c>
      <c r="O436" t="s">
        <v>1072</v>
      </c>
      <c r="P436" t="s">
        <v>1072</v>
      </c>
      <c r="Q436">
        <v>1</v>
      </c>
      <c r="X436">
        <v>20.329999999999998</v>
      </c>
      <c r="Y436">
        <v>0</v>
      </c>
      <c r="Z436">
        <v>0</v>
      </c>
      <c r="AA436">
        <v>0</v>
      </c>
      <c r="AB436">
        <v>9.51</v>
      </c>
      <c r="AC436">
        <v>0</v>
      </c>
      <c r="AD436">
        <v>1</v>
      </c>
      <c r="AE436">
        <v>1</v>
      </c>
      <c r="AF436" t="s">
        <v>6</v>
      </c>
      <c r="AG436">
        <v>20.329999999999998</v>
      </c>
      <c r="AH436">
        <v>2</v>
      </c>
      <c r="AI436">
        <v>16751130</v>
      </c>
      <c r="AJ436">
        <v>466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</row>
    <row r="437" spans="1:44" x14ac:dyDescent="0.2">
      <c r="A437">
        <f>ROW(Source!A352)</f>
        <v>352</v>
      </c>
      <c r="B437">
        <v>16751138</v>
      </c>
      <c r="C437">
        <v>16751129</v>
      </c>
      <c r="D437">
        <v>15430395</v>
      </c>
      <c r="E437">
        <v>1</v>
      </c>
      <c r="F437">
        <v>1</v>
      </c>
      <c r="G437">
        <v>1</v>
      </c>
      <c r="H437">
        <v>1</v>
      </c>
      <c r="I437" t="s">
        <v>1073</v>
      </c>
      <c r="J437" t="s">
        <v>6</v>
      </c>
      <c r="K437" t="s">
        <v>1074</v>
      </c>
      <c r="L437">
        <v>1191</v>
      </c>
      <c r="N437">
        <v>1013</v>
      </c>
      <c r="O437" t="s">
        <v>1072</v>
      </c>
      <c r="P437" t="s">
        <v>1072</v>
      </c>
      <c r="Q437">
        <v>1</v>
      </c>
      <c r="X437">
        <v>0.01</v>
      </c>
      <c r="Y437">
        <v>0</v>
      </c>
      <c r="Z437">
        <v>0</v>
      </c>
      <c r="AA437">
        <v>0</v>
      </c>
      <c r="AB437">
        <v>0</v>
      </c>
      <c r="AC437">
        <v>0</v>
      </c>
      <c r="AD437">
        <v>1</v>
      </c>
      <c r="AE437">
        <v>2</v>
      </c>
      <c r="AF437" t="s">
        <v>6</v>
      </c>
      <c r="AG437">
        <v>0.01</v>
      </c>
      <c r="AH437">
        <v>2</v>
      </c>
      <c r="AI437">
        <v>16751131</v>
      </c>
      <c r="AJ437">
        <v>467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</row>
    <row r="438" spans="1:44" x14ac:dyDescent="0.2">
      <c r="A438">
        <f>ROW(Source!A352)</f>
        <v>352</v>
      </c>
      <c r="B438">
        <v>16751139</v>
      </c>
      <c r="C438">
        <v>16751129</v>
      </c>
      <c r="D438">
        <v>15247974</v>
      </c>
      <c r="E438">
        <v>1</v>
      </c>
      <c r="F438">
        <v>1</v>
      </c>
      <c r="G438">
        <v>1</v>
      </c>
      <c r="H438">
        <v>2</v>
      </c>
      <c r="I438" t="s">
        <v>1075</v>
      </c>
      <c r="J438" t="s">
        <v>1076</v>
      </c>
      <c r="K438" t="s">
        <v>1077</v>
      </c>
      <c r="L438">
        <v>1368</v>
      </c>
      <c r="N438">
        <v>1011</v>
      </c>
      <c r="O438" t="s">
        <v>1078</v>
      </c>
      <c r="P438" t="s">
        <v>1078</v>
      </c>
      <c r="Q438">
        <v>1</v>
      </c>
      <c r="X438">
        <v>0.01</v>
      </c>
      <c r="Y438">
        <v>0</v>
      </c>
      <c r="Z438">
        <v>31.26</v>
      </c>
      <c r="AA438">
        <v>13.5</v>
      </c>
      <c r="AB438">
        <v>0</v>
      </c>
      <c r="AC438">
        <v>0</v>
      </c>
      <c r="AD438">
        <v>1</v>
      </c>
      <c r="AE438">
        <v>0</v>
      </c>
      <c r="AF438" t="s">
        <v>6</v>
      </c>
      <c r="AG438">
        <v>0.01</v>
      </c>
      <c r="AH438">
        <v>2</v>
      </c>
      <c r="AI438">
        <v>16751132</v>
      </c>
      <c r="AJ438">
        <v>468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</row>
    <row r="439" spans="1:44" x14ac:dyDescent="0.2">
      <c r="A439">
        <f>ROW(Source!A352)</f>
        <v>352</v>
      </c>
      <c r="B439">
        <v>16751140</v>
      </c>
      <c r="C439">
        <v>16751129</v>
      </c>
      <c r="D439">
        <v>15170076</v>
      </c>
      <c r="E439">
        <v>1</v>
      </c>
      <c r="F439">
        <v>1</v>
      </c>
      <c r="G439">
        <v>1</v>
      </c>
      <c r="H439">
        <v>3</v>
      </c>
      <c r="I439" t="s">
        <v>1377</v>
      </c>
      <c r="J439" t="s">
        <v>1378</v>
      </c>
      <c r="K439" t="s">
        <v>1379</v>
      </c>
      <c r="L439">
        <v>1356</v>
      </c>
      <c r="N439">
        <v>1010</v>
      </c>
      <c r="O439" t="s">
        <v>288</v>
      </c>
      <c r="P439" t="s">
        <v>288</v>
      </c>
      <c r="Q439">
        <v>1000</v>
      </c>
      <c r="X439">
        <v>0.4</v>
      </c>
      <c r="Y439">
        <v>180</v>
      </c>
      <c r="Z439">
        <v>0</v>
      </c>
      <c r="AA439">
        <v>0</v>
      </c>
      <c r="AB439">
        <v>0</v>
      </c>
      <c r="AC439">
        <v>0</v>
      </c>
      <c r="AD439">
        <v>1</v>
      </c>
      <c r="AE439">
        <v>0</v>
      </c>
      <c r="AF439" t="s">
        <v>6</v>
      </c>
      <c r="AG439">
        <v>0.4</v>
      </c>
      <c r="AH439">
        <v>2</v>
      </c>
      <c r="AI439">
        <v>16751133</v>
      </c>
      <c r="AJ439">
        <v>469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</row>
    <row r="440" spans="1:44" x14ac:dyDescent="0.2">
      <c r="A440">
        <f>ROW(Source!A352)</f>
        <v>352</v>
      </c>
      <c r="B440">
        <v>16751141</v>
      </c>
      <c r="C440">
        <v>16751129</v>
      </c>
      <c r="D440">
        <v>15170438</v>
      </c>
      <c r="E440">
        <v>1</v>
      </c>
      <c r="F440">
        <v>1</v>
      </c>
      <c r="G440">
        <v>1</v>
      </c>
      <c r="H440">
        <v>3</v>
      </c>
      <c r="I440" t="s">
        <v>1380</v>
      </c>
      <c r="J440" t="s">
        <v>1381</v>
      </c>
      <c r="K440" t="s">
        <v>1382</v>
      </c>
      <c r="L440">
        <v>1348</v>
      </c>
      <c r="N440">
        <v>1009</v>
      </c>
      <c r="O440" t="s">
        <v>71</v>
      </c>
      <c r="P440" t="s">
        <v>71</v>
      </c>
      <c r="Q440">
        <v>1000</v>
      </c>
      <c r="X440">
        <v>1.4E-3</v>
      </c>
      <c r="Y440">
        <v>12430</v>
      </c>
      <c r="Z440">
        <v>0</v>
      </c>
      <c r="AA440">
        <v>0</v>
      </c>
      <c r="AB440">
        <v>0</v>
      </c>
      <c r="AC440">
        <v>0</v>
      </c>
      <c r="AD440">
        <v>1</v>
      </c>
      <c r="AE440">
        <v>0</v>
      </c>
      <c r="AF440" t="s">
        <v>6</v>
      </c>
      <c r="AG440">
        <v>1.4E-3</v>
      </c>
      <c r="AH440">
        <v>2</v>
      </c>
      <c r="AI440">
        <v>16751134</v>
      </c>
      <c r="AJ440">
        <v>470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</row>
    <row r="441" spans="1:44" x14ac:dyDescent="0.2">
      <c r="A441">
        <f>ROW(Source!A352)</f>
        <v>352</v>
      </c>
      <c r="B441">
        <v>16751142</v>
      </c>
      <c r="C441">
        <v>16751129</v>
      </c>
      <c r="D441">
        <v>15164559</v>
      </c>
      <c r="E441">
        <v>17</v>
      </c>
      <c r="F441">
        <v>1</v>
      </c>
      <c r="G441">
        <v>1</v>
      </c>
      <c r="H441">
        <v>3</v>
      </c>
      <c r="I441" t="s">
        <v>1383</v>
      </c>
      <c r="J441" t="s">
        <v>6</v>
      </c>
      <c r="K441" t="s">
        <v>1384</v>
      </c>
      <c r="L441">
        <v>1374</v>
      </c>
      <c r="N441">
        <v>1013</v>
      </c>
      <c r="O441" t="s">
        <v>1385</v>
      </c>
      <c r="P441" t="s">
        <v>1385</v>
      </c>
      <c r="Q441">
        <v>1</v>
      </c>
      <c r="X441">
        <v>3.87</v>
      </c>
      <c r="Y441">
        <v>1</v>
      </c>
      <c r="Z441">
        <v>0</v>
      </c>
      <c r="AA441">
        <v>0</v>
      </c>
      <c r="AB441">
        <v>0</v>
      </c>
      <c r="AC441">
        <v>0</v>
      </c>
      <c r="AD441">
        <v>1</v>
      </c>
      <c r="AE441">
        <v>0</v>
      </c>
      <c r="AF441" t="s">
        <v>6</v>
      </c>
      <c r="AG441">
        <v>3.87</v>
      </c>
      <c r="AH441">
        <v>2</v>
      </c>
      <c r="AI441">
        <v>16751135</v>
      </c>
      <c r="AJ441">
        <v>472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</row>
    <row r="442" spans="1:44" x14ac:dyDescent="0.2">
      <c r="A442">
        <f>ROW(Source!A354)</f>
        <v>354</v>
      </c>
      <c r="B442">
        <v>16751156</v>
      </c>
      <c r="C442">
        <v>16751144</v>
      </c>
      <c r="D442">
        <v>15446300</v>
      </c>
      <c r="E442">
        <v>1</v>
      </c>
      <c r="F442">
        <v>1</v>
      </c>
      <c r="G442">
        <v>1</v>
      </c>
      <c r="H442">
        <v>1</v>
      </c>
      <c r="I442" t="s">
        <v>1095</v>
      </c>
      <c r="J442" t="s">
        <v>6</v>
      </c>
      <c r="K442" t="s">
        <v>1096</v>
      </c>
      <c r="L442">
        <v>1191</v>
      </c>
      <c r="N442">
        <v>1013</v>
      </c>
      <c r="O442" t="s">
        <v>1072</v>
      </c>
      <c r="P442" t="s">
        <v>1072</v>
      </c>
      <c r="Q442">
        <v>1</v>
      </c>
      <c r="X442">
        <v>34.56</v>
      </c>
      <c r="Y442">
        <v>0</v>
      </c>
      <c r="Z442">
        <v>0</v>
      </c>
      <c r="AA442">
        <v>0</v>
      </c>
      <c r="AB442">
        <v>9.92</v>
      </c>
      <c r="AC442">
        <v>0</v>
      </c>
      <c r="AD442">
        <v>1</v>
      </c>
      <c r="AE442">
        <v>1</v>
      </c>
      <c r="AF442" t="s">
        <v>6</v>
      </c>
      <c r="AG442">
        <v>34.56</v>
      </c>
      <c r="AH442">
        <v>2</v>
      </c>
      <c r="AI442">
        <v>16751145</v>
      </c>
      <c r="AJ442">
        <v>473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</row>
    <row r="443" spans="1:44" x14ac:dyDescent="0.2">
      <c r="A443">
        <f>ROW(Source!A354)</f>
        <v>354</v>
      </c>
      <c r="B443">
        <v>16751157</v>
      </c>
      <c r="C443">
        <v>16751144</v>
      </c>
      <c r="D443">
        <v>15430395</v>
      </c>
      <c r="E443">
        <v>1</v>
      </c>
      <c r="F443">
        <v>1</v>
      </c>
      <c r="G443">
        <v>1</v>
      </c>
      <c r="H443">
        <v>1</v>
      </c>
      <c r="I443" t="s">
        <v>1073</v>
      </c>
      <c r="J443" t="s">
        <v>6</v>
      </c>
      <c r="K443" t="s">
        <v>1074</v>
      </c>
      <c r="L443">
        <v>1191</v>
      </c>
      <c r="N443">
        <v>1013</v>
      </c>
      <c r="O443" t="s">
        <v>1072</v>
      </c>
      <c r="P443" t="s">
        <v>1072</v>
      </c>
      <c r="Q443">
        <v>1</v>
      </c>
      <c r="X443">
        <v>0.05</v>
      </c>
      <c r="Y443">
        <v>0</v>
      </c>
      <c r="Z443">
        <v>0</v>
      </c>
      <c r="AA443">
        <v>0</v>
      </c>
      <c r="AB443">
        <v>0</v>
      </c>
      <c r="AC443">
        <v>0</v>
      </c>
      <c r="AD443">
        <v>1</v>
      </c>
      <c r="AE443">
        <v>2</v>
      </c>
      <c r="AF443" t="s">
        <v>6</v>
      </c>
      <c r="AG443">
        <v>0.05</v>
      </c>
      <c r="AH443">
        <v>2</v>
      </c>
      <c r="AI443">
        <v>16751146</v>
      </c>
      <c r="AJ443">
        <v>474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</row>
    <row r="444" spans="1:44" x14ac:dyDescent="0.2">
      <c r="A444">
        <f>ROW(Source!A354)</f>
        <v>354</v>
      </c>
      <c r="B444">
        <v>16751158</v>
      </c>
      <c r="C444">
        <v>16751144</v>
      </c>
      <c r="D444">
        <v>15247680</v>
      </c>
      <c r="E444">
        <v>1</v>
      </c>
      <c r="F444">
        <v>1</v>
      </c>
      <c r="G444">
        <v>1</v>
      </c>
      <c r="H444">
        <v>2</v>
      </c>
      <c r="I444" t="s">
        <v>1211</v>
      </c>
      <c r="J444" t="s">
        <v>1212</v>
      </c>
      <c r="K444" t="s">
        <v>1213</v>
      </c>
      <c r="L444">
        <v>1368</v>
      </c>
      <c r="N444">
        <v>1011</v>
      </c>
      <c r="O444" t="s">
        <v>1078</v>
      </c>
      <c r="P444" t="s">
        <v>1078</v>
      </c>
      <c r="Q444">
        <v>1</v>
      </c>
      <c r="X444">
        <v>0.03</v>
      </c>
      <c r="Y444">
        <v>0</v>
      </c>
      <c r="Z444">
        <v>111.99</v>
      </c>
      <c r="AA444">
        <v>13.5</v>
      </c>
      <c r="AB444">
        <v>0</v>
      </c>
      <c r="AC444">
        <v>0</v>
      </c>
      <c r="AD444">
        <v>1</v>
      </c>
      <c r="AE444">
        <v>0</v>
      </c>
      <c r="AF444" t="s">
        <v>6</v>
      </c>
      <c r="AG444">
        <v>0.03</v>
      </c>
      <c r="AH444">
        <v>2</v>
      </c>
      <c r="AI444">
        <v>16751147</v>
      </c>
      <c r="AJ444">
        <v>475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</row>
    <row r="445" spans="1:44" x14ac:dyDescent="0.2">
      <c r="A445">
        <f>ROW(Source!A354)</f>
        <v>354</v>
      </c>
      <c r="B445">
        <v>16751159</v>
      </c>
      <c r="C445">
        <v>16751144</v>
      </c>
      <c r="D445">
        <v>15249073</v>
      </c>
      <c r="E445">
        <v>1</v>
      </c>
      <c r="F445">
        <v>1</v>
      </c>
      <c r="G445">
        <v>1</v>
      </c>
      <c r="H445">
        <v>2</v>
      </c>
      <c r="I445" t="s">
        <v>1097</v>
      </c>
      <c r="J445" t="s">
        <v>1098</v>
      </c>
      <c r="K445" t="s">
        <v>1099</v>
      </c>
      <c r="L445">
        <v>1368</v>
      </c>
      <c r="N445">
        <v>1011</v>
      </c>
      <c r="O445" t="s">
        <v>1078</v>
      </c>
      <c r="P445" t="s">
        <v>1078</v>
      </c>
      <c r="Q445">
        <v>1</v>
      </c>
      <c r="X445">
        <v>0.02</v>
      </c>
      <c r="Y445">
        <v>0</v>
      </c>
      <c r="Z445">
        <v>65.709999999999994</v>
      </c>
      <c r="AA445">
        <v>11.6</v>
      </c>
      <c r="AB445">
        <v>0</v>
      </c>
      <c r="AC445">
        <v>0</v>
      </c>
      <c r="AD445">
        <v>1</v>
      </c>
      <c r="AE445">
        <v>0</v>
      </c>
      <c r="AF445" t="s">
        <v>6</v>
      </c>
      <c r="AG445">
        <v>0.02</v>
      </c>
      <c r="AH445">
        <v>2</v>
      </c>
      <c r="AI445">
        <v>16751148</v>
      </c>
      <c r="AJ445">
        <v>476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</row>
    <row r="446" spans="1:44" x14ac:dyDescent="0.2">
      <c r="A446">
        <f>ROW(Source!A354)</f>
        <v>354</v>
      </c>
      <c r="B446">
        <v>16751160</v>
      </c>
      <c r="C446">
        <v>16751144</v>
      </c>
      <c r="D446">
        <v>15167588</v>
      </c>
      <c r="E446">
        <v>1</v>
      </c>
      <c r="F446">
        <v>1</v>
      </c>
      <c r="G446">
        <v>1</v>
      </c>
      <c r="H446">
        <v>3</v>
      </c>
      <c r="I446" t="s">
        <v>1388</v>
      </c>
      <c r="J446" t="s">
        <v>1389</v>
      </c>
      <c r="K446" t="s">
        <v>1390</v>
      </c>
      <c r="L446">
        <v>1346</v>
      </c>
      <c r="N446">
        <v>1009</v>
      </c>
      <c r="O446" t="s">
        <v>323</v>
      </c>
      <c r="P446" t="s">
        <v>323</v>
      </c>
      <c r="Q446">
        <v>1</v>
      </c>
      <c r="X446">
        <v>0.11</v>
      </c>
      <c r="Y446">
        <v>30.4</v>
      </c>
      <c r="Z446">
        <v>0</v>
      </c>
      <c r="AA446">
        <v>0</v>
      </c>
      <c r="AB446">
        <v>0</v>
      </c>
      <c r="AC446">
        <v>0</v>
      </c>
      <c r="AD446">
        <v>1</v>
      </c>
      <c r="AE446">
        <v>0</v>
      </c>
      <c r="AF446" t="s">
        <v>6</v>
      </c>
      <c r="AG446">
        <v>0.11</v>
      </c>
      <c r="AH446">
        <v>2</v>
      </c>
      <c r="AI446">
        <v>16751149</v>
      </c>
      <c r="AJ446">
        <v>477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</row>
    <row r="447" spans="1:44" x14ac:dyDescent="0.2">
      <c r="A447">
        <f>ROW(Source!A354)</f>
        <v>354</v>
      </c>
      <c r="B447">
        <v>16751161</v>
      </c>
      <c r="C447">
        <v>16751144</v>
      </c>
      <c r="D447">
        <v>15170074</v>
      </c>
      <c r="E447">
        <v>1</v>
      </c>
      <c r="F447">
        <v>1</v>
      </c>
      <c r="G447">
        <v>1</v>
      </c>
      <c r="H447">
        <v>3</v>
      </c>
      <c r="I447" t="s">
        <v>1399</v>
      </c>
      <c r="J447" t="s">
        <v>1400</v>
      </c>
      <c r="K447" t="s">
        <v>1401</v>
      </c>
      <c r="L447">
        <v>1355</v>
      </c>
      <c r="N447">
        <v>1010</v>
      </c>
      <c r="O447" t="s">
        <v>724</v>
      </c>
      <c r="P447" t="s">
        <v>724</v>
      </c>
      <c r="Q447">
        <v>100</v>
      </c>
      <c r="X447">
        <v>1.02</v>
      </c>
      <c r="Y447">
        <v>86</v>
      </c>
      <c r="Z447">
        <v>0</v>
      </c>
      <c r="AA447">
        <v>0</v>
      </c>
      <c r="AB447">
        <v>0</v>
      </c>
      <c r="AC447">
        <v>0</v>
      </c>
      <c r="AD447">
        <v>1</v>
      </c>
      <c r="AE447">
        <v>0</v>
      </c>
      <c r="AF447" t="s">
        <v>6</v>
      </c>
      <c r="AG447">
        <v>1.02</v>
      </c>
      <c r="AH447">
        <v>2</v>
      </c>
      <c r="AI447">
        <v>16751150</v>
      </c>
      <c r="AJ447">
        <v>478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</row>
    <row r="448" spans="1:44" x14ac:dyDescent="0.2">
      <c r="A448">
        <f>ROW(Source!A354)</f>
        <v>354</v>
      </c>
      <c r="B448">
        <v>16751162</v>
      </c>
      <c r="C448">
        <v>16751144</v>
      </c>
      <c r="D448">
        <v>15170434</v>
      </c>
      <c r="E448">
        <v>1</v>
      </c>
      <c r="F448">
        <v>1</v>
      </c>
      <c r="G448">
        <v>1</v>
      </c>
      <c r="H448">
        <v>3</v>
      </c>
      <c r="I448" t="s">
        <v>1402</v>
      </c>
      <c r="J448" t="s">
        <v>1403</v>
      </c>
      <c r="K448" t="s">
        <v>1404</v>
      </c>
      <c r="L448">
        <v>1348</v>
      </c>
      <c r="N448">
        <v>1009</v>
      </c>
      <c r="O448" t="s">
        <v>71</v>
      </c>
      <c r="P448" t="s">
        <v>71</v>
      </c>
      <c r="Q448">
        <v>1000</v>
      </c>
      <c r="X448">
        <v>1.6000000000000001E-4</v>
      </c>
      <c r="Y448">
        <v>29800</v>
      </c>
      <c r="Z448">
        <v>0</v>
      </c>
      <c r="AA448">
        <v>0</v>
      </c>
      <c r="AB448">
        <v>0</v>
      </c>
      <c r="AC448">
        <v>0</v>
      </c>
      <c r="AD448">
        <v>1</v>
      </c>
      <c r="AE448">
        <v>0</v>
      </c>
      <c r="AF448" t="s">
        <v>6</v>
      </c>
      <c r="AG448">
        <v>1.6000000000000001E-4</v>
      </c>
      <c r="AH448">
        <v>2</v>
      </c>
      <c r="AI448">
        <v>16751151</v>
      </c>
      <c r="AJ448">
        <v>479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</row>
    <row r="449" spans="1:44" x14ac:dyDescent="0.2">
      <c r="A449">
        <f>ROW(Source!A354)</f>
        <v>354</v>
      </c>
      <c r="B449">
        <v>16751163</v>
      </c>
      <c r="C449">
        <v>16751144</v>
      </c>
      <c r="D449">
        <v>15170438</v>
      </c>
      <c r="E449">
        <v>1</v>
      </c>
      <c r="F449">
        <v>1</v>
      </c>
      <c r="G449">
        <v>1</v>
      </c>
      <c r="H449">
        <v>3</v>
      </c>
      <c r="I449" t="s">
        <v>1380</v>
      </c>
      <c r="J449" t="s">
        <v>1381</v>
      </c>
      <c r="K449" t="s">
        <v>1382</v>
      </c>
      <c r="L449">
        <v>1348</v>
      </c>
      <c r="N449">
        <v>1009</v>
      </c>
      <c r="O449" t="s">
        <v>71</v>
      </c>
      <c r="P449" t="s">
        <v>71</v>
      </c>
      <c r="Q449">
        <v>1000</v>
      </c>
      <c r="X449">
        <v>2.9999999999999997E-4</v>
      </c>
      <c r="Y449">
        <v>12430</v>
      </c>
      <c r="Z449">
        <v>0</v>
      </c>
      <c r="AA449">
        <v>0</v>
      </c>
      <c r="AB449">
        <v>0</v>
      </c>
      <c r="AC449">
        <v>0</v>
      </c>
      <c r="AD449">
        <v>1</v>
      </c>
      <c r="AE449">
        <v>0</v>
      </c>
      <c r="AF449" t="s">
        <v>6</v>
      </c>
      <c r="AG449">
        <v>2.9999999999999997E-4</v>
      </c>
      <c r="AH449">
        <v>2</v>
      </c>
      <c r="AI449">
        <v>16751152</v>
      </c>
      <c r="AJ449">
        <v>480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</row>
    <row r="450" spans="1:44" x14ac:dyDescent="0.2">
      <c r="A450">
        <f>ROW(Source!A354)</f>
        <v>354</v>
      </c>
      <c r="B450">
        <v>16751164</v>
      </c>
      <c r="C450">
        <v>16751144</v>
      </c>
      <c r="D450">
        <v>15164559</v>
      </c>
      <c r="E450">
        <v>17</v>
      </c>
      <c r="F450">
        <v>1</v>
      </c>
      <c r="G450">
        <v>1</v>
      </c>
      <c r="H450">
        <v>3</v>
      </c>
      <c r="I450" t="s">
        <v>1383</v>
      </c>
      <c r="J450" t="s">
        <v>6</v>
      </c>
      <c r="K450" t="s">
        <v>1384</v>
      </c>
      <c r="L450">
        <v>1374</v>
      </c>
      <c r="N450">
        <v>1013</v>
      </c>
      <c r="O450" t="s">
        <v>1385</v>
      </c>
      <c r="P450" t="s">
        <v>1385</v>
      </c>
      <c r="Q450">
        <v>1</v>
      </c>
      <c r="X450">
        <v>6.86</v>
      </c>
      <c r="Y450">
        <v>1</v>
      </c>
      <c r="Z450">
        <v>0</v>
      </c>
      <c r="AA450">
        <v>0</v>
      </c>
      <c r="AB450">
        <v>0</v>
      </c>
      <c r="AC450">
        <v>0</v>
      </c>
      <c r="AD450">
        <v>1</v>
      </c>
      <c r="AE450">
        <v>0</v>
      </c>
      <c r="AF450" t="s">
        <v>6</v>
      </c>
      <c r="AG450">
        <v>6.86</v>
      </c>
      <c r="AH450">
        <v>2</v>
      </c>
      <c r="AI450">
        <v>16751153</v>
      </c>
      <c r="AJ450">
        <v>482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</row>
    <row r="451" spans="1:44" x14ac:dyDescent="0.2">
      <c r="A451">
        <f>ROW(Source!A356)</f>
        <v>356</v>
      </c>
      <c r="B451">
        <v>16751179</v>
      </c>
      <c r="C451">
        <v>16751167</v>
      </c>
      <c r="D451">
        <v>15446300</v>
      </c>
      <c r="E451">
        <v>1</v>
      </c>
      <c r="F451">
        <v>1</v>
      </c>
      <c r="G451">
        <v>1</v>
      </c>
      <c r="H451">
        <v>1</v>
      </c>
      <c r="I451" t="s">
        <v>1095</v>
      </c>
      <c r="J451" t="s">
        <v>6</v>
      </c>
      <c r="K451" t="s">
        <v>1096</v>
      </c>
      <c r="L451">
        <v>1191</v>
      </c>
      <c r="N451">
        <v>1013</v>
      </c>
      <c r="O451" t="s">
        <v>1072</v>
      </c>
      <c r="P451" t="s">
        <v>1072</v>
      </c>
      <c r="Q451">
        <v>1</v>
      </c>
      <c r="X451">
        <v>60.88</v>
      </c>
      <c r="Y451">
        <v>0</v>
      </c>
      <c r="Z451">
        <v>0</v>
      </c>
      <c r="AA451">
        <v>0</v>
      </c>
      <c r="AB451">
        <v>9.92</v>
      </c>
      <c r="AC451">
        <v>0</v>
      </c>
      <c r="AD451">
        <v>1</v>
      </c>
      <c r="AE451">
        <v>1</v>
      </c>
      <c r="AF451" t="s">
        <v>6</v>
      </c>
      <c r="AG451">
        <v>60.88</v>
      </c>
      <c r="AH451">
        <v>2</v>
      </c>
      <c r="AI451">
        <v>16751168</v>
      </c>
      <c r="AJ451">
        <v>483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</row>
    <row r="452" spans="1:44" x14ac:dyDescent="0.2">
      <c r="A452">
        <f>ROW(Source!A356)</f>
        <v>356</v>
      </c>
      <c r="B452">
        <v>16751180</v>
      </c>
      <c r="C452">
        <v>16751167</v>
      </c>
      <c r="D452">
        <v>15430395</v>
      </c>
      <c r="E452">
        <v>1</v>
      </c>
      <c r="F452">
        <v>1</v>
      </c>
      <c r="G452">
        <v>1</v>
      </c>
      <c r="H452">
        <v>1</v>
      </c>
      <c r="I452" t="s">
        <v>1073</v>
      </c>
      <c r="J452" t="s">
        <v>6</v>
      </c>
      <c r="K452" t="s">
        <v>1074</v>
      </c>
      <c r="L452">
        <v>1191</v>
      </c>
      <c r="N452">
        <v>1013</v>
      </c>
      <c r="O452" t="s">
        <v>1072</v>
      </c>
      <c r="P452" t="s">
        <v>1072</v>
      </c>
      <c r="Q452">
        <v>1</v>
      </c>
      <c r="X452">
        <v>0.16</v>
      </c>
      <c r="Y452">
        <v>0</v>
      </c>
      <c r="Z452">
        <v>0</v>
      </c>
      <c r="AA452">
        <v>0</v>
      </c>
      <c r="AB452">
        <v>0</v>
      </c>
      <c r="AC452">
        <v>0</v>
      </c>
      <c r="AD452">
        <v>1</v>
      </c>
      <c r="AE452">
        <v>2</v>
      </c>
      <c r="AF452" t="s">
        <v>6</v>
      </c>
      <c r="AG452">
        <v>0.16</v>
      </c>
      <c r="AH452">
        <v>2</v>
      </c>
      <c r="AI452">
        <v>16751169</v>
      </c>
      <c r="AJ452">
        <v>484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</row>
    <row r="453" spans="1:44" x14ac:dyDescent="0.2">
      <c r="A453">
        <f>ROW(Source!A356)</f>
        <v>356</v>
      </c>
      <c r="B453">
        <v>16751181</v>
      </c>
      <c r="C453">
        <v>16751167</v>
      </c>
      <c r="D453">
        <v>15247680</v>
      </c>
      <c r="E453">
        <v>1</v>
      </c>
      <c r="F453">
        <v>1</v>
      </c>
      <c r="G453">
        <v>1</v>
      </c>
      <c r="H453">
        <v>2</v>
      </c>
      <c r="I453" t="s">
        <v>1211</v>
      </c>
      <c r="J453" t="s">
        <v>1212</v>
      </c>
      <c r="K453" t="s">
        <v>1213</v>
      </c>
      <c r="L453">
        <v>1368</v>
      </c>
      <c r="N453">
        <v>1011</v>
      </c>
      <c r="O453" t="s">
        <v>1078</v>
      </c>
      <c r="P453" t="s">
        <v>1078</v>
      </c>
      <c r="Q453">
        <v>1</v>
      </c>
      <c r="X453">
        <v>0.08</v>
      </c>
      <c r="Y453">
        <v>0</v>
      </c>
      <c r="Z453">
        <v>111.99</v>
      </c>
      <c r="AA453">
        <v>13.5</v>
      </c>
      <c r="AB453">
        <v>0</v>
      </c>
      <c r="AC453">
        <v>0</v>
      </c>
      <c r="AD453">
        <v>1</v>
      </c>
      <c r="AE453">
        <v>0</v>
      </c>
      <c r="AF453" t="s">
        <v>6</v>
      </c>
      <c r="AG453">
        <v>0.08</v>
      </c>
      <c r="AH453">
        <v>2</v>
      </c>
      <c r="AI453">
        <v>16751170</v>
      </c>
      <c r="AJ453">
        <v>485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</row>
    <row r="454" spans="1:44" x14ac:dyDescent="0.2">
      <c r="A454">
        <f>ROW(Source!A356)</f>
        <v>356</v>
      </c>
      <c r="B454">
        <v>16751182</v>
      </c>
      <c r="C454">
        <v>16751167</v>
      </c>
      <c r="D454">
        <v>15249073</v>
      </c>
      <c r="E454">
        <v>1</v>
      </c>
      <c r="F454">
        <v>1</v>
      </c>
      <c r="G454">
        <v>1</v>
      </c>
      <c r="H454">
        <v>2</v>
      </c>
      <c r="I454" t="s">
        <v>1097</v>
      </c>
      <c r="J454" t="s">
        <v>1098</v>
      </c>
      <c r="K454" t="s">
        <v>1099</v>
      </c>
      <c r="L454">
        <v>1368</v>
      </c>
      <c r="N454">
        <v>1011</v>
      </c>
      <c r="O454" t="s">
        <v>1078</v>
      </c>
      <c r="P454" t="s">
        <v>1078</v>
      </c>
      <c r="Q454">
        <v>1</v>
      </c>
      <c r="X454">
        <v>0.08</v>
      </c>
      <c r="Y454">
        <v>0</v>
      </c>
      <c r="Z454">
        <v>65.709999999999994</v>
      </c>
      <c r="AA454">
        <v>11.6</v>
      </c>
      <c r="AB454">
        <v>0</v>
      </c>
      <c r="AC454">
        <v>0</v>
      </c>
      <c r="AD454">
        <v>1</v>
      </c>
      <c r="AE454">
        <v>0</v>
      </c>
      <c r="AF454" t="s">
        <v>6</v>
      </c>
      <c r="AG454">
        <v>0.08</v>
      </c>
      <c r="AH454">
        <v>2</v>
      </c>
      <c r="AI454">
        <v>16751171</v>
      </c>
      <c r="AJ454">
        <v>486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</row>
    <row r="455" spans="1:44" x14ac:dyDescent="0.2">
      <c r="A455">
        <f>ROW(Source!A356)</f>
        <v>356</v>
      </c>
      <c r="B455">
        <v>16751183</v>
      </c>
      <c r="C455">
        <v>16751167</v>
      </c>
      <c r="D455">
        <v>15249377</v>
      </c>
      <c r="E455">
        <v>1</v>
      </c>
      <c r="F455">
        <v>1</v>
      </c>
      <c r="G455">
        <v>1</v>
      </c>
      <c r="H455">
        <v>2</v>
      </c>
      <c r="I455" t="s">
        <v>1100</v>
      </c>
      <c r="J455" t="s">
        <v>1101</v>
      </c>
      <c r="K455" t="s">
        <v>1102</v>
      </c>
      <c r="L455">
        <v>1368</v>
      </c>
      <c r="N455">
        <v>1011</v>
      </c>
      <c r="O455" t="s">
        <v>1078</v>
      </c>
      <c r="P455" t="s">
        <v>1078</v>
      </c>
      <c r="Q455">
        <v>1</v>
      </c>
      <c r="X455">
        <v>2.97</v>
      </c>
      <c r="Y455">
        <v>0</v>
      </c>
      <c r="Z455">
        <v>8.1</v>
      </c>
      <c r="AA455">
        <v>0</v>
      </c>
      <c r="AB455">
        <v>0</v>
      </c>
      <c r="AC455">
        <v>0</v>
      </c>
      <c r="AD455">
        <v>1</v>
      </c>
      <c r="AE455">
        <v>0</v>
      </c>
      <c r="AF455" t="s">
        <v>6</v>
      </c>
      <c r="AG455">
        <v>2.97</v>
      </c>
      <c r="AH455">
        <v>2</v>
      </c>
      <c r="AI455">
        <v>16751172</v>
      </c>
      <c r="AJ455">
        <v>487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</row>
    <row r="456" spans="1:44" x14ac:dyDescent="0.2">
      <c r="A456">
        <f>ROW(Source!A356)</f>
        <v>356</v>
      </c>
      <c r="B456">
        <v>16751184</v>
      </c>
      <c r="C456">
        <v>16751167</v>
      </c>
      <c r="D456">
        <v>15168752</v>
      </c>
      <c r="E456">
        <v>1</v>
      </c>
      <c r="F456">
        <v>1</v>
      </c>
      <c r="G456">
        <v>1</v>
      </c>
      <c r="H456">
        <v>3</v>
      </c>
      <c r="I456" t="s">
        <v>1443</v>
      </c>
      <c r="J456" t="s">
        <v>1444</v>
      </c>
      <c r="K456" t="s">
        <v>1445</v>
      </c>
      <c r="L456">
        <v>1346</v>
      </c>
      <c r="N456">
        <v>1009</v>
      </c>
      <c r="O456" t="s">
        <v>323</v>
      </c>
      <c r="P456" t="s">
        <v>323</v>
      </c>
      <c r="Q456">
        <v>1</v>
      </c>
      <c r="X456">
        <v>2.4E-2</v>
      </c>
      <c r="Y456">
        <v>10.57</v>
      </c>
      <c r="Z456">
        <v>0</v>
      </c>
      <c r="AA456">
        <v>0</v>
      </c>
      <c r="AB456">
        <v>0</v>
      </c>
      <c r="AC456">
        <v>0</v>
      </c>
      <c r="AD456">
        <v>1</v>
      </c>
      <c r="AE456">
        <v>0</v>
      </c>
      <c r="AF456" t="s">
        <v>6</v>
      </c>
      <c r="AG456">
        <v>2.4E-2</v>
      </c>
      <c r="AH456">
        <v>2</v>
      </c>
      <c r="AI456">
        <v>16751173</v>
      </c>
      <c r="AJ456">
        <v>488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</row>
    <row r="457" spans="1:44" x14ac:dyDescent="0.2">
      <c r="A457">
        <f>ROW(Source!A356)</f>
        <v>356</v>
      </c>
      <c r="B457">
        <v>16751185</v>
      </c>
      <c r="C457">
        <v>16751167</v>
      </c>
      <c r="D457">
        <v>15169942</v>
      </c>
      <c r="E457">
        <v>1</v>
      </c>
      <c r="F457">
        <v>1</v>
      </c>
      <c r="G457">
        <v>1</v>
      </c>
      <c r="H457">
        <v>3</v>
      </c>
      <c r="I457" t="s">
        <v>1391</v>
      </c>
      <c r="J457" t="s">
        <v>1392</v>
      </c>
      <c r="K457" t="s">
        <v>1291</v>
      </c>
      <c r="L457">
        <v>1346</v>
      </c>
      <c r="N457">
        <v>1009</v>
      </c>
      <c r="O457" t="s">
        <v>323</v>
      </c>
      <c r="P457" t="s">
        <v>323</v>
      </c>
      <c r="Q457">
        <v>1</v>
      </c>
      <c r="X457">
        <v>2.73</v>
      </c>
      <c r="Y457">
        <v>9.0399999999999991</v>
      </c>
      <c r="Z457">
        <v>0</v>
      </c>
      <c r="AA457">
        <v>0</v>
      </c>
      <c r="AB457">
        <v>0</v>
      </c>
      <c r="AC457">
        <v>0</v>
      </c>
      <c r="AD457">
        <v>1</v>
      </c>
      <c r="AE457">
        <v>0</v>
      </c>
      <c r="AF457" t="s">
        <v>6</v>
      </c>
      <c r="AG457">
        <v>2.73</v>
      </c>
      <c r="AH457">
        <v>2</v>
      </c>
      <c r="AI457">
        <v>16751174</v>
      </c>
      <c r="AJ457">
        <v>489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</row>
    <row r="458" spans="1:44" x14ac:dyDescent="0.2">
      <c r="A458">
        <f>ROW(Source!A356)</f>
        <v>356</v>
      </c>
      <c r="B458">
        <v>16751186</v>
      </c>
      <c r="C458">
        <v>16751167</v>
      </c>
      <c r="D458">
        <v>15191488</v>
      </c>
      <c r="E458">
        <v>1</v>
      </c>
      <c r="F458">
        <v>1</v>
      </c>
      <c r="G458">
        <v>1</v>
      </c>
      <c r="H458">
        <v>3</v>
      </c>
      <c r="I458" t="s">
        <v>1393</v>
      </c>
      <c r="J458" t="s">
        <v>1394</v>
      </c>
      <c r="K458" t="s">
        <v>1395</v>
      </c>
      <c r="L458">
        <v>1348</v>
      </c>
      <c r="N458">
        <v>1009</v>
      </c>
      <c r="O458" t="s">
        <v>71</v>
      </c>
      <c r="P458" t="s">
        <v>71</v>
      </c>
      <c r="Q458">
        <v>1000</v>
      </c>
      <c r="X458">
        <v>1.4E-2</v>
      </c>
      <c r="Y458">
        <v>5000</v>
      </c>
      <c r="Z458">
        <v>0</v>
      </c>
      <c r="AA458">
        <v>0</v>
      </c>
      <c r="AB458">
        <v>0</v>
      </c>
      <c r="AC458">
        <v>0</v>
      </c>
      <c r="AD458">
        <v>1</v>
      </c>
      <c r="AE458">
        <v>0</v>
      </c>
      <c r="AF458" t="s">
        <v>6</v>
      </c>
      <c r="AG458">
        <v>1.4E-2</v>
      </c>
      <c r="AH458">
        <v>2</v>
      </c>
      <c r="AI458">
        <v>16751175</v>
      </c>
      <c r="AJ458">
        <v>490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</row>
    <row r="459" spans="1:44" x14ac:dyDescent="0.2">
      <c r="A459">
        <f>ROW(Source!A356)</f>
        <v>356</v>
      </c>
      <c r="B459">
        <v>16751187</v>
      </c>
      <c r="C459">
        <v>16751167</v>
      </c>
      <c r="D459">
        <v>15203871</v>
      </c>
      <c r="E459">
        <v>1</v>
      </c>
      <c r="F459">
        <v>1</v>
      </c>
      <c r="G459">
        <v>1</v>
      </c>
      <c r="H459">
        <v>3</v>
      </c>
      <c r="I459" t="s">
        <v>1482</v>
      </c>
      <c r="J459" t="s">
        <v>1483</v>
      </c>
      <c r="K459" t="s">
        <v>1484</v>
      </c>
      <c r="L459">
        <v>1348</v>
      </c>
      <c r="N459">
        <v>1009</v>
      </c>
      <c r="O459" t="s">
        <v>71</v>
      </c>
      <c r="P459" t="s">
        <v>71</v>
      </c>
      <c r="Q459">
        <v>1000</v>
      </c>
      <c r="X459">
        <v>2.7000000000000001E-3</v>
      </c>
      <c r="Y459">
        <v>7826.9</v>
      </c>
      <c r="Z459">
        <v>0</v>
      </c>
      <c r="AA459">
        <v>0</v>
      </c>
      <c r="AB459">
        <v>0</v>
      </c>
      <c r="AC459">
        <v>0</v>
      </c>
      <c r="AD459">
        <v>1</v>
      </c>
      <c r="AE459">
        <v>0</v>
      </c>
      <c r="AF459" t="s">
        <v>6</v>
      </c>
      <c r="AG459">
        <v>2.7000000000000001E-3</v>
      </c>
      <c r="AH459">
        <v>2</v>
      </c>
      <c r="AI459">
        <v>16751176</v>
      </c>
      <c r="AJ459">
        <v>491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</row>
    <row r="460" spans="1:44" x14ac:dyDescent="0.2">
      <c r="A460">
        <f>ROW(Source!A356)</f>
        <v>356</v>
      </c>
      <c r="B460">
        <v>16751188</v>
      </c>
      <c r="C460">
        <v>16751167</v>
      </c>
      <c r="D460">
        <v>15164559</v>
      </c>
      <c r="E460">
        <v>17</v>
      </c>
      <c r="F460">
        <v>1</v>
      </c>
      <c r="G460">
        <v>1</v>
      </c>
      <c r="H460">
        <v>3</v>
      </c>
      <c r="I460" t="s">
        <v>1383</v>
      </c>
      <c r="J460" t="s">
        <v>6</v>
      </c>
      <c r="K460" t="s">
        <v>1384</v>
      </c>
      <c r="L460">
        <v>1374</v>
      </c>
      <c r="N460">
        <v>1013</v>
      </c>
      <c r="O460" t="s">
        <v>1385</v>
      </c>
      <c r="P460" t="s">
        <v>1385</v>
      </c>
      <c r="Q460">
        <v>1</v>
      </c>
      <c r="X460">
        <v>12.08</v>
      </c>
      <c r="Y460">
        <v>1</v>
      </c>
      <c r="Z460">
        <v>0</v>
      </c>
      <c r="AA460">
        <v>0</v>
      </c>
      <c r="AB460">
        <v>0</v>
      </c>
      <c r="AC460">
        <v>0</v>
      </c>
      <c r="AD460">
        <v>1</v>
      </c>
      <c r="AE460">
        <v>0</v>
      </c>
      <c r="AF460" t="s">
        <v>6</v>
      </c>
      <c r="AG460">
        <v>12.08</v>
      </c>
      <c r="AH460">
        <v>2</v>
      </c>
      <c r="AI460">
        <v>16751177</v>
      </c>
      <c r="AJ460">
        <v>493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</row>
    <row r="461" spans="1:44" x14ac:dyDescent="0.2">
      <c r="A461">
        <f>ROW(Source!A358)</f>
        <v>358</v>
      </c>
      <c r="B461">
        <v>16751200</v>
      </c>
      <c r="C461">
        <v>16751190</v>
      </c>
      <c r="D461">
        <v>15430397</v>
      </c>
      <c r="E461">
        <v>1</v>
      </c>
      <c r="F461">
        <v>1</v>
      </c>
      <c r="G461">
        <v>1</v>
      </c>
      <c r="H461">
        <v>1</v>
      </c>
      <c r="I461" t="s">
        <v>1234</v>
      </c>
      <c r="J461" t="s">
        <v>6</v>
      </c>
      <c r="K461" t="s">
        <v>1235</v>
      </c>
      <c r="L461">
        <v>1191</v>
      </c>
      <c r="N461">
        <v>1013</v>
      </c>
      <c r="O461" t="s">
        <v>1072</v>
      </c>
      <c r="P461" t="s">
        <v>1072</v>
      </c>
      <c r="Q461">
        <v>1</v>
      </c>
      <c r="X461">
        <v>3.76</v>
      </c>
      <c r="Y461">
        <v>0</v>
      </c>
      <c r="Z461">
        <v>0</v>
      </c>
      <c r="AA461">
        <v>0</v>
      </c>
      <c r="AB461">
        <v>9.4</v>
      </c>
      <c r="AC461">
        <v>0</v>
      </c>
      <c r="AD461">
        <v>1</v>
      </c>
      <c r="AE461">
        <v>1</v>
      </c>
      <c r="AF461" t="s">
        <v>6</v>
      </c>
      <c r="AG461">
        <v>3.76</v>
      </c>
      <c r="AH461">
        <v>2</v>
      </c>
      <c r="AI461">
        <v>16751191</v>
      </c>
      <c r="AJ461">
        <v>494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</row>
    <row r="462" spans="1:44" x14ac:dyDescent="0.2">
      <c r="A462">
        <f>ROW(Source!A358)</f>
        <v>358</v>
      </c>
      <c r="B462">
        <v>16751201</v>
      </c>
      <c r="C462">
        <v>16751190</v>
      </c>
      <c r="D462">
        <v>15430395</v>
      </c>
      <c r="E462">
        <v>1</v>
      </c>
      <c r="F462">
        <v>1</v>
      </c>
      <c r="G462">
        <v>1</v>
      </c>
      <c r="H462">
        <v>1</v>
      </c>
      <c r="I462" t="s">
        <v>1073</v>
      </c>
      <c r="J462" t="s">
        <v>6</v>
      </c>
      <c r="K462" t="s">
        <v>1074</v>
      </c>
      <c r="L462">
        <v>1191</v>
      </c>
      <c r="N462">
        <v>1013</v>
      </c>
      <c r="O462" t="s">
        <v>1072</v>
      </c>
      <c r="P462" t="s">
        <v>1072</v>
      </c>
      <c r="Q462">
        <v>1</v>
      </c>
      <c r="X462">
        <v>0.02</v>
      </c>
      <c r="Y462">
        <v>0</v>
      </c>
      <c r="Z462">
        <v>0</v>
      </c>
      <c r="AA462">
        <v>0</v>
      </c>
      <c r="AB462">
        <v>0</v>
      </c>
      <c r="AC462">
        <v>0</v>
      </c>
      <c r="AD462">
        <v>1</v>
      </c>
      <c r="AE462">
        <v>2</v>
      </c>
      <c r="AF462" t="s">
        <v>6</v>
      </c>
      <c r="AG462">
        <v>0.02</v>
      </c>
      <c r="AH462">
        <v>2</v>
      </c>
      <c r="AI462">
        <v>16751192</v>
      </c>
      <c r="AJ462">
        <v>495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</row>
    <row r="463" spans="1:44" x14ac:dyDescent="0.2">
      <c r="A463">
        <f>ROW(Source!A358)</f>
        <v>358</v>
      </c>
      <c r="B463">
        <v>16751202</v>
      </c>
      <c r="C463">
        <v>16751190</v>
      </c>
      <c r="D463">
        <v>15247680</v>
      </c>
      <c r="E463">
        <v>1</v>
      </c>
      <c r="F463">
        <v>1</v>
      </c>
      <c r="G463">
        <v>1</v>
      </c>
      <c r="H463">
        <v>2</v>
      </c>
      <c r="I463" t="s">
        <v>1211</v>
      </c>
      <c r="J463" t="s">
        <v>1212</v>
      </c>
      <c r="K463" t="s">
        <v>1213</v>
      </c>
      <c r="L463">
        <v>1368</v>
      </c>
      <c r="N463">
        <v>1011</v>
      </c>
      <c r="O463" t="s">
        <v>1078</v>
      </c>
      <c r="P463" t="s">
        <v>1078</v>
      </c>
      <c r="Q463">
        <v>1</v>
      </c>
      <c r="X463">
        <v>0.01</v>
      </c>
      <c r="Y463">
        <v>0</v>
      </c>
      <c r="Z463">
        <v>111.99</v>
      </c>
      <c r="AA463">
        <v>13.5</v>
      </c>
      <c r="AB463">
        <v>0</v>
      </c>
      <c r="AC463">
        <v>0</v>
      </c>
      <c r="AD463">
        <v>1</v>
      </c>
      <c r="AE463">
        <v>0</v>
      </c>
      <c r="AF463" t="s">
        <v>6</v>
      </c>
      <c r="AG463">
        <v>0.01</v>
      </c>
      <c r="AH463">
        <v>2</v>
      </c>
      <c r="AI463">
        <v>16751193</v>
      </c>
      <c r="AJ463">
        <v>496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</row>
    <row r="464" spans="1:44" x14ac:dyDescent="0.2">
      <c r="A464">
        <f>ROW(Source!A358)</f>
        <v>358</v>
      </c>
      <c r="B464">
        <v>16751203</v>
      </c>
      <c r="C464">
        <v>16751190</v>
      </c>
      <c r="D464">
        <v>15249073</v>
      </c>
      <c r="E464">
        <v>1</v>
      </c>
      <c r="F464">
        <v>1</v>
      </c>
      <c r="G464">
        <v>1</v>
      </c>
      <c r="H464">
        <v>2</v>
      </c>
      <c r="I464" t="s">
        <v>1097</v>
      </c>
      <c r="J464" t="s">
        <v>1098</v>
      </c>
      <c r="K464" t="s">
        <v>1099</v>
      </c>
      <c r="L464">
        <v>1368</v>
      </c>
      <c r="N464">
        <v>1011</v>
      </c>
      <c r="O464" t="s">
        <v>1078</v>
      </c>
      <c r="P464" t="s">
        <v>1078</v>
      </c>
      <c r="Q464">
        <v>1</v>
      </c>
      <c r="X464">
        <v>0.01</v>
      </c>
      <c r="Y464">
        <v>0</v>
      </c>
      <c r="Z464">
        <v>65.709999999999994</v>
      </c>
      <c r="AA464">
        <v>11.6</v>
      </c>
      <c r="AB464">
        <v>0</v>
      </c>
      <c r="AC464">
        <v>0</v>
      </c>
      <c r="AD464">
        <v>1</v>
      </c>
      <c r="AE464">
        <v>0</v>
      </c>
      <c r="AF464" t="s">
        <v>6</v>
      </c>
      <c r="AG464">
        <v>0.01</v>
      </c>
      <c r="AH464">
        <v>2</v>
      </c>
      <c r="AI464">
        <v>16751194</v>
      </c>
      <c r="AJ464">
        <v>497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</row>
    <row r="465" spans="1:44" x14ac:dyDescent="0.2">
      <c r="A465">
        <f>ROW(Source!A358)</f>
        <v>358</v>
      </c>
      <c r="B465">
        <v>16751204</v>
      </c>
      <c r="C465">
        <v>16751190</v>
      </c>
      <c r="D465">
        <v>15167588</v>
      </c>
      <c r="E465">
        <v>1</v>
      </c>
      <c r="F465">
        <v>1</v>
      </c>
      <c r="G465">
        <v>1</v>
      </c>
      <c r="H465">
        <v>3</v>
      </c>
      <c r="I465" t="s">
        <v>1388</v>
      </c>
      <c r="J465" t="s">
        <v>1389</v>
      </c>
      <c r="K465" t="s">
        <v>1390</v>
      </c>
      <c r="L465">
        <v>1346</v>
      </c>
      <c r="N465">
        <v>1009</v>
      </c>
      <c r="O465" t="s">
        <v>323</v>
      </c>
      <c r="P465" t="s">
        <v>323</v>
      </c>
      <c r="Q465">
        <v>1</v>
      </c>
      <c r="X465">
        <v>0.16</v>
      </c>
      <c r="Y465">
        <v>30.4</v>
      </c>
      <c r="Z465">
        <v>0</v>
      </c>
      <c r="AA465">
        <v>0</v>
      </c>
      <c r="AB465">
        <v>0</v>
      </c>
      <c r="AC465">
        <v>0</v>
      </c>
      <c r="AD465">
        <v>1</v>
      </c>
      <c r="AE465">
        <v>0</v>
      </c>
      <c r="AF465" t="s">
        <v>6</v>
      </c>
      <c r="AG465">
        <v>0.16</v>
      </c>
      <c r="AH465">
        <v>2</v>
      </c>
      <c r="AI465">
        <v>16751195</v>
      </c>
      <c r="AJ465">
        <v>498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</row>
    <row r="466" spans="1:44" x14ac:dyDescent="0.2">
      <c r="A466">
        <f>ROW(Source!A358)</f>
        <v>358</v>
      </c>
      <c r="B466">
        <v>16751205</v>
      </c>
      <c r="C466">
        <v>16751190</v>
      </c>
      <c r="D466">
        <v>15167600</v>
      </c>
      <c r="E466">
        <v>1</v>
      </c>
      <c r="F466">
        <v>1</v>
      </c>
      <c r="G466">
        <v>1</v>
      </c>
      <c r="H466">
        <v>3</v>
      </c>
      <c r="I466" t="s">
        <v>1476</v>
      </c>
      <c r="J466" t="s">
        <v>1477</v>
      </c>
      <c r="K466" t="s">
        <v>1478</v>
      </c>
      <c r="L466">
        <v>1308</v>
      </c>
      <c r="N466">
        <v>1003</v>
      </c>
      <c r="O466" t="s">
        <v>34</v>
      </c>
      <c r="P466" t="s">
        <v>34</v>
      </c>
      <c r="Q466">
        <v>100</v>
      </c>
      <c r="X466">
        <v>5.5E-2</v>
      </c>
      <c r="Y466">
        <v>120</v>
      </c>
      <c r="Z466">
        <v>0</v>
      </c>
      <c r="AA466">
        <v>0</v>
      </c>
      <c r="AB466">
        <v>0</v>
      </c>
      <c r="AC466">
        <v>0</v>
      </c>
      <c r="AD466">
        <v>1</v>
      </c>
      <c r="AE466">
        <v>0</v>
      </c>
      <c r="AF466" t="s">
        <v>6</v>
      </c>
      <c r="AG466">
        <v>5.5E-2</v>
      </c>
      <c r="AH466">
        <v>2</v>
      </c>
      <c r="AI466">
        <v>16751196</v>
      </c>
      <c r="AJ466">
        <v>499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</row>
    <row r="467" spans="1:44" x14ac:dyDescent="0.2">
      <c r="A467">
        <f>ROW(Source!A358)</f>
        <v>358</v>
      </c>
      <c r="B467">
        <v>16751206</v>
      </c>
      <c r="C467">
        <v>16751190</v>
      </c>
      <c r="D467">
        <v>15203834</v>
      </c>
      <c r="E467">
        <v>1</v>
      </c>
      <c r="F467">
        <v>1</v>
      </c>
      <c r="G467">
        <v>1</v>
      </c>
      <c r="H467">
        <v>3</v>
      </c>
      <c r="I467" t="s">
        <v>1411</v>
      </c>
      <c r="J467" t="s">
        <v>1412</v>
      </c>
      <c r="K467" t="s">
        <v>374</v>
      </c>
      <c r="L467">
        <v>1346</v>
      </c>
      <c r="N467">
        <v>1009</v>
      </c>
      <c r="O467" t="s">
        <v>323</v>
      </c>
      <c r="P467" t="s">
        <v>323</v>
      </c>
      <c r="Q467">
        <v>1</v>
      </c>
      <c r="X467">
        <v>0.05</v>
      </c>
      <c r="Y467">
        <v>28.6</v>
      </c>
      <c r="Z467">
        <v>0</v>
      </c>
      <c r="AA467">
        <v>0</v>
      </c>
      <c r="AB467">
        <v>0</v>
      </c>
      <c r="AC467">
        <v>0</v>
      </c>
      <c r="AD467">
        <v>1</v>
      </c>
      <c r="AE467">
        <v>0</v>
      </c>
      <c r="AF467" t="s">
        <v>6</v>
      </c>
      <c r="AG467">
        <v>0.05</v>
      </c>
      <c r="AH467">
        <v>2</v>
      </c>
      <c r="AI467">
        <v>16751197</v>
      </c>
      <c r="AJ467">
        <v>500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</row>
    <row r="468" spans="1:44" x14ac:dyDescent="0.2">
      <c r="A468">
        <f>ROW(Source!A358)</f>
        <v>358</v>
      </c>
      <c r="B468">
        <v>16751207</v>
      </c>
      <c r="C468">
        <v>16751190</v>
      </c>
      <c r="D468">
        <v>15164559</v>
      </c>
      <c r="E468">
        <v>17</v>
      </c>
      <c r="F468">
        <v>1</v>
      </c>
      <c r="G468">
        <v>1</v>
      </c>
      <c r="H468">
        <v>3</v>
      </c>
      <c r="I468" t="s">
        <v>1383</v>
      </c>
      <c r="J468" t="s">
        <v>6</v>
      </c>
      <c r="K468" t="s">
        <v>1384</v>
      </c>
      <c r="L468">
        <v>1374</v>
      </c>
      <c r="N468">
        <v>1013</v>
      </c>
      <c r="O468" t="s">
        <v>1385</v>
      </c>
      <c r="P468" t="s">
        <v>1385</v>
      </c>
      <c r="Q468">
        <v>1</v>
      </c>
      <c r="X468">
        <v>0.71</v>
      </c>
      <c r="Y468">
        <v>1</v>
      </c>
      <c r="Z468">
        <v>0</v>
      </c>
      <c r="AA468">
        <v>0</v>
      </c>
      <c r="AB468">
        <v>0</v>
      </c>
      <c r="AC468">
        <v>0</v>
      </c>
      <c r="AD468">
        <v>1</v>
      </c>
      <c r="AE468">
        <v>0</v>
      </c>
      <c r="AF468" t="s">
        <v>6</v>
      </c>
      <c r="AG468">
        <v>0.71</v>
      </c>
      <c r="AH468">
        <v>2</v>
      </c>
      <c r="AI468">
        <v>16751198</v>
      </c>
      <c r="AJ468">
        <v>502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</row>
    <row r="469" spans="1:44" x14ac:dyDescent="0.2">
      <c r="A469">
        <f>ROW(Source!A360)</f>
        <v>360</v>
      </c>
      <c r="B469">
        <v>16751214</v>
      </c>
      <c r="C469">
        <v>16751209</v>
      </c>
      <c r="D469">
        <v>15438286</v>
      </c>
      <c r="E469">
        <v>1</v>
      </c>
      <c r="F469">
        <v>1</v>
      </c>
      <c r="G469">
        <v>1</v>
      </c>
      <c r="H469">
        <v>1</v>
      </c>
      <c r="I469" t="s">
        <v>1177</v>
      </c>
      <c r="J469" t="s">
        <v>6</v>
      </c>
      <c r="K469" t="s">
        <v>1178</v>
      </c>
      <c r="L469">
        <v>1191</v>
      </c>
      <c r="N469">
        <v>1013</v>
      </c>
      <c r="O469" t="s">
        <v>1072</v>
      </c>
      <c r="P469" t="s">
        <v>1072</v>
      </c>
      <c r="Q469">
        <v>1</v>
      </c>
      <c r="X469">
        <v>15.2</v>
      </c>
      <c r="Y469">
        <v>0</v>
      </c>
      <c r="Z469">
        <v>0</v>
      </c>
      <c r="AA469">
        <v>0</v>
      </c>
      <c r="AB469">
        <v>9.18</v>
      </c>
      <c r="AC469">
        <v>0</v>
      </c>
      <c r="AD469">
        <v>1</v>
      </c>
      <c r="AE469">
        <v>1</v>
      </c>
      <c r="AF469" t="s">
        <v>6</v>
      </c>
      <c r="AG469">
        <v>15.2</v>
      </c>
      <c r="AH469">
        <v>2</v>
      </c>
      <c r="AI469">
        <v>16751210</v>
      </c>
      <c r="AJ469">
        <v>503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</row>
    <row r="470" spans="1:44" x14ac:dyDescent="0.2">
      <c r="A470">
        <f>ROW(Source!A360)</f>
        <v>360</v>
      </c>
      <c r="B470">
        <v>16751215</v>
      </c>
      <c r="C470">
        <v>16751209</v>
      </c>
      <c r="D470">
        <v>15170155</v>
      </c>
      <c r="E470">
        <v>1</v>
      </c>
      <c r="F470">
        <v>1</v>
      </c>
      <c r="G470">
        <v>1</v>
      </c>
      <c r="H470">
        <v>3</v>
      </c>
      <c r="I470" t="s">
        <v>1405</v>
      </c>
      <c r="J470" t="s">
        <v>1406</v>
      </c>
      <c r="K470" t="s">
        <v>1407</v>
      </c>
      <c r="L470">
        <v>1355</v>
      </c>
      <c r="N470">
        <v>1010</v>
      </c>
      <c r="O470" t="s">
        <v>724</v>
      </c>
      <c r="P470" t="s">
        <v>724</v>
      </c>
      <c r="Q470">
        <v>100</v>
      </c>
      <c r="X470">
        <v>1.75</v>
      </c>
      <c r="Y470">
        <v>8</v>
      </c>
      <c r="Z470">
        <v>0</v>
      </c>
      <c r="AA470">
        <v>0</v>
      </c>
      <c r="AB470">
        <v>0</v>
      </c>
      <c r="AC470">
        <v>0</v>
      </c>
      <c r="AD470">
        <v>1</v>
      </c>
      <c r="AE470">
        <v>0</v>
      </c>
      <c r="AF470" t="s">
        <v>6</v>
      </c>
      <c r="AG470">
        <v>1.75</v>
      </c>
      <c r="AH470">
        <v>2</v>
      </c>
      <c r="AI470">
        <v>16751211</v>
      </c>
      <c r="AJ470">
        <v>504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</row>
    <row r="471" spans="1:44" x14ac:dyDescent="0.2">
      <c r="A471">
        <f>ROW(Source!A360)</f>
        <v>360</v>
      </c>
      <c r="B471">
        <v>16751216</v>
      </c>
      <c r="C471">
        <v>16751209</v>
      </c>
      <c r="D471">
        <v>15164559</v>
      </c>
      <c r="E471">
        <v>17</v>
      </c>
      <c r="F471">
        <v>1</v>
      </c>
      <c r="G471">
        <v>1</v>
      </c>
      <c r="H471">
        <v>3</v>
      </c>
      <c r="I471" t="s">
        <v>1383</v>
      </c>
      <c r="J471" t="s">
        <v>6</v>
      </c>
      <c r="K471" t="s">
        <v>1384</v>
      </c>
      <c r="L471">
        <v>1374</v>
      </c>
      <c r="N471">
        <v>1013</v>
      </c>
      <c r="O471" t="s">
        <v>1385</v>
      </c>
      <c r="P471" t="s">
        <v>1385</v>
      </c>
      <c r="Q471">
        <v>1</v>
      </c>
      <c r="X471">
        <v>2.79</v>
      </c>
      <c r="Y471">
        <v>1</v>
      </c>
      <c r="Z471">
        <v>0</v>
      </c>
      <c r="AA471">
        <v>0</v>
      </c>
      <c r="AB471">
        <v>0</v>
      </c>
      <c r="AC471">
        <v>0</v>
      </c>
      <c r="AD471">
        <v>1</v>
      </c>
      <c r="AE471">
        <v>0</v>
      </c>
      <c r="AF471" t="s">
        <v>6</v>
      </c>
      <c r="AG471">
        <v>2.79</v>
      </c>
      <c r="AH471">
        <v>2</v>
      </c>
      <c r="AI471">
        <v>16751213</v>
      </c>
      <c r="AJ471">
        <v>506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</row>
    <row r="472" spans="1:44" x14ac:dyDescent="0.2">
      <c r="A472">
        <f>ROW(Source!A362)</f>
        <v>362</v>
      </c>
      <c r="B472">
        <v>16751230</v>
      </c>
      <c r="C472">
        <v>16751218</v>
      </c>
      <c r="D472">
        <v>15430397</v>
      </c>
      <c r="E472">
        <v>1</v>
      </c>
      <c r="F472">
        <v>1</v>
      </c>
      <c r="G472">
        <v>1</v>
      </c>
      <c r="H472">
        <v>1</v>
      </c>
      <c r="I472" t="s">
        <v>1234</v>
      </c>
      <c r="J472" t="s">
        <v>6</v>
      </c>
      <c r="K472" t="s">
        <v>1235</v>
      </c>
      <c r="L472">
        <v>1191</v>
      </c>
      <c r="N472">
        <v>1013</v>
      </c>
      <c r="O472" t="s">
        <v>1072</v>
      </c>
      <c r="P472" t="s">
        <v>1072</v>
      </c>
      <c r="Q472">
        <v>1</v>
      </c>
      <c r="X472">
        <v>6.29</v>
      </c>
      <c r="Y472">
        <v>0</v>
      </c>
      <c r="Z472">
        <v>0</v>
      </c>
      <c r="AA472">
        <v>0</v>
      </c>
      <c r="AB472">
        <v>9.4</v>
      </c>
      <c r="AC472">
        <v>0</v>
      </c>
      <c r="AD472">
        <v>1</v>
      </c>
      <c r="AE472">
        <v>1</v>
      </c>
      <c r="AF472" t="s">
        <v>6</v>
      </c>
      <c r="AG472">
        <v>6.29</v>
      </c>
      <c r="AH472">
        <v>2</v>
      </c>
      <c r="AI472">
        <v>16751219</v>
      </c>
      <c r="AJ472">
        <v>507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</row>
    <row r="473" spans="1:44" x14ac:dyDescent="0.2">
      <c r="A473">
        <f>ROW(Source!A362)</f>
        <v>362</v>
      </c>
      <c r="B473">
        <v>16751231</v>
      </c>
      <c r="C473">
        <v>16751218</v>
      </c>
      <c r="D473">
        <v>15430395</v>
      </c>
      <c r="E473">
        <v>1</v>
      </c>
      <c r="F473">
        <v>1</v>
      </c>
      <c r="G473">
        <v>1</v>
      </c>
      <c r="H473">
        <v>1</v>
      </c>
      <c r="I473" t="s">
        <v>1073</v>
      </c>
      <c r="J473" t="s">
        <v>6</v>
      </c>
      <c r="K473" t="s">
        <v>1074</v>
      </c>
      <c r="L473">
        <v>1191</v>
      </c>
      <c r="N473">
        <v>1013</v>
      </c>
      <c r="O473" t="s">
        <v>1072</v>
      </c>
      <c r="P473" t="s">
        <v>1072</v>
      </c>
      <c r="Q473">
        <v>1</v>
      </c>
      <c r="X473">
        <v>0.06</v>
      </c>
      <c r="Y473">
        <v>0</v>
      </c>
      <c r="Z473">
        <v>0</v>
      </c>
      <c r="AA473">
        <v>0</v>
      </c>
      <c r="AB473">
        <v>0</v>
      </c>
      <c r="AC473">
        <v>0</v>
      </c>
      <c r="AD473">
        <v>1</v>
      </c>
      <c r="AE473">
        <v>2</v>
      </c>
      <c r="AF473" t="s">
        <v>6</v>
      </c>
      <c r="AG473">
        <v>0.06</v>
      </c>
      <c r="AH473">
        <v>2</v>
      </c>
      <c r="AI473">
        <v>16751220</v>
      </c>
      <c r="AJ473">
        <v>508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</row>
    <row r="474" spans="1:44" x14ac:dyDescent="0.2">
      <c r="A474">
        <f>ROW(Source!A362)</f>
        <v>362</v>
      </c>
      <c r="B474">
        <v>16751232</v>
      </c>
      <c r="C474">
        <v>16751218</v>
      </c>
      <c r="D474">
        <v>15247680</v>
      </c>
      <c r="E474">
        <v>1</v>
      </c>
      <c r="F474">
        <v>1</v>
      </c>
      <c r="G474">
        <v>1</v>
      </c>
      <c r="H474">
        <v>2</v>
      </c>
      <c r="I474" t="s">
        <v>1211</v>
      </c>
      <c r="J474" t="s">
        <v>1212</v>
      </c>
      <c r="K474" t="s">
        <v>1213</v>
      </c>
      <c r="L474">
        <v>1368</v>
      </c>
      <c r="N474">
        <v>1011</v>
      </c>
      <c r="O474" t="s">
        <v>1078</v>
      </c>
      <c r="P474" t="s">
        <v>1078</v>
      </c>
      <c r="Q474">
        <v>1</v>
      </c>
      <c r="X474">
        <v>0.03</v>
      </c>
      <c r="Y474">
        <v>0</v>
      </c>
      <c r="Z474">
        <v>111.99</v>
      </c>
      <c r="AA474">
        <v>13.5</v>
      </c>
      <c r="AB474">
        <v>0</v>
      </c>
      <c r="AC474">
        <v>0</v>
      </c>
      <c r="AD474">
        <v>1</v>
      </c>
      <c r="AE474">
        <v>0</v>
      </c>
      <c r="AF474" t="s">
        <v>6</v>
      </c>
      <c r="AG474">
        <v>0.03</v>
      </c>
      <c r="AH474">
        <v>2</v>
      </c>
      <c r="AI474">
        <v>16751221</v>
      </c>
      <c r="AJ474">
        <v>509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</row>
    <row r="475" spans="1:44" x14ac:dyDescent="0.2">
      <c r="A475">
        <f>ROW(Source!A362)</f>
        <v>362</v>
      </c>
      <c r="B475">
        <v>16751233</v>
      </c>
      <c r="C475">
        <v>16751218</v>
      </c>
      <c r="D475">
        <v>15249073</v>
      </c>
      <c r="E475">
        <v>1</v>
      </c>
      <c r="F475">
        <v>1</v>
      </c>
      <c r="G475">
        <v>1</v>
      </c>
      <c r="H475">
        <v>2</v>
      </c>
      <c r="I475" t="s">
        <v>1097</v>
      </c>
      <c r="J475" t="s">
        <v>1098</v>
      </c>
      <c r="K475" t="s">
        <v>1099</v>
      </c>
      <c r="L475">
        <v>1368</v>
      </c>
      <c r="N475">
        <v>1011</v>
      </c>
      <c r="O475" t="s">
        <v>1078</v>
      </c>
      <c r="P475" t="s">
        <v>1078</v>
      </c>
      <c r="Q475">
        <v>1</v>
      </c>
      <c r="X475">
        <v>0.03</v>
      </c>
      <c r="Y475">
        <v>0</v>
      </c>
      <c r="Z475">
        <v>65.709999999999994</v>
      </c>
      <c r="AA475">
        <v>11.6</v>
      </c>
      <c r="AB475">
        <v>0</v>
      </c>
      <c r="AC475">
        <v>0</v>
      </c>
      <c r="AD475">
        <v>1</v>
      </c>
      <c r="AE475">
        <v>0</v>
      </c>
      <c r="AF475" t="s">
        <v>6</v>
      </c>
      <c r="AG475">
        <v>0.03</v>
      </c>
      <c r="AH475">
        <v>2</v>
      </c>
      <c r="AI475">
        <v>16751222</v>
      </c>
      <c r="AJ475">
        <v>510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</row>
    <row r="476" spans="1:44" x14ac:dyDescent="0.2">
      <c r="A476">
        <f>ROW(Source!A362)</f>
        <v>362</v>
      </c>
      <c r="B476">
        <v>16751234</v>
      </c>
      <c r="C476">
        <v>16751218</v>
      </c>
      <c r="D476">
        <v>15167588</v>
      </c>
      <c r="E476">
        <v>1</v>
      </c>
      <c r="F476">
        <v>1</v>
      </c>
      <c r="G476">
        <v>1</v>
      </c>
      <c r="H476">
        <v>3</v>
      </c>
      <c r="I476" t="s">
        <v>1388</v>
      </c>
      <c r="J476" t="s">
        <v>1389</v>
      </c>
      <c r="K476" t="s">
        <v>1390</v>
      </c>
      <c r="L476">
        <v>1346</v>
      </c>
      <c r="N476">
        <v>1009</v>
      </c>
      <c r="O476" t="s">
        <v>323</v>
      </c>
      <c r="P476" t="s">
        <v>323</v>
      </c>
      <c r="Q476">
        <v>1</v>
      </c>
      <c r="X476">
        <v>0.32</v>
      </c>
      <c r="Y476">
        <v>30.4</v>
      </c>
      <c r="Z476">
        <v>0</v>
      </c>
      <c r="AA476">
        <v>0</v>
      </c>
      <c r="AB476">
        <v>0</v>
      </c>
      <c r="AC476">
        <v>0</v>
      </c>
      <c r="AD476">
        <v>1</v>
      </c>
      <c r="AE476">
        <v>0</v>
      </c>
      <c r="AF476" t="s">
        <v>6</v>
      </c>
      <c r="AG476">
        <v>0.32</v>
      </c>
      <c r="AH476">
        <v>2</v>
      </c>
      <c r="AI476">
        <v>16751223</v>
      </c>
      <c r="AJ476">
        <v>511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</row>
    <row r="477" spans="1:44" x14ac:dyDescent="0.2">
      <c r="A477">
        <f>ROW(Source!A362)</f>
        <v>362</v>
      </c>
      <c r="B477">
        <v>16751235</v>
      </c>
      <c r="C477">
        <v>16751218</v>
      </c>
      <c r="D477">
        <v>15167867</v>
      </c>
      <c r="E477">
        <v>1</v>
      </c>
      <c r="F477">
        <v>1</v>
      </c>
      <c r="G477">
        <v>1</v>
      </c>
      <c r="H477">
        <v>3</v>
      </c>
      <c r="I477" t="s">
        <v>1408</v>
      </c>
      <c r="J477" t="s">
        <v>1409</v>
      </c>
      <c r="K477" t="s">
        <v>1410</v>
      </c>
      <c r="L477">
        <v>1348</v>
      </c>
      <c r="N477">
        <v>1009</v>
      </c>
      <c r="O477" t="s">
        <v>71</v>
      </c>
      <c r="P477" t="s">
        <v>71</v>
      </c>
      <c r="Q477">
        <v>1000</v>
      </c>
      <c r="X477">
        <v>1.0499999999999999E-3</v>
      </c>
      <c r="Y477">
        <v>1820</v>
      </c>
      <c r="Z477">
        <v>0</v>
      </c>
      <c r="AA477">
        <v>0</v>
      </c>
      <c r="AB477">
        <v>0</v>
      </c>
      <c r="AC477">
        <v>0</v>
      </c>
      <c r="AD477">
        <v>1</v>
      </c>
      <c r="AE477">
        <v>0</v>
      </c>
      <c r="AF477" t="s">
        <v>6</v>
      </c>
      <c r="AG477">
        <v>1.0499999999999999E-3</v>
      </c>
      <c r="AH477">
        <v>2</v>
      </c>
      <c r="AI477">
        <v>16751224</v>
      </c>
      <c r="AJ477">
        <v>512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</row>
    <row r="478" spans="1:44" x14ac:dyDescent="0.2">
      <c r="A478">
        <f>ROW(Source!A362)</f>
        <v>362</v>
      </c>
      <c r="B478">
        <v>16751236</v>
      </c>
      <c r="C478">
        <v>16751218</v>
      </c>
      <c r="D478">
        <v>15203834</v>
      </c>
      <c r="E478">
        <v>1</v>
      </c>
      <c r="F478">
        <v>1</v>
      </c>
      <c r="G478">
        <v>1</v>
      </c>
      <c r="H478">
        <v>3</v>
      </c>
      <c r="I478" t="s">
        <v>1411</v>
      </c>
      <c r="J478" t="s">
        <v>1412</v>
      </c>
      <c r="K478" t="s">
        <v>374</v>
      </c>
      <c r="L478">
        <v>1346</v>
      </c>
      <c r="N478">
        <v>1009</v>
      </c>
      <c r="O478" t="s">
        <v>323</v>
      </c>
      <c r="P478" t="s">
        <v>323</v>
      </c>
      <c r="Q478">
        <v>1</v>
      </c>
      <c r="X478">
        <v>0.02</v>
      </c>
      <c r="Y478">
        <v>28.6</v>
      </c>
      <c r="Z478">
        <v>0</v>
      </c>
      <c r="AA478">
        <v>0</v>
      </c>
      <c r="AB478">
        <v>0</v>
      </c>
      <c r="AC478">
        <v>0</v>
      </c>
      <c r="AD478">
        <v>1</v>
      </c>
      <c r="AE478">
        <v>0</v>
      </c>
      <c r="AF478" t="s">
        <v>6</v>
      </c>
      <c r="AG478">
        <v>0.02</v>
      </c>
      <c r="AH478">
        <v>2</v>
      </c>
      <c r="AI478">
        <v>16751225</v>
      </c>
      <c r="AJ478">
        <v>513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</row>
    <row r="479" spans="1:44" x14ac:dyDescent="0.2">
      <c r="A479">
        <f>ROW(Source!A362)</f>
        <v>362</v>
      </c>
      <c r="B479">
        <v>16751237</v>
      </c>
      <c r="C479">
        <v>16751218</v>
      </c>
      <c r="D479">
        <v>15217529</v>
      </c>
      <c r="E479">
        <v>1</v>
      </c>
      <c r="F479">
        <v>1</v>
      </c>
      <c r="G479">
        <v>1</v>
      </c>
      <c r="H479">
        <v>3</v>
      </c>
      <c r="I479" t="s">
        <v>1485</v>
      </c>
      <c r="J479" t="s">
        <v>1486</v>
      </c>
      <c r="K479" t="s">
        <v>1487</v>
      </c>
      <c r="L479">
        <v>1355</v>
      </c>
      <c r="N479">
        <v>1010</v>
      </c>
      <c r="O479" t="s">
        <v>724</v>
      </c>
      <c r="P479" t="s">
        <v>724</v>
      </c>
      <c r="Q479">
        <v>100</v>
      </c>
      <c r="X479">
        <v>0.05</v>
      </c>
      <c r="Y479">
        <v>143</v>
      </c>
      <c r="Z479">
        <v>0</v>
      </c>
      <c r="AA479">
        <v>0</v>
      </c>
      <c r="AB479">
        <v>0</v>
      </c>
      <c r="AC479">
        <v>0</v>
      </c>
      <c r="AD479">
        <v>1</v>
      </c>
      <c r="AE479">
        <v>0</v>
      </c>
      <c r="AF479" t="s">
        <v>6</v>
      </c>
      <c r="AG479">
        <v>0.05</v>
      </c>
      <c r="AH479">
        <v>2</v>
      </c>
      <c r="AI479">
        <v>16751226</v>
      </c>
      <c r="AJ479">
        <v>514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</row>
    <row r="480" spans="1:44" x14ac:dyDescent="0.2">
      <c r="A480">
        <f>ROW(Source!A362)</f>
        <v>362</v>
      </c>
      <c r="B480">
        <v>16751238</v>
      </c>
      <c r="C480">
        <v>16751218</v>
      </c>
      <c r="D480">
        <v>15217579</v>
      </c>
      <c r="E480">
        <v>1</v>
      </c>
      <c r="F480">
        <v>1</v>
      </c>
      <c r="G480">
        <v>1</v>
      </c>
      <c r="H480">
        <v>3</v>
      </c>
      <c r="I480" t="s">
        <v>1488</v>
      </c>
      <c r="J480" t="s">
        <v>1489</v>
      </c>
      <c r="K480" t="s">
        <v>1490</v>
      </c>
      <c r="L480">
        <v>1356</v>
      </c>
      <c r="N480">
        <v>1010</v>
      </c>
      <c r="O480" t="s">
        <v>288</v>
      </c>
      <c r="P480" t="s">
        <v>288</v>
      </c>
      <c r="Q480">
        <v>1000</v>
      </c>
      <c r="X480">
        <v>1.2200000000000001E-2</v>
      </c>
      <c r="Y480">
        <v>176.21</v>
      </c>
      <c r="Z480">
        <v>0</v>
      </c>
      <c r="AA480">
        <v>0</v>
      </c>
      <c r="AB480">
        <v>0</v>
      </c>
      <c r="AC480">
        <v>0</v>
      </c>
      <c r="AD480">
        <v>1</v>
      </c>
      <c r="AE480">
        <v>0</v>
      </c>
      <c r="AF480" t="s">
        <v>6</v>
      </c>
      <c r="AG480">
        <v>1.2200000000000001E-2</v>
      </c>
      <c r="AH480">
        <v>2</v>
      </c>
      <c r="AI480">
        <v>16751227</v>
      </c>
      <c r="AJ480">
        <v>515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</row>
    <row r="481" spans="1:44" x14ac:dyDescent="0.2">
      <c r="A481">
        <f>ROW(Source!A362)</f>
        <v>362</v>
      </c>
      <c r="B481">
        <v>16751239</v>
      </c>
      <c r="C481">
        <v>16751218</v>
      </c>
      <c r="D481">
        <v>15164559</v>
      </c>
      <c r="E481">
        <v>17</v>
      </c>
      <c r="F481">
        <v>1</v>
      </c>
      <c r="G481">
        <v>1</v>
      </c>
      <c r="H481">
        <v>3</v>
      </c>
      <c r="I481" t="s">
        <v>1383</v>
      </c>
      <c r="J481" t="s">
        <v>6</v>
      </c>
      <c r="K481" t="s">
        <v>1384</v>
      </c>
      <c r="L481">
        <v>1374</v>
      </c>
      <c r="N481">
        <v>1013</v>
      </c>
      <c r="O481" t="s">
        <v>1385</v>
      </c>
      <c r="P481" t="s">
        <v>1385</v>
      </c>
      <c r="Q481">
        <v>1</v>
      </c>
      <c r="X481">
        <v>1.18</v>
      </c>
      <c r="Y481">
        <v>1</v>
      </c>
      <c r="Z481">
        <v>0</v>
      </c>
      <c r="AA481">
        <v>0</v>
      </c>
      <c r="AB481">
        <v>0</v>
      </c>
      <c r="AC481">
        <v>0</v>
      </c>
      <c r="AD481">
        <v>1</v>
      </c>
      <c r="AE481">
        <v>0</v>
      </c>
      <c r="AF481" t="s">
        <v>6</v>
      </c>
      <c r="AG481">
        <v>1.18</v>
      </c>
      <c r="AH481">
        <v>2</v>
      </c>
      <c r="AI481">
        <v>16751229</v>
      </c>
      <c r="AJ481">
        <v>517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</row>
    <row r="482" spans="1:44" x14ac:dyDescent="0.2">
      <c r="A482">
        <f>ROW(Source!A364)</f>
        <v>364</v>
      </c>
      <c r="B482">
        <v>16751255</v>
      </c>
      <c r="C482">
        <v>16751241</v>
      </c>
      <c r="D482">
        <v>15430397</v>
      </c>
      <c r="E482">
        <v>1</v>
      </c>
      <c r="F482">
        <v>1</v>
      </c>
      <c r="G482">
        <v>1</v>
      </c>
      <c r="H482">
        <v>1</v>
      </c>
      <c r="I482" t="s">
        <v>1234</v>
      </c>
      <c r="J482" t="s">
        <v>6</v>
      </c>
      <c r="K482" t="s">
        <v>1235</v>
      </c>
      <c r="L482">
        <v>1191</v>
      </c>
      <c r="N482">
        <v>1013</v>
      </c>
      <c r="O482" t="s">
        <v>1072</v>
      </c>
      <c r="P482" t="s">
        <v>1072</v>
      </c>
      <c r="Q482">
        <v>1</v>
      </c>
      <c r="X482">
        <v>8.56</v>
      </c>
      <c r="Y482">
        <v>0</v>
      </c>
      <c r="Z482">
        <v>0</v>
      </c>
      <c r="AA482">
        <v>0</v>
      </c>
      <c r="AB482">
        <v>9.4</v>
      </c>
      <c r="AC482">
        <v>0</v>
      </c>
      <c r="AD482">
        <v>1</v>
      </c>
      <c r="AE482">
        <v>1</v>
      </c>
      <c r="AF482" t="s">
        <v>6</v>
      </c>
      <c r="AG482">
        <v>8.56</v>
      </c>
      <c r="AH482">
        <v>2</v>
      </c>
      <c r="AI482">
        <v>16751242</v>
      </c>
      <c r="AJ482">
        <v>518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</row>
    <row r="483" spans="1:44" x14ac:dyDescent="0.2">
      <c r="A483">
        <f>ROW(Source!A364)</f>
        <v>364</v>
      </c>
      <c r="B483">
        <v>16751256</v>
      </c>
      <c r="C483">
        <v>16751241</v>
      </c>
      <c r="D483">
        <v>15430395</v>
      </c>
      <c r="E483">
        <v>1</v>
      </c>
      <c r="F483">
        <v>1</v>
      </c>
      <c r="G483">
        <v>1</v>
      </c>
      <c r="H483">
        <v>1</v>
      </c>
      <c r="I483" t="s">
        <v>1073</v>
      </c>
      <c r="J483" t="s">
        <v>6</v>
      </c>
      <c r="K483" t="s">
        <v>1074</v>
      </c>
      <c r="L483">
        <v>1191</v>
      </c>
      <c r="N483">
        <v>1013</v>
      </c>
      <c r="O483" t="s">
        <v>1072</v>
      </c>
      <c r="P483" t="s">
        <v>1072</v>
      </c>
      <c r="Q483">
        <v>1</v>
      </c>
      <c r="X483">
        <v>2.27</v>
      </c>
      <c r="Y483">
        <v>0</v>
      </c>
      <c r="Z483">
        <v>0</v>
      </c>
      <c r="AA483">
        <v>0</v>
      </c>
      <c r="AB483">
        <v>0</v>
      </c>
      <c r="AC483">
        <v>0</v>
      </c>
      <c r="AD483">
        <v>1</v>
      </c>
      <c r="AE483">
        <v>2</v>
      </c>
      <c r="AF483" t="s">
        <v>6</v>
      </c>
      <c r="AG483">
        <v>2.27</v>
      </c>
      <c r="AH483">
        <v>2</v>
      </c>
      <c r="AI483">
        <v>16751243</v>
      </c>
      <c r="AJ483">
        <v>519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</row>
    <row r="484" spans="1:44" x14ac:dyDescent="0.2">
      <c r="A484">
        <f>ROW(Source!A364)</f>
        <v>364</v>
      </c>
      <c r="B484">
        <v>16751257</v>
      </c>
      <c r="C484">
        <v>16751241</v>
      </c>
      <c r="D484">
        <v>15247680</v>
      </c>
      <c r="E484">
        <v>1</v>
      </c>
      <c r="F484">
        <v>1</v>
      </c>
      <c r="G484">
        <v>1</v>
      </c>
      <c r="H484">
        <v>2</v>
      </c>
      <c r="I484" t="s">
        <v>1211</v>
      </c>
      <c r="J484" t="s">
        <v>1212</v>
      </c>
      <c r="K484" t="s">
        <v>1213</v>
      </c>
      <c r="L484">
        <v>1368</v>
      </c>
      <c r="N484">
        <v>1011</v>
      </c>
      <c r="O484" t="s">
        <v>1078</v>
      </c>
      <c r="P484" t="s">
        <v>1078</v>
      </c>
      <c r="Q484">
        <v>1</v>
      </c>
      <c r="X484">
        <v>0.1</v>
      </c>
      <c r="Y484">
        <v>0</v>
      </c>
      <c r="Z484">
        <v>111.99</v>
      </c>
      <c r="AA484">
        <v>13.5</v>
      </c>
      <c r="AB484">
        <v>0</v>
      </c>
      <c r="AC484">
        <v>0</v>
      </c>
      <c r="AD484">
        <v>1</v>
      </c>
      <c r="AE484">
        <v>0</v>
      </c>
      <c r="AF484" t="s">
        <v>6</v>
      </c>
      <c r="AG484">
        <v>0.1</v>
      </c>
      <c r="AH484">
        <v>2</v>
      </c>
      <c r="AI484">
        <v>16751244</v>
      </c>
      <c r="AJ484">
        <v>520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</row>
    <row r="485" spans="1:44" x14ac:dyDescent="0.2">
      <c r="A485">
        <f>ROW(Source!A364)</f>
        <v>364</v>
      </c>
      <c r="B485">
        <v>16751258</v>
      </c>
      <c r="C485">
        <v>16751241</v>
      </c>
      <c r="D485">
        <v>15247962</v>
      </c>
      <c r="E485">
        <v>1</v>
      </c>
      <c r="F485">
        <v>1</v>
      </c>
      <c r="G485">
        <v>1</v>
      </c>
      <c r="H485">
        <v>2</v>
      </c>
      <c r="I485" t="s">
        <v>1458</v>
      </c>
      <c r="J485" t="s">
        <v>1459</v>
      </c>
      <c r="K485" t="s">
        <v>1460</v>
      </c>
      <c r="L485">
        <v>1368</v>
      </c>
      <c r="N485">
        <v>1011</v>
      </c>
      <c r="O485" t="s">
        <v>1078</v>
      </c>
      <c r="P485" t="s">
        <v>1078</v>
      </c>
      <c r="Q485">
        <v>1</v>
      </c>
      <c r="X485">
        <v>2.0699999999999998</v>
      </c>
      <c r="Y485">
        <v>0</v>
      </c>
      <c r="Z485">
        <v>29.6</v>
      </c>
      <c r="AA485">
        <v>10.06</v>
      </c>
      <c r="AB485">
        <v>0</v>
      </c>
      <c r="AC485">
        <v>0</v>
      </c>
      <c r="AD485">
        <v>1</v>
      </c>
      <c r="AE485">
        <v>0</v>
      </c>
      <c r="AF485" t="s">
        <v>6</v>
      </c>
      <c r="AG485">
        <v>2.0699999999999998</v>
      </c>
      <c r="AH485">
        <v>2</v>
      </c>
      <c r="AI485">
        <v>16751245</v>
      </c>
      <c r="AJ485">
        <v>521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</row>
    <row r="486" spans="1:44" x14ac:dyDescent="0.2">
      <c r="A486">
        <f>ROW(Source!A364)</f>
        <v>364</v>
      </c>
      <c r="B486">
        <v>16751259</v>
      </c>
      <c r="C486">
        <v>16751241</v>
      </c>
      <c r="D486">
        <v>15249073</v>
      </c>
      <c r="E486">
        <v>1</v>
      </c>
      <c r="F486">
        <v>1</v>
      </c>
      <c r="G486">
        <v>1</v>
      </c>
      <c r="H486">
        <v>2</v>
      </c>
      <c r="I486" t="s">
        <v>1097</v>
      </c>
      <c r="J486" t="s">
        <v>1098</v>
      </c>
      <c r="K486" t="s">
        <v>1099</v>
      </c>
      <c r="L486">
        <v>1368</v>
      </c>
      <c r="N486">
        <v>1011</v>
      </c>
      <c r="O486" t="s">
        <v>1078</v>
      </c>
      <c r="P486" t="s">
        <v>1078</v>
      </c>
      <c r="Q486">
        <v>1</v>
      </c>
      <c r="X486">
        <v>0.1</v>
      </c>
      <c r="Y486">
        <v>0</v>
      </c>
      <c r="Z486">
        <v>65.709999999999994</v>
      </c>
      <c r="AA486">
        <v>11.6</v>
      </c>
      <c r="AB486">
        <v>0</v>
      </c>
      <c r="AC486">
        <v>0</v>
      </c>
      <c r="AD486">
        <v>1</v>
      </c>
      <c r="AE486">
        <v>0</v>
      </c>
      <c r="AF486" t="s">
        <v>6</v>
      </c>
      <c r="AG486">
        <v>0.1</v>
      </c>
      <c r="AH486">
        <v>2</v>
      </c>
      <c r="AI486">
        <v>16751246</v>
      </c>
      <c r="AJ486">
        <v>522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0</v>
      </c>
    </row>
    <row r="487" spans="1:44" x14ac:dyDescent="0.2">
      <c r="A487">
        <f>ROW(Source!A364)</f>
        <v>364</v>
      </c>
      <c r="B487">
        <v>16751260</v>
      </c>
      <c r="C487">
        <v>16751241</v>
      </c>
      <c r="D487">
        <v>15249377</v>
      </c>
      <c r="E487">
        <v>1</v>
      </c>
      <c r="F487">
        <v>1</v>
      </c>
      <c r="G487">
        <v>1</v>
      </c>
      <c r="H487">
        <v>2</v>
      </c>
      <c r="I487" t="s">
        <v>1100</v>
      </c>
      <c r="J487" t="s">
        <v>1101</v>
      </c>
      <c r="K487" t="s">
        <v>1102</v>
      </c>
      <c r="L487">
        <v>1368</v>
      </c>
      <c r="N487">
        <v>1011</v>
      </c>
      <c r="O487" t="s">
        <v>1078</v>
      </c>
      <c r="P487" t="s">
        <v>1078</v>
      </c>
      <c r="Q487">
        <v>1</v>
      </c>
      <c r="X487">
        <v>1.93</v>
      </c>
      <c r="Y487">
        <v>0</v>
      </c>
      <c r="Z487">
        <v>8.1</v>
      </c>
      <c r="AA487">
        <v>0</v>
      </c>
      <c r="AB487">
        <v>0</v>
      </c>
      <c r="AC487">
        <v>0</v>
      </c>
      <c r="AD487">
        <v>1</v>
      </c>
      <c r="AE487">
        <v>0</v>
      </c>
      <c r="AF487" t="s">
        <v>6</v>
      </c>
      <c r="AG487">
        <v>1.93</v>
      </c>
      <c r="AH487">
        <v>2</v>
      </c>
      <c r="AI487">
        <v>16751247</v>
      </c>
      <c r="AJ487">
        <v>523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0</v>
      </c>
    </row>
    <row r="488" spans="1:44" x14ac:dyDescent="0.2">
      <c r="A488">
        <f>ROW(Source!A364)</f>
        <v>364</v>
      </c>
      <c r="B488">
        <v>16751261</v>
      </c>
      <c r="C488">
        <v>16751241</v>
      </c>
      <c r="D488">
        <v>15168752</v>
      </c>
      <c r="E488">
        <v>1</v>
      </c>
      <c r="F488">
        <v>1</v>
      </c>
      <c r="G488">
        <v>1</v>
      </c>
      <c r="H488">
        <v>3</v>
      </c>
      <c r="I488" t="s">
        <v>1443</v>
      </c>
      <c r="J488" t="s">
        <v>1444</v>
      </c>
      <c r="K488" t="s">
        <v>1445</v>
      </c>
      <c r="L488">
        <v>1346</v>
      </c>
      <c r="N488">
        <v>1009</v>
      </c>
      <c r="O488" t="s">
        <v>323</v>
      </c>
      <c r="P488" t="s">
        <v>323</v>
      </c>
      <c r="Q488">
        <v>1</v>
      </c>
      <c r="X488">
        <v>2.14</v>
      </c>
      <c r="Y488">
        <v>10.57</v>
      </c>
      <c r="Z488">
        <v>0</v>
      </c>
      <c r="AA488">
        <v>0</v>
      </c>
      <c r="AB488">
        <v>0</v>
      </c>
      <c r="AC488">
        <v>0</v>
      </c>
      <c r="AD488">
        <v>1</v>
      </c>
      <c r="AE488">
        <v>0</v>
      </c>
      <c r="AF488" t="s">
        <v>6</v>
      </c>
      <c r="AG488">
        <v>2.14</v>
      </c>
      <c r="AH488">
        <v>2</v>
      </c>
      <c r="AI488">
        <v>16751248</v>
      </c>
      <c r="AJ488">
        <v>524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</row>
    <row r="489" spans="1:44" x14ac:dyDescent="0.2">
      <c r="A489">
        <f>ROW(Source!A364)</f>
        <v>364</v>
      </c>
      <c r="B489">
        <v>16751262</v>
      </c>
      <c r="C489">
        <v>16751241</v>
      </c>
      <c r="D489">
        <v>15169942</v>
      </c>
      <c r="E489">
        <v>1</v>
      </c>
      <c r="F489">
        <v>1</v>
      </c>
      <c r="G489">
        <v>1</v>
      </c>
      <c r="H489">
        <v>3</v>
      </c>
      <c r="I489" t="s">
        <v>1391</v>
      </c>
      <c r="J489" t="s">
        <v>1392</v>
      </c>
      <c r="K489" t="s">
        <v>1291</v>
      </c>
      <c r="L489">
        <v>1346</v>
      </c>
      <c r="N489">
        <v>1009</v>
      </c>
      <c r="O489" t="s">
        <v>323</v>
      </c>
      <c r="P489" t="s">
        <v>323</v>
      </c>
      <c r="Q489">
        <v>1</v>
      </c>
      <c r="X489">
        <v>1.25</v>
      </c>
      <c r="Y489">
        <v>9.0399999999999991</v>
      </c>
      <c r="Z489">
        <v>0</v>
      </c>
      <c r="AA489">
        <v>0</v>
      </c>
      <c r="AB489">
        <v>0</v>
      </c>
      <c r="AC489">
        <v>0</v>
      </c>
      <c r="AD489">
        <v>1</v>
      </c>
      <c r="AE489">
        <v>0</v>
      </c>
      <c r="AF489" t="s">
        <v>6</v>
      </c>
      <c r="AG489">
        <v>1.25</v>
      </c>
      <c r="AH489">
        <v>2</v>
      </c>
      <c r="AI489">
        <v>16751249</v>
      </c>
      <c r="AJ489">
        <v>525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</row>
    <row r="490" spans="1:44" x14ac:dyDescent="0.2">
      <c r="A490">
        <f>ROW(Source!A364)</f>
        <v>364</v>
      </c>
      <c r="B490">
        <v>16751263</v>
      </c>
      <c r="C490">
        <v>16751241</v>
      </c>
      <c r="D490">
        <v>15170074</v>
      </c>
      <c r="E490">
        <v>1</v>
      </c>
      <c r="F490">
        <v>1</v>
      </c>
      <c r="G490">
        <v>1</v>
      </c>
      <c r="H490">
        <v>3</v>
      </c>
      <c r="I490" t="s">
        <v>1399</v>
      </c>
      <c r="J490" t="s">
        <v>1400</v>
      </c>
      <c r="K490" t="s">
        <v>1401</v>
      </c>
      <c r="L490">
        <v>1355</v>
      </c>
      <c r="N490">
        <v>1010</v>
      </c>
      <c r="O490" t="s">
        <v>724</v>
      </c>
      <c r="P490" t="s">
        <v>724</v>
      </c>
      <c r="Q490">
        <v>100</v>
      </c>
      <c r="X490">
        <v>0.3</v>
      </c>
      <c r="Y490">
        <v>86</v>
      </c>
      <c r="Z490">
        <v>0</v>
      </c>
      <c r="AA490">
        <v>0</v>
      </c>
      <c r="AB490">
        <v>0</v>
      </c>
      <c r="AC490">
        <v>0</v>
      </c>
      <c r="AD490">
        <v>1</v>
      </c>
      <c r="AE490">
        <v>0</v>
      </c>
      <c r="AF490" t="s">
        <v>6</v>
      </c>
      <c r="AG490">
        <v>0.3</v>
      </c>
      <c r="AH490">
        <v>2</v>
      </c>
      <c r="AI490">
        <v>16751250</v>
      </c>
      <c r="AJ490">
        <v>526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</row>
    <row r="491" spans="1:44" x14ac:dyDescent="0.2">
      <c r="A491">
        <f>ROW(Source!A364)</f>
        <v>364</v>
      </c>
      <c r="B491">
        <v>16751264</v>
      </c>
      <c r="C491">
        <v>16751241</v>
      </c>
      <c r="D491">
        <v>15217313</v>
      </c>
      <c r="E491">
        <v>1</v>
      </c>
      <c r="F491">
        <v>1</v>
      </c>
      <c r="G491">
        <v>1</v>
      </c>
      <c r="H491">
        <v>3</v>
      </c>
      <c r="I491" t="s">
        <v>1461</v>
      </c>
      <c r="J491" t="s">
        <v>1462</v>
      </c>
      <c r="K491" t="s">
        <v>1463</v>
      </c>
      <c r="L491">
        <v>1354</v>
      </c>
      <c r="N491">
        <v>1010</v>
      </c>
      <c r="O491" t="s">
        <v>53</v>
      </c>
      <c r="P491" t="s">
        <v>53</v>
      </c>
      <c r="Q491">
        <v>1</v>
      </c>
      <c r="X491">
        <v>30</v>
      </c>
      <c r="Y491">
        <v>10.54</v>
      </c>
      <c r="Z491">
        <v>0</v>
      </c>
      <c r="AA491">
        <v>0</v>
      </c>
      <c r="AB491">
        <v>0</v>
      </c>
      <c r="AC491">
        <v>0</v>
      </c>
      <c r="AD491">
        <v>1</v>
      </c>
      <c r="AE491">
        <v>0</v>
      </c>
      <c r="AF491" t="s">
        <v>6</v>
      </c>
      <c r="AG491">
        <v>30</v>
      </c>
      <c r="AH491">
        <v>2</v>
      </c>
      <c r="AI491">
        <v>16751251</v>
      </c>
      <c r="AJ491">
        <v>527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</row>
    <row r="492" spans="1:44" x14ac:dyDescent="0.2">
      <c r="A492">
        <f>ROW(Source!A364)</f>
        <v>364</v>
      </c>
      <c r="B492">
        <v>16751265</v>
      </c>
      <c r="C492">
        <v>16751241</v>
      </c>
      <c r="D492">
        <v>15219265</v>
      </c>
      <c r="E492">
        <v>1</v>
      </c>
      <c r="F492">
        <v>1</v>
      </c>
      <c r="G492">
        <v>1</v>
      </c>
      <c r="H492">
        <v>3</v>
      </c>
      <c r="I492" t="s">
        <v>1464</v>
      </c>
      <c r="J492" t="s">
        <v>1465</v>
      </c>
      <c r="K492" t="s">
        <v>1466</v>
      </c>
      <c r="L492">
        <v>1354</v>
      </c>
      <c r="N492">
        <v>1010</v>
      </c>
      <c r="O492" t="s">
        <v>53</v>
      </c>
      <c r="P492" t="s">
        <v>53</v>
      </c>
      <c r="Q492">
        <v>1</v>
      </c>
      <c r="X492">
        <v>6</v>
      </c>
      <c r="Y492">
        <v>5</v>
      </c>
      <c r="Z492">
        <v>0</v>
      </c>
      <c r="AA492">
        <v>0</v>
      </c>
      <c r="AB492">
        <v>0</v>
      </c>
      <c r="AC492">
        <v>0</v>
      </c>
      <c r="AD492">
        <v>1</v>
      </c>
      <c r="AE492">
        <v>0</v>
      </c>
      <c r="AF492" t="s">
        <v>6</v>
      </c>
      <c r="AG492">
        <v>6</v>
      </c>
      <c r="AH492">
        <v>2</v>
      </c>
      <c r="AI492">
        <v>16751253</v>
      </c>
      <c r="AJ492">
        <v>529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</row>
    <row r="493" spans="1:44" x14ac:dyDescent="0.2">
      <c r="A493">
        <f>ROW(Source!A364)</f>
        <v>364</v>
      </c>
      <c r="B493">
        <v>16751266</v>
      </c>
      <c r="C493">
        <v>16751241</v>
      </c>
      <c r="D493">
        <v>15164559</v>
      </c>
      <c r="E493">
        <v>17</v>
      </c>
      <c r="F493">
        <v>1</v>
      </c>
      <c r="G493">
        <v>1</v>
      </c>
      <c r="H493">
        <v>3</v>
      </c>
      <c r="I493" t="s">
        <v>1383</v>
      </c>
      <c r="J493" t="s">
        <v>6</v>
      </c>
      <c r="K493" t="s">
        <v>1384</v>
      </c>
      <c r="L493">
        <v>1374</v>
      </c>
      <c r="N493">
        <v>1013</v>
      </c>
      <c r="O493" t="s">
        <v>1385</v>
      </c>
      <c r="P493" t="s">
        <v>1385</v>
      </c>
      <c r="Q493">
        <v>1</v>
      </c>
      <c r="X493">
        <v>1.61</v>
      </c>
      <c r="Y493">
        <v>1</v>
      </c>
      <c r="Z493">
        <v>0</v>
      </c>
      <c r="AA493">
        <v>0</v>
      </c>
      <c r="AB493">
        <v>0</v>
      </c>
      <c r="AC493">
        <v>0</v>
      </c>
      <c r="AD493">
        <v>1</v>
      </c>
      <c r="AE493">
        <v>0</v>
      </c>
      <c r="AF493" t="s">
        <v>6</v>
      </c>
      <c r="AG493">
        <v>1.61</v>
      </c>
      <c r="AH493">
        <v>2</v>
      </c>
      <c r="AI493">
        <v>16751254</v>
      </c>
      <c r="AJ493">
        <v>530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</row>
    <row r="494" spans="1:44" x14ac:dyDescent="0.2">
      <c r="A494">
        <f>ROW(Source!A366)</f>
        <v>366</v>
      </c>
      <c r="B494">
        <v>16751279</v>
      </c>
      <c r="C494">
        <v>16751268</v>
      </c>
      <c r="D494">
        <v>15430397</v>
      </c>
      <c r="E494">
        <v>1</v>
      </c>
      <c r="F494">
        <v>1</v>
      </c>
      <c r="G494">
        <v>1</v>
      </c>
      <c r="H494">
        <v>1</v>
      </c>
      <c r="I494" t="s">
        <v>1234</v>
      </c>
      <c r="J494" t="s">
        <v>6</v>
      </c>
      <c r="K494" t="s">
        <v>1235</v>
      </c>
      <c r="L494">
        <v>1191</v>
      </c>
      <c r="N494">
        <v>1013</v>
      </c>
      <c r="O494" t="s">
        <v>1072</v>
      </c>
      <c r="P494" t="s">
        <v>1072</v>
      </c>
      <c r="Q494">
        <v>1</v>
      </c>
      <c r="X494">
        <v>2.06</v>
      </c>
      <c r="Y494">
        <v>0</v>
      </c>
      <c r="Z494">
        <v>0</v>
      </c>
      <c r="AA494">
        <v>0</v>
      </c>
      <c r="AB494">
        <v>9.4</v>
      </c>
      <c r="AC494">
        <v>0</v>
      </c>
      <c r="AD494">
        <v>1</v>
      </c>
      <c r="AE494">
        <v>1</v>
      </c>
      <c r="AF494" t="s">
        <v>6</v>
      </c>
      <c r="AG494">
        <v>2.06</v>
      </c>
      <c r="AH494">
        <v>2</v>
      </c>
      <c r="AI494">
        <v>16751269</v>
      </c>
      <c r="AJ494">
        <v>531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</row>
    <row r="495" spans="1:44" x14ac:dyDescent="0.2">
      <c r="A495">
        <f>ROW(Source!A366)</f>
        <v>366</v>
      </c>
      <c r="B495">
        <v>16751280</v>
      </c>
      <c r="C495">
        <v>16751268</v>
      </c>
      <c r="D495">
        <v>15430395</v>
      </c>
      <c r="E495">
        <v>1</v>
      </c>
      <c r="F495">
        <v>1</v>
      </c>
      <c r="G495">
        <v>1</v>
      </c>
      <c r="H495">
        <v>1</v>
      </c>
      <c r="I495" t="s">
        <v>1073</v>
      </c>
      <c r="J495" t="s">
        <v>6</v>
      </c>
      <c r="K495" t="s">
        <v>1074</v>
      </c>
      <c r="L495">
        <v>1191</v>
      </c>
      <c r="N495">
        <v>1013</v>
      </c>
      <c r="O495" t="s">
        <v>1072</v>
      </c>
      <c r="P495" t="s">
        <v>1072</v>
      </c>
      <c r="Q495">
        <v>1</v>
      </c>
      <c r="X495">
        <v>0.04</v>
      </c>
      <c r="Y495">
        <v>0</v>
      </c>
      <c r="Z495">
        <v>0</v>
      </c>
      <c r="AA495">
        <v>0</v>
      </c>
      <c r="AB495">
        <v>0</v>
      </c>
      <c r="AC495">
        <v>0</v>
      </c>
      <c r="AD495">
        <v>1</v>
      </c>
      <c r="AE495">
        <v>2</v>
      </c>
      <c r="AF495" t="s">
        <v>6</v>
      </c>
      <c r="AG495">
        <v>0.04</v>
      </c>
      <c r="AH495">
        <v>2</v>
      </c>
      <c r="AI495">
        <v>16751270</v>
      </c>
      <c r="AJ495">
        <v>532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0</v>
      </c>
    </row>
    <row r="496" spans="1:44" x14ac:dyDescent="0.2">
      <c r="A496">
        <f>ROW(Source!A366)</f>
        <v>366</v>
      </c>
      <c r="B496">
        <v>16751281</v>
      </c>
      <c r="C496">
        <v>16751268</v>
      </c>
      <c r="D496">
        <v>15247680</v>
      </c>
      <c r="E496">
        <v>1</v>
      </c>
      <c r="F496">
        <v>1</v>
      </c>
      <c r="G496">
        <v>1</v>
      </c>
      <c r="H496">
        <v>2</v>
      </c>
      <c r="I496" t="s">
        <v>1211</v>
      </c>
      <c r="J496" t="s">
        <v>1212</v>
      </c>
      <c r="K496" t="s">
        <v>1213</v>
      </c>
      <c r="L496">
        <v>1368</v>
      </c>
      <c r="N496">
        <v>1011</v>
      </c>
      <c r="O496" t="s">
        <v>1078</v>
      </c>
      <c r="P496" t="s">
        <v>1078</v>
      </c>
      <c r="Q496">
        <v>1</v>
      </c>
      <c r="X496">
        <v>0.02</v>
      </c>
      <c r="Y496">
        <v>0</v>
      </c>
      <c r="Z496">
        <v>111.99</v>
      </c>
      <c r="AA496">
        <v>13.5</v>
      </c>
      <c r="AB496">
        <v>0</v>
      </c>
      <c r="AC496">
        <v>0</v>
      </c>
      <c r="AD496">
        <v>1</v>
      </c>
      <c r="AE496">
        <v>0</v>
      </c>
      <c r="AF496" t="s">
        <v>6</v>
      </c>
      <c r="AG496">
        <v>0.02</v>
      </c>
      <c r="AH496">
        <v>2</v>
      </c>
      <c r="AI496">
        <v>16751271</v>
      </c>
      <c r="AJ496">
        <v>533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0</v>
      </c>
    </row>
    <row r="497" spans="1:44" x14ac:dyDescent="0.2">
      <c r="A497">
        <f>ROW(Source!A366)</f>
        <v>366</v>
      </c>
      <c r="B497">
        <v>16751282</v>
      </c>
      <c r="C497">
        <v>16751268</v>
      </c>
      <c r="D497">
        <v>15249073</v>
      </c>
      <c r="E497">
        <v>1</v>
      </c>
      <c r="F497">
        <v>1</v>
      </c>
      <c r="G497">
        <v>1</v>
      </c>
      <c r="H497">
        <v>2</v>
      </c>
      <c r="I497" t="s">
        <v>1097</v>
      </c>
      <c r="J497" t="s">
        <v>1098</v>
      </c>
      <c r="K497" t="s">
        <v>1099</v>
      </c>
      <c r="L497">
        <v>1368</v>
      </c>
      <c r="N497">
        <v>1011</v>
      </c>
      <c r="O497" t="s">
        <v>1078</v>
      </c>
      <c r="P497" t="s">
        <v>1078</v>
      </c>
      <c r="Q497">
        <v>1</v>
      </c>
      <c r="X497">
        <v>0.02</v>
      </c>
      <c r="Y497">
        <v>0</v>
      </c>
      <c r="Z497">
        <v>65.709999999999994</v>
      </c>
      <c r="AA497">
        <v>11.6</v>
      </c>
      <c r="AB497">
        <v>0</v>
      </c>
      <c r="AC497">
        <v>0</v>
      </c>
      <c r="AD497">
        <v>1</v>
      </c>
      <c r="AE497">
        <v>0</v>
      </c>
      <c r="AF497" t="s">
        <v>6</v>
      </c>
      <c r="AG497">
        <v>0.02</v>
      </c>
      <c r="AH497">
        <v>2</v>
      </c>
      <c r="AI497">
        <v>16751272</v>
      </c>
      <c r="AJ497">
        <v>534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</row>
    <row r="498" spans="1:44" x14ac:dyDescent="0.2">
      <c r="A498">
        <f>ROW(Source!A366)</f>
        <v>366</v>
      </c>
      <c r="B498">
        <v>16751283</v>
      </c>
      <c r="C498">
        <v>16751268</v>
      </c>
      <c r="D498">
        <v>15167588</v>
      </c>
      <c r="E498">
        <v>1</v>
      </c>
      <c r="F498">
        <v>1</v>
      </c>
      <c r="G498">
        <v>1</v>
      </c>
      <c r="H498">
        <v>3</v>
      </c>
      <c r="I498" t="s">
        <v>1388</v>
      </c>
      <c r="J498" t="s">
        <v>1389</v>
      </c>
      <c r="K498" t="s">
        <v>1390</v>
      </c>
      <c r="L498">
        <v>1346</v>
      </c>
      <c r="N498">
        <v>1009</v>
      </c>
      <c r="O498" t="s">
        <v>323</v>
      </c>
      <c r="P498" t="s">
        <v>323</v>
      </c>
      <c r="Q498">
        <v>1</v>
      </c>
      <c r="X498">
        <v>0.16</v>
      </c>
      <c r="Y498">
        <v>30.4</v>
      </c>
      <c r="Z498">
        <v>0</v>
      </c>
      <c r="AA498">
        <v>0</v>
      </c>
      <c r="AB498">
        <v>0</v>
      </c>
      <c r="AC498">
        <v>0</v>
      </c>
      <c r="AD498">
        <v>1</v>
      </c>
      <c r="AE498">
        <v>0</v>
      </c>
      <c r="AF498" t="s">
        <v>6</v>
      </c>
      <c r="AG498">
        <v>0.16</v>
      </c>
      <c r="AH498">
        <v>2</v>
      </c>
      <c r="AI498">
        <v>16751273</v>
      </c>
      <c r="AJ498">
        <v>535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0</v>
      </c>
      <c r="AR498">
        <v>0</v>
      </c>
    </row>
    <row r="499" spans="1:44" x14ac:dyDescent="0.2">
      <c r="A499">
        <f>ROW(Source!A366)</f>
        <v>366</v>
      </c>
      <c r="B499">
        <v>16751284</v>
      </c>
      <c r="C499">
        <v>16751268</v>
      </c>
      <c r="D499">
        <v>15167600</v>
      </c>
      <c r="E499">
        <v>1</v>
      </c>
      <c r="F499">
        <v>1</v>
      </c>
      <c r="G499">
        <v>1</v>
      </c>
      <c r="H499">
        <v>3</v>
      </c>
      <c r="I499" t="s">
        <v>1476</v>
      </c>
      <c r="J499" t="s">
        <v>1477</v>
      </c>
      <c r="K499" t="s">
        <v>1478</v>
      </c>
      <c r="L499">
        <v>1308</v>
      </c>
      <c r="N499">
        <v>1003</v>
      </c>
      <c r="O499" t="s">
        <v>34</v>
      </c>
      <c r="P499" t="s">
        <v>34</v>
      </c>
      <c r="Q499">
        <v>100</v>
      </c>
      <c r="X499">
        <v>5.5E-2</v>
      </c>
      <c r="Y499">
        <v>120</v>
      </c>
      <c r="Z499">
        <v>0</v>
      </c>
      <c r="AA499">
        <v>0</v>
      </c>
      <c r="AB499">
        <v>0</v>
      </c>
      <c r="AC499">
        <v>0</v>
      </c>
      <c r="AD499">
        <v>1</v>
      </c>
      <c r="AE499">
        <v>0</v>
      </c>
      <c r="AF499" t="s">
        <v>6</v>
      </c>
      <c r="AG499">
        <v>5.5E-2</v>
      </c>
      <c r="AH499">
        <v>2</v>
      </c>
      <c r="AI499">
        <v>16751274</v>
      </c>
      <c r="AJ499">
        <v>536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</row>
    <row r="500" spans="1:44" x14ac:dyDescent="0.2">
      <c r="A500">
        <f>ROW(Source!A366)</f>
        <v>366</v>
      </c>
      <c r="B500">
        <v>16751285</v>
      </c>
      <c r="C500">
        <v>16751268</v>
      </c>
      <c r="D500">
        <v>15203834</v>
      </c>
      <c r="E500">
        <v>1</v>
      </c>
      <c r="F500">
        <v>1</v>
      </c>
      <c r="G500">
        <v>1</v>
      </c>
      <c r="H500">
        <v>3</v>
      </c>
      <c r="I500" t="s">
        <v>1411</v>
      </c>
      <c r="J500" t="s">
        <v>1412</v>
      </c>
      <c r="K500" t="s">
        <v>374</v>
      </c>
      <c r="L500">
        <v>1346</v>
      </c>
      <c r="N500">
        <v>1009</v>
      </c>
      <c r="O500" t="s">
        <v>323</v>
      </c>
      <c r="P500" t="s">
        <v>323</v>
      </c>
      <c r="Q500">
        <v>1</v>
      </c>
      <c r="X500">
        <v>0.05</v>
      </c>
      <c r="Y500">
        <v>28.6</v>
      </c>
      <c r="Z500">
        <v>0</v>
      </c>
      <c r="AA500">
        <v>0</v>
      </c>
      <c r="AB500">
        <v>0</v>
      </c>
      <c r="AC500">
        <v>0</v>
      </c>
      <c r="AD500">
        <v>1</v>
      </c>
      <c r="AE500">
        <v>0</v>
      </c>
      <c r="AF500" t="s">
        <v>6</v>
      </c>
      <c r="AG500">
        <v>0.05</v>
      </c>
      <c r="AH500">
        <v>2</v>
      </c>
      <c r="AI500">
        <v>16751275</v>
      </c>
      <c r="AJ500">
        <v>537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0</v>
      </c>
    </row>
    <row r="501" spans="1:44" x14ac:dyDescent="0.2">
      <c r="A501">
        <f>ROW(Source!A366)</f>
        <v>366</v>
      </c>
      <c r="B501">
        <v>16751286</v>
      </c>
      <c r="C501">
        <v>16751268</v>
      </c>
      <c r="D501">
        <v>15164559</v>
      </c>
      <c r="E501">
        <v>17</v>
      </c>
      <c r="F501">
        <v>1</v>
      </c>
      <c r="G501">
        <v>1</v>
      </c>
      <c r="H501">
        <v>3</v>
      </c>
      <c r="I501" t="s">
        <v>1383</v>
      </c>
      <c r="J501" t="s">
        <v>6</v>
      </c>
      <c r="K501" t="s">
        <v>1384</v>
      </c>
      <c r="L501">
        <v>1374</v>
      </c>
      <c r="N501">
        <v>1013</v>
      </c>
      <c r="O501" t="s">
        <v>1385</v>
      </c>
      <c r="P501" t="s">
        <v>1385</v>
      </c>
      <c r="Q501">
        <v>1</v>
      </c>
      <c r="X501">
        <v>0.39</v>
      </c>
      <c r="Y501">
        <v>1</v>
      </c>
      <c r="Z501">
        <v>0</v>
      </c>
      <c r="AA501">
        <v>0</v>
      </c>
      <c r="AB501">
        <v>0</v>
      </c>
      <c r="AC501">
        <v>0</v>
      </c>
      <c r="AD501">
        <v>1</v>
      </c>
      <c r="AE501">
        <v>0</v>
      </c>
      <c r="AF501" t="s">
        <v>6</v>
      </c>
      <c r="AG501">
        <v>0.39</v>
      </c>
      <c r="AH501">
        <v>2</v>
      </c>
      <c r="AI501">
        <v>16751276</v>
      </c>
      <c r="AJ501">
        <v>539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0</v>
      </c>
      <c r="AR501">
        <v>0</v>
      </c>
    </row>
    <row r="502" spans="1:44" x14ac:dyDescent="0.2">
      <c r="A502">
        <f>ROW(Source!A368)</f>
        <v>368</v>
      </c>
      <c r="B502">
        <v>16751318</v>
      </c>
      <c r="C502">
        <v>16751308</v>
      </c>
      <c r="D502">
        <v>15430397</v>
      </c>
      <c r="E502">
        <v>1</v>
      </c>
      <c r="F502">
        <v>1</v>
      </c>
      <c r="G502">
        <v>1</v>
      </c>
      <c r="H502">
        <v>1</v>
      </c>
      <c r="I502" t="s">
        <v>1234</v>
      </c>
      <c r="J502" t="s">
        <v>6</v>
      </c>
      <c r="K502" t="s">
        <v>1235</v>
      </c>
      <c r="L502">
        <v>1191</v>
      </c>
      <c r="N502">
        <v>1013</v>
      </c>
      <c r="O502" t="s">
        <v>1072</v>
      </c>
      <c r="P502" t="s">
        <v>1072</v>
      </c>
      <c r="Q502">
        <v>1</v>
      </c>
      <c r="X502">
        <v>5.64</v>
      </c>
      <c r="Y502">
        <v>0</v>
      </c>
      <c r="Z502">
        <v>0</v>
      </c>
      <c r="AA502">
        <v>0</v>
      </c>
      <c r="AB502">
        <v>9.4</v>
      </c>
      <c r="AC502">
        <v>0</v>
      </c>
      <c r="AD502">
        <v>1</v>
      </c>
      <c r="AE502">
        <v>1</v>
      </c>
      <c r="AF502" t="s">
        <v>6</v>
      </c>
      <c r="AG502">
        <v>5.64</v>
      </c>
      <c r="AH502">
        <v>2</v>
      </c>
      <c r="AI502">
        <v>16751310</v>
      </c>
      <c r="AJ502">
        <v>540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0</v>
      </c>
    </row>
    <row r="503" spans="1:44" x14ac:dyDescent="0.2">
      <c r="A503">
        <f>ROW(Source!A368)</f>
        <v>368</v>
      </c>
      <c r="B503">
        <v>16751319</v>
      </c>
      <c r="C503">
        <v>16751308</v>
      </c>
      <c r="D503">
        <v>15430395</v>
      </c>
      <c r="E503">
        <v>1</v>
      </c>
      <c r="F503">
        <v>1</v>
      </c>
      <c r="G503">
        <v>1</v>
      </c>
      <c r="H503">
        <v>1</v>
      </c>
      <c r="I503" t="s">
        <v>1073</v>
      </c>
      <c r="J503" t="s">
        <v>6</v>
      </c>
      <c r="K503" t="s">
        <v>1074</v>
      </c>
      <c r="L503">
        <v>1191</v>
      </c>
      <c r="N503">
        <v>1013</v>
      </c>
      <c r="O503" t="s">
        <v>1072</v>
      </c>
      <c r="P503" t="s">
        <v>1072</v>
      </c>
      <c r="Q503">
        <v>1</v>
      </c>
      <c r="X503">
        <v>0.52</v>
      </c>
      <c r="Y503">
        <v>0</v>
      </c>
      <c r="Z503">
        <v>0</v>
      </c>
      <c r="AA503">
        <v>0</v>
      </c>
      <c r="AB503">
        <v>0</v>
      </c>
      <c r="AC503">
        <v>0</v>
      </c>
      <c r="AD503">
        <v>1</v>
      </c>
      <c r="AE503">
        <v>2</v>
      </c>
      <c r="AF503" t="s">
        <v>6</v>
      </c>
      <c r="AG503">
        <v>0.52</v>
      </c>
      <c r="AH503">
        <v>2</v>
      </c>
      <c r="AI503">
        <v>16751311</v>
      </c>
      <c r="AJ503">
        <v>541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</row>
    <row r="504" spans="1:44" x14ac:dyDescent="0.2">
      <c r="A504">
        <f>ROW(Source!A368)</f>
        <v>368</v>
      </c>
      <c r="B504">
        <v>16751320</v>
      </c>
      <c r="C504">
        <v>16751308</v>
      </c>
      <c r="D504">
        <v>15247680</v>
      </c>
      <c r="E504">
        <v>1</v>
      </c>
      <c r="F504">
        <v>1</v>
      </c>
      <c r="G504">
        <v>1</v>
      </c>
      <c r="H504">
        <v>2</v>
      </c>
      <c r="I504" t="s">
        <v>1211</v>
      </c>
      <c r="J504" t="s">
        <v>1212</v>
      </c>
      <c r="K504" t="s">
        <v>1213</v>
      </c>
      <c r="L504">
        <v>1368</v>
      </c>
      <c r="N504">
        <v>1011</v>
      </c>
      <c r="O504" t="s">
        <v>1078</v>
      </c>
      <c r="P504" t="s">
        <v>1078</v>
      </c>
      <c r="Q504">
        <v>1</v>
      </c>
      <c r="X504">
        <v>0.26</v>
      </c>
      <c r="Y504">
        <v>0</v>
      </c>
      <c r="Z504">
        <v>111.99</v>
      </c>
      <c r="AA504">
        <v>13.5</v>
      </c>
      <c r="AB504">
        <v>0</v>
      </c>
      <c r="AC504">
        <v>0</v>
      </c>
      <c r="AD504">
        <v>1</v>
      </c>
      <c r="AE504">
        <v>0</v>
      </c>
      <c r="AF504" t="s">
        <v>6</v>
      </c>
      <c r="AG504">
        <v>0.26</v>
      </c>
      <c r="AH504">
        <v>2</v>
      </c>
      <c r="AI504">
        <v>16751312</v>
      </c>
      <c r="AJ504">
        <v>542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</row>
    <row r="505" spans="1:44" x14ac:dyDescent="0.2">
      <c r="A505">
        <f>ROW(Source!A368)</f>
        <v>368</v>
      </c>
      <c r="B505">
        <v>16751321</v>
      </c>
      <c r="C505">
        <v>16751308</v>
      </c>
      <c r="D505">
        <v>15249073</v>
      </c>
      <c r="E505">
        <v>1</v>
      </c>
      <c r="F505">
        <v>1</v>
      </c>
      <c r="G505">
        <v>1</v>
      </c>
      <c r="H505">
        <v>2</v>
      </c>
      <c r="I505" t="s">
        <v>1097</v>
      </c>
      <c r="J505" t="s">
        <v>1098</v>
      </c>
      <c r="K505" t="s">
        <v>1099</v>
      </c>
      <c r="L505">
        <v>1368</v>
      </c>
      <c r="N505">
        <v>1011</v>
      </c>
      <c r="O505" t="s">
        <v>1078</v>
      </c>
      <c r="P505" t="s">
        <v>1078</v>
      </c>
      <c r="Q505">
        <v>1</v>
      </c>
      <c r="X505">
        <v>0.26</v>
      </c>
      <c r="Y505">
        <v>0</v>
      </c>
      <c r="Z505">
        <v>65.709999999999994</v>
      </c>
      <c r="AA505">
        <v>11.6</v>
      </c>
      <c r="AB505">
        <v>0</v>
      </c>
      <c r="AC505">
        <v>0</v>
      </c>
      <c r="AD505">
        <v>1</v>
      </c>
      <c r="AE505">
        <v>0</v>
      </c>
      <c r="AF505" t="s">
        <v>6</v>
      </c>
      <c r="AG505">
        <v>0.26</v>
      </c>
      <c r="AH505">
        <v>2</v>
      </c>
      <c r="AI505">
        <v>16751313</v>
      </c>
      <c r="AJ505">
        <v>543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</row>
    <row r="506" spans="1:44" x14ac:dyDescent="0.2">
      <c r="A506">
        <f>ROW(Source!A368)</f>
        <v>368</v>
      </c>
      <c r="B506">
        <v>16751322</v>
      </c>
      <c r="C506">
        <v>16751308</v>
      </c>
      <c r="D506">
        <v>15167588</v>
      </c>
      <c r="E506">
        <v>1</v>
      </c>
      <c r="F506">
        <v>1</v>
      </c>
      <c r="G506">
        <v>1</v>
      </c>
      <c r="H506">
        <v>3</v>
      </c>
      <c r="I506" t="s">
        <v>1388</v>
      </c>
      <c r="J506" t="s">
        <v>1389</v>
      </c>
      <c r="K506" t="s">
        <v>1390</v>
      </c>
      <c r="L506">
        <v>1346</v>
      </c>
      <c r="N506">
        <v>1009</v>
      </c>
      <c r="O506" t="s">
        <v>323</v>
      </c>
      <c r="P506" t="s">
        <v>323</v>
      </c>
      <c r="Q506">
        <v>1</v>
      </c>
      <c r="X506">
        <v>0.16</v>
      </c>
      <c r="Y506">
        <v>30.4</v>
      </c>
      <c r="Z506">
        <v>0</v>
      </c>
      <c r="AA506">
        <v>0</v>
      </c>
      <c r="AB506">
        <v>0</v>
      </c>
      <c r="AC506">
        <v>0</v>
      </c>
      <c r="AD506">
        <v>1</v>
      </c>
      <c r="AE506">
        <v>0</v>
      </c>
      <c r="AF506" t="s">
        <v>6</v>
      </c>
      <c r="AG506">
        <v>0.16</v>
      </c>
      <c r="AH506">
        <v>2</v>
      </c>
      <c r="AI506">
        <v>16751314</v>
      </c>
      <c r="AJ506">
        <v>544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</row>
    <row r="507" spans="1:44" x14ac:dyDescent="0.2">
      <c r="A507">
        <f>ROW(Source!A368)</f>
        <v>368</v>
      </c>
      <c r="B507">
        <v>16751323</v>
      </c>
      <c r="C507">
        <v>16751308</v>
      </c>
      <c r="D507">
        <v>15167600</v>
      </c>
      <c r="E507">
        <v>1</v>
      </c>
      <c r="F507">
        <v>1</v>
      </c>
      <c r="G507">
        <v>1</v>
      </c>
      <c r="H507">
        <v>3</v>
      </c>
      <c r="I507" t="s">
        <v>1476</v>
      </c>
      <c r="J507" t="s">
        <v>1477</v>
      </c>
      <c r="K507" t="s">
        <v>1478</v>
      </c>
      <c r="L507">
        <v>1308</v>
      </c>
      <c r="N507">
        <v>1003</v>
      </c>
      <c r="O507" t="s">
        <v>34</v>
      </c>
      <c r="P507" t="s">
        <v>34</v>
      </c>
      <c r="Q507">
        <v>100</v>
      </c>
      <c r="X507">
        <v>0.13</v>
      </c>
      <c r="Y507">
        <v>120</v>
      </c>
      <c r="Z507">
        <v>0</v>
      </c>
      <c r="AA507">
        <v>0</v>
      </c>
      <c r="AB507">
        <v>0</v>
      </c>
      <c r="AC507">
        <v>0</v>
      </c>
      <c r="AD507">
        <v>1</v>
      </c>
      <c r="AE507">
        <v>0</v>
      </c>
      <c r="AF507" t="s">
        <v>6</v>
      </c>
      <c r="AG507">
        <v>0.13</v>
      </c>
      <c r="AH507">
        <v>2</v>
      </c>
      <c r="AI507">
        <v>16751315</v>
      </c>
      <c r="AJ507">
        <v>545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</row>
    <row r="508" spans="1:44" x14ac:dyDescent="0.2">
      <c r="A508">
        <f>ROW(Source!A368)</f>
        <v>368</v>
      </c>
      <c r="B508">
        <v>16751324</v>
      </c>
      <c r="C508">
        <v>16751308</v>
      </c>
      <c r="D508">
        <v>15203834</v>
      </c>
      <c r="E508">
        <v>1</v>
      </c>
      <c r="F508">
        <v>1</v>
      </c>
      <c r="G508">
        <v>1</v>
      </c>
      <c r="H508">
        <v>3</v>
      </c>
      <c r="I508" t="s">
        <v>1411</v>
      </c>
      <c r="J508" t="s">
        <v>1412</v>
      </c>
      <c r="K508" t="s">
        <v>374</v>
      </c>
      <c r="L508">
        <v>1346</v>
      </c>
      <c r="N508">
        <v>1009</v>
      </c>
      <c r="O508" t="s">
        <v>323</v>
      </c>
      <c r="P508" t="s">
        <v>323</v>
      </c>
      <c r="Q508">
        <v>1</v>
      </c>
      <c r="X508">
        <v>0.05</v>
      </c>
      <c r="Y508">
        <v>28.6</v>
      </c>
      <c r="Z508">
        <v>0</v>
      </c>
      <c r="AA508">
        <v>0</v>
      </c>
      <c r="AB508">
        <v>0</v>
      </c>
      <c r="AC508">
        <v>0</v>
      </c>
      <c r="AD508">
        <v>1</v>
      </c>
      <c r="AE508">
        <v>0</v>
      </c>
      <c r="AF508" t="s">
        <v>6</v>
      </c>
      <c r="AG508">
        <v>0.05</v>
      </c>
      <c r="AH508">
        <v>2</v>
      </c>
      <c r="AI508">
        <v>16751316</v>
      </c>
      <c r="AJ508">
        <v>546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</row>
    <row r="509" spans="1:44" x14ac:dyDescent="0.2">
      <c r="A509">
        <f>ROW(Source!A368)</f>
        <v>368</v>
      </c>
      <c r="B509">
        <v>16751325</v>
      </c>
      <c r="C509">
        <v>16751308</v>
      </c>
      <c r="D509">
        <v>15164559</v>
      </c>
      <c r="E509">
        <v>17</v>
      </c>
      <c r="F509">
        <v>1</v>
      </c>
      <c r="G509">
        <v>1</v>
      </c>
      <c r="H509">
        <v>3</v>
      </c>
      <c r="I509" t="s">
        <v>1383</v>
      </c>
      <c r="J509" t="s">
        <v>6</v>
      </c>
      <c r="K509" t="s">
        <v>1384</v>
      </c>
      <c r="L509">
        <v>1374</v>
      </c>
      <c r="N509">
        <v>1013</v>
      </c>
      <c r="O509" t="s">
        <v>1385</v>
      </c>
      <c r="P509" t="s">
        <v>1385</v>
      </c>
      <c r="Q509">
        <v>1</v>
      </c>
      <c r="X509">
        <v>1.06</v>
      </c>
      <c r="Y509">
        <v>1</v>
      </c>
      <c r="Z509">
        <v>0</v>
      </c>
      <c r="AA509">
        <v>0</v>
      </c>
      <c r="AB509">
        <v>0</v>
      </c>
      <c r="AC509">
        <v>0</v>
      </c>
      <c r="AD509">
        <v>1</v>
      </c>
      <c r="AE509">
        <v>0</v>
      </c>
      <c r="AF509" t="s">
        <v>6</v>
      </c>
      <c r="AG509">
        <v>1.06</v>
      </c>
      <c r="AH509">
        <v>2</v>
      </c>
      <c r="AI509">
        <v>16751317</v>
      </c>
      <c r="AJ509">
        <v>549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</row>
    <row r="510" spans="1:44" x14ac:dyDescent="0.2">
      <c r="A510">
        <f>ROW(Source!A371)</f>
        <v>371</v>
      </c>
      <c r="B510">
        <v>16751341</v>
      </c>
      <c r="C510">
        <v>16751327</v>
      </c>
      <c r="D510">
        <v>15446300</v>
      </c>
      <c r="E510">
        <v>1</v>
      </c>
      <c r="F510">
        <v>1</v>
      </c>
      <c r="G510">
        <v>1</v>
      </c>
      <c r="H510">
        <v>1</v>
      </c>
      <c r="I510" t="s">
        <v>1095</v>
      </c>
      <c r="J510" t="s">
        <v>6</v>
      </c>
      <c r="K510" t="s">
        <v>1096</v>
      </c>
      <c r="L510">
        <v>1191</v>
      </c>
      <c r="N510">
        <v>1013</v>
      </c>
      <c r="O510" t="s">
        <v>1072</v>
      </c>
      <c r="P510" t="s">
        <v>1072</v>
      </c>
      <c r="Q510">
        <v>1</v>
      </c>
      <c r="X510">
        <v>2.56</v>
      </c>
      <c r="Y510">
        <v>0</v>
      </c>
      <c r="Z510">
        <v>0</v>
      </c>
      <c r="AA510">
        <v>0</v>
      </c>
      <c r="AB510">
        <v>9.92</v>
      </c>
      <c r="AC510">
        <v>0</v>
      </c>
      <c r="AD510">
        <v>1</v>
      </c>
      <c r="AE510">
        <v>1</v>
      </c>
      <c r="AF510" t="s">
        <v>6</v>
      </c>
      <c r="AG510">
        <v>2.56</v>
      </c>
      <c r="AH510">
        <v>2</v>
      </c>
      <c r="AI510">
        <v>16751328</v>
      </c>
      <c r="AJ510">
        <v>550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0</v>
      </c>
    </row>
    <row r="511" spans="1:44" x14ac:dyDescent="0.2">
      <c r="A511">
        <f>ROW(Source!A371)</f>
        <v>371</v>
      </c>
      <c r="B511">
        <v>16751342</v>
      </c>
      <c r="C511">
        <v>16751327</v>
      </c>
      <c r="D511">
        <v>15430395</v>
      </c>
      <c r="E511">
        <v>1</v>
      </c>
      <c r="F511">
        <v>1</v>
      </c>
      <c r="G511">
        <v>1</v>
      </c>
      <c r="H511">
        <v>1</v>
      </c>
      <c r="I511" t="s">
        <v>1073</v>
      </c>
      <c r="J511" t="s">
        <v>6</v>
      </c>
      <c r="K511" t="s">
        <v>1074</v>
      </c>
      <c r="L511">
        <v>1191</v>
      </c>
      <c r="N511">
        <v>1013</v>
      </c>
      <c r="O511" t="s">
        <v>1072</v>
      </c>
      <c r="P511" t="s">
        <v>1072</v>
      </c>
      <c r="Q511">
        <v>1</v>
      </c>
      <c r="X511">
        <v>0.02</v>
      </c>
      <c r="Y511">
        <v>0</v>
      </c>
      <c r="Z511">
        <v>0</v>
      </c>
      <c r="AA511">
        <v>0</v>
      </c>
      <c r="AB511">
        <v>0</v>
      </c>
      <c r="AC511">
        <v>0</v>
      </c>
      <c r="AD511">
        <v>1</v>
      </c>
      <c r="AE511">
        <v>2</v>
      </c>
      <c r="AF511" t="s">
        <v>6</v>
      </c>
      <c r="AG511">
        <v>0.02</v>
      </c>
      <c r="AH511">
        <v>2</v>
      </c>
      <c r="AI511">
        <v>16751329</v>
      </c>
      <c r="AJ511">
        <v>551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0</v>
      </c>
    </row>
    <row r="512" spans="1:44" x14ac:dyDescent="0.2">
      <c r="A512">
        <f>ROW(Source!A371)</f>
        <v>371</v>
      </c>
      <c r="B512">
        <v>16751343</v>
      </c>
      <c r="C512">
        <v>16751327</v>
      </c>
      <c r="D512">
        <v>15247680</v>
      </c>
      <c r="E512">
        <v>1</v>
      </c>
      <c r="F512">
        <v>1</v>
      </c>
      <c r="G512">
        <v>1</v>
      </c>
      <c r="H512">
        <v>2</v>
      </c>
      <c r="I512" t="s">
        <v>1211</v>
      </c>
      <c r="J512" t="s">
        <v>1212</v>
      </c>
      <c r="K512" t="s">
        <v>1213</v>
      </c>
      <c r="L512">
        <v>1368</v>
      </c>
      <c r="N512">
        <v>1011</v>
      </c>
      <c r="O512" t="s">
        <v>1078</v>
      </c>
      <c r="P512" t="s">
        <v>1078</v>
      </c>
      <c r="Q512">
        <v>1</v>
      </c>
      <c r="X512">
        <v>0.01</v>
      </c>
      <c r="Y512">
        <v>0</v>
      </c>
      <c r="Z512">
        <v>111.99</v>
      </c>
      <c r="AA512">
        <v>13.5</v>
      </c>
      <c r="AB512">
        <v>0</v>
      </c>
      <c r="AC512">
        <v>0</v>
      </c>
      <c r="AD512">
        <v>1</v>
      </c>
      <c r="AE512">
        <v>0</v>
      </c>
      <c r="AF512" t="s">
        <v>6</v>
      </c>
      <c r="AG512">
        <v>0.01</v>
      </c>
      <c r="AH512">
        <v>2</v>
      </c>
      <c r="AI512">
        <v>16751330</v>
      </c>
      <c r="AJ512">
        <v>552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</row>
    <row r="513" spans="1:44" x14ac:dyDescent="0.2">
      <c r="A513">
        <f>ROW(Source!A371)</f>
        <v>371</v>
      </c>
      <c r="B513">
        <v>16751344</v>
      </c>
      <c r="C513">
        <v>16751327</v>
      </c>
      <c r="D513">
        <v>15249073</v>
      </c>
      <c r="E513">
        <v>1</v>
      </c>
      <c r="F513">
        <v>1</v>
      </c>
      <c r="G513">
        <v>1</v>
      </c>
      <c r="H513">
        <v>2</v>
      </c>
      <c r="I513" t="s">
        <v>1097</v>
      </c>
      <c r="J513" t="s">
        <v>1098</v>
      </c>
      <c r="K513" t="s">
        <v>1099</v>
      </c>
      <c r="L513">
        <v>1368</v>
      </c>
      <c r="N513">
        <v>1011</v>
      </c>
      <c r="O513" t="s">
        <v>1078</v>
      </c>
      <c r="P513" t="s">
        <v>1078</v>
      </c>
      <c r="Q513">
        <v>1</v>
      </c>
      <c r="X513">
        <v>0.01</v>
      </c>
      <c r="Y513">
        <v>0</v>
      </c>
      <c r="Z513">
        <v>65.709999999999994</v>
      </c>
      <c r="AA513">
        <v>11.6</v>
      </c>
      <c r="AB513">
        <v>0</v>
      </c>
      <c r="AC513">
        <v>0</v>
      </c>
      <c r="AD513">
        <v>1</v>
      </c>
      <c r="AE513">
        <v>0</v>
      </c>
      <c r="AF513" t="s">
        <v>6</v>
      </c>
      <c r="AG513">
        <v>0.01</v>
      </c>
      <c r="AH513">
        <v>2</v>
      </c>
      <c r="AI513">
        <v>16751331</v>
      </c>
      <c r="AJ513">
        <v>553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</row>
    <row r="514" spans="1:44" x14ac:dyDescent="0.2">
      <c r="A514">
        <f>ROW(Source!A371)</f>
        <v>371</v>
      </c>
      <c r="B514">
        <v>16751345</v>
      </c>
      <c r="C514">
        <v>16751327</v>
      </c>
      <c r="D514">
        <v>15167588</v>
      </c>
      <c r="E514">
        <v>1</v>
      </c>
      <c r="F514">
        <v>1</v>
      </c>
      <c r="G514">
        <v>1</v>
      </c>
      <c r="H514">
        <v>3</v>
      </c>
      <c r="I514" t="s">
        <v>1388</v>
      </c>
      <c r="J514" t="s">
        <v>1389</v>
      </c>
      <c r="K514" t="s">
        <v>1390</v>
      </c>
      <c r="L514">
        <v>1346</v>
      </c>
      <c r="N514">
        <v>1009</v>
      </c>
      <c r="O514" t="s">
        <v>323</v>
      </c>
      <c r="P514" t="s">
        <v>323</v>
      </c>
      <c r="Q514">
        <v>1</v>
      </c>
      <c r="X514">
        <v>1.6E-2</v>
      </c>
      <c r="Y514">
        <v>30.4</v>
      </c>
      <c r="Z514">
        <v>0</v>
      </c>
      <c r="AA514">
        <v>0</v>
      </c>
      <c r="AB514">
        <v>0</v>
      </c>
      <c r="AC514">
        <v>0</v>
      </c>
      <c r="AD514">
        <v>1</v>
      </c>
      <c r="AE514">
        <v>0</v>
      </c>
      <c r="AF514" t="s">
        <v>6</v>
      </c>
      <c r="AG514">
        <v>1.6E-2</v>
      </c>
      <c r="AH514">
        <v>2</v>
      </c>
      <c r="AI514">
        <v>16751332</v>
      </c>
      <c r="AJ514">
        <v>554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</row>
    <row r="515" spans="1:44" x14ac:dyDescent="0.2">
      <c r="A515">
        <f>ROW(Source!A371)</f>
        <v>371</v>
      </c>
      <c r="B515">
        <v>16751346</v>
      </c>
      <c r="C515">
        <v>16751327</v>
      </c>
      <c r="D515">
        <v>15170074</v>
      </c>
      <c r="E515">
        <v>1</v>
      </c>
      <c r="F515">
        <v>1</v>
      </c>
      <c r="G515">
        <v>1</v>
      </c>
      <c r="H515">
        <v>3</v>
      </c>
      <c r="I515" t="s">
        <v>1399</v>
      </c>
      <c r="J515" t="s">
        <v>1400</v>
      </c>
      <c r="K515" t="s">
        <v>1401</v>
      </c>
      <c r="L515">
        <v>1355</v>
      </c>
      <c r="N515">
        <v>1010</v>
      </c>
      <c r="O515" t="s">
        <v>724</v>
      </c>
      <c r="P515" t="s">
        <v>724</v>
      </c>
      <c r="Q515">
        <v>100</v>
      </c>
      <c r="X515">
        <v>4.1000000000000002E-2</v>
      </c>
      <c r="Y515">
        <v>86</v>
      </c>
      <c r="Z515">
        <v>0</v>
      </c>
      <c r="AA515">
        <v>0</v>
      </c>
      <c r="AB515">
        <v>0</v>
      </c>
      <c r="AC515">
        <v>0</v>
      </c>
      <c r="AD515">
        <v>1</v>
      </c>
      <c r="AE515">
        <v>0</v>
      </c>
      <c r="AF515" t="s">
        <v>6</v>
      </c>
      <c r="AG515">
        <v>4.1000000000000002E-2</v>
      </c>
      <c r="AH515">
        <v>2</v>
      </c>
      <c r="AI515">
        <v>16751333</v>
      </c>
      <c r="AJ515">
        <v>555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0</v>
      </c>
    </row>
    <row r="516" spans="1:44" x14ac:dyDescent="0.2">
      <c r="A516">
        <f>ROW(Source!A371)</f>
        <v>371</v>
      </c>
      <c r="B516">
        <v>16751347</v>
      </c>
      <c r="C516">
        <v>16751327</v>
      </c>
      <c r="D516">
        <v>15203834</v>
      </c>
      <c r="E516">
        <v>1</v>
      </c>
      <c r="F516">
        <v>1</v>
      </c>
      <c r="G516">
        <v>1</v>
      </c>
      <c r="H516">
        <v>3</v>
      </c>
      <c r="I516" t="s">
        <v>1411</v>
      </c>
      <c r="J516" t="s">
        <v>1412</v>
      </c>
      <c r="K516" t="s">
        <v>374</v>
      </c>
      <c r="L516">
        <v>1346</v>
      </c>
      <c r="N516">
        <v>1009</v>
      </c>
      <c r="O516" t="s">
        <v>323</v>
      </c>
      <c r="P516" t="s">
        <v>323</v>
      </c>
      <c r="Q516">
        <v>1</v>
      </c>
      <c r="X516">
        <v>0.1</v>
      </c>
      <c r="Y516">
        <v>28.6</v>
      </c>
      <c r="Z516">
        <v>0</v>
      </c>
      <c r="AA516">
        <v>0</v>
      </c>
      <c r="AB516">
        <v>0</v>
      </c>
      <c r="AC516">
        <v>0</v>
      </c>
      <c r="AD516">
        <v>1</v>
      </c>
      <c r="AE516">
        <v>0</v>
      </c>
      <c r="AF516" t="s">
        <v>6</v>
      </c>
      <c r="AG516">
        <v>0.1</v>
      </c>
      <c r="AH516">
        <v>2</v>
      </c>
      <c r="AI516">
        <v>16751334</v>
      </c>
      <c r="AJ516">
        <v>556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</row>
    <row r="517" spans="1:44" x14ac:dyDescent="0.2">
      <c r="A517">
        <f>ROW(Source!A371)</f>
        <v>371</v>
      </c>
      <c r="B517">
        <v>16751348</v>
      </c>
      <c r="C517">
        <v>16751327</v>
      </c>
      <c r="D517">
        <v>15217463</v>
      </c>
      <c r="E517">
        <v>1</v>
      </c>
      <c r="F517">
        <v>1</v>
      </c>
      <c r="G517">
        <v>1</v>
      </c>
      <c r="H517">
        <v>3</v>
      </c>
      <c r="I517" t="s">
        <v>1455</v>
      </c>
      <c r="J517" t="s">
        <v>1456</v>
      </c>
      <c r="K517" t="s">
        <v>1457</v>
      </c>
      <c r="L517">
        <v>1358</v>
      </c>
      <c r="N517">
        <v>1010</v>
      </c>
      <c r="O517" t="s">
        <v>615</v>
      </c>
      <c r="P517" t="s">
        <v>615</v>
      </c>
      <c r="Q517">
        <v>10</v>
      </c>
      <c r="X517">
        <v>0.1</v>
      </c>
      <c r="Y517">
        <v>39</v>
      </c>
      <c r="Z517">
        <v>0</v>
      </c>
      <c r="AA517">
        <v>0</v>
      </c>
      <c r="AB517">
        <v>0</v>
      </c>
      <c r="AC517">
        <v>0</v>
      </c>
      <c r="AD517">
        <v>1</v>
      </c>
      <c r="AE517">
        <v>0</v>
      </c>
      <c r="AF517" t="s">
        <v>6</v>
      </c>
      <c r="AG517">
        <v>0.1</v>
      </c>
      <c r="AH517">
        <v>2</v>
      </c>
      <c r="AI517">
        <v>16751335</v>
      </c>
      <c r="AJ517">
        <v>557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</row>
    <row r="518" spans="1:44" x14ac:dyDescent="0.2">
      <c r="A518">
        <f>ROW(Source!A371)</f>
        <v>371</v>
      </c>
      <c r="B518">
        <v>16751349</v>
      </c>
      <c r="C518">
        <v>16751327</v>
      </c>
      <c r="D518">
        <v>15217585</v>
      </c>
      <c r="E518">
        <v>1</v>
      </c>
      <c r="F518">
        <v>1</v>
      </c>
      <c r="G518">
        <v>1</v>
      </c>
      <c r="H518">
        <v>3</v>
      </c>
      <c r="I518" t="s">
        <v>1428</v>
      </c>
      <c r="J518" t="s">
        <v>1429</v>
      </c>
      <c r="K518" t="s">
        <v>1430</v>
      </c>
      <c r="L518">
        <v>1356</v>
      </c>
      <c r="N518">
        <v>1010</v>
      </c>
      <c r="O518" t="s">
        <v>288</v>
      </c>
      <c r="P518" t="s">
        <v>288</v>
      </c>
      <c r="Q518">
        <v>1000</v>
      </c>
      <c r="X518">
        <v>2.1000000000000001E-2</v>
      </c>
      <c r="Y518">
        <v>270</v>
      </c>
      <c r="Z518">
        <v>0</v>
      </c>
      <c r="AA518">
        <v>0</v>
      </c>
      <c r="AB518">
        <v>0</v>
      </c>
      <c r="AC518">
        <v>0</v>
      </c>
      <c r="AD518">
        <v>1</v>
      </c>
      <c r="AE518">
        <v>0</v>
      </c>
      <c r="AF518" t="s">
        <v>6</v>
      </c>
      <c r="AG518">
        <v>2.1000000000000001E-2</v>
      </c>
      <c r="AH518">
        <v>2</v>
      </c>
      <c r="AI518">
        <v>16751336</v>
      </c>
      <c r="AJ518">
        <v>558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</row>
    <row r="519" spans="1:44" x14ac:dyDescent="0.2">
      <c r="A519">
        <f>ROW(Source!A371)</f>
        <v>371</v>
      </c>
      <c r="B519">
        <v>16751350</v>
      </c>
      <c r="C519">
        <v>16751327</v>
      </c>
      <c r="D519">
        <v>15221284</v>
      </c>
      <c r="E519">
        <v>1</v>
      </c>
      <c r="F519">
        <v>1</v>
      </c>
      <c r="G519">
        <v>1</v>
      </c>
      <c r="H519">
        <v>3</v>
      </c>
      <c r="I519" t="s">
        <v>1491</v>
      </c>
      <c r="J519" t="s">
        <v>1492</v>
      </c>
      <c r="K519" t="s">
        <v>1493</v>
      </c>
      <c r="L519">
        <v>1355</v>
      </c>
      <c r="N519">
        <v>1010</v>
      </c>
      <c r="O519" t="s">
        <v>724</v>
      </c>
      <c r="P519" t="s">
        <v>724</v>
      </c>
      <c r="Q519">
        <v>100</v>
      </c>
      <c r="X519">
        <v>4.1000000000000002E-2</v>
      </c>
      <c r="Y519">
        <v>528</v>
      </c>
      <c r="Z519">
        <v>0</v>
      </c>
      <c r="AA519">
        <v>0</v>
      </c>
      <c r="AB519">
        <v>0</v>
      </c>
      <c r="AC519">
        <v>0</v>
      </c>
      <c r="AD519">
        <v>1</v>
      </c>
      <c r="AE519">
        <v>0</v>
      </c>
      <c r="AF519" t="s">
        <v>6</v>
      </c>
      <c r="AG519">
        <v>4.1000000000000002E-2</v>
      </c>
      <c r="AH519">
        <v>2</v>
      </c>
      <c r="AI519">
        <v>16751337</v>
      </c>
      <c r="AJ519">
        <v>559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</row>
    <row r="520" spans="1:44" x14ac:dyDescent="0.2">
      <c r="A520">
        <f>ROW(Source!A371)</f>
        <v>371</v>
      </c>
      <c r="B520">
        <v>16751351</v>
      </c>
      <c r="C520">
        <v>16751327</v>
      </c>
      <c r="D520">
        <v>15233312</v>
      </c>
      <c r="E520">
        <v>1</v>
      </c>
      <c r="F520">
        <v>1</v>
      </c>
      <c r="G520">
        <v>1</v>
      </c>
      <c r="H520">
        <v>3</v>
      </c>
      <c r="I520" t="s">
        <v>1494</v>
      </c>
      <c r="J520" t="s">
        <v>1495</v>
      </c>
      <c r="K520" t="s">
        <v>1496</v>
      </c>
      <c r="L520">
        <v>1346</v>
      </c>
      <c r="N520">
        <v>1009</v>
      </c>
      <c r="O520" t="s">
        <v>323</v>
      </c>
      <c r="P520" t="s">
        <v>323</v>
      </c>
      <c r="Q520">
        <v>1</v>
      </c>
      <c r="X520">
        <v>0.124</v>
      </c>
      <c r="Y520">
        <v>35.700000000000003</v>
      </c>
      <c r="Z520">
        <v>0</v>
      </c>
      <c r="AA520">
        <v>0</v>
      </c>
      <c r="AB520">
        <v>0</v>
      </c>
      <c r="AC520">
        <v>0</v>
      </c>
      <c r="AD520">
        <v>1</v>
      </c>
      <c r="AE520">
        <v>0</v>
      </c>
      <c r="AF520" t="s">
        <v>6</v>
      </c>
      <c r="AG520">
        <v>0.124</v>
      </c>
      <c r="AH520">
        <v>2</v>
      </c>
      <c r="AI520">
        <v>16751338</v>
      </c>
      <c r="AJ520">
        <v>561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</row>
    <row r="521" spans="1:44" x14ac:dyDescent="0.2">
      <c r="A521">
        <f>ROW(Source!A371)</f>
        <v>371</v>
      </c>
      <c r="B521">
        <v>16751352</v>
      </c>
      <c r="C521">
        <v>16751327</v>
      </c>
      <c r="D521">
        <v>15164559</v>
      </c>
      <c r="E521">
        <v>17</v>
      </c>
      <c r="F521">
        <v>1</v>
      </c>
      <c r="G521">
        <v>1</v>
      </c>
      <c r="H521">
        <v>3</v>
      </c>
      <c r="I521" t="s">
        <v>1383</v>
      </c>
      <c r="J521" t="s">
        <v>6</v>
      </c>
      <c r="K521" t="s">
        <v>1384</v>
      </c>
      <c r="L521">
        <v>1374</v>
      </c>
      <c r="N521">
        <v>1013</v>
      </c>
      <c r="O521" t="s">
        <v>1385</v>
      </c>
      <c r="P521" t="s">
        <v>1385</v>
      </c>
      <c r="Q521">
        <v>1</v>
      </c>
      <c r="X521">
        <v>0.51</v>
      </c>
      <c r="Y521">
        <v>1</v>
      </c>
      <c r="Z521">
        <v>0</v>
      </c>
      <c r="AA521">
        <v>0</v>
      </c>
      <c r="AB521">
        <v>0</v>
      </c>
      <c r="AC521">
        <v>0</v>
      </c>
      <c r="AD521">
        <v>1</v>
      </c>
      <c r="AE521">
        <v>0</v>
      </c>
      <c r="AF521" t="s">
        <v>6</v>
      </c>
      <c r="AG521">
        <v>0.51</v>
      </c>
      <c r="AH521">
        <v>2</v>
      </c>
      <c r="AI521">
        <v>16751339</v>
      </c>
      <c r="AJ521">
        <v>562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</row>
    <row r="522" spans="1:44" x14ac:dyDescent="0.2">
      <c r="A522">
        <f>ROW(Source!A373)</f>
        <v>373</v>
      </c>
      <c r="B522">
        <v>16751364</v>
      </c>
      <c r="C522">
        <v>16751354</v>
      </c>
      <c r="D522">
        <v>15442878</v>
      </c>
      <c r="E522">
        <v>1</v>
      </c>
      <c r="F522">
        <v>1</v>
      </c>
      <c r="G522">
        <v>1</v>
      </c>
      <c r="H522">
        <v>1</v>
      </c>
      <c r="I522" t="s">
        <v>1386</v>
      </c>
      <c r="J522" t="s">
        <v>6</v>
      </c>
      <c r="K522" t="s">
        <v>1387</v>
      </c>
      <c r="L522">
        <v>1191</v>
      </c>
      <c r="N522">
        <v>1013</v>
      </c>
      <c r="O522" t="s">
        <v>1072</v>
      </c>
      <c r="P522" t="s">
        <v>1072</v>
      </c>
      <c r="Q522">
        <v>1</v>
      </c>
      <c r="X522">
        <v>0.9</v>
      </c>
      <c r="Y522">
        <v>0</v>
      </c>
      <c r="Z522">
        <v>0</v>
      </c>
      <c r="AA522">
        <v>0</v>
      </c>
      <c r="AB522">
        <v>10.5</v>
      </c>
      <c r="AC522">
        <v>0</v>
      </c>
      <c r="AD522">
        <v>1</v>
      </c>
      <c r="AE522">
        <v>1</v>
      </c>
      <c r="AF522" t="s">
        <v>6</v>
      </c>
      <c r="AG522">
        <v>0.9</v>
      </c>
      <c r="AH522">
        <v>2</v>
      </c>
      <c r="AI522">
        <v>16751355</v>
      </c>
      <c r="AJ522">
        <v>563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</row>
    <row r="523" spans="1:44" x14ac:dyDescent="0.2">
      <c r="A523">
        <f>ROW(Source!A373)</f>
        <v>373</v>
      </c>
      <c r="B523">
        <v>16751365</v>
      </c>
      <c r="C523">
        <v>16751354</v>
      </c>
      <c r="D523">
        <v>15430395</v>
      </c>
      <c r="E523">
        <v>1</v>
      </c>
      <c r="F523">
        <v>1</v>
      </c>
      <c r="G523">
        <v>1</v>
      </c>
      <c r="H523">
        <v>1</v>
      </c>
      <c r="I523" t="s">
        <v>1073</v>
      </c>
      <c r="J523" t="s">
        <v>6</v>
      </c>
      <c r="K523" t="s">
        <v>1074</v>
      </c>
      <c r="L523">
        <v>1191</v>
      </c>
      <c r="N523">
        <v>1013</v>
      </c>
      <c r="O523" t="s">
        <v>1072</v>
      </c>
      <c r="P523" t="s">
        <v>1072</v>
      </c>
      <c r="Q523">
        <v>1</v>
      </c>
      <c r="X523">
        <v>0.2</v>
      </c>
      <c r="Y523">
        <v>0</v>
      </c>
      <c r="Z523">
        <v>0</v>
      </c>
      <c r="AA523">
        <v>0</v>
      </c>
      <c r="AB523">
        <v>0</v>
      </c>
      <c r="AC523">
        <v>0</v>
      </c>
      <c r="AD523">
        <v>1</v>
      </c>
      <c r="AE523">
        <v>2</v>
      </c>
      <c r="AF523" t="s">
        <v>6</v>
      </c>
      <c r="AG523">
        <v>0.2</v>
      </c>
      <c r="AH523">
        <v>2</v>
      </c>
      <c r="AI523">
        <v>16751356</v>
      </c>
      <c r="AJ523">
        <v>564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</row>
    <row r="524" spans="1:44" x14ac:dyDescent="0.2">
      <c r="A524">
        <f>ROW(Source!A373)</f>
        <v>373</v>
      </c>
      <c r="B524">
        <v>16751366</v>
      </c>
      <c r="C524">
        <v>16751354</v>
      </c>
      <c r="D524">
        <v>15247680</v>
      </c>
      <c r="E524">
        <v>1</v>
      </c>
      <c r="F524">
        <v>1</v>
      </c>
      <c r="G524">
        <v>1</v>
      </c>
      <c r="H524">
        <v>2</v>
      </c>
      <c r="I524" t="s">
        <v>1211</v>
      </c>
      <c r="J524" t="s">
        <v>1212</v>
      </c>
      <c r="K524" t="s">
        <v>1213</v>
      </c>
      <c r="L524">
        <v>1368</v>
      </c>
      <c r="N524">
        <v>1011</v>
      </c>
      <c r="O524" t="s">
        <v>1078</v>
      </c>
      <c r="P524" t="s">
        <v>1078</v>
      </c>
      <c r="Q524">
        <v>1</v>
      </c>
      <c r="X524">
        <v>0.1</v>
      </c>
      <c r="Y524">
        <v>0</v>
      </c>
      <c r="Z524">
        <v>111.99</v>
      </c>
      <c r="AA524">
        <v>13.5</v>
      </c>
      <c r="AB524">
        <v>0</v>
      </c>
      <c r="AC524">
        <v>0</v>
      </c>
      <c r="AD524">
        <v>1</v>
      </c>
      <c r="AE524">
        <v>0</v>
      </c>
      <c r="AF524" t="s">
        <v>6</v>
      </c>
      <c r="AG524">
        <v>0.1</v>
      </c>
      <c r="AH524">
        <v>2</v>
      </c>
      <c r="AI524">
        <v>16751357</v>
      </c>
      <c r="AJ524">
        <v>565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</row>
    <row r="525" spans="1:44" x14ac:dyDescent="0.2">
      <c r="A525">
        <f>ROW(Source!A373)</f>
        <v>373</v>
      </c>
      <c r="B525">
        <v>16751367</v>
      </c>
      <c r="C525">
        <v>16751354</v>
      </c>
      <c r="D525">
        <v>15249073</v>
      </c>
      <c r="E525">
        <v>1</v>
      </c>
      <c r="F525">
        <v>1</v>
      </c>
      <c r="G525">
        <v>1</v>
      </c>
      <c r="H525">
        <v>2</v>
      </c>
      <c r="I525" t="s">
        <v>1097</v>
      </c>
      <c r="J525" t="s">
        <v>1098</v>
      </c>
      <c r="K525" t="s">
        <v>1099</v>
      </c>
      <c r="L525">
        <v>1368</v>
      </c>
      <c r="N525">
        <v>1011</v>
      </c>
      <c r="O525" t="s">
        <v>1078</v>
      </c>
      <c r="P525" t="s">
        <v>1078</v>
      </c>
      <c r="Q525">
        <v>1</v>
      </c>
      <c r="X525">
        <v>0.1</v>
      </c>
      <c r="Y525">
        <v>0</v>
      </c>
      <c r="Z525">
        <v>65.709999999999994</v>
      </c>
      <c r="AA525">
        <v>11.6</v>
      </c>
      <c r="AB525">
        <v>0</v>
      </c>
      <c r="AC525">
        <v>0</v>
      </c>
      <c r="AD525">
        <v>1</v>
      </c>
      <c r="AE525">
        <v>0</v>
      </c>
      <c r="AF525" t="s">
        <v>6</v>
      </c>
      <c r="AG525">
        <v>0.1</v>
      </c>
      <c r="AH525">
        <v>2</v>
      </c>
      <c r="AI525">
        <v>16751358</v>
      </c>
      <c r="AJ525">
        <v>566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</row>
    <row r="526" spans="1:44" x14ac:dyDescent="0.2">
      <c r="A526">
        <f>ROW(Source!A373)</f>
        <v>373</v>
      </c>
      <c r="B526">
        <v>16751368</v>
      </c>
      <c r="C526">
        <v>16751354</v>
      </c>
      <c r="D526">
        <v>15167588</v>
      </c>
      <c r="E526">
        <v>1</v>
      </c>
      <c r="F526">
        <v>1</v>
      </c>
      <c r="G526">
        <v>1</v>
      </c>
      <c r="H526">
        <v>3</v>
      </c>
      <c r="I526" t="s">
        <v>1388</v>
      </c>
      <c r="J526" t="s">
        <v>1389</v>
      </c>
      <c r="K526" t="s">
        <v>1390</v>
      </c>
      <c r="L526">
        <v>1346</v>
      </c>
      <c r="N526">
        <v>1009</v>
      </c>
      <c r="O526" t="s">
        <v>323</v>
      </c>
      <c r="P526" t="s">
        <v>323</v>
      </c>
      <c r="Q526">
        <v>1</v>
      </c>
      <c r="X526">
        <v>0.01</v>
      </c>
      <c r="Y526">
        <v>30.4</v>
      </c>
      <c r="Z526">
        <v>0</v>
      </c>
      <c r="AA526">
        <v>0</v>
      </c>
      <c r="AB526">
        <v>0</v>
      </c>
      <c r="AC526">
        <v>0</v>
      </c>
      <c r="AD526">
        <v>1</v>
      </c>
      <c r="AE526">
        <v>0</v>
      </c>
      <c r="AF526" t="s">
        <v>6</v>
      </c>
      <c r="AG526">
        <v>0.01</v>
      </c>
      <c r="AH526">
        <v>2</v>
      </c>
      <c r="AI526">
        <v>16751359</v>
      </c>
      <c r="AJ526">
        <v>567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0</v>
      </c>
    </row>
    <row r="527" spans="1:44" x14ac:dyDescent="0.2">
      <c r="A527">
        <f>ROW(Source!A373)</f>
        <v>373</v>
      </c>
      <c r="B527">
        <v>16751369</v>
      </c>
      <c r="C527">
        <v>16751354</v>
      </c>
      <c r="D527">
        <v>15169942</v>
      </c>
      <c r="E527">
        <v>1</v>
      </c>
      <c r="F527">
        <v>1</v>
      </c>
      <c r="G527">
        <v>1</v>
      </c>
      <c r="H527">
        <v>3</v>
      </c>
      <c r="I527" t="s">
        <v>1391</v>
      </c>
      <c r="J527" t="s">
        <v>1392</v>
      </c>
      <c r="K527" t="s">
        <v>1291</v>
      </c>
      <c r="L527">
        <v>1346</v>
      </c>
      <c r="N527">
        <v>1009</v>
      </c>
      <c r="O527" t="s">
        <v>323</v>
      </c>
      <c r="P527" t="s">
        <v>323</v>
      </c>
      <c r="Q527">
        <v>1</v>
      </c>
      <c r="X527">
        <v>0.3</v>
      </c>
      <c r="Y527">
        <v>9.0399999999999991</v>
      </c>
      <c r="Z527">
        <v>0</v>
      </c>
      <c r="AA527">
        <v>0</v>
      </c>
      <c r="AB527">
        <v>0</v>
      </c>
      <c r="AC527">
        <v>0</v>
      </c>
      <c r="AD527">
        <v>1</v>
      </c>
      <c r="AE527">
        <v>0</v>
      </c>
      <c r="AF527" t="s">
        <v>6</v>
      </c>
      <c r="AG527">
        <v>0.3</v>
      </c>
      <c r="AH527">
        <v>2</v>
      </c>
      <c r="AI527">
        <v>16751360</v>
      </c>
      <c r="AJ527">
        <v>568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</row>
    <row r="528" spans="1:44" x14ac:dyDescent="0.2">
      <c r="A528">
        <f>ROW(Source!A373)</f>
        <v>373</v>
      </c>
      <c r="B528">
        <v>16751370</v>
      </c>
      <c r="C528">
        <v>16751354</v>
      </c>
      <c r="D528">
        <v>15191488</v>
      </c>
      <c r="E528">
        <v>1</v>
      </c>
      <c r="F528">
        <v>1</v>
      </c>
      <c r="G528">
        <v>1</v>
      </c>
      <c r="H528">
        <v>3</v>
      </c>
      <c r="I528" t="s">
        <v>1393</v>
      </c>
      <c r="J528" t="s">
        <v>1394</v>
      </c>
      <c r="K528" t="s">
        <v>1395</v>
      </c>
      <c r="L528">
        <v>1348</v>
      </c>
      <c r="N528">
        <v>1009</v>
      </c>
      <c r="O528" t="s">
        <v>71</v>
      </c>
      <c r="P528" t="s">
        <v>71</v>
      </c>
      <c r="Q528">
        <v>1000</v>
      </c>
      <c r="X528">
        <v>5.9999999999999995E-4</v>
      </c>
      <c r="Y528">
        <v>5000</v>
      </c>
      <c r="Z528">
        <v>0</v>
      </c>
      <c r="AA528">
        <v>0</v>
      </c>
      <c r="AB528">
        <v>0</v>
      </c>
      <c r="AC528">
        <v>0</v>
      </c>
      <c r="AD528">
        <v>1</v>
      </c>
      <c r="AE528">
        <v>0</v>
      </c>
      <c r="AF528" t="s">
        <v>6</v>
      </c>
      <c r="AG528">
        <v>5.9999999999999995E-4</v>
      </c>
      <c r="AH528">
        <v>2</v>
      </c>
      <c r="AI528">
        <v>16751361</v>
      </c>
      <c r="AJ528">
        <v>569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</row>
    <row r="529" spans="1:44" x14ac:dyDescent="0.2">
      <c r="A529">
        <f>ROW(Source!A373)</f>
        <v>373</v>
      </c>
      <c r="B529">
        <v>16751371</v>
      </c>
      <c r="C529">
        <v>16751354</v>
      </c>
      <c r="D529">
        <v>15164559</v>
      </c>
      <c r="E529">
        <v>17</v>
      </c>
      <c r="F529">
        <v>1</v>
      </c>
      <c r="G529">
        <v>1</v>
      </c>
      <c r="H529">
        <v>3</v>
      </c>
      <c r="I529" t="s">
        <v>1383</v>
      </c>
      <c r="J529" t="s">
        <v>6</v>
      </c>
      <c r="K529" t="s">
        <v>1384</v>
      </c>
      <c r="L529">
        <v>1374</v>
      </c>
      <c r="N529">
        <v>1013</v>
      </c>
      <c r="O529" t="s">
        <v>1385</v>
      </c>
      <c r="P529" t="s">
        <v>1385</v>
      </c>
      <c r="Q529">
        <v>1</v>
      </c>
      <c r="X529">
        <v>0.19</v>
      </c>
      <c r="Y529">
        <v>1</v>
      </c>
      <c r="Z529">
        <v>0</v>
      </c>
      <c r="AA529">
        <v>0</v>
      </c>
      <c r="AB529">
        <v>0</v>
      </c>
      <c r="AC529">
        <v>0</v>
      </c>
      <c r="AD529">
        <v>1</v>
      </c>
      <c r="AE529">
        <v>0</v>
      </c>
      <c r="AF529" t="s">
        <v>6</v>
      </c>
      <c r="AG529">
        <v>0.19</v>
      </c>
      <c r="AH529">
        <v>2</v>
      </c>
      <c r="AI529">
        <v>16751363</v>
      </c>
      <c r="AJ529">
        <v>571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</row>
    <row r="530" spans="1:44" x14ac:dyDescent="0.2">
      <c r="A530">
        <f>ROW(Source!A375)</f>
        <v>375</v>
      </c>
      <c r="B530">
        <v>16751393</v>
      </c>
      <c r="C530">
        <v>16751373</v>
      </c>
      <c r="D530">
        <v>15435721</v>
      </c>
      <c r="E530">
        <v>1</v>
      </c>
      <c r="F530">
        <v>1</v>
      </c>
      <c r="G530">
        <v>1</v>
      </c>
      <c r="H530">
        <v>1</v>
      </c>
      <c r="I530" t="s">
        <v>1353</v>
      </c>
      <c r="J530" t="s">
        <v>6</v>
      </c>
      <c r="K530" t="s">
        <v>1354</v>
      </c>
      <c r="L530">
        <v>1191</v>
      </c>
      <c r="N530">
        <v>1013</v>
      </c>
      <c r="O530" t="s">
        <v>1072</v>
      </c>
      <c r="P530" t="s">
        <v>1072</v>
      </c>
      <c r="Q530">
        <v>1</v>
      </c>
      <c r="X530">
        <v>1.56</v>
      </c>
      <c r="Y530">
        <v>0</v>
      </c>
      <c r="Z530">
        <v>0</v>
      </c>
      <c r="AA530">
        <v>0</v>
      </c>
      <c r="AB530">
        <v>9.51</v>
      </c>
      <c r="AC530">
        <v>0</v>
      </c>
      <c r="AD530">
        <v>1</v>
      </c>
      <c r="AE530">
        <v>1</v>
      </c>
      <c r="AF530" t="s">
        <v>6</v>
      </c>
      <c r="AG530">
        <v>1.56</v>
      </c>
      <c r="AH530">
        <v>2</v>
      </c>
      <c r="AI530">
        <v>16751374</v>
      </c>
      <c r="AJ530">
        <v>572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</row>
    <row r="531" spans="1:44" x14ac:dyDescent="0.2">
      <c r="A531">
        <f>ROW(Source!A375)</f>
        <v>375</v>
      </c>
      <c r="B531">
        <v>16751394</v>
      </c>
      <c r="C531">
        <v>16751373</v>
      </c>
      <c r="D531">
        <v>15249377</v>
      </c>
      <c r="E531">
        <v>1</v>
      </c>
      <c r="F531">
        <v>1</v>
      </c>
      <c r="G531">
        <v>1</v>
      </c>
      <c r="H531">
        <v>2</v>
      </c>
      <c r="I531" t="s">
        <v>1100</v>
      </c>
      <c r="J531" t="s">
        <v>1101</v>
      </c>
      <c r="K531" t="s">
        <v>1102</v>
      </c>
      <c r="L531">
        <v>1368</v>
      </c>
      <c r="N531">
        <v>1011</v>
      </c>
      <c r="O531" t="s">
        <v>1078</v>
      </c>
      <c r="P531" t="s">
        <v>1078</v>
      </c>
      <c r="Q531">
        <v>1</v>
      </c>
      <c r="X531">
        <v>0.13</v>
      </c>
      <c r="Y531">
        <v>0</v>
      </c>
      <c r="Z531">
        <v>8.1</v>
      </c>
      <c r="AA531">
        <v>0</v>
      </c>
      <c r="AB531">
        <v>0</v>
      </c>
      <c r="AC531">
        <v>0</v>
      </c>
      <c r="AD531">
        <v>1</v>
      </c>
      <c r="AE531">
        <v>0</v>
      </c>
      <c r="AF531" t="s">
        <v>6</v>
      </c>
      <c r="AG531">
        <v>0.13</v>
      </c>
      <c r="AH531">
        <v>2</v>
      </c>
      <c r="AI531">
        <v>16751375</v>
      </c>
      <c r="AJ531">
        <v>573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</row>
    <row r="532" spans="1:44" x14ac:dyDescent="0.2">
      <c r="A532">
        <f>ROW(Source!A375)</f>
        <v>375</v>
      </c>
      <c r="B532">
        <v>16751395</v>
      </c>
      <c r="C532">
        <v>16751373</v>
      </c>
      <c r="D532">
        <v>15165537</v>
      </c>
      <c r="E532">
        <v>1</v>
      </c>
      <c r="F532">
        <v>1</v>
      </c>
      <c r="G532">
        <v>1</v>
      </c>
      <c r="H532">
        <v>3</v>
      </c>
      <c r="I532" t="s">
        <v>1437</v>
      </c>
      <c r="J532" t="s">
        <v>1438</v>
      </c>
      <c r="K532" t="s">
        <v>1439</v>
      </c>
      <c r="L532">
        <v>1346</v>
      </c>
      <c r="N532">
        <v>1009</v>
      </c>
      <c r="O532" t="s">
        <v>323</v>
      </c>
      <c r="P532" t="s">
        <v>323</v>
      </c>
      <c r="Q532">
        <v>1</v>
      </c>
      <c r="X532">
        <v>6.0000000000000001E-3</v>
      </c>
      <c r="Y532">
        <v>44.97</v>
      </c>
      <c r="Z532">
        <v>0</v>
      </c>
      <c r="AA532">
        <v>0</v>
      </c>
      <c r="AB532">
        <v>0</v>
      </c>
      <c r="AC532">
        <v>0</v>
      </c>
      <c r="AD532">
        <v>1</v>
      </c>
      <c r="AE532">
        <v>0</v>
      </c>
      <c r="AF532" t="s">
        <v>6</v>
      </c>
      <c r="AG532">
        <v>6.0000000000000001E-3</v>
      </c>
      <c r="AH532">
        <v>2</v>
      </c>
      <c r="AI532">
        <v>16751376</v>
      </c>
      <c r="AJ532">
        <v>574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</row>
    <row r="533" spans="1:44" x14ac:dyDescent="0.2">
      <c r="A533">
        <f>ROW(Source!A375)</f>
        <v>375</v>
      </c>
      <c r="B533">
        <v>16751396</v>
      </c>
      <c r="C533">
        <v>16751373</v>
      </c>
      <c r="D533">
        <v>15167269</v>
      </c>
      <c r="E533">
        <v>1</v>
      </c>
      <c r="F533">
        <v>1</v>
      </c>
      <c r="G533">
        <v>1</v>
      </c>
      <c r="H533">
        <v>3</v>
      </c>
      <c r="I533" t="s">
        <v>1440</v>
      </c>
      <c r="J533" t="s">
        <v>1441</v>
      </c>
      <c r="K533" t="s">
        <v>1442</v>
      </c>
      <c r="L533">
        <v>1346</v>
      </c>
      <c r="N533">
        <v>1009</v>
      </c>
      <c r="O533" t="s">
        <v>323</v>
      </c>
      <c r="P533" t="s">
        <v>323</v>
      </c>
      <c r="Q533">
        <v>1</v>
      </c>
      <c r="X533">
        <v>1E-3</v>
      </c>
      <c r="Y533">
        <v>11.5</v>
      </c>
      <c r="Z533">
        <v>0</v>
      </c>
      <c r="AA533">
        <v>0</v>
      </c>
      <c r="AB533">
        <v>0</v>
      </c>
      <c r="AC533">
        <v>0</v>
      </c>
      <c r="AD533">
        <v>1</v>
      </c>
      <c r="AE533">
        <v>0</v>
      </c>
      <c r="AF533" t="s">
        <v>6</v>
      </c>
      <c r="AG533">
        <v>1E-3</v>
      </c>
      <c r="AH533">
        <v>2</v>
      </c>
      <c r="AI533">
        <v>16751377</v>
      </c>
      <c r="AJ533">
        <v>575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0</v>
      </c>
      <c r="AR533">
        <v>0</v>
      </c>
    </row>
    <row r="534" spans="1:44" x14ac:dyDescent="0.2">
      <c r="A534">
        <f>ROW(Source!A375)</f>
        <v>375</v>
      </c>
      <c r="B534">
        <v>16751397</v>
      </c>
      <c r="C534">
        <v>16751373</v>
      </c>
      <c r="D534">
        <v>15167588</v>
      </c>
      <c r="E534">
        <v>1</v>
      </c>
      <c r="F534">
        <v>1</v>
      </c>
      <c r="G534">
        <v>1</v>
      </c>
      <c r="H534">
        <v>3</v>
      </c>
      <c r="I534" t="s">
        <v>1388</v>
      </c>
      <c r="J534" t="s">
        <v>1389</v>
      </c>
      <c r="K534" t="s">
        <v>1390</v>
      </c>
      <c r="L534">
        <v>1346</v>
      </c>
      <c r="N534">
        <v>1009</v>
      </c>
      <c r="O534" t="s">
        <v>323</v>
      </c>
      <c r="P534" t="s">
        <v>323</v>
      </c>
      <c r="Q534">
        <v>1</v>
      </c>
      <c r="X534">
        <v>1.2E-2</v>
      </c>
      <c r="Y534">
        <v>30.4</v>
      </c>
      <c r="Z534">
        <v>0</v>
      </c>
      <c r="AA534">
        <v>0</v>
      </c>
      <c r="AB534">
        <v>0</v>
      </c>
      <c r="AC534">
        <v>0</v>
      </c>
      <c r="AD534">
        <v>1</v>
      </c>
      <c r="AE534">
        <v>0</v>
      </c>
      <c r="AF534" t="s">
        <v>6</v>
      </c>
      <c r="AG534">
        <v>1.2E-2</v>
      </c>
      <c r="AH534">
        <v>2</v>
      </c>
      <c r="AI534">
        <v>16751378</v>
      </c>
      <c r="AJ534">
        <v>576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0</v>
      </c>
    </row>
    <row r="535" spans="1:44" x14ac:dyDescent="0.2">
      <c r="A535">
        <f>ROW(Source!A375)</f>
        <v>375</v>
      </c>
      <c r="B535">
        <v>16751398</v>
      </c>
      <c r="C535">
        <v>16751373</v>
      </c>
      <c r="D535">
        <v>15168752</v>
      </c>
      <c r="E535">
        <v>1</v>
      </c>
      <c r="F535">
        <v>1</v>
      </c>
      <c r="G535">
        <v>1</v>
      </c>
      <c r="H535">
        <v>3</v>
      </c>
      <c r="I535" t="s">
        <v>1443</v>
      </c>
      <c r="J535" t="s">
        <v>1444</v>
      </c>
      <c r="K535" t="s">
        <v>1445</v>
      </c>
      <c r="L535">
        <v>1346</v>
      </c>
      <c r="N535">
        <v>1009</v>
      </c>
      <c r="O535" t="s">
        <v>323</v>
      </c>
      <c r="P535" t="s">
        <v>323</v>
      </c>
      <c r="Q535">
        <v>1</v>
      </c>
      <c r="X535">
        <v>7.0000000000000007E-2</v>
      </c>
      <c r="Y535">
        <v>10.57</v>
      </c>
      <c r="Z535">
        <v>0</v>
      </c>
      <c r="AA535">
        <v>0</v>
      </c>
      <c r="AB535">
        <v>0</v>
      </c>
      <c r="AC535">
        <v>0</v>
      </c>
      <c r="AD535">
        <v>1</v>
      </c>
      <c r="AE535">
        <v>0</v>
      </c>
      <c r="AF535" t="s">
        <v>6</v>
      </c>
      <c r="AG535">
        <v>7.0000000000000007E-2</v>
      </c>
      <c r="AH535">
        <v>2</v>
      </c>
      <c r="AI535">
        <v>16751379</v>
      </c>
      <c r="AJ535">
        <v>577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0</v>
      </c>
    </row>
    <row r="536" spans="1:44" x14ac:dyDescent="0.2">
      <c r="A536">
        <f>ROW(Source!A375)</f>
        <v>375</v>
      </c>
      <c r="B536">
        <v>16751399</v>
      </c>
      <c r="C536">
        <v>16751373</v>
      </c>
      <c r="D536">
        <v>15169942</v>
      </c>
      <c r="E536">
        <v>1</v>
      </c>
      <c r="F536">
        <v>1</v>
      </c>
      <c r="G536">
        <v>1</v>
      </c>
      <c r="H536">
        <v>3</v>
      </c>
      <c r="I536" t="s">
        <v>1391</v>
      </c>
      <c r="J536" t="s">
        <v>1392</v>
      </c>
      <c r="K536" t="s">
        <v>1291</v>
      </c>
      <c r="L536">
        <v>1346</v>
      </c>
      <c r="N536">
        <v>1009</v>
      </c>
      <c r="O536" t="s">
        <v>323</v>
      </c>
      <c r="P536" t="s">
        <v>323</v>
      </c>
      <c r="Q536">
        <v>1</v>
      </c>
      <c r="X536">
        <v>4.9000000000000002E-2</v>
      </c>
      <c r="Y536">
        <v>9.0399999999999991</v>
      </c>
      <c r="Z536">
        <v>0</v>
      </c>
      <c r="AA536">
        <v>0</v>
      </c>
      <c r="AB536">
        <v>0</v>
      </c>
      <c r="AC536">
        <v>0</v>
      </c>
      <c r="AD536">
        <v>1</v>
      </c>
      <c r="AE536">
        <v>0</v>
      </c>
      <c r="AF536" t="s">
        <v>6</v>
      </c>
      <c r="AG536">
        <v>4.9000000000000002E-2</v>
      </c>
      <c r="AH536">
        <v>2</v>
      </c>
      <c r="AI536">
        <v>16751380</v>
      </c>
      <c r="AJ536">
        <v>578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0</v>
      </c>
    </row>
    <row r="537" spans="1:44" x14ac:dyDescent="0.2">
      <c r="A537">
        <f>ROW(Source!A375)</f>
        <v>375</v>
      </c>
      <c r="B537">
        <v>16751400</v>
      </c>
      <c r="C537">
        <v>16751373</v>
      </c>
      <c r="D537">
        <v>15170074</v>
      </c>
      <c r="E537">
        <v>1</v>
      </c>
      <c r="F537">
        <v>1</v>
      </c>
      <c r="G537">
        <v>1</v>
      </c>
      <c r="H537">
        <v>3</v>
      </c>
      <c r="I537" t="s">
        <v>1399</v>
      </c>
      <c r="J537" t="s">
        <v>1400</v>
      </c>
      <c r="K537" t="s">
        <v>1401</v>
      </c>
      <c r="L537">
        <v>1355</v>
      </c>
      <c r="N537">
        <v>1010</v>
      </c>
      <c r="O537" t="s">
        <v>724</v>
      </c>
      <c r="P537" t="s">
        <v>724</v>
      </c>
      <c r="Q537">
        <v>100</v>
      </c>
      <c r="X537">
        <v>1.4E-2</v>
      </c>
      <c r="Y537">
        <v>86</v>
      </c>
      <c r="Z537">
        <v>0</v>
      </c>
      <c r="AA537">
        <v>0</v>
      </c>
      <c r="AB537">
        <v>0</v>
      </c>
      <c r="AC537">
        <v>0</v>
      </c>
      <c r="AD537">
        <v>1</v>
      </c>
      <c r="AE537">
        <v>0</v>
      </c>
      <c r="AF537" t="s">
        <v>6</v>
      </c>
      <c r="AG537">
        <v>1.4E-2</v>
      </c>
      <c r="AH537">
        <v>2</v>
      </c>
      <c r="AI537">
        <v>16751381</v>
      </c>
      <c r="AJ537">
        <v>579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</row>
    <row r="538" spans="1:44" x14ac:dyDescent="0.2">
      <c r="A538">
        <f>ROW(Source!A375)</f>
        <v>375</v>
      </c>
      <c r="B538">
        <v>16751401</v>
      </c>
      <c r="C538">
        <v>16751373</v>
      </c>
      <c r="D538">
        <v>15170994</v>
      </c>
      <c r="E538">
        <v>1</v>
      </c>
      <c r="F538">
        <v>1</v>
      </c>
      <c r="G538">
        <v>1</v>
      </c>
      <c r="H538">
        <v>3</v>
      </c>
      <c r="I538" t="s">
        <v>1446</v>
      </c>
      <c r="J538" t="s">
        <v>1447</v>
      </c>
      <c r="K538" t="s">
        <v>1448</v>
      </c>
      <c r="L538">
        <v>1346</v>
      </c>
      <c r="N538">
        <v>1009</v>
      </c>
      <c r="O538" t="s">
        <v>323</v>
      </c>
      <c r="P538" t="s">
        <v>323</v>
      </c>
      <c r="Q538">
        <v>1</v>
      </c>
      <c r="X538">
        <v>1E-3</v>
      </c>
      <c r="Y538">
        <v>133.05000000000001</v>
      </c>
      <c r="Z538">
        <v>0</v>
      </c>
      <c r="AA538">
        <v>0</v>
      </c>
      <c r="AB538">
        <v>0</v>
      </c>
      <c r="AC538">
        <v>0</v>
      </c>
      <c r="AD538">
        <v>1</v>
      </c>
      <c r="AE538">
        <v>0</v>
      </c>
      <c r="AF538" t="s">
        <v>6</v>
      </c>
      <c r="AG538">
        <v>1E-3</v>
      </c>
      <c r="AH538">
        <v>2</v>
      </c>
      <c r="AI538">
        <v>16751382</v>
      </c>
      <c r="AJ538">
        <v>580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</row>
    <row r="539" spans="1:44" x14ac:dyDescent="0.2">
      <c r="A539">
        <f>ROW(Source!A375)</f>
        <v>375</v>
      </c>
      <c r="B539">
        <v>16751402</v>
      </c>
      <c r="C539">
        <v>16751373</v>
      </c>
      <c r="D539">
        <v>15188647</v>
      </c>
      <c r="E539">
        <v>1</v>
      </c>
      <c r="F539">
        <v>1</v>
      </c>
      <c r="G539">
        <v>1</v>
      </c>
      <c r="H539">
        <v>3</v>
      </c>
      <c r="I539" t="s">
        <v>1449</v>
      </c>
      <c r="J539" t="s">
        <v>1450</v>
      </c>
      <c r="K539" t="s">
        <v>1451</v>
      </c>
      <c r="L539">
        <v>1348</v>
      </c>
      <c r="N539">
        <v>1009</v>
      </c>
      <c r="O539" t="s">
        <v>71</v>
      </c>
      <c r="P539" t="s">
        <v>71</v>
      </c>
      <c r="Q539">
        <v>1000</v>
      </c>
      <c r="X539">
        <v>1E-3</v>
      </c>
      <c r="Y539">
        <v>11500</v>
      </c>
      <c r="Z539">
        <v>0</v>
      </c>
      <c r="AA539">
        <v>0</v>
      </c>
      <c r="AB539">
        <v>0</v>
      </c>
      <c r="AC539">
        <v>0</v>
      </c>
      <c r="AD539">
        <v>1</v>
      </c>
      <c r="AE539">
        <v>0</v>
      </c>
      <c r="AF539" t="s">
        <v>6</v>
      </c>
      <c r="AG539">
        <v>1E-3</v>
      </c>
      <c r="AH539">
        <v>2</v>
      </c>
      <c r="AI539">
        <v>16751383</v>
      </c>
      <c r="AJ539">
        <v>581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</row>
    <row r="540" spans="1:44" x14ac:dyDescent="0.2">
      <c r="A540">
        <f>ROW(Source!A375)</f>
        <v>375</v>
      </c>
      <c r="B540">
        <v>16751403</v>
      </c>
      <c r="C540">
        <v>16751373</v>
      </c>
      <c r="D540">
        <v>15203834</v>
      </c>
      <c r="E540">
        <v>1</v>
      </c>
      <c r="F540">
        <v>1</v>
      </c>
      <c r="G540">
        <v>1</v>
      </c>
      <c r="H540">
        <v>3</v>
      </c>
      <c r="I540" t="s">
        <v>1411</v>
      </c>
      <c r="J540" t="s">
        <v>1412</v>
      </c>
      <c r="K540" t="s">
        <v>374</v>
      </c>
      <c r="L540">
        <v>1346</v>
      </c>
      <c r="N540">
        <v>1009</v>
      </c>
      <c r="O540" t="s">
        <v>323</v>
      </c>
      <c r="P540" t="s">
        <v>323</v>
      </c>
      <c r="Q540">
        <v>1</v>
      </c>
      <c r="X540">
        <v>3.5999999999999997E-2</v>
      </c>
      <c r="Y540">
        <v>28.6</v>
      </c>
      <c r="Z540">
        <v>0</v>
      </c>
      <c r="AA540">
        <v>0</v>
      </c>
      <c r="AB540">
        <v>0</v>
      </c>
      <c r="AC540">
        <v>0</v>
      </c>
      <c r="AD540">
        <v>1</v>
      </c>
      <c r="AE540">
        <v>0</v>
      </c>
      <c r="AF540" t="s">
        <v>6</v>
      </c>
      <c r="AG540">
        <v>3.5999999999999997E-2</v>
      </c>
      <c r="AH540">
        <v>2</v>
      </c>
      <c r="AI540">
        <v>16751384</v>
      </c>
      <c r="AJ540">
        <v>582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0</v>
      </c>
    </row>
    <row r="541" spans="1:44" x14ac:dyDescent="0.2">
      <c r="A541">
        <f>ROW(Source!A375)</f>
        <v>375</v>
      </c>
      <c r="B541">
        <v>16751404</v>
      </c>
      <c r="C541">
        <v>16751373</v>
      </c>
      <c r="D541">
        <v>15203987</v>
      </c>
      <c r="E541">
        <v>1</v>
      </c>
      <c r="F541">
        <v>1</v>
      </c>
      <c r="G541">
        <v>1</v>
      </c>
      <c r="H541">
        <v>3</v>
      </c>
      <c r="I541" t="s">
        <v>1452</v>
      </c>
      <c r="J541" t="s">
        <v>1453</v>
      </c>
      <c r="K541" t="s">
        <v>1454</v>
      </c>
      <c r="L541">
        <v>1346</v>
      </c>
      <c r="N541">
        <v>1009</v>
      </c>
      <c r="O541" t="s">
        <v>323</v>
      </c>
      <c r="P541" t="s">
        <v>323</v>
      </c>
      <c r="Q541">
        <v>1</v>
      </c>
      <c r="X541">
        <v>6.0000000000000001E-3</v>
      </c>
      <c r="Y541">
        <v>35.630000000000003</v>
      </c>
      <c r="Z541">
        <v>0</v>
      </c>
      <c r="AA541">
        <v>0</v>
      </c>
      <c r="AB541">
        <v>0</v>
      </c>
      <c r="AC541">
        <v>0</v>
      </c>
      <c r="AD541">
        <v>1</v>
      </c>
      <c r="AE541">
        <v>0</v>
      </c>
      <c r="AF541" t="s">
        <v>6</v>
      </c>
      <c r="AG541">
        <v>6.0000000000000001E-3</v>
      </c>
      <c r="AH541">
        <v>2</v>
      </c>
      <c r="AI541">
        <v>16751385</v>
      </c>
      <c r="AJ541">
        <v>583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</row>
    <row r="542" spans="1:44" x14ac:dyDescent="0.2">
      <c r="A542">
        <f>ROW(Source!A375)</f>
        <v>375</v>
      </c>
      <c r="B542">
        <v>16751405</v>
      </c>
      <c r="C542">
        <v>16751373</v>
      </c>
      <c r="D542">
        <v>15217463</v>
      </c>
      <c r="E542">
        <v>1</v>
      </c>
      <c r="F542">
        <v>1</v>
      </c>
      <c r="G542">
        <v>1</v>
      </c>
      <c r="H542">
        <v>3</v>
      </c>
      <c r="I542" t="s">
        <v>1455</v>
      </c>
      <c r="J542" t="s">
        <v>1456</v>
      </c>
      <c r="K542" t="s">
        <v>1457</v>
      </c>
      <c r="L542">
        <v>1358</v>
      </c>
      <c r="N542">
        <v>1010</v>
      </c>
      <c r="O542" t="s">
        <v>615</v>
      </c>
      <c r="P542" t="s">
        <v>615</v>
      </c>
      <c r="Q542">
        <v>10</v>
      </c>
      <c r="X542">
        <v>0.1</v>
      </c>
      <c r="Y542">
        <v>39</v>
      </c>
      <c r="Z542">
        <v>0</v>
      </c>
      <c r="AA542">
        <v>0</v>
      </c>
      <c r="AB542">
        <v>0</v>
      </c>
      <c r="AC542">
        <v>0</v>
      </c>
      <c r="AD542">
        <v>1</v>
      </c>
      <c r="AE542">
        <v>0</v>
      </c>
      <c r="AF542" t="s">
        <v>6</v>
      </c>
      <c r="AG542">
        <v>0.1</v>
      </c>
      <c r="AH542">
        <v>2</v>
      </c>
      <c r="AI542">
        <v>16751386</v>
      </c>
      <c r="AJ542">
        <v>584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0</v>
      </c>
    </row>
    <row r="543" spans="1:44" x14ac:dyDescent="0.2">
      <c r="A543">
        <f>ROW(Source!A375)</f>
        <v>375</v>
      </c>
      <c r="B543">
        <v>16751406</v>
      </c>
      <c r="C543">
        <v>16751373</v>
      </c>
      <c r="D543">
        <v>15164559</v>
      </c>
      <c r="E543">
        <v>17</v>
      </c>
      <c r="F543">
        <v>1</v>
      </c>
      <c r="G543">
        <v>1</v>
      </c>
      <c r="H543">
        <v>3</v>
      </c>
      <c r="I543" t="s">
        <v>1383</v>
      </c>
      <c r="J543" t="s">
        <v>6</v>
      </c>
      <c r="K543" t="s">
        <v>1384</v>
      </c>
      <c r="L543">
        <v>1374</v>
      </c>
      <c r="N543">
        <v>1013</v>
      </c>
      <c r="O543" t="s">
        <v>1385</v>
      </c>
      <c r="P543" t="s">
        <v>1385</v>
      </c>
      <c r="Q543">
        <v>1</v>
      </c>
      <c r="X543">
        <v>0.3</v>
      </c>
      <c r="Y543">
        <v>1</v>
      </c>
      <c r="Z543">
        <v>0</v>
      </c>
      <c r="AA543">
        <v>0</v>
      </c>
      <c r="AB543">
        <v>0</v>
      </c>
      <c r="AC543">
        <v>0</v>
      </c>
      <c r="AD543">
        <v>1</v>
      </c>
      <c r="AE543">
        <v>0</v>
      </c>
      <c r="AF543" t="s">
        <v>6</v>
      </c>
      <c r="AG543">
        <v>0.3</v>
      </c>
      <c r="AH543">
        <v>2</v>
      </c>
      <c r="AI543">
        <v>16751387</v>
      </c>
      <c r="AJ543">
        <v>589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</row>
    <row r="544" spans="1:44" x14ac:dyDescent="0.2">
      <c r="A544">
        <f>ROW(Source!A380)</f>
        <v>380</v>
      </c>
      <c r="B544">
        <v>16751419</v>
      </c>
      <c r="C544">
        <v>16751412</v>
      </c>
      <c r="D544">
        <v>15446300</v>
      </c>
      <c r="E544">
        <v>1</v>
      </c>
      <c r="F544">
        <v>1</v>
      </c>
      <c r="G544">
        <v>1</v>
      </c>
      <c r="H544">
        <v>1</v>
      </c>
      <c r="I544" t="s">
        <v>1095</v>
      </c>
      <c r="J544" t="s">
        <v>6</v>
      </c>
      <c r="K544" t="s">
        <v>1096</v>
      </c>
      <c r="L544">
        <v>1191</v>
      </c>
      <c r="N544">
        <v>1013</v>
      </c>
      <c r="O544" t="s">
        <v>1072</v>
      </c>
      <c r="P544" t="s">
        <v>1072</v>
      </c>
      <c r="Q544">
        <v>1</v>
      </c>
      <c r="X544">
        <v>1.1200000000000001</v>
      </c>
      <c r="Y544">
        <v>0</v>
      </c>
      <c r="Z544">
        <v>0</v>
      </c>
      <c r="AA544">
        <v>0</v>
      </c>
      <c r="AB544">
        <v>9.92</v>
      </c>
      <c r="AC544">
        <v>0</v>
      </c>
      <c r="AD544">
        <v>1</v>
      </c>
      <c r="AE544">
        <v>1</v>
      </c>
      <c r="AF544" t="s">
        <v>6</v>
      </c>
      <c r="AG544">
        <v>1.1200000000000001</v>
      </c>
      <c r="AH544">
        <v>2</v>
      </c>
      <c r="AI544">
        <v>16751415</v>
      </c>
      <c r="AJ544">
        <v>590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0</v>
      </c>
    </row>
    <row r="545" spans="1:44" x14ac:dyDescent="0.2">
      <c r="A545">
        <f>ROW(Source!A380)</f>
        <v>380</v>
      </c>
      <c r="B545">
        <v>16751420</v>
      </c>
      <c r="C545">
        <v>16751412</v>
      </c>
      <c r="D545">
        <v>15169942</v>
      </c>
      <c r="E545">
        <v>1</v>
      </c>
      <c r="F545">
        <v>1</v>
      </c>
      <c r="G545">
        <v>1</v>
      </c>
      <c r="H545">
        <v>3</v>
      </c>
      <c r="I545" t="s">
        <v>1391</v>
      </c>
      <c r="J545" t="s">
        <v>1392</v>
      </c>
      <c r="K545" t="s">
        <v>1291</v>
      </c>
      <c r="L545">
        <v>1346</v>
      </c>
      <c r="N545">
        <v>1009</v>
      </c>
      <c r="O545" t="s">
        <v>323</v>
      </c>
      <c r="P545" t="s">
        <v>323</v>
      </c>
      <c r="Q545">
        <v>1</v>
      </c>
      <c r="X545">
        <v>0.02</v>
      </c>
      <c r="Y545">
        <v>9.0399999999999991</v>
      </c>
      <c r="Z545">
        <v>0</v>
      </c>
      <c r="AA545">
        <v>0</v>
      </c>
      <c r="AB545">
        <v>0</v>
      </c>
      <c r="AC545">
        <v>0</v>
      </c>
      <c r="AD545">
        <v>1</v>
      </c>
      <c r="AE545">
        <v>0</v>
      </c>
      <c r="AF545" t="s">
        <v>6</v>
      </c>
      <c r="AG545">
        <v>0.02</v>
      </c>
      <c r="AH545">
        <v>2</v>
      </c>
      <c r="AI545">
        <v>16751416</v>
      </c>
      <c r="AJ545">
        <v>591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</row>
    <row r="546" spans="1:44" x14ac:dyDescent="0.2">
      <c r="A546">
        <f>ROW(Source!A380)</f>
        <v>380</v>
      </c>
      <c r="B546">
        <v>16751421</v>
      </c>
      <c r="C546">
        <v>16751412</v>
      </c>
      <c r="D546">
        <v>15164559</v>
      </c>
      <c r="E546">
        <v>17</v>
      </c>
      <c r="F546">
        <v>1</v>
      </c>
      <c r="G546">
        <v>1</v>
      </c>
      <c r="H546">
        <v>3</v>
      </c>
      <c r="I546" t="s">
        <v>1383</v>
      </c>
      <c r="J546" t="s">
        <v>6</v>
      </c>
      <c r="K546" t="s">
        <v>1384</v>
      </c>
      <c r="L546">
        <v>1374</v>
      </c>
      <c r="N546">
        <v>1013</v>
      </c>
      <c r="O546" t="s">
        <v>1385</v>
      </c>
      <c r="P546" t="s">
        <v>1385</v>
      </c>
      <c r="Q546">
        <v>1</v>
      </c>
      <c r="X546">
        <v>0.22</v>
      </c>
      <c r="Y546">
        <v>1</v>
      </c>
      <c r="Z546">
        <v>0</v>
      </c>
      <c r="AA546">
        <v>0</v>
      </c>
      <c r="AB546">
        <v>0</v>
      </c>
      <c r="AC546">
        <v>0</v>
      </c>
      <c r="AD546">
        <v>1</v>
      </c>
      <c r="AE546">
        <v>0</v>
      </c>
      <c r="AF546" t="s">
        <v>6</v>
      </c>
      <c r="AG546">
        <v>0.22</v>
      </c>
      <c r="AH546">
        <v>2</v>
      </c>
      <c r="AI546">
        <v>16751417</v>
      </c>
      <c r="AJ546">
        <v>595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0</v>
      </c>
    </row>
    <row r="547" spans="1:44" x14ac:dyDescent="0.2">
      <c r="A547">
        <f>ROW(Source!A384)</f>
        <v>384</v>
      </c>
      <c r="B547">
        <v>16751427</v>
      </c>
      <c r="C547">
        <v>16751425</v>
      </c>
      <c r="D547">
        <v>15430767</v>
      </c>
      <c r="E547">
        <v>1</v>
      </c>
      <c r="F547">
        <v>1</v>
      </c>
      <c r="G547">
        <v>1</v>
      </c>
      <c r="H547">
        <v>1</v>
      </c>
      <c r="I547" t="s">
        <v>1070</v>
      </c>
      <c r="J547" t="s">
        <v>6</v>
      </c>
      <c r="K547" t="s">
        <v>1071</v>
      </c>
      <c r="L547">
        <v>1191</v>
      </c>
      <c r="N547">
        <v>1013</v>
      </c>
      <c r="O547" t="s">
        <v>1072</v>
      </c>
      <c r="P547" t="s">
        <v>1072</v>
      </c>
      <c r="Q547">
        <v>1</v>
      </c>
      <c r="X547">
        <v>5.49</v>
      </c>
      <c r="Y547">
        <v>0</v>
      </c>
      <c r="Z547">
        <v>0</v>
      </c>
      <c r="AA547">
        <v>0</v>
      </c>
      <c r="AB547">
        <v>8.5299999999999994</v>
      </c>
      <c r="AC547">
        <v>0</v>
      </c>
      <c r="AD547">
        <v>1</v>
      </c>
      <c r="AE547">
        <v>1</v>
      </c>
      <c r="AF547" t="s">
        <v>6</v>
      </c>
      <c r="AG547">
        <v>5.49</v>
      </c>
      <c r="AH547">
        <v>2</v>
      </c>
      <c r="AI547">
        <v>16751426</v>
      </c>
      <c r="AJ547">
        <v>596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</row>
    <row r="548" spans="1:44" x14ac:dyDescent="0.2">
      <c r="A548">
        <f>ROW(Source!A384)</f>
        <v>384</v>
      </c>
      <c r="B548">
        <v>16751428</v>
      </c>
      <c r="C548">
        <v>16751425</v>
      </c>
      <c r="D548">
        <v>15164566</v>
      </c>
      <c r="E548">
        <v>17</v>
      </c>
      <c r="F548">
        <v>1</v>
      </c>
      <c r="G548">
        <v>1</v>
      </c>
      <c r="H548">
        <v>3</v>
      </c>
      <c r="I548" t="s">
        <v>69</v>
      </c>
      <c r="J548" t="s">
        <v>6</v>
      </c>
      <c r="K548" t="s">
        <v>70</v>
      </c>
      <c r="L548">
        <v>1348</v>
      </c>
      <c r="N548">
        <v>1009</v>
      </c>
      <c r="O548" t="s">
        <v>71</v>
      </c>
      <c r="P548" t="s">
        <v>71</v>
      </c>
      <c r="Q548">
        <v>1000</v>
      </c>
      <c r="X548">
        <v>6.0000000000000001E-3</v>
      </c>
      <c r="Y548">
        <v>0</v>
      </c>
      <c r="Z548">
        <v>0</v>
      </c>
      <c r="AA548">
        <v>0</v>
      </c>
      <c r="AB548">
        <v>0</v>
      </c>
      <c r="AC548">
        <v>0</v>
      </c>
      <c r="AD548">
        <v>0</v>
      </c>
      <c r="AE548">
        <v>0</v>
      </c>
      <c r="AF548" t="s">
        <v>6</v>
      </c>
      <c r="AG548">
        <v>6.0000000000000001E-3</v>
      </c>
      <c r="AH548">
        <v>3</v>
      </c>
      <c r="AI548">
        <v>-1</v>
      </c>
      <c r="AJ548" t="s">
        <v>6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0</v>
      </c>
    </row>
    <row r="549" spans="1:44" x14ac:dyDescent="0.2">
      <c r="A549">
        <f>ROW(Source!A385)</f>
        <v>385</v>
      </c>
      <c r="B549">
        <v>16751441</v>
      </c>
      <c r="C549">
        <v>16751429</v>
      </c>
      <c r="D549">
        <v>15430397</v>
      </c>
      <c r="E549">
        <v>1</v>
      </c>
      <c r="F549">
        <v>1</v>
      </c>
      <c r="G549">
        <v>1</v>
      </c>
      <c r="H549">
        <v>1</v>
      </c>
      <c r="I549" t="s">
        <v>1234</v>
      </c>
      <c r="J549" t="s">
        <v>6</v>
      </c>
      <c r="K549" t="s">
        <v>1235</v>
      </c>
      <c r="L549">
        <v>1191</v>
      </c>
      <c r="N549">
        <v>1013</v>
      </c>
      <c r="O549" t="s">
        <v>1072</v>
      </c>
      <c r="P549" t="s">
        <v>1072</v>
      </c>
      <c r="Q549">
        <v>1</v>
      </c>
      <c r="X549">
        <v>15.28</v>
      </c>
      <c r="Y549">
        <v>0</v>
      </c>
      <c r="Z549">
        <v>0</v>
      </c>
      <c r="AA549">
        <v>0</v>
      </c>
      <c r="AB549">
        <v>9.4</v>
      </c>
      <c r="AC549">
        <v>0</v>
      </c>
      <c r="AD549">
        <v>1</v>
      </c>
      <c r="AE549">
        <v>1</v>
      </c>
      <c r="AF549" t="s">
        <v>6</v>
      </c>
      <c r="AG549">
        <v>15.28</v>
      </c>
      <c r="AH549">
        <v>2</v>
      </c>
      <c r="AI549">
        <v>16751430</v>
      </c>
      <c r="AJ549">
        <v>597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</row>
    <row r="550" spans="1:44" x14ac:dyDescent="0.2">
      <c r="A550">
        <f>ROW(Source!A385)</f>
        <v>385</v>
      </c>
      <c r="B550">
        <v>16751442</v>
      </c>
      <c r="C550">
        <v>16751429</v>
      </c>
      <c r="D550">
        <v>15430395</v>
      </c>
      <c r="E550">
        <v>1</v>
      </c>
      <c r="F550">
        <v>1</v>
      </c>
      <c r="G550">
        <v>1</v>
      </c>
      <c r="H550">
        <v>1</v>
      </c>
      <c r="I550" t="s">
        <v>1073</v>
      </c>
      <c r="J550" t="s">
        <v>6</v>
      </c>
      <c r="K550" t="s">
        <v>1074</v>
      </c>
      <c r="L550">
        <v>1191</v>
      </c>
      <c r="N550">
        <v>1013</v>
      </c>
      <c r="O550" t="s">
        <v>1072</v>
      </c>
      <c r="P550" t="s">
        <v>1072</v>
      </c>
      <c r="Q550">
        <v>1</v>
      </c>
      <c r="X550">
        <v>0.22</v>
      </c>
      <c r="Y550">
        <v>0</v>
      </c>
      <c r="Z550">
        <v>0</v>
      </c>
      <c r="AA550">
        <v>0</v>
      </c>
      <c r="AB550">
        <v>0</v>
      </c>
      <c r="AC550">
        <v>0</v>
      </c>
      <c r="AD550">
        <v>1</v>
      </c>
      <c r="AE550">
        <v>2</v>
      </c>
      <c r="AF550" t="s">
        <v>6</v>
      </c>
      <c r="AG550">
        <v>0.22</v>
      </c>
      <c r="AH550">
        <v>2</v>
      </c>
      <c r="AI550">
        <v>16751431</v>
      </c>
      <c r="AJ550">
        <v>598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0</v>
      </c>
    </row>
    <row r="551" spans="1:44" x14ac:dyDescent="0.2">
      <c r="A551">
        <f>ROW(Source!A385)</f>
        <v>385</v>
      </c>
      <c r="B551">
        <v>16751443</v>
      </c>
      <c r="C551">
        <v>16751429</v>
      </c>
      <c r="D551">
        <v>15247680</v>
      </c>
      <c r="E551">
        <v>1</v>
      </c>
      <c r="F551">
        <v>1</v>
      </c>
      <c r="G551">
        <v>1</v>
      </c>
      <c r="H551">
        <v>2</v>
      </c>
      <c r="I551" t="s">
        <v>1211</v>
      </c>
      <c r="J551" t="s">
        <v>1212</v>
      </c>
      <c r="K551" t="s">
        <v>1213</v>
      </c>
      <c r="L551">
        <v>1368</v>
      </c>
      <c r="N551">
        <v>1011</v>
      </c>
      <c r="O551" t="s">
        <v>1078</v>
      </c>
      <c r="P551" t="s">
        <v>1078</v>
      </c>
      <c r="Q551">
        <v>1</v>
      </c>
      <c r="X551">
        <v>0.11</v>
      </c>
      <c r="Y551">
        <v>0</v>
      </c>
      <c r="Z551">
        <v>111.99</v>
      </c>
      <c r="AA551">
        <v>13.5</v>
      </c>
      <c r="AB551">
        <v>0</v>
      </c>
      <c r="AC551">
        <v>0</v>
      </c>
      <c r="AD551">
        <v>1</v>
      </c>
      <c r="AE551">
        <v>0</v>
      </c>
      <c r="AF551" t="s">
        <v>6</v>
      </c>
      <c r="AG551">
        <v>0.11</v>
      </c>
      <c r="AH551">
        <v>2</v>
      </c>
      <c r="AI551">
        <v>16751432</v>
      </c>
      <c r="AJ551">
        <v>599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</row>
    <row r="552" spans="1:44" x14ac:dyDescent="0.2">
      <c r="A552">
        <f>ROW(Source!A385)</f>
        <v>385</v>
      </c>
      <c r="B552">
        <v>16751444</v>
      </c>
      <c r="C552">
        <v>16751429</v>
      </c>
      <c r="D552">
        <v>15249073</v>
      </c>
      <c r="E552">
        <v>1</v>
      </c>
      <c r="F552">
        <v>1</v>
      </c>
      <c r="G552">
        <v>1</v>
      </c>
      <c r="H552">
        <v>2</v>
      </c>
      <c r="I552" t="s">
        <v>1097</v>
      </c>
      <c r="J552" t="s">
        <v>1098</v>
      </c>
      <c r="K552" t="s">
        <v>1099</v>
      </c>
      <c r="L552">
        <v>1368</v>
      </c>
      <c r="N552">
        <v>1011</v>
      </c>
      <c r="O552" t="s">
        <v>1078</v>
      </c>
      <c r="P552" t="s">
        <v>1078</v>
      </c>
      <c r="Q552">
        <v>1</v>
      </c>
      <c r="X552">
        <v>0.11</v>
      </c>
      <c r="Y552">
        <v>0</v>
      </c>
      <c r="Z552">
        <v>65.709999999999994</v>
      </c>
      <c r="AA552">
        <v>11.6</v>
      </c>
      <c r="AB552">
        <v>0</v>
      </c>
      <c r="AC552">
        <v>0</v>
      </c>
      <c r="AD552">
        <v>1</v>
      </c>
      <c r="AE552">
        <v>0</v>
      </c>
      <c r="AF552" t="s">
        <v>6</v>
      </c>
      <c r="AG552">
        <v>0.11</v>
      </c>
      <c r="AH552">
        <v>2</v>
      </c>
      <c r="AI552">
        <v>16751433</v>
      </c>
      <c r="AJ552">
        <v>600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</row>
    <row r="553" spans="1:44" x14ac:dyDescent="0.2">
      <c r="A553">
        <f>ROW(Source!A385)</f>
        <v>385</v>
      </c>
      <c r="B553">
        <v>16751445</v>
      </c>
      <c r="C553">
        <v>16751429</v>
      </c>
      <c r="D553">
        <v>15172838</v>
      </c>
      <c r="E553">
        <v>1</v>
      </c>
      <c r="F553">
        <v>1</v>
      </c>
      <c r="G553">
        <v>1</v>
      </c>
      <c r="H553">
        <v>3</v>
      </c>
      <c r="I553" t="s">
        <v>1422</v>
      </c>
      <c r="J553" t="s">
        <v>1423</v>
      </c>
      <c r="K553" t="s">
        <v>1424</v>
      </c>
      <c r="L553">
        <v>1339</v>
      </c>
      <c r="N553">
        <v>1007</v>
      </c>
      <c r="O553" t="s">
        <v>283</v>
      </c>
      <c r="P553" t="s">
        <v>283</v>
      </c>
      <c r="Q553">
        <v>1</v>
      </c>
      <c r="X553">
        <v>2.1000000000000001E-2</v>
      </c>
      <c r="Y553">
        <v>600</v>
      </c>
      <c r="Z553">
        <v>0</v>
      </c>
      <c r="AA553">
        <v>0</v>
      </c>
      <c r="AB553">
        <v>0</v>
      </c>
      <c r="AC553">
        <v>0</v>
      </c>
      <c r="AD553">
        <v>1</v>
      </c>
      <c r="AE553">
        <v>0</v>
      </c>
      <c r="AF553" t="s">
        <v>6</v>
      </c>
      <c r="AG553">
        <v>2.1000000000000001E-2</v>
      </c>
      <c r="AH553">
        <v>2</v>
      </c>
      <c r="AI553">
        <v>16751434</v>
      </c>
      <c r="AJ553">
        <v>601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</row>
    <row r="554" spans="1:44" x14ac:dyDescent="0.2">
      <c r="A554">
        <f>ROW(Source!A385)</f>
        <v>385</v>
      </c>
      <c r="B554">
        <v>16751446</v>
      </c>
      <c r="C554">
        <v>16751429</v>
      </c>
      <c r="D554">
        <v>15202442</v>
      </c>
      <c r="E554">
        <v>1</v>
      </c>
      <c r="F554">
        <v>1</v>
      </c>
      <c r="G554">
        <v>1</v>
      </c>
      <c r="H554">
        <v>3</v>
      </c>
      <c r="I554" t="s">
        <v>1425</v>
      </c>
      <c r="J554" t="s">
        <v>1426</v>
      </c>
      <c r="K554" t="s">
        <v>1427</v>
      </c>
      <c r="L554">
        <v>1346</v>
      </c>
      <c r="N554">
        <v>1009</v>
      </c>
      <c r="O554" t="s">
        <v>323</v>
      </c>
      <c r="P554" t="s">
        <v>323</v>
      </c>
      <c r="Q554">
        <v>1</v>
      </c>
      <c r="X554">
        <v>0.4</v>
      </c>
      <c r="Y554">
        <v>25.8</v>
      </c>
      <c r="Z554">
        <v>0</v>
      </c>
      <c r="AA554">
        <v>0</v>
      </c>
      <c r="AB554">
        <v>0</v>
      </c>
      <c r="AC554">
        <v>0</v>
      </c>
      <c r="AD554">
        <v>1</v>
      </c>
      <c r="AE554">
        <v>0</v>
      </c>
      <c r="AF554" t="s">
        <v>6</v>
      </c>
      <c r="AG554">
        <v>0.4</v>
      </c>
      <c r="AH554">
        <v>2</v>
      </c>
      <c r="AI554">
        <v>16751435</v>
      </c>
      <c r="AJ554">
        <v>602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</row>
    <row r="555" spans="1:44" x14ac:dyDescent="0.2">
      <c r="A555">
        <f>ROW(Source!A385)</f>
        <v>385</v>
      </c>
      <c r="B555">
        <v>16751447</v>
      </c>
      <c r="C555">
        <v>16751429</v>
      </c>
      <c r="D555">
        <v>15217585</v>
      </c>
      <c r="E555">
        <v>1</v>
      </c>
      <c r="F555">
        <v>1</v>
      </c>
      <c r="G555">
        <v>1</v>
      </c>
      <c r="H555">
        <v>3</v>
      </c>
      <c r="I555" t="s">
        <v>1428</v>
      </c>
      <c r="J555" t="s">
        <v>1429</v>
      </c>
      <c r="K555" t="s">
        <v>1430</v>
      </c>
      <c r="L555">
        <v>1356</v>
      </c>
      <c r="N555">
        <v>1010</v>
      </c>
      <c r="O555" t="s">
        <v>288</v>
      </c>
      <c r="P555" t="s">
        <v>288</v>
      </c>
      <c r="Q555">
        <v>1000</v>
      </c>
      <c r="X555">
        <v>3.2000000000000001E-2</v>
      </c>
      <c r="Y555">
        <v>270</v>
      </c>
      <c r="Z555">
        <v>0</v>
      </c>
      <c r="AA555">
        <v>0</v>
      </c>
      <c r="AB555">
        <v>0</v>
      </c>
      <c r="AC555">
        <v>0</v>
      </c>
      <c r="AD555">
        <v>1</v>
      </c>
      <c r="AE555">
        <v>0</v>
      </c>
      <c r="AF555" t="s">
        <v>6</v>
      </c>
      <c r="AG555">
        <v>3.2000000000000001E-2</v>
      </c>
      <c r="AH555">
        <v>2</v>
      </c>
      <c r="AI555">
        <v>16751436</v>
      </c>
      <c r="AJ555">
        <v>603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</row>
    <row r="556" spans="1:44" x14ac:dyDescent="0.2">
      <c r="A556">
        <f>ROW(Source!A385)</f>
        <v>385</v>
      </c>
      <c r="B556">
        <v>16751448</v>
      </c>
      <c r="C556">
        <v>16751429</v>
      </c>
      <c r="D556">
        <v>15217593</v>
      </c>
      <c r="E556">
        <v>1</v>
      </c>
      <c r="F556">
        <v>1</v>
      </c>
      <c r="G556">
        <v>1</v>
      </c>
      <c r="H556">
        <v>3</v>
      </c>
      <c r="I556" t="s">
        <v>1431</v>
      </c>
      <c r="J556" t="s">
        <v>1432</v>
      </c>
      <c r="K556" t="s">
        <v>1433</v>
      </c>
      <c r="L556">
        <v>1358</v>
      </c>
      <c r="N556">
        <v>1010</v>
      </c>
      <c r="O556" t="s">
        <v>615</v>
      </c>
      <c r="P556" t="s">
        <v>615</v>
      </c>
      <c r="Q556">
        <v>10</v>
      </c>
      <c r="X556">
        <v>1</v>
      </c>
      <c r="Y556">
        <v>19.899999999999999</v>
      </c>
      <c r="Z556">
        <v>0</v>
      </c>
      <c r="AA556">
        <v>0</v>
      </c>
      <c r="AB556">
        <v>0</v>
      </c>
      <c r="AC556">
        <v>0</v>
      </c>
      <c r="AD556">
        <v>1</v>
      </c>
      <c r="AE556">
        <v>0</v>
      </c>
      <c r="AF556" t="s">
        <v>6</v>
      </c>
      <c r="AG556">
        <v>1</v>
      </c>
      <c r="AH556">
        <v>2</v>
      </c>
      <c r="AI556">
        <v>16751437</v>
      </c>
      <c r="AJ556">
        <v>604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0</v>
      </c>
    </row>
    <row r="557" spans="1:44" x14ac:dyDescent="0.2">
      <c r="A557">
        <f>ROW(Source!A385)</f>
        <v>385</v>
      </c>
      <c r="B557">
        <v>16751449</v>
      </c>
      <c r="C557">
        <v>16751429</v>
      </c>
      <c r="D557">
        <v>15218939</v>
      </c>
      <c r="E557">
        <v>1</v>
      </c>
      <c r="F557">
        <v>1</v>
      </c>
      <c r="G557">
        <v>1</v>
      </c>
      <c r="H557">
        <v>3</v>
      </c>
      <c r="I557" t="s">
        <v>1434</v>
      </c>
      <c r="J557" t="s">
        <v>1435</v>
      </c>
      <c r="K557" t="s">
        <v>1436</v>
      </c>
      <c r="L557">
        <v>1354</v>
      </c>
      <c r="N557">
        <v>1010</v>
      </c>
      <c r="O557" t="s">
        <v>53</v>
      </c>
      <c r="P557" t="s">
        <v>53</v>
      </c>
      <c r="Q557">
        <v>1</v>
      </c>
      <c r="X557">
        <v>0.5</v>
      </c>
      <c r="Y557">
        <v>66.819999999999993</v>
      </c>
      <c r="Z557">
        <v>0</v>
      </c>
      <c r="AA557">
        <v>0</v>
      </c>
      <c r="AB557">
        <v>0</v>
      </c>
      <c r="AC557">
        <v>0</v>
      </c>
      <c r="AD557">
        <v>1</v>
      </c>
      <c r="AE557">
        <v>0</v>
      </c>
      <c r="AF557" t="s">
        <v>6</v>
      </c>
      <c r="AG557">
        <v>0.5</v>
      </c>
      <c r="AH557">
        <v>2</v>
      </c>
      <c r="AI557">
        <v>16751438</v>
      </c>
      <c r="AJ557">
        <v>605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</row>
    <row r="558" spans="1:44" x14ac:dyDescent="0.2">
      <c r="A558">
        <f>ROW(Source!A385)</f>
        <v>385</v>
      </c>
      <c r="B558">
        <v>16751450</v>
      </c>
      <c r="C558">
        <v>16751429</v>
      </c>
      <c r="D558">
        <v>15164559</v>
      </c>
      <c r="E558">
        <v>17</v>
      </c>
      <c r="F558">
        <v>1</v>
      </c>
      <c r="G558">
        <v>1</v>
      </c>
      <c r="H558">
        <v>3</v>
      </c>
      <c r="I558" t="s">
        <v>1383</v>
      </c>
      <c r="J558" t="s">
        <v>6</v>
      </c>
      <c r="K558" t="s">
        <v>1384</v>
      </c>
      <c r="L558">
        <v>1374</v>
      </c>
      <c r="N558">
        <v>1013</v>
      </c>
      <c r="O558" t="s">
        <v>1385</v>
      </c>
      <c r="P558" t="s">
        <v>1385</v>
      </c>
      <c r="Q558">
        <v>1</v>
      </c>
      <c r="X558">
        <v>2.87</v>
      </c>
      <c r="Y558">
        <v>1</v>
      </c>
      <c r="Z558">
        <v>0</v>
      </c>
      <c r="AA558">
        <v>0</v>
      </c>
      <c r="AB558">
        <v>0</v>
      </c>
      <c r="AC558">
        <v>0</v>
      </c>
      <c r="AD558">
        <v>1</v>
      </c>
      <c r="AE558">
        <v>0</v>
      </c>
      <c r="AF558" t="s">
        <v>6</v>
      </c>
      <c r="AG558">
        <v>2.87</v>
      </c>
      <c r="AH558">
        <v>2</v>
      </c>
      <c r="AI558">
        <v>16751440</v>
      </c>
      <c r="AJ558">
        <v>607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</row>
    <row r="559" spans="1:44" x14ac:dyDescent="0.2">
      <c r="A559">
        <f>ROW(Source!A387)</f>
        <v>387</v>
      </c>
      <c r="B559">
        <v>16751460</v>
      </c>
      <c r="C559">
        <v>16751452</v>
      </c>
      <c r="D559">
        <v>15436556</v>
      </c>
      <c r="E559">
        <v>1</v>
      </c>
      <c r="F559">
        <v>1</v>
      </c>
      <c r="G559">
        <v>1</v>
      </c>
      <c r="H559">
        <v>1</v>
      </c>
      <c r="I559" t="s">
        <v>1265</v>
      </c>
      <c r="J559" t="s">
        <v>6</v>
      </c>
      <c r="K559" t="s">
        <v>1266</v>
      </c>
      <c r="L559">
        <v>1191</v>
      </c>
      <c r="N559">
        <v>1013</v>
      </c>
      <c r="O559" t="s">
        <v>1072</v>
      </c>
      <c r="P559" t="s">
        <v>1072</v>
      </c>
      <c r="Q559">
        <v>1</v>
      </c>
      <c r="X559">
        <v>1.68</v>
      </c>
      <c r="Y559">
        <v>0</v>
      </c>
      <c r="Z559">
        <v>0</v>
      </c>
      <c r="AA559">
        <v>0</v>
      </c>
      <c r="AB559">
        <v>9.6199999999999992</v>
      </c>
      <c r="AC559">
        <v>0</v>
      </c>
      <c r="AD559">
        <v>1</v>
      </c>
      <c r="AE559">
        <v>1</v>
      </c>
      <c r="AF559" t="s">
        <v>6</v>
      </c>
      <c r="AG559">
        <v>1.68</v>
      </c>
      <c r="AH559">
        <v>2</v>
      </c>
      <c r="AI559">
        <v>16751453</v>
      </c>
      <c r="AJ559">
        <v>608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0</v>
      </c>
    </row>
    <row r="560" spans="1:44" x14ac:dyDescent="0.2">
      <c r="A560">
        <f>ROW(Source!A387)</f>
        <v>387</v>
      </c>
      <c r="B560">
        <v>16751461</v>
      </c>
      <c r="C560">
        <v>16751452</v>
      </c>
      <c r="D560">
        <v>15165524</v>
      </c>
      <c r="E560">
        <v>1</v>
      </c>
      <c r="F560">
        <v>1</v>
      </c>
      <c r="G560">
        <v>1</v>
      </c>
      <c r="H560">
        <v>3</v>
      </c>
      <c r="I560" t="s">
        <v>1497</v>
      </c>
      <c r="J560" t="s">
        <v>1498</v>
      </c>
      <c r="K560" t="s">
        <v>1499</v>
      </c>
      <c r="L560">
        <v>1348</v>
      </c>
      <c r="N560">
        <v>1009</v>
      </c>
      <c r="O560" t="s">
        <v>71</v>
      </c>
      <c r="P560" t="s">
        <v>71</v>
      </c>
      <c r="Q560">
        <v>1000</v>
      </c>
      <c r="X560">
        <v>8.0000000000000004E-4</v>
      </c>
      <c r="Y560">
        <v>4488.3999999999996</v>
      </c>
      <c r="Z560">
        <v>0</v>
      </c>
      <c r="AA560">
        <v>0</v>
      </c>
      <c r="AB560">
        <v>0</v>
      </c>
      <c r="AC560">
        <v>0</v>
      </c>
      <c r="AD560">
        <v>1</v>
      </c>
      <c r="AE560">
        <v>0</v>
      </c>
      <c r="AF560" t="s">
        <v>6</v>
      </c>
      <c r="AG560">
        <v>8.0000000000000004E-4</v>
      </c>
      <c r="AH560">
        <v>2</v>
      </c>
      <c r="AI560">
        <v>16751454</v>
      </c>
      <c r="AJ560">
        <v>609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</row>
    <row r="561" spans="1:44" x14ac:dyDescent="0.2">
      <c r="A561">
        <f>ROW(Source!A387)</f>
        <v>387</v>
      </c>
      <c r="B561">
        <v>16751462</v>
      </c>
      <c r="C561">
        <v>16751452</v>
      </c>
      <c r="D561">
        <v>15165560</v>
      </c>
      <c r="E561">
        <v>1</v>
      </c>
      <c r="F561">
        <v>1</v>
      </c>
      <c r="G561">
        <v>1</v>
      </c>
      <c r="H561">
        <v>3</v>
      </c>
      <c r="I561" t="s">
        <v>1500</v>
      </c>
      <c r="J561" t="s">
        <v>1501</v>
      </c>
      <c r="K561" t="s">
        <v>1502</v>
      </c>
      <c r="L561">
        <v>1348</v>
      </c>
      <c r="N561">
        <v>1009</v>
      </c>
      <c r="O561" t="s">
        <v>71</v>
      </c>
      <c r="P561" t="s">
        <v>71</v>
      </c>
      <c r="Q561">
        <v>1000</v>
      </c>
      <c r="X561">
        <v>1.0000000000000001E-5</v>
      </c>
      <c r="Y561">
        <v>8105.71</v>
      </c>
      <c r="Z561">
        <v>0</v>
      </c>
      <c r="AA561">
        <v>0</v>
      </c>
      <c r="AB561">
        <v>0</v>
      </c>
      <c r="AC561">
        <v>0</v>
      </c>
      <c r="AD561">
        <v>1</v>
      </c>
      <c r="AE561">
        <v>0</v>
      </c>
      <c r="AF561" t="s">
        <v>6</v>
      </c>
      <c r="AG561">
        <v>1.0000000000000001E-5</v>
      </c>
      <c r="AH561">
        <v>2</v>
      </c>
      <c r="AI561">
        <v>16751455</v>
      </c>
      <c r="AJ561">
        <v>610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</row>
    <row r="562" spans="1:44" x14ac:dyDescent="0.2">
      <c r="A562">
        <f>ROW(Source!A387)</f>
        <v>387</v>
      </c>
      <c r="B562">
        <v>16751463</v>
      </c>
      <c r="C562">
        <v>16751452</v>
      </c>
      <c r="D562">
        <v>15165660</v>
      </c>
      <c r="E562">
        <v>1</v>
      </c>
      <c r="F562">
        <v>1</v>
      </c>
      <c r="G562">
        <v>1</v>
      </c>
      <c r="H562">
        <v>3</v>
      </c>
      <c r="I562" t="s">
        <v>1503</v>
      </c>
      <c r="J562" t="s">
        <v>1504</v>
      </c>
      <c r="K562" t="s">
        <v>1505</v>
      </c>
      <c r="L562">
        <v>1346</v>
      </c>
      <c r="N562">
        <v>1009</v>
      </c>
      <c r="O562" t="s">
        <v>323</v>
      </c>
      <c r="P562" t="s">
        <v>323</v>
      </c>
      <c r="Q562">
        <v>1</v>
      </c>
      <c r="X562">
        <v>0.15</v>
      </c>
      <c r="Y562">
        <v>6.09</v>
      </c>
      <c r="Z562">
        <v>0</v>
      </c>
      <c r="AA562">
        <v>0</v>
      </c>
      <c r="AB562">
        <v>0</v>
      </c>
      <c r="AC562">
        <v>0</v>
      </c>
      <c r="AD562">
        <v>1</v>
      </c>
      <c r="AE562">
        <v>0</v>
      </c>
      <c r="AF562" t="s">
        <v>6</v>
      </c>
      <c r="AG562">
        <v>0.15</v>
      </c>
      <c r="AH562">
        <v>2</v>
      </c>
      <c r="AI562">
        <v>16751456</v>
      </c>
      <c r="AJ562">
        <v>611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</row>
    <row r="563" spans="1:44" x14ac:dyDescent="0.2">
      <c r="A563">
        <f>ROW(Source!A387)</f>
        <v>387</v>
      </c>
      <c r="B563">
        <v>16751464</v>
      </c>
      <c r="C563">
        <v>16751452</v>
      </c>
      <c r="D563">
        <v>15167600</v>
      </c>
      <c r="E563">
        <v>1</v>
      </c>
      <c r="F563">
        <v>1</v>
      </c>
      <c r="G563">
        <v>1</v>
      </c>
      <c r="H563">
        <v>3</v>
      </c>
      <c r="I563" t="s">
        <v>1476</v>
      </c>
      <c r="J563" t="s">
        <v>1477</v>
      </c>
      <c r="K563" t="s">
        <v>1478</v>
      </c>
      <c r="L563">
        <v>1308</v>
      </c>
      <c r="N563">
        <v>1003</v>
      </c>
      <c r="O563" t="s">
        <v>34</v>
      </c>
      <c r="P563" t="s">
        <v>34</v>
      </c>
      <c r="Q563">
        <v>100</v>
      </c>
      <c r="X563">
        <v>2.3999999999999998E-3</v>
      </c>
      <c r="Y563">
        <v>120</v>
      </c>
      <c r="Z563">
        <v>0</v>
      </c>
      <c r="AA563">
        <v>0</v>
      </c>
      <c r="AB563">
        <v>0</v>
      </c>
      <c r="AC563">
        <v>0</v>
      </c>
      <c r="AD563">
        <v>1</v>
      </c>
      <c r="AE563">
        <v>0</v>
      </c>
      <c r="AF563" t="s">
        <v>6</v>
      </c>
      <c r="AG563">
        <v>2.3999999999999998E-3</v>
      </c>
      <c r="AH563">
        <v>2</v>
      </c>
      <c r="AI563">
        <v>16751457</v>
      </c>
      <c r="AJ563">
        <v>612</v>
      </c>
      <c r="AK563">
        <v>0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0</v>
      </c>
    </row>
    <row r="564" spans="1:44" x14ac:dyDescent="0.2">
      <c r="A564">
        <f>ROW(Source!A387)</f>
        <v>387</v>
      </c>
      <c r="B564">
        <v>16751465</v>
      </c>
      <c r="C564">
        <v>16751452</v>
      </c>
      <c r="D564">
        <v>15164559</v>
      </c>
      <c r="E564">
        <v>17</v>
      </c>
      <c r="F564">
        <v>1</v>
      </c>
      <c r="G564">
        <v>1</v>
      </c>
      <c r="H564">
        <v>3</v>
      </c>
      <c r="I564" t="s">
        <v>1383</v>
      </c>
      <c r="J564" t="s">
        <v>6</v>
      </c>
      <c r="K564" t="s">
        <v>1384</v>
      </c>
      <c r="L564">
        <v>1374</v>
      </c>
      <c r="N564">
        <v>1013</v>
      </c>
      <c r="O564" t="s">
        <v>1385</v>
      </c>
      <c r="P564" t="s">
        <v>1385</v>
      </c>
      <c r="Q564">
        <v>1</v>
      </c>
      <c r="X564">
        <v>0.32</v>
      </c>
      <c r="Y564">
        <v>1</v>
      </c>
      <c r="Z564">
        <v>0</v>
      </c>
      <c r="AA564">
        <v>0</v>
      </c>
      <c r="AB564">
        <v>0</v>
      </c>
      <c r="AC564">
        <v>0</v>
      </c>
      <c r="AD564">
        <v>1</v>
      </c>
      <c r="AE564">
        <v>0</v>
      </c>
      <c r="AF564" t="s">
        <v>6</v>
      </c>
      <c r="AG564">
        <v>0.32</v>
      </c>
      <c r="AH564">
        <v>2</v>
      </c>
      <c r="AI564">
        <v>16751458</v>
      </c>
      <c r="AJ564">
        <v>614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0</v>
      </c>
      <c r="AR564">
        <v>0</v>
      </c>
    </row>
    <row r="565" spans="1:44" x14ac:dyDescent="0.2">
      <c r="A565">
        <f>ROW(Source!A452)</f>
        <v>452</v>
      </c>
      <c r="B565">
        <v>16751470</v>
      </c>
      <c r="C565">
        <v>16751467</v>
      </c>
      <c r="D565">
        <v>15885198</v>
      </c>
      <c r="E565">
        <v>1</v>
      </c>
      <c r="F565">
        <v>1</v>
      </c>
      <c r="G565">
        <v>1</v>
      </c>
      <c r="H565">
        <v>1</v>
      </c>
      <c r="I565" t="s">
        <v>1506</v>
      </c>
      <c r="J565" t="s">
        <v>6</v>
      </c>
      <c r="K565" t="s">
        <v>1507</v>
      </c>
      <c r="L565">
        <v>1191</v>
      </c>
      <c r="N565">
        <v>1013</v>
      </c>
      <c r="O565" t="s">
        <v>1072</v>
      </c>
      <c r="P565" t="s">
        <v>1072</v>
      </c>
      <c r="Q565">
        <v>1</v>
      </c>
      <c r="X565">
        <v>0.16</v>
      </c>
      <c r="Y565">
        <v>0</v>
      </c>
      <c r="Z565">
        <v>0</v>
      </c>
      <c r="AA565">
        <v>0</v>
      </c>
      <c r="AB565">
        <v>12.92</v>
      </c>
      <c r="AC565">
        <v>0</v>
      </c>
      <c r="AD565">
        <v>1</v>
      </c>
      <c r="AE565">
        <v>1</v>
      </c>
      <c r="AF565" t="s">
        <v>829</v>
      </c>
      <c r="AG565">
        <v>0.128</v>
      </c>
      <c r="AH565">
        <v>2</v>
      </c>
      <c r="AI565">
        <v>16751468</v>
      </c>
      <c r="AJ565">
        <v>615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</row>
    <row r="566" spans="1:44" x14ac:dyDescent="0.2">
      <c r="A566">
        <f>ROW(Source!A452)</f>
        <v>452</v>
      </c>
      <c r="B566">
        <v>16751471</v>
      </c>
      <c r="C566">
        <v>16751467</v>
      </c>
      <c r="D566">
        <v>15884235</v>
      </c>
      <c r="E566">
        <v>1</v>
      </c>
      <c r="F566">
        <v>1</v>
      </c>
      <c r="G566">
        <v>1</v>
      </c>
      <c r="H566">
        <v>1</v>
      </c>
      <c r="I566" t="s">
        <v>1508</v>
      </c>
      <c r="J566" t="s">
        <v>6</v>
      </c>
      <c r="K566" t="s">
        <v>1509</v>
      </c>
      <c r="L566">
        <v>1191</v>
      </c>
      <c r="N566">
        <v>1013</v>
      </c>
      <c r="O566" t="s">
        <v>1072</v>
      </c>
      <c r="P566" t="s">
        <v>1072</v>
      </c>
      <c r="Q566">
        <v>1</v>
      </c>
      <c r="X566">
        <v>0.16</v>
      </c>
      <c r="Y566">
        <v>0</v>
      </c>
      <c r="Z566">
        <v>0</v>
      </c>
      <c r="AA566">
        <v>0</v>
      </c>
      <c r="AB566">
        <v>12.69</v>
      </c>
      <c r="AC566">
        <v>0</v>
      </c>
      <c r="AD566">
        <v>1</v>
      </c>
      <c r="AE566">
        <v>1</v>
      </c>
      <c r="AF566" t="s">
        <v>829</v>
      </c>
      <c r="AG566">
        <v>0.128</v>
      </c>
      <c r="AH566">
        <v>2</v>
      </c>
      <c r="AI566">
        <v>16751469</v>
      </c>
      <c r="AJ566">
        <v>616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0</v>
      </c>
    </row>
    <row r="567" spans="1:44" x14ac:dyDescent="0.2">
      <c r="A567">
        <f>ROW(Source!A453)</f>
        <v>453</v>
      </c>
      <c r="B567">
        <v>16751475</v>
      </c>
      <c r="C567">
        <v>16751472</v>
      </c>
      <c r="D567">
        <v>15885198</v>
      </c>
      <c r="E567">
        <v>1</v>
      </c>
      <c r="F567">
        <v>1</v>
      </c>
      <c r="G567">
        <v>1</v>
      </c>
      <c r="H567">
        <v>1</v>
      </c>
      <c r="I567" t="s">
        <v>1506</v>
      </c>
      <c r="J567" t="s">
        <v>6</v>
      </c>
      <c r="K567" t="s">
        <v>1507</v>
      </c>
      <c r="L567">
        <v>1191</v>
      </c>
      <c r="N567">
        <v>1013</v>
      </c>
      <c r="O567" t="s">
        <v>1072</v>
      </c>
      <c r="P567" t="s">
        <v>1072</v>
      </c>
      <c r="Q567">
        <v>1</v>
      </c>
      <c r="X567">
        <v>0.61</v>
      </c>
      <c r="Y567">
        <v>0</v>
      </c>
      <c r="Z567">
        <v>0</v>
      </c>
      <c r="AA567">
        <v>0</v>
      </c>
      <c r="AB567">
        <v>12.92</v>
      </c>
      <c r="AC567">
        <v>0</v>
      </c>
      <c r="AD567">
        <v>1</v>
      </c>
      <c r="AE567">
        <v>1</v>
      </c>
      <c r="AF567" t="s">
        <v>829</v>
      </c>
      <c r="AG567">
        <v>0.48799999999999999</v>
      </c>
      <c r="AH567">
        <v>2</v>
      </c>
      <c r="AI567">
        <v>16751473</v>
      </c>
      <c r="AJ567">
        <v>617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0</v>
      </c>
    </row>
    <row r="568" spans="1:44" x14ac:dyDescent="0.2">
      <c r="A568">
        <f>ROW(Source!A453)</f>
        <v>453</v>
      </c>
      <c r="B568">
        <v>16751476</v>
      </c>
      <c r="C568">
        <v>16751472</v>
      </c>
      <c r="D568">
        <v>15884235</v>
      </c>
      <c r="E568">
        <v>1</v>
      </c>
      <c r="F568">
        <v>1</v>
      </c>
      <c r="G568">
        <v>1</v>
      </c>
      <c r="H568">
        <v>1</v>
      </c>
      <c r="I568" t="s">
        <v>1508</v>
      </c>
      <c r="J568" t="s">
        <v>6</v>
      </c>
      <c r="K568" t="s">
        <v>1509</v>
      </c>
      <c r="L568">
        <v>1191</v>
      </c>
      <c r="N568">
        <v>1013</v>
      </c>
      <c r="O568" t="s">
        <v>1072</v>
      </c>
      <c r="P568" t="s">
        <v>1072</v>
      </c>
      <c r="Q568">
        <v>1</v>
      </c>
      <c r="X568">
        <v>0.61</v>
      </c>
      <c r="Y568">
        <v>0</v>
      </c>
      <c r="Z568">
        <v>0</v>
      </c>
      <c r="AA568">
        <v>0</v>
      </c>
      <c r="AB568">
        <v>12.69</v>
      </c>
      <c r="AC568">
        <v>0</v>
      </c>
      <c r="AD568">
        <v>1</v>
      </c>
      <c r="AE568">
        <v>1</v>
      </c>
      <c r="AF568" t="s">
        <v>829</v>
      </c>
      <c r="AG568">
        <v>0.48799999999999999</v>
      </c>
      <c r="AH568">
        <v>2</v>
      </c>
      <c r="AI568">
        <v>16751474</v>
      </c>
      <c r="AJ568">
        <v>618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</row>
    <row r="569" spans="1:44" x14ac:dyDescent="0.2">
      <c r="A569">
        <f>ROW(Source!A454)</f>
        <v>454</v>
      </c>
      <c r="B569">
        <v>16751480</v>
      </c>
      <c r="C569">
        <v>16751477</v>
      </c>
      <c r="D569">
        <v>15885198</v>
      </c>
      <c r="E569">
        <v>1</v>
      </c>
      <c r="F569">
        <v>1</v>
      </c>
      <c r="G569">
        <v>1</v>
      </c>
      <c r="H569">
        <v>1</v>
      </c>
      <c r="I569" t="s">
        <v>1506</v>
      </c>
      <c r="J569" t="s">
        <v>6</v>
      </c>
      <c r="K569" t="s">
        <v>1507</v>
      </c>
      <c r="L569">
        <v>1191</v>
      </c>
      <c r="N569">
        <v>1013</v>
      </c>
      <c r="O569" t="s">
        <v>1072</v>
      </c>
      <c r="P569" t="s">
        <v>1072</v>
      </c>
      <c r="Q569">
        <v>1</v>
      </c>
      <c r="X569">
        <v>6.48</v>
      </c>
      <c r="Y569">
        <v>0</v>
      </c>
      <c r="Z569">
        <v>0</v>
      </c>
      <c r="AA569">
        <v>0</v>
      </c>
      <c r="AB569">
        <v>12.92</v>
      </c>
      <c r="AC569">
        <v>0</v>
      </c>
      <c r="AD569">
        <v>1</v>
      </c>
      <c r="AE569">
        <v>1</v>
      </c>
      <c r="AF569" t="s">
        <v>829</v>
      </c>
      <c r="AG569">
        <v>5.1840000000000011</v>
      </c>
      <c r="AH569">
        <v>2</v>
      </c>
      <c r="AI569">
        <v>16751478</v>
      </c>
      <c r="AJ569">
        <v>619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</row>
    <row r="570" spans="1:44" x14ac:dyDescent="0.2">
      <c r="A570">
        <f>ROW(Source!A454)</f>
        <v>454</v>
      </c>
      <c r="B570">
        <v>16751481</v>
      </c>
      <c r="C570">
        <v>16751477</v>
      </c>
      <c r="D570">
        <v>15884235</v>
      </c>
      <c r="E570">
        <v>1</v>
      </c>
      <c r="F570">
        <v>1</v>
      </c>
      <c r="G570">
        <v>1</v>
      </c>
      <c r="H570">
        <v>1</v>
      </c>
      <c r="I570" t="s">
        <v>1508</v>
      </c>
      <c r="J570" t="s">
        <v>6</v>
      </c>
      <c r="K570" t="s">
        <v>1509</v>
      </c>
      <c r="L570">
        <v>1191</v>
      </c>
      <c r="N570">
        <v>1013</v>
      </c>
      <c r="O570" t="s">
        <v>1072</v>
      </c>
      <c r="P570" t="s">
        <v>1072</v>
      </c>
      <c r="Q570">
        <v>1</v>
      </c>
      <c r="X570">
        <v>6.48</v>
      </c>
      <c r="Y570">
        <v>0</v>
      </c>
      <c r="Z570">
        <v>0</v>
      </c>
      <c r="AA570">
        <v>0</v>
      </c>
      <c r="AB570">
        <v>12.69</v>
      </c>
      <c r="AC570">
        <v>0</v>
      </c>
      <c r="AD570">
        <v>1</v>
      </c>
      <c r="AE570">
        <v>1</v>
      </c>
      <c r="AF570" t="s">
        <v>829</v>
      </c>
      <c r="AG570">
        <v>5.1840000000000011</v>
      </c>
      <c r="AH570">
        <v>2</v>
      </c>
      <c r="AI570">
        <v>16751479</v>
      </c>
      <c r="AJ570">
        <v>620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</row>
    <row r="571" spans="1:44" x14ac:dyDescent="0.2">
      <c r="A571">
        <f>ROW(Source!A455)</f>
        <v>455</v>
      </c>
      <c r="B571">
        <v>16751485</v>
      </c>
      <c r="C571">
        <v>16751482</v>
      </c>
      <c r="D571">
        <v>15884231</v>
      </c>
      <c r="E571">
        <v>1</v>
      </c>
      <c r="F571">
        <v>1</v>
      </c>
      <c r="G571">
        <v>1</v>
      </c>
      <c r="H571">
        <v>1</v>
      </c>
      <c r="I571" t="s">
        <v>1510</v>
      </c>
      <c r="J571" t="s">
        <v>6</v>
      </c>
      <c r="K571" t="s">
        <v>1511</v>
      </c>
      <c r="L571">
        <v>1191</v>
      </c>
      <c r="N571">
        <v>1013</v>
      </c>
      <c r="O571" t="s">
        <v>1072</v>
      </c>
      <c r="P571" t="s">
        <v>1072</v>
      </c>
      <c r="Q571">
        <v>1</v>
      </c>
      <c r="X571">
        <v>0.65</v>
      </c>
      <c r="Y571">
        <v>0</v>
      </c>
      <c r="Z571">
        <v>0</v>
      </c>
      <c r="AA571">
        <v>0</v>
      </c>
      <c r="AB571">
        <v>9.17</v>
      </c>
      <c r="AC571">
        <v>0</v>
      </c>
      <c r="AD571">
        <v>1</v>
      </c>
      <c r="AE571">
        <v>1</v>
      </c>
      <c r="AF571" t="s">
        <v>829</v>
      </c>
      <c r="AG571">
        <v>0.52</v>
      </c>
      <c r="AH571">
        <v>2</v>
      </c>
      <c r="AI571">
        <v>16751483</v>
      </c>
      <c r="AJ571">
        <v>621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</row>
    <row r="572" spans="1:44" x14ac:dyDescent="0.2">
      <c r="A572">
        <f>ROW(Source!A455)</f>
        <v>455</v>
      </c>
      <c r="B572">
        <v>16751486</v>
      </c>
      <c r="C572">
        <v>16751482</v>
      </c>
      <c r="D572">
        <v>15884285</v>
      </c>
      <c r="E572">
        <v>1</v>
      </c>
      <c r="F572">
        <v>1</v>
      </c>
      <c r="G572">
        <v>1</v>
      </c>
      <c r="H572">
        <v>1</v>
      </c>
      <c r="I572" t="s">
        <v>1512</v>
      </c>
      <c r="J572" t="s">
        <v>6</v>
      </c>
      <c r="K572" t="s">
        <v>1513</v>
      </c>
      <c r="L572">
        <v>1191</v>
      </c>
      <c r="N572">
        <v>1013</v>
      </c>
      <c r="O572" t="s">
        <v>1072</v>
      </c>
      <c r="P572" t="s">
        <v>1072</v>
      </c>
      <c r="Q572">
        <v>1</v>
      </c>
      <c r="X572">
        <v>0.97</v>
      </c>
      <c r="Y572">
        <v>0</v>
      </c>
      <c r="Z572">
        <v>0</v>
      </c>
      <c r="AA572">
        <v>0</v>
      </c>
      <c r="AB572">
        <v>14.09</v>
      </c>
      <c r="AC572">
        <v>0</v>
      </c>
      <c r="AD572">
        <v>1</v>
      </c>
      <c r="AE572">
        <v>1</v>
      </c>
      <c r="AF572" t="s">
        <v>829</v>
      </c>
      <c r="AG572">
        <v>0.77600000000000002</v>
      </c>
      <c r="AH572">
        <v>2</v>
      </c>
      <c r="AI572">
        <v>16751484</v>
      </c>
      <c r="AJ572">
        <v>622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</row>
    <row r="573" spans="1:44" x14ac:dyDescent="0.2">
      <c r="A573">
        <f>ROW(Source!A490)</f>
        <v>490</v>
      </c>
      <c r="B573">
        <v>16751495</v>
      </c>
      <c r="C573">
        <v>16751487</v>
      </c>
      <c r="D573">
        <v>15436556</v>
      </c>
      <c r="E573">
        <v>1</v>
      </c>
      <c r="F573">
        <v>1</v>
      </c>
      <c r="G573">
        <v>1</v>
      </c>
      <c r="H573">
        <v>1</v>
      </c>
      <c r="I573" t="s">
        <v>1265</v>
      </c>
      <c r="J573" t="s">
        <v>6</v>
      </c>
      <c r="K573" t="s">
        <v>1266</v>
      </c>
      <c r="L573">
        <v>1191</v>
      </c>
      <c r="N573">
        <v>1013</v>
      </c>
      <c r="O573" t="s">
        <v>1072</v>
      </c>
      <c r="P573" t="s">
        <v>1072</v>
      </c>
      <c r="Q573">
        <v>1</v>
      </c>
      <c r="X573">
        <v>1.68</v>
      </c>
      <c r="Y573">
        <v>0</v>
      </c>
      <c r="Z573">
        <v>0</v>
      </c>
      <c r="AA573">
        <v>0</v>
      </c>
      <c r="AB573">
        <v>9.6199999999999992</v>
      </c>
      <c r="AC573">
        <v>0</v>
      </c>
      <c r="AD573">
        <v>1</v>
      </c>
      <c r="AE573">
        <v>1</v>
      </c>
      <c r="AF573" t="s">
        <v>6</v>
      </c>
      <c r="AG573">
        <v>1.68</v>
      </c>
      <c r="AH573">
        <v>2</v>
      </c>
      <c r="AI573">
        <v>16751488</v>
      </c>
      <c r="AJ573">
        <v>623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</row>
    <row r="574" spans="1:44" x14ac:dyDescent="0.2">
      <c r="A574">
        <f>ROW(Source!A490)</f>
        <v>490</v>
      </c>
      <c r="B574">
        <v>16751496</v>
      </c>
      <c r="C574">
        <v>16751487</v>
      </c>
      <c r="D574">
        <v>15165918</v>
      </c>
      <c r="E574">
        <v>1</v>
      </c>
      <c r="F574">
        <v>1</v>
      </c>
      <c r="G574">
        <v>1</v>
      </c>
      <c r="H574">
        <v>3</v>
      </c>
      <c r="I574" t="s">
        <v>1514</v>
      </c>
      <c r="J574" t="s">
        <v>1515</v>
      </c>
      <c r="K574" t="s">
        <v>1516</v>
      </c>
      <c r="L574">
        <v>1346</v>
      </c>
      <c r="N574">
        <v>1009</v>
      </c>
      <c r="O574" t="s">
        <v>323</v>
      </c>
      <c r="P574" t="s">
        <v>323</v>
      </c>
      <c r="Q574">
        <v>1</v>
      </c>
      <c r="X574">
        <v>5.0000000000000001E-4</v>
      </c>
      <c r="Y574">
        <v>27.74</v>
      </c>
      <c r="Z574">
        <v>0</v>
      </c>
      <c r="AA574">
        <v>0</v>
      </c>
      <c r="AB574">
        <v>0</v>
      </c>
      <c r="AC574">
        <v>0</v>
      </c>
      <c r="AD574">
        <v>1</v>
      </c>
      <c r="AE574">
        <v>0</v>
      </c>
      <c r="AF574" t="s">
        <v>6</v>
      </c>
      <c r="AG574">
        <v>5.0000000000000001E-4</v>
      </c>
      <c r="AH574">
        <v>2</v>
      </c>
      <c r="AI574">
        <v>16751489</v>
      </c>
      <c r="AJ574">
        <v>624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</row>
    <row r="575" spans="1:44" x14ac:dyDescent="0.2">
      <c r="A575">
        <f>ROW(Source!A490)</f>
        <v>490</v>
      </c>
      <c r="B575">
        <v>16751497</v>
      </c>
      <c r="C575">
        <v>16751487</v>
      </c>
      <c r="D575">
        <v>15170072</v>
      </c>
      <c r="E575">
        <v>1</v>
      </c>
      <c r="F575">
        <v>1</v>
      </c>
      <c r="G575">
        <v>1</v>
      </c>
      <c r="H575">
        <v>3</v>
      </c>
      <c r="I575" t="s">
        <v>1517</v>
      </c>
      <c r="J575" t="s">
        <v>1518</v>
      </c>
      <c r="K575" t="s">
        <v>1519</v>
      </c>
      <c r="L575">
        <v>1355</v>
      </c>
      <c r="N575">
        <v>1010</v>
      </c>
      <c r="O575" t="s">
        <v>724</v>
      </c>
      <c r="P575" t="s">
        <v>724</v>
      </c>
      <c r="Q575">
        <v>100</v>
      </c>
      <c r="X575">
        <v>2.5000000000000001E-2</v>
      </c>
      <c r="Y575">
        <v>83</v>
      </c>
      <c r="Z575">
        <v>0</v>
      </c>
      <c r="AA575">
        <v>0</v>
      </c>
      <c r="AB575">
        <v>0</v>
      </c>
      <c r="AC575">
        <v>0</v>
      </c>
      <c r="AD575">
        <v>1</v>
      </c>
      <c r="AE575">
        <v>0</v>
      </c>
      <c r="AF575" t="s">
        <v>6</v>
      </c>
      <c r="AG575">
        <v>2.5000000000000001E-2</v>
      </c>
      <c r="AH575">
        <v>2</v>
      </c>
      <c r="AI575">
        <v>16751490</v>
      </c>
      <c r="AJ575">
        <v>625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</row>
    <row r="576" spans="1:44" x14ac:dyDescent="0.2">
      <c r="A576">
        <f>ROW(Source!A490)</f>
        <v>490</v>
      </c>
      <c r="B576">
        <v>16751498</v>
      </c>
      <c r="C576">
        <v>16751487</v>
      </c>
      <c r="D576">
        <v>15171982</v>
      </c>
      <c r="E576">
        <v>1</v>
      </c>
      <c r="F576">
        <v>1</v>
      </c>
      <c r="G576">
        <v>1</v>
      </c>
      <c r="H576">
        <v>3</v>
      </c>
      <c r="I576" t="s">
        <v>1082</v>
      </c>
      <c r="J576" t="s">
        <v>1083</v>
      </c>
      <c r="K576" t="s">
        <v>1084</v>
      </c>
      <c r="L576">
        <v>1348</v>
      </c>
      <c r="N576">
        <v>1009</v>
      </c>
      <c r="O576" t="s">
        <v>71</v>
      </c>
      <c r="P576" t="s">
        <v>71</v>
      </c>
      <c r="Q576">
        <v>1000</v>
      </c>
      <c r="X576">
        <v>1.0000000000000001E-5</v>
      </c>
      <c r="Y576">
        <v>729.98</v>
      </c>
      <c r="Z576">
        <v>0</v>
      </c>
      <c r="AA576">
        <v>0</v>
      </c>
      <c r="AB576">
        <v>0</v>
      </c>
      <c r="AC576">
        <v>0</v>
      </c>
      <c r="AD576">
        <v>1</v>
      </c>
      <c r="AE576">
        <v>0</v>
      </c>
      <c r="AF576" t="s">
        <v>6</v>
      </c>
      <c r="AG576">
        <v>1.0000000000000001E-5</v>
      </c>
      <c r="AH576">
        <v>2</v>
      </c>
      <c r="AI576">
        <v>16751491</v>
      </c>
      <c r="AJ576">
        <v>626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0</v>
      </c>
    </row>
    <row r="577" spans="1:44" x14ac:dyDescent="0.2">
      <c r="A577">
        <f>ROW(Source!A490)</f>
        <v>490</v>
      </c>
      <c r="B577">
        <v>16751499</v>
      </c>
      <c r="C577">
        <v>16751487</v>
      </c>
      <c r="D577">
        <v>15195043</v>
      </c>
      <c r="E577">
        <v>1</v>
      </c>
      <c r="F577">
        <v>1</v>
      </c>
      <c r="G577">
        <v>1</v>
      </c>
      <c r="H577">
        <v>3</v>
      </c>
      <c r="I577" t="s">
        <v>1520</v>
      </c>
      <c r="J577" t="s">
        <v>1521</v>
      </c>
      <c r="K577" t="s">
        <v>1522</v>
      </c>
      <c r="L577">
        <v>1346</v>
      </c>
      <c r="N577">
        <v>1009</v>
      </c>
      <c r="O577" t="s">
        <v>323</v>
      </c>
      <c r="P577" t="s">
        <v>323</v>
      </c>
      <c r="Q577">
        <v>1</v>
      </c>
      <c r="X577">
        <v>5.0000000000000001E-3</v>
      </c>
      <c r="Y577">
        <v>65.75</v>
      </c>
      <c r="Z577">
        <v>0</v>
      </c>
      <c r="AA577">
        <v>0</v>
      </c>
      <c r="AB577">
        <v>0</v>
      </c>
      <c r="AC577">
        <v>0</v>
      </c>
      <c r="AD577">
        <v>1</v>
      </c>
      <c r="AE577">
        <v>0</v>
      </c>
      <c r="AF577" t="s">
        <v>6</v>
      </c>
      <c r="AG577">
        <v>5.0000000000000001E-3</v>
      </c>
      <c r="AH577">
        <v>2</v>
      </c>
      <c r="AI577">
        <v>16751492</v>
      </c>
      <c r="AJ577">
        <v>627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0</v>
      </c>
    </row>
    <row r="578" spans="1:44" x14ac:dyDescent="0.2">
      <c r="A578">
        <f>ROW(Source!A490)</f>
        <v>490</v>
      </c>
      <c r="B578">
        <v>16751500</v>
      </c>
      <c r="C578">
        <v>16751487</v>
      </c>
      <c r="D578">
        <v>15164559</v>
      </c>
      <c r="E578">
        <v>17</v>
      </c>
      <c r="F578">
        <v>1</v>
      </c>
      <c r="G578">
        <v>1</v>
      </c>
      <c r="H578">
        <v>3</v>
      </c>
      <c r="I578" t="s">
        <v>1383</v>
      </c>
      <c r="J578" t="s">
        <v>6</v>
      </c>
      <c r="K578" t="s">
        <v>1384</v>
      </c>
      <c r="L578">
        <v>1374</v>
      </c>
      <c r="N578">
        <v>1013</v>
      </c>
      <c r="O578" t="s">
        <v>1385</v>
      </c>
      <c r="P578" t="s">
        <v>1385</v>
      </c>
      <c r="Q578">
        <v>1</v>
      </c>
      <c r="X578">
        <v>0.32</v>
      </c>
      <c r="Y578">
        <v>1</v>
      </c>
      <c r="Z578">
        <v>0</v>
      </c>
      <c r="AA578">
        <v>0</v>
      </c>
      <c r="AB578">
        <v>0</v>
      </c>
      <c r="AC578">
        <v>0</v>
      </c>
      <c r="AD578">
        <v>1</v>
      </c>
      <c r="AE578">
        <v>0</v>
      </c>
      <c r="AF578" t="s">
        <v>6</v>
      </c>
      <c r="AG578">
        <v>0.32</v>
      </c>
      <c r="AH578">
        <v>2</v>
      </c>
      <c r="AI578">
        <v>16751493</v>
      </c>
      <c r="AJ578">
        <v>629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0</v>
      </c>
    </row>
    <row r="579" spans="1:44" x14ac:dyDescent="0.2">
      <c r="A579">
        <f>ROW(Source!A492)</f>
        <v>492</v>
      </c>
      <c r="B579">
        <v>16751507</v>
      </c>
      <c r="C579">
        <v>16751502</v>
      </c>
      <c r="D579">
        <v>15438286</v>
      </c>
      <c r="E579">
        <v>1</v>
      </c>
      <c r="F579">
        <v>1</v>
      </c>
      <c r="G579">
        <v>1</v>
      </c>
      <c r="H579">
        <v>1</v>
      </c>
      <c r="I579" t="s">
        <v>1177</v>
      </c>
      <c r="J579" t="s">
        <v>6</v>
      </c>
      <c r="K579" t="s">
        <v>1178</v>
      </c>
      <c r="L579">
        <v>1191</v>
      </c>
      <c r="N579">
        <v>1013</v>
      </c>
      <c r="O579" t="s">
        <v>1072</v>
      </c>
      <c r="P579" t="s">
        <v>1072</v>
      </c>
      <c r="Q579">
        <v>1</v>
      </c>
      <c r="X579">
        <v>15.2</v>
      </c>
      <c r="Y579">
        <v>0</v>
      </c>
      <c r="Z579">
        <v>0</v>
      </c>
      <c r="AA579">
        <v>0</v>
      </c>
      <c r="AB579">
        <v>9.18</v>
      </c>
      <c r="AC579">
        <v>0</v>
      </c>
      <c r="AD579">
        <v>1</v>
      </c>
      <c r="AE579">
        <v>1</v>
      </c>
      <c r="AF579" t="s">
        <v>6</v>
      </c>
      <c r="AG579">
        <v>15.2</v>
      </c>
      <c r="AH579">
        <v>2</v>
      </c>
      <c r="AI579">
        <v>16751503</v>
      </c>
      <c r="AJ579">
        <v>630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0</v>
      </c>
    </row>
    <row r="580" spans="1:44" x14ac:dyDescent="0.2">
      <c r="A580">
        <f>ROW(Source!A492)</f>
        <v>492</v>
      </c>
      <c r="B580">
        <v>16751508</v>
      </c>
      <c r="C580">
        <v>16751502</v>
      </c>
      <c r="D580">
        <v>15170155</v>
      </c>
      <c r="E580">
        <v>1</v>
      </c>
      <c r="F580">
        <v>1</v>
      </c>
      <c r="G580">
        <v>1</v>
      </c>
      <c r="H580">
        <v>3</v>
      </c>
      <c r="I580" t="s">
        <v>1405</v>
      </c>
      <c r="J580" t="s">
        <v>1406</v>
      </c>
      <c r="K580" t="s">
        <v>1407</v>
      </c>
      <c r="L580">
        <v>1355</v>
      </c>
      <c r="N580">
        <v>1010</v>
      </c>
      <c r="O580" t="s">
        <v>724</v>
      </c>
      <c r="P580" t="s">
        <v>724</v>
      </c>
      <c r="Q580">
        <v>100</v>
      </c>
      <c r="X580">
        <v>1.75</v>
      </c>
      <c r="Y580">
        <v>8</v>
      </c>
      <c r="Z580">
        <v>0</v>
      </c>
      <c r="AA580">
        <v>0</v>
      </c>
      <c r="AB580">
        <v>0</v>
      </c>
      <c r="AC580">
        <v>0</v>
      </c>
      <c r="AD580">
        <v>1</v>
      </c>
      <c r="AE580">
        <v>0</v>
      </c>
      <c r="AF580" t="s">
        <v>6</v>
      </c>
      <c r="AG580">
        <v>1.75</v>
      </c>
      <c r="AH580">
        <v>2</v>
      </c>
      <c r="AI580">
        <v>16751504</v>
      </c>
      <c r="AJ580">
        <v>631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</row>
    <row r="581" spans="1:44" x14ac:dyDescent="0.2">
      <c r="A581">
        <f>ROW(Source!A492)</f>
        <v>492</v>
      </c>
      <c r="B581">
        <v>16751509</v>
      </c>
      <c r="C581">
        <v>16751502</v>
      </c>
      <c r="D581">
        <v>15164559</v>
      </c>
      <c r="E581">
        <v>17</v>
      </c>
      <c r="F581">
        <v>1</v>
      </c>
      <c r="G581">
        <v>1</v>
      </c>
      <c r="H581">
        <v>3</v>
      </c>
      <c r="I581" t="s">
        <v>1383</v>
      </c>
      <c r="J581" t="s">
        <v>6</v>
      </c>
      <c r="K581" t="s">
        <v>1384</v>
      </c>
      <c r="L581">
        <v>1374</v>
      </c>
      <c r="N581">
        <v>1013</v>
      </c>
      <c r="O581" t="s">
        <v>1385</v>
      </c>
      <c r="P581" t="s">
        <v>1385</v>
      </c>
      <c r="Q581">
        <v>1</v>
      </c>
      <c r="X581">
        <v>2.79</v>
      </c>
      <c r="Y581">
        <v>1</v>
      </c>
      <c r="Z581">
        <v>0</v>
      </c>
      <c r="AA581">
        <v>0</v>
      </c>
      <c r="AB581">
        <v>0</v>
      </c>
      <c r="AC581">
        <v>0</v>
      </c>
      <c r="AD581">
        <v>1</v>
      </c>
      <c r="AE581">
        <v>0</v>
      </c>
      <c r="AF581" t="s">
        <v>6</v>
      </c>
      <c r="AG581">
        <v>2.79</v>
      </c>
      <c r="AH581">
        <v>2</v>
      </c>
      <c r="AI581">
        <v>16751506</v>
      </c>
      <c r="AJ581">
        <v>633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0</v>
      </c>
    </row>
    <row r="582" spans="1:44" x14ac:dyDescent="0.2">
      <c r="A582">
        <f>ROW(Source!A494)</f>
        <v>494</v>
      </c>
      <c r="B582">
        <v>16751523</v>
      </c>
      <c r="C582">
        <v>16751511</v>
      </c>
      <c r="D582">
        <v>15430397</v>
      </c>
      <c r="E582">
        <v>1</v>
      </c>
      <c r="F582">
        <v>1</v>
      </c>
      <c r="G582">
        <v>1</v>
      </c>
      <c r="H582">
        <v>1</v>
      </c>
      <c r="I582" t="s">
        <v>1234</v>
      </c>
      <c r="J582" t="s">
        <v>6</v>
      </c>
      <c r="K582" t="s">
        <v>1235</v>
      </c>
      <c r="L582">
        <v>1191</v>
      </c>
      <c r="N582">
        <v>1013</v>
      </c>
      <c r="O582" t="s">
        <v>1072</v>
      </c>
      <c r="P582" t="s">
        <v>1072</v>
      </c>
      <c r="Q582">
        <v>1</v>
      </c>
      <c r="X582">
        <v>5.39</v>
      </c>
      <c r="Y582">
        <v>0</v>
      </c>
      <c r="Z582">
        <v>0</v>
      </c>
      <c r="AA582">
        <v>0</v>
      </c>
      <c r="AB582">
        <v>9.4</v>
      </c>
      <c r="AC582">
        <v>0</v>
      </c>
      <c r="AD582">
        <v>1</v>
      </c>
      <c r="AE582">
        <v>1</v>
      </c>
      <c r="AF582" t="s">
        <v>6</v>
      </c>
      <c r="AG582">
        <v>5.39</v>
      </c>
      <c r="AH582">
        <v>2</v>
      </c>
      <c r="AI582">
        <v>16751512</v>
      </c>
      <c r="AJ582">
        <v>634</v>
      </c>
      <c r="AK582">
        <v>0</v>
      </c>
      <c r="AL582">
        <v>0</v>
      </c>
      <c r="AM582">
        <v>0</v>
      </c>
      <c r="AN582">
        <v>0</v>
      </c>
      <c r="AO582">
        <v>0</v>
      </c>
      <c r="AP582">
        <v>0</v>
      </c>
      <c r="AQ582">
        <v>0</v>
      </c>
      <c r="AR582">
        <v>0</v>
      </c>
    </row>
    <row r="583" spans="1:44" x14ac:dyDescent="0.2">
      <c r="A583">
        <f>ROW(Source!A494)</f>
        <v>494</v>
      </c>
      <c r="B583">
        <v>16751524</v>
      </c>
      <c r="C583">
        <v>16751511</v>
      </c>
      <c r="D583">
        <v>15430395</v>
      </c>
      <c r="E583">
        <v>1</v>
      </c>
      <c r="F583">
        <v>1</v>
      </c>
      <c r="G583">
        <v>1</v>
      </c>
      <c r="H583">
        <v>1</v>
      </c>
      <c r="I583" t="s">
        <v>1073</v>
      </c>
      <c r="J583" t="s">
        <v>6</v>
      </c>
      <c r="K583" t="s">
        <v>1074</v>
      </c>
      <c r="L583">
        <v>1191</v>
      </c>
      <c r="N583">
        <v>1013</v>
      </c>
      <c r="O583" t="s">
        <v>1072</v>
      </c>
      <c r="P583" t="s">
        <v>1072</v>
      </c>
      <c r="Q583">
        <v>1</v>
      </c>
      <c r="X583">
        <v>0.04</v>
      </c>
      <c r="Y583">
        <v>0</v>
      </c>
      <c r="Z583">
        <v>0</v>
      </c>
      <c r="AA583">
        <v>0</v>
      </c>
      <c r="AB583">
        <v>0</v>
      </c>
      <c r="AC583">
        <v>0</v>
      </c>
      <c r="AD583">
        <v>1</v>
      </c>
      <c r="AE583">
        <v>2</v>
      </c>
      <c r="AF583" t="s">
        <v>6</v>
      </c>
      <c r="AG583">
        <v>0.04</v>
      </c>
      <c r="AH583">
        <v>2</v>
      </c>
      <c r="AI583">
        <v>16751513</v>
      </c>
      <c r="AJ583">
        <v>635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0</v>
      </c>
      <c r="AR583">
        <v>0</v>
      </c>
    </row>
    <row r="584" spans="1:44" x14ac:dyDescent="0.2">
      <c r="A584">
        <f>ROW(Source!A494)</f>
        <v>494</v>
      </c>
      <c r="B584">
        <v>16751525</v>
      </c>
      <c r="C584">
        <v>16751511</v>
      </c>
      <c r="D584">
        <v>15247680</v>
      </c>
      <c r="E584">
        <v>1</v>
      </c>
      <c r="F584">
        <v>1</v>
      </c>
      <c r="G584">
        <v>1</v>
      </c>
      <c r="H584">
        <v>2</v>
      </c>
      <c r="I584" t="s">
        <v>1211</v>
      </c>
      <c r="J584" t="s">
        <v>1212</v>
      </c>
      <c r="K584" t="s">
        <v>1213</v>
      </c>
      <c r="L584">
        <v>1368</v>
      </c>
      <c r="N584">
        <v>1011</v>
      </c>
      <c r="O584" t="s">
        <v>1078</v>
      </c>
      <c r="P584" t="s">
        <v>1078</v>
      </c>
      <c r="Q584">
        <v>1</v>
      </c>
      <c r="X584">
        <v>0.02</v>
      </c>
      <c r="Y584">
        <v>0</v>
      </c>
      <c r="Z584">
        <v>111.99</v>
      </c>
      <c r="AA584">
        <v>13.5</v>
      </c>
      <c r="AB584">
        <v>0</v>
      </c>
      <c r="AC584">
        <v>0</v>
      </c>
      <c r="AD584">
        <v>1</v>
      </c>
      <c r="AE584">
        <v>0</v>
      </c>
      <c r="AF584" t="s">
        <v>6</v>
      </c>
      <c r="AG584">
        <v>0.02</v>
      </c>
      <c r="AH584">
        <v>2</v>
      </c>
      <c r="AI584">
        <v>16751514</v>
      </c>
      <c r="AJ584">
        <v>636</v>
      </c>
      <c r="AK584">
        <v>0</v>
      </c>
      <c r="AL584">
        <v>0</v>
      </c>
      <c r="AM584">
        <v>0</v>
      </c>
      <c r="AN584">
        <v>0</v>
      </c>
      <c r="AO584">
        <v>0</v>
      </c>
      <c r="AP584">
        <v>0</v>
      </c>
      <c r="AQ584">
        <v>0</v>
      </c>
      <c r="AR584">
        <v>0</v>
      </c>
    </row>
    <row r="585" spans="1:44" x14ac:dyDescent="0.2">
      <c r="A585">
        <f>ROW(Source!A494)</f>
        <v>494</v>
      </c>
      <c r="B585">
        <v>16751526</v>
      </c>
      <c r="C585">
        <v>16751511</v>
      </c>
      <c r="D585">
        <v>15249073</v>
      </c>
      <c r="E585">
        <v>1</v>
      </c>
      <c r="F585">
        <v>1</v>
      </c>
      <c r="G585">
        <v>1</v>
      </c>
      <c r="H585">
        <v>2</v>
      </c>
      <c r="I585" t="s">
        <v>1097</v>
      </c>
      <c r="J585" t="s">
        <v>1098</v>
      </c>
      <c r="K585" t="s">
        <v>1099</v>
      </c>
      <c r="L585">
        <v>1368</v>
      </c>
      <c r="N585">
        <v>1011</v>
      </c>
      <c r="O585" t="s">
        <v>1078</v>
      </c>
      <c r="P585" t="s">
        <v>1078</v>
      </c>
      <c r="Q585">
        <v>1</v>
      </c>
      <c r="X585">
        <v>0.02</v>
      </c>
      <c r="Y585">
        <v>0</v>
      </c>
      <c r="Z585">
        <v>65.709999999999994</v>
      </c>
      <c r="AA585">
        <v>11.6</v>
      </c>
      <c r="AB585">
        <v>0</v>
      </c>
      <c r="AC585">
        <v>0</v>
      </c>
      <c r="AD585">
        <v>1</v>
      </c>
      <c r="AE585">
        <v>0</v>
      </c>
      <c r="AF585" t="s">
        <v>6</v>
      </c>
      <c r="AG585">
        <v>0.02</v>
      </c>
      <c r="AH585">
        <v>2</v>
      </c>
      <c r="AI585">
        <v>16751515</v>
      </c>
      <c r="AJ585">
        <v>637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0</v>
      </c>
    </row>
    <row r="586" spans="1:44" x14ac:dyDescent="0.2">
      <c r="A586">
        <f>ROW(Source!A494)</f>
        <v>494</v>
      </c>
      <c r="B586">
        <v>16751527</v>
      </c>
      <c r="C586">
        <v>16751511</v>
      </c>
      <c r="D586">
        <v>15167588</v>
      </c>
      <c r="E586">
        <v>1</v>
      </c>
      <c r="F586">
        <v>1</v>
      </c>
      <c r="G586">
        <v>1</v>
      </c>
      <c r="H586">
        <v>3</v>
      </c>
      <c r="I586" t="s">
        <v>1388</v>
      </c>
      <c r="J586" t="s">
        <v>1389</v>
      </c>
      <c r="K586" t="s">
        <v>1390</v>
      </c>
      <c r="L586">
        <v>1346</v>
      </c>
      <c r="N586">
        <v>1009</v>
      </c>
      <c r="O586" t="s">
        <v>323</v>
      </c>
      <c r="P586" t="s">
        <v>323</v>
      </c>
      <c r="Q586">
        <v>1</v>
      </c>
      <c r="X586">
        <v>0.16</v>
      </c>
      <c r="Y586">
        <v>30.4</v>
      </c>
      <c r="Z586">
        <v>0</v>
      </c>
      <c r="AA586">
        <v>0</v>
      </c>
      <c r="AB586">
        <v>0</v>
      </c>
      <c r="AC586">
        <v>0</v>
      </c>
      <c r="AD586">
        <v>1</v>
      </c>
      <c r="AE586">
        <v>0</v>
      </c>
      <c r="AF586" t="s">
        <v>6</v>
      </c>
      <c r="AG586">
        <v>0.16</v>
      </c>
      <c r="AH586">
        <v>2</v>
      </c>
      <c r="AI586">
        <v>16751516</v>
      </c>
      <c r="AJ586">
        <v>638</v>
      </c>
      <c r="AK586">
        <v>0</v>
      </c>
      <c r="AL586">
        <v>0</v>
      </c>
      <c r="AM586">
        <v>0</v>
      </c>
      <c r="AN586">
        <v>0</v>
      </c>
      <c r="AO586">
        <v>0</v>
      </c>
      <c r="AP586">
        <v>0</v>
      </c>
      <c r="AQ586">
        <v>0</v>
      </c>
      <c r="AR586">
        <v>0</v>
      </c>
    </row>
    <row r="587" spans="1:44" x14ac:dyDescent="0.2">
      <c r="A587">
        <f>ROW(Source!A494)</f>
        <v>494</v>
      </c>
      <c r="B587">
        <v>16751528</v>
      </c>
      <c r="C587">
        <v>16751511</v>
      </c>
      <c r="D587">
        <v>15167867</v>
      </c>
      <c r="E587">
        <v>1</v>
      </c>
      <c r="F587">
        <v>1</v>
      </c>
      <c r="G587">
        <v>1</v>
      </c>
      <c r="H587">
        <v>3</v>
      </c>
      <c r="I587" t="s">
        <v>1408</v>
      </c>
      <c r="J587" t="s">
        <v>1409</v>
      </c>
      <c r="K587" t="s">
        <v>1410</v>
      </c>
      <c r="L587">
        <v>1348</v>
      </c>
      <c r="N587">
        <v>1009</v>
      </c>
      <c r="O587" t="s">
        <v>71</v>
      </c>
      <c r="P587" t="s">
        <v>71</v>
      </c>
      <c r="Q587">
        <v>1000</v>
      </c>
      <c r="X587">
        <v>5.9999999999999995E-4</v>
      </c>
      <c r="Y587">
        <v>1820</v>
      </c>
      <c r="Z587">
        <v>0</v>
      </c>
      <c r="AA587">
        <v>0</v>
      </c>
      <c r="AB587">
        <v>0</v>
      </c>
      <c r="AC587">
        <v>0</v>
      </c>
      <c r="AD587">
        <v>1</v>
      </c>
      <c r="AE587">
        <v>0</v>
      </c>
      <c r="AF587" t="s">
        <v>6</v>
      </c>
      <c r="AG587">
        <v>5.9999999999999995E-4</v>
      </c>
      <c r="AH587">
        <v>2</v>
      </c>
      <c r="AI587">
        <v>16751517</v>
      </c>
      <c r="AJ587">
        <v>639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0</v>
      </c>
      <c r="AR587">
        <v>0</v>
      </c>
    </row>
    <row r="588" spans="1:44" x14ac:dyDescent="0.2">
      <c r="A588">
        <f>ROW(Source!A494)</f>
        <v>494</v>
      </c>
      <c r="B588">
        <v>16751529</v>
      </c>
      <c r="C588">
        <v>16751511</v>
      </c>
      <c r="D588">
        <v>15203834</v>
      </c>
      <c r="E588">
        <v>1</v>
      </c>
      <c r="F588">
        <v>1</v>
      </c>
      <c r="G588">
        <v>1</v>
      </c>
      <c r="H588">
        <v>3</v>
      </c>
      <c r="I588" t="s">
        <v>1411</v>
      </c>
      <c r="J588" t="s">
        <v>1412</v>
      </c>
      <c r="K588" t="s">
        <v>374</v>
      </c>
      <c r="L588">
        <v>1346</v>
      </c>
      <c r="N588">
        <v>1009</v>
      </c>
      <c r="O588" t="s">
        <v>323</v>
      </c>
      <c r="P588" t="s">
        <v>323</v>
      </c>
      <c r="Q588">
        <v>1</v>
      </c>
      <c r="X588">
        <v>0.02</v>
      </c>
      <c r="Y588">
        <v>28.6</v>
      </c>
      <c r="Z588">
        <v>0</v>
      </c>
      <c r="AA588">
        <v>0</v>
      </c>
      <c r="AB588">
        <v>0</v>
      </c>
      <c r="AC588">
        <v>0</v>
      </c>
      <c r="AD588">
        <v>1</v>
      </c>
      <c r="AE588">
        <v>0</v>
      </c>
      <c r="AF588" t="s">
        <v>6</v>
      </c>
      <c r="AG588">
        <v>0.02</v>
      </c>
      <c r="AH588">
        <v>2</v>
      </c>
      <c r="AI588">
        <v>16751518</v>
      </c>
      <c r="AJ588">
        <v>640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0</v>
      </c>
      <c r="AR588">
        <v>0</v>
      </c>
    </row>
    <row r="589" spans="1:44" x14ac:dyDescent="0.2">
      <c r="A589">
        <f>ROW(Source!A494)</f>
        <v>494</v>
      </c>
      <c r="B589">
        <v>16751530</v>
      </c>
      <c r="C589">
        <v>16751511</v>
      </c>
      <c r="D589">
        <v>15217527</v>
      </c>
      <c r="E589">
        <v>1</v>
      </c>
      <c r="F589">
        <v>1</v>
      </c>
      <c r="G589">
        <v>1</v>
      </c>
      <c r="H589">
        <v>3</v>
      </c>
      <c r="I589" t="s">
        <v>1413</v>
      </c>
      <c r="J589" t="s">
        <v>1414</v>
      </c>
      <c r="K589" t="s">
        <v>1415</v>
      </c>
      <c r="L589">
        <v>1355</v>
      </c>
      <c r="N589">
        <v>1010</v>
      </c>
      <c r="O589" t="s">
        <v>724</v>
      </c>
      <c r="P589" t="s">
        <v>724</v>
      </c>
      <c r="Q589">
        <v>100</v>
      </c>
      <c r="X589">
        <v>0.05</v>
      </c>
      <c r="Y589">
        <v>110</v>
      </c>
      <c r="Z589">
        <v>0</v>
      </c>
      <c r="AA589">
        <v>0</v>
      </c>
      <c r="AB589">
        <v>0</v>
      </c>
      <c r="AC589">
        <v>0</v>
      </c>
      <c r="AD589">
        <v>1</v>
      </c>
      <c r="AE589">
        <v>0</v>
      </c>
      <c r="AF589" t="s">
        <v>6</v>
      </c>
      <c r="AG589">
        <v>0.05</v>
      </c>
      <c r="AH589">
        <v>2</v>
      </c>
      <c r="AI589">
        <v>16751519</v>
      </c>
      <c r="AJ589">
        <v>641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</row>
    <row r="590" spans="1:44" x14ac:dyDescent="0.2">
      <c r="A590">
        <f>ROW(Source!A494)</f>
        <v>494</v>
      </c>
      <c r="B590">
        <v>16751531</v>
      </c>
      <c r="C590">
        <v>16751511</v>
      </c>
      <c r="D590">
        <v>15217578</v>
      </c>
      <c r="E590">
        <v>1</v>
      </c>
      <c r="F590">
        <v>1</v>
      </c>
      <c r="G590">
        <v>1</v>
      </c>
      <c r="H590">
        <v>3</v>
      </c>
      <c r="I590" t="s">
        <v>1416</v>
      </c>
      <c r="J590" t="s">
        <v>1417</v>
      </c>
      <c r="K590" t="s">
        <v>1418</v>
      </c>
      <c r="L590">
        <v>1356</v>
      </c>
      <c r="N590">
        <v>1010</v>
      </c>
      <c r="O590" t="s">
        <v>288</v>
      </c>
      <c r="P590" t="s">
        <v>288</v>
      </c>
      <c r="Q590">
        <v>1000</v>
      </c>
      <c r="X590">
        <v>1.2200000000000001E-2</v>
      </c>
      <c r="Y590">
        <v>119</v>
      </c>
      <c r="Z590">
        <v>0</v>
      </c>
      <c r="AA590">
        <v>0</v>
      </c>
      <c r="AB590">
        <v>0</v>
      </c>
      <c r="AC590">
        <v>0</v>
      </c>
      <c r="AD590">
        <v>1</v>
      </c>
      <c r="AE590">
        <v>0</v>
      </c>
      <c r="AF590" t="s">
        <v>6</v>
      </c>
      <c r="AG590">
        <v>1.2200000000000001E-2</v>
      </c>
      <c r="AH590">
        <v>2</v>
      </c>
      <c r="AI590">
        <v>16751520</v>
      </c>
      <c r="AJ590">
        <v>642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0</v>
      </c>
      <c r="AR590">
        <v>0</v>
      </c>
    </row>
    <row r="591" spans="1:44" x14ac:dyDescent="0.2">
      <c r="A591">
        <f>ROW(Source!A494)</f>
        <v>494</v>
      </c>
      <c r="B591">
        <v>16751532</v>
      </c>
      <c r="C591">
        <v>16751511</v>
      </c>
      <c r="D591">
        <v>15164559</v>
      </c>
      <c r="E591">
        <v>17</v>
      </c>
      <c r="F591">
        <v>1</v>
      </c>
      <c r="G591">
        <v>1</v>
      </c>
      <c r="H591">
        <v>3</v>
      </c>
      <c r="I591" t="s">
        <v>1383</v>
      </c>
      <c r="J591" t="s">
        <v>6</v>
      </c>
      <c r="K591" t="s">
        <v>1384</v>
      </c>
      <c r="L591">
        <v>1374</v>
      </c>
      <c r="N591">
        <v>1013</v>
      </c>
      <c r="O591" t="s">
        <v>1385</v>
      </c>
      <c r="P591" t="s">
        <v>1385</v>
      </c>
      <c r="Q591">
        <v>1</v>
      </c>
      <c r="X591">
        <v>1.01</v>
      </c>
      <c r="Y591">
        <v>1</v>
      </c>
      <c r="Z591">
        <v>0</v>
      </c>
      <c r="AA591">
        <v>0</v>
      </c>
      <c r="AB591">
        <v>0</v>
      </c>
      <c r="AC591">
        <v>0</v>
      </c>
      <c r="AD591">
        <v>1</v>
      </c>
      <c r="AE591">
        <v>0</v>
      </c>
      <c r="AF591" t="s">
        <v>6</v>
      </c>
      <c r="AG591">
        <v>1.01</v>
      </c>
      <c r="AH591">
        <v>2</v>
      </c>
      <c r="AI591">
        <v>16751521</v>
      </c>
      <c r="AJ591">
        <v>644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</row>
    <row r="592" spans="1:44" x14ac:dyDescent="0.2">
      <c r="A592">
        <f>ROW(Source!A496)</f>
        <v>496</v>
      </c>
      <c r="B592">
        <v>16751537</v>
      </c>
      <c r="C592">
        <v>16751534</v>
      </c>
      <c r="D592">
        <v>15467906</v>
      </c>
      <c r="E592">
        <v>1</v>
      </c>
      <c r="F592">
        <v>1</v>
      </c>
      <c r="G592">
        <v>1</v>
      </c>
      <c r="H592">
        <v>1</v>
      </c>
      <c r="I592" t="s">
        <v>1523</v>
      </c>
      <c r="J592" t="s">
        <v>6</v>
      </c>
      <c r="K592" t="s">
        <v>1524</v>
      </c>
      <c r="L592">
        <v>1191</v>
      </c>
      <c r="N592">
        <v>1013</v>
      </c>
      <c r="O592" t="s">
        <v>1072</v>
      </c>
      <c r="P592" t="s">
        <v>1072</v>
      </c>
      <c r="Q592">
        <v>1</v>
      </c>
      <c r="X592">
        <v>243</v>
      </c>
      <c r="Y592">
        <v>0</v>
      </c>
      <c r="Z592">
        <v>0</v>
      </c>
      <c r="AA592">
        <v>0</v>
      </c>
      <c r="AB592">
        <v>12.92</v>
      </c>
      <c r="AC592">
        <v>0</v>
      </c>
      <c r="AD592">
        <v>1</v>
      </c>
      <c r="AE592">
        <v>1</v>
      </c>
      <c r="AF592" t="s">
        <v>6</v>
      </c>
      <c r="AG592">
        <v>243</v>
      </c>
      <c r="AH592">
        <v>2</v>
      </c>
      <c r="AI592">
        <v>16751535</v>
      </c>
      <c r="AJ592">
        <v>645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0</v>
      </c>
    </row>
    <row r="593" spans="1:44" x14ac:dyDescent="0.2">
      <c r="A593">
        <f>ROW(Source!A496)</f>
        <v>496</v>
      </c>
      <c r="B593">
        <v>16751538</v>
      </c>
      <c r="C593">
        <v>16751534</v>
      </c>
      <c r="D593">
        <v>15164559</v>
      </c>
      <c r="E593">
        <v>17</v>
      </c>
      <c r="F593">
        <v>1</v>
      </c>
      <c r="G593">
        <v>1</v>
      </c>
      <c r="H593">
        <v>3</v>
      </c>
      <c r="I593" t="s">
        <v>1383</v>
      </c>
      <c r="J593" t="s">
        <v>6</v>
      </c>
      <c r="K593" t="s">
        <v>1384</v>
      </c>
      <c r="L593">
        <v>1374</v>
      </c>
      <c r="N593">
        <v>1013</v>
      </c>
      <c r="O593" t="s">
        <v>1385</v>
      </c>
      <c r="P593" t="s">
        <v>1385</v>
      </c>
      <c r="Q593">
        <v>1</v>
      </c>
      <c r="X593">
        <v>62.79</v>
      </c>
      <c r="Y593">
        <v>1</v>
      </c>
      <c r="Z593">
        <v>0</v>
      </c>
      <c r="AA593">
        <v>0</v>
      </c>
      <c r="AB593">
        <v>0</v>
      </c>
      <c r="AC593">
        <v>0</v>
      </c>
      <c r="AD593">
        <v>1</v>
      </c>
      <c r="AE593">
        <v>0</v>
      </c>
      <c r="AF593" t="s">
        <v>6</v>
      </c>
      <c r="AG593">
        <v>62.79</v>
      </c>
      <c r="AH593">
        <v>2</v>
      </c>
      <c r="AI593">
        <v>16751536</v>
      </c>
      <c r="AJ593">
        <v>646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0</v>
      </c>
    </row>
    <row r="594" spans="1:44" x14ac:dyDescent="0.2">
      <c r="A594">
        <f>ROW(Source!A531)</f>
        <v>531</v>
      </c>
      <c r="B594">
        <v>16751550</v>
      </c>
      <c r="C594">
        <v>16751539</v>
      </c>
      <c r="D594">
        <v>15446300</v>
      </c>
      <c r="E594">
        <v>1</v>
      </c>
      <c r="F594">
        <v>1</v>
      </c>
      <c r="G594">
        <v>1</v>
      </c>
      <c r="H594">
        <v>1</v>
      </c>
      <c r="I594" t="s">
        <v>1095</v>
      </c>
      <c r="J594" t="s">
        <v>6</v>
      </c>
      <c r="K594" t="s">
        <v>1096</v>
      </c>
      <c r="L594">
        <v>1191</v>
      </c>
      <c r="N594">
        <v>1013</v>
      </c>
      <c r="O594" t="s">
        <v>1072</v>
      </c>
      <c r="P594" t="s">
        <v>1072</v>
      </c>
      <c r="Q594">
        <v>1</v>
      </c>
      <c r="X594">
        <v>34.56</v>
      </c>
      <c r="Y594">
        <v>0</v>
      </c>
      <c r="Z594">
        <v>0</v>
      </c>
      <c r="AA594">
        <v>0</v>
      </c>
      <c r="AB594">
        <v>9.92</v>
      </c>
      <c r="AC594">
        <v>0</v>
      </c>
      <c r="AD594">
        <v>1</v>
      </c>
      <c r="AE594">
        <v>1</v>
      </c>
      <c r="AF594" t="s">
        <v>6</v>
      </c>
      <c r="AG594">
        <v>34.56</v>
      </c>
      <c r="AH594">
        <v>2</v>
      </c>
      <c r="AI594">
        <v>16751540</v>
      </c>
      <c r="AJ594">
        <v>647</v>
      </c>
      <c r="AK594">
        <v>0</v>
      </c>
      <c r="AL594">
        <v>0</v>
      </c>
      <c r="AM594">
        <v>0</v>
      </c>
      <c r="AN594">
        <v>0</v>
      </c>
      <c r="AO594">
        <v>0</v>
      </c>
      <c r="AP594">
        <v>0</v>
      </c>
      <c r="AQ594">
        <v>0</v>
      </c>
      <c r="AR594">
        <v>0</v>
      </c>
    </row>
    <row r="595" spans="1:44" x14ac:dyDescent="0.2">
      <c r="A595">
        <f>ROW(Source!A531)</f>
        <v>531</v>
      </c>
      <c r="B595">
        <v>16751551</v>
      </c>
      <c r="C595">
        <v>16751539</v>
      </c>
      <c r="D595">
        <v>15430395</v>
      </c>
      <c r="E595">
        <v>1</v>
      </c>
      <c r="F595">
        <v>1</v>
      </c>
      <c r="G595">
        <v>1</v>
      </c>
      <c r="H595">
        <v>1</v>
      </c>
      <c r="I595" t="s">
        <v>1073</v>
      </c>
      <c r="J595" t="s">
        <v>6</v>
      </c>
      <c r="K595" t="s">
        <v>1074</v>
      </c>
      <c r="L595">
        <v>1191</v>
      </c>
      <c r="N595">
        <v>1013</v>
      </c>
      <c r="O595" t="s">
        <v>1072</v>
      </c>
      <c r="P595" t="s">
        <v>1072</v>
      </c>
      <c r="Q595">
        <v>1</v>
      </c>
      <c r="X595">
        <v>0.05</v>
      </c>
      <c r="Y595">
        <v>0</v>
      </c>
      <c r="Z595">
        <v>0</v>
      </c>
      <c r="AA595">
        <v>0</v>
      </c>
      <c r="AB595">
        <v>0</v>
      </c>
      <c r="AC595">
        <v>0</v>
      </c>
      <c r="AD595">
        <v>1</v>
      </c>
      <c r="AE595">
        <v>2</v>
      </c>
      <c r="AF595" t="s">
        <v>6</v>
      </c>
      <c r="AG595">
        <v>0.05</v>
      </c>
      <c r="AH595">
        <v>2</v>
      </c>
      <c r="AI595">
        <v>16751541</v>
      </c>
      <c r="AJ595">
        <v>648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</row>
    <row r="596" spans="1:44" x14ac:dyDescent="0.2">
      <c r="A596">
        <f>ROW(Source!A531)</f>
        <v>531</v>
      </c>
      <c r="B596">
        <v>16751552</v>
      </c>
      <c r="C596">
        <v>16751539</v>
      </c>
      <c r="D596">
        <v>15247680</v>
      </c>
      <c r="E596">
        <v>1</v>
      </c>
      <c r="F596">
        <v>1</v>
      </c>
      <c r="G596">
        <v>1</v>
      </c>
      <c r="H596">
        <v>2</v>
      </c>
      <c r="I596" t="s">
        <v>1211</v>
      </c>
      <c r="J596" t="s">
        <v>1212</v>
      </c>
      <c r="K596" t="s">
        <v>1213</v>
      </c>
      <c r="L596">
        <v>1368</v>
      </c>
      <c r="N596">
        <v>1011</v>
      </c>
      <c r="O596" t="s">
        <v>1078</v>
      </c>
      <c r="P596" t="s">
        <v>1078</v>
      </c>
      <c r="Q596">
        <v>1</v>
      </c>
      <c r="X596">
        <v>0.03</v>
      </c>
      <c r="Y596">
        <v>0</v>
      </c>
      <c r="Z596">
        <v>111.99</v>
      </c>
      <c r="AA596">
        <v>13.5</v>
      </c>
      <c r="AB596">
        <v>0</v>
      </c>
      <c r="AC596">
        <v>0</v>
      </c>
      <c r="AD596">
        <v>1</v>
      </c>
      <c r="AE596">
        <v>0</v>
      </c>
      <c r="AF596" t="s">
        <v>6</v>
      </c>
      <c r="AG596">
        <v>0.03</v>
      </c>
      <c r="AH596">
        <v>2</v>
      </c>
      <c r="AI596">
        <v>16751542</v>
      </c>
      <c r="AJ596">
        <v>649</v>
      </c>
      <c r="AK596">
        <v>0</v>
      </c>
      <c r="AL596">
        <v>0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0</v>
      </c>
    </row>
    <row r="597" spans="1:44" x14ac:dyDescent="0.2">
      <c r="A597">
        <f>ROW(Source!A531)</f>
        <v>531</v>
      </c>
      <c r="B597">
        <v>16751553</v>
      </c>
      <c r="C597">
        <v>16751539</v>
      </c>
      <c r="D597">
        <v>15249073</v>
      </c>
      <c r="E597">
        <v>1</v>
      </c>
      <c r="F597">
        <v>1</v>
      </c>
      <c r="G597">
        <v>1</v>
      </c>
      <c r="H597">
        <v>2</v>
      </c>
      <c r="I597" t="s">
        <v>1097</v>
      </c>
      <c r="J597" t="s">
        <v>1098</v>
      </c>
      <c r="K597" t="s">
        <v>1099</v>
      </c>
      <c r="L597">
        <v>1368</v>
      </c>
      <c r="N597">
        <v>1011</v>
      </c>
      <c r="O597" t="s">
        <v>1078</v>
      </c>
      <c r="P597" t="s">
        <v>1078</v>
      </c>
      <c r="Q597">
        <v>1</v>
      </c>
      <c r="X597">
        <v>0.02</v>
      </c>
      <c r="Y597">
        <v>0</v>
      </c>
      <c r="Z597">
        <v>65.709999999999994</v>
      </c>
      <c r="AA597">
        <v>11.6</v>
      </c>
      <c r="AB597">
        <v>0</v>
      </c>
      <c r="AC597">
        <v>0</v>
      </c>
      <c r="AD597">
        <v>1</v>
      </c>
      <c r="AE597">
        <v>0</v>
      </c>
      <c r="AF597" t="s">
        <v>6</v>
      </c>
      <c r="AG597">
        <v>0.02</v>
      </c>
      <c r="AH597">
        <v>2</v>
      </c>
      <c r="AI597">
        <v>16751543</v>
      </c>
      <c r="AJ597">
        <v>650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0</v>
      </c>
    </row>
    <row r="598" spans="1:44" x14ac:dyDescent="0.2">
      <c r="A598">
        <f>ROW(Source!A531)</f>
        <v>531</v>
      </c>
      <c r="B598">
        <v>16751554</v>
      </c>
      <c r="C598">
        <v>16751539</v>
      </c>
      <c r="D598">
        <v>15167588</v>
      </c>
      <c r="E598">
        <v>1</v>
      </c>
      <c r="F598">
        <v>1</v>
      </c>
      <c r="G598">
        <v>1</v>
      </c>
      <c r="H598">
        <v>3</v>
      </c>
      <c r="I598" t="s">
        <v>1388</v>
      </c>
      <c r="J598" t="s">
        <v>1389</v>
      </c>
      <c r="K598" t="s">
        <v>1390</v>
      </c>
      <c r="L598">
        <v>1346</v>
      </c>
      <c r="N598">
        <v>1009</v>
      </c>
      <c r="O598" t="s">
        <v>323</v>
      </c>
      <c r="P598" t="s">
        <v>323</v>
      </c>
      <c r="Q598">
        <v>1</v>
      </c>
      <c r="X598">
        <v>0.11</v>
      </c>
      <c r="Y598">
        <v>30.4</v>
      </c>
      <c r="Z598">
        <v>0</v>
      </c>
      <c r="AA598">
        <v>0</v>
      </c>
      <c r="AB598">
        <v>0</v>
      </c>
      <c r="AC598">
        <v>0</v>
      </c>
      <c r="AD598">
        <v>1</v>
      </c>
      <c r="AE598">
        <v>0</v>
      </c>
      <c r="AF598" t="s">
        <v>6</v>
      </c>
      <c r="AG598">
        <v>0.11</v>
      </c>
      <c r="AH598">
        <v>2</v>
      </c>
      <c r="AI598">
        <v>16751544</v>
      </c>
      <c r="AJ598">
        <v>651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</row>
    <row r="599" spans="1:44" x14ac:dyDescent="0.2">
      <c r="A599">
        <f>ROW(Source!A531)</f>
        <v>531</v>
      </c>
      <c r="B599">
        <v>16751555</v>
      </c>
      <c r="C599">
        <v>16751539</v>
      </c>
      <c r="D599">
        <v>15170074</v>
      </c>
      <c r="E599">
        <v>1</v>
      </c>
      <c r="F599">
        <v>1</v>
      </c>
      <c r="G599">
        <v>1</v>
      </c>
      <c r="H599">
        <v>3</v>
      </c>
      <c r="I599" t="s">
        <v>1399</v>
      </c>
      <c r="J599" t="s">
        <v>1400</v>
      </c>
      <c r="K599" t="s">
        <v>1401</v>
      </c>
      <c r="L599">
        <v>1355</v>
      </c>
      <c r="N599">
        <v>1010</v>
      </c>
      <c r="O599" t="s">
        <v>724</v>
      </c>
      <c r="P599" t="s">
        <v>724</v>
      </c>
      <c r="Q599">
        <v>100</v>
      </c>
      <c r="X599">
        <v>1.02</v>
      </c>
      <c r="Y599">
        <v>86</v>
      </c>
      <c r="Z599">
        <v>0</v>
      </c>
      <c r="AA599">
        <v>0</v>
      </c>
      <c r="AB599">
        <v>0</v>
      </c>
      <c r="AC599">
        <v>0</v>
      </c>
      <c r="AD599">
        <v>1</v>
      </c>
      <c r="AE599">
        <v>0</v>
      </c>
      <c r="AF599" t="s">
        <v>6</v>
      </c>
      <c r="AG599">
        <v>1.02</v>
      </c>
      <c r="AH599">
        <v>2</v>
      </c>
      <c r="AI599">
        <v>16751545</v>
      </c>
      <c r="AJ599">
        <v>652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0</v>
      </c>
    </row>
    <row r="600" spans="1:44" x14ac:dyDescent="0.2">
      <c r="A600">
        <f>ROW(Source!A531)</f>
        <v>531</v>
      </c>
      <c r="B600">
        <v>16751556</v>
      </c>
      <c r="C600">
        <v>16751539</v>
      </c>
      <c r="D600">
        <v>15170434</v>
      </c>
      <c r="E600">
        <v>1</v>
      </c>
      <c r="F600">
        <v>1</v>
      </c>
      <c r="G600">
        <v>1</v>
      </c>
      <c r="H600">
        <v>3</v>
      </c>
      <c r="I600" t="s">
        <v>1402</v>
      </c>
      <c r="J600" t="s">
        <v>1403</v>
      </c>
      <c r="K600" t="s">
        <v>1404</v>
      </c>
      <c r="L600">
        <v>1348</v>
      </c>
      <c r="N600">
        <v>1009</v>
      </c>
      <c r="O600" t="s">
        <v>71</v>
      </c>
      <c r="P600" t="s">
        <v>71</v>
      </c>
      <c r="Q600">
        <v>1000</v>
      </c>
      <c r="X600">
        <v>1.6000000000000001E-4</v>
      </c>
      <c r="Y600">
        <v>29800</v>
      </c>
      <c r="Z600">
        <v>0</v>
      </c>
      <c r="AA600">
        <v>0</v>
      </c>
      <c r="AB600">
        <v>0</v>
      </c>
      <c r="AC600">
        <v>0</v>
      </c>
      <c r="AD600">
        <v>1</v>
      </c>
      <c r="AE600">
        <v>0</v>
      </c>
      <c r="AF600" t="s">
        <v>6</v>
      </c>
      <c r="AG600">
        <v>1.6000000000000001E-4</v>
      </c>
      <c r="AH600">
        <v>2</v>
      </c>
      <c r="AI600">
        <v>16751546</v>
      </c>
      <c r="AJ600">
        <v>653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0</v>
      </c>
      <c r="AQ600">
        <v>0</v>
      </c>
      <c r="AR600">
        <v>0</v>
      </c>
    </row>
    <row r="601" spans="1:44" x14ac:dyDescent="0.2">
      <c r="A601">
        <f>ROW(Source!A531)</f>
        <v>531</v>
      </c>
      <c r="B601">
        <v>16751557</v>
      </c>
      <c r="C601">
        <v>16751539</v>
      </c>
      <c r="D601">
        <v>15170438</v>
      </c>
      <c r="E601">
        <v>1</v>
      </c>
      <c r="F601">
        <v>1</v>
      </c>
      <c r="G601">
        <v>1</v>
      </c>
      <c r="H601">
        <v>3</v>
      </c>
      <c r="I601" t="s">
        <v>1380</v>
      </c>
      <c r="J601" t="s">
        <v>1381</v>
      </c>
      <c r="K601" t="s">
        <v>1382</v>
      </c>
      <c r="L601">
        <v>1348</v>
      </c>
      <c r="N601">
        <v>1009</v>
      </c>
      <c r="O601" t="s">
        <v>71</v>
      </c>
      <c r="P601" t="s">
        <v>71</v>
      </c>
      <c r="Q601">
        <v>1000</v>
      </c>
      <c r="X601">
        <v>2.9999999999999997E-4</v>
      </c>
      <c r="Y601">
        <v>12430</v>
      </c>
      <c r="Z601">
        <v>0</v>
      </c>
      <c r="AA601">
        <v>0</v>
      </c>
      <c r="AB601">
        <v>0</v>
      </c>
      <c r="AC601">
        <v>0</v>
      </c>
      <c r="AD601">
        <v>1</v>
      </c>
      <c r="AE601">
        <v>0</v>
      </c>
      <c r="AF601" t="s">
        <v>6</v>
      </c>
      <c r="AG601">
        <v>2.9999999999999997E-4</v>
      </c>
      <c r="AH601">
        <v>2</v>
      </c>
      <c r="AI601">
        <v>16751547</v>
      </c>
      <c r="AJ601">
        <v>654</v>
      </c>
      <c r="AK601">
        <v>0</v>
      </c>
      <c r="AL601">
        <v>0</v>
      </c>
      <c r="AM601">
        <v>0</v>
      </c>
      <c r="AN601">
        <v>0</v>
      </c>
      <c r="AO601">
        <v>0</v>
      </c>
      <c r="AP601">
        <v>0</v>
      </c>
      <c r="AQ601">
        <v>0</v>
      </c>
      <c r="AR601">
        <v>0</v>
      </c>
    </row>
    <row r="602" spans="1:44" x14ac:dyDescent="0.2">
      <c r="A602">
        <f>ROW(Source!A531)</f>
        <v>531</v>
      </c>
      <c r="B602">
        <v>16751558</v>
      </c>
      <c r="C602">
        <v>16751539</v>
      </c>
      <c r="D602">
        <v>15164559</v>
      </c>
      <c r="E602">
        <v>17</v>
      </c>
      <c r="F602">
        <v>1</v>
      </c>
      <c r="G602">
        <v>1</v>
      </c>
      <c r="H602">
        <v>3</v>
      </c>
      <c r="I602" t="s">
        <v>1383</v>
      </c>
      <c r="J602" t="s">
        <v>6</v>
      </c>
      <c r="K602" t="s">
        <v>1384</v>
      </c>
      <c r="L602">
        <v>1374</v>
      </c>
      <c r="N602">
        <v>1013</v>
      </c>
      <c r="O602" t="s">
        <v>1385</v>
      </c>
      <c r="P602" t="s">
        <v>1385</v>
      </c>
      <c r="Q602">
        <v>1</v>
      </c>
      <c r="X602">
        <v>6.86</v>
      </c>
      <c r="Y602">
        <v>1</v>
      </c>
      <c r="Z602">
        <v>0</v>
      </c>
      <c r="AA602">
        <v>0</v>
      </c>
      <c r="AB602">
        <v>0</v>
      </c>
      <c r="AC602">
        <v>0</v>
      </c>
      <c r="AD602">
        <v>1</v>
      </c>
      <c r="AE602">
        <v>0</v>
      </c>
      <c r="AF602" t="s">
        <v>6</v>
      </c>
      <c r="AG602">
        <v>6.86</v>
      </c>
      <c r="AH602">
        <v>2</v>
      </c>
      <c r="AI602">
        <v>16751548</v>
      </c>
      <c r="AJ602">
        <v>656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0</v>
      </c>
      <c r="AQ602">
        <v>0</v>
      </c>
      <c r="AR602">
        <v>0</v>
      </c>
    </row>
    <row r="603" spans="1:44" x14ac:dyDescent="0.2">
      <c r="A603">
        <f>ROW(Source!A533)</f>
        <v>533</v>
      </c>
      <c r="B603">
        <v>16751568</v>
      </c>
      <c r="C603">
        <v>16751560</v>
      </c>
      <c r="D603">
        <v>15436556</v>
      </c>
      <c r="E603">
        <v>1</v>
      </c>
      <c r="F603">
        <v>1</v>
      </c>
      <c r="G603">
        <v>1</v>
      </c>
      <c r="H603">
        <v>1</v>
      </c>
      <c r="I603" t="s">
        <v>1265</v>
      </c>
      <c r="J603" t="s">
        <v>6</v>
      </c>
      <c r="K603" t="s">
        <v>1266</v>
      </c>
      <c r="L603">
        <v>1191</v>
      </c>
      <c r="N603">
        <v>1013</v>
      </c>
      <c r="O603" t="s">
        <v>1072</v>
      </c>
      <c r="P603" t="s">
        <v>1072</v>
      </c>
      <c r="Q603">
        <v>1</v>
      </c>
      <c r="X603">
        <v>12.3</v>
      </c>
      <c r="Y603">
        <v>0</v>
      </c>
      <c r="Z603">
        <v>0</v>
      </c>
      <c r="AA603">
        <v>0</v>
      </c>
      <c r="AB603">
        <v>9.6199999999999992</v>
      </c>
      <c r="AC603">
        <v>0</v>
      </c>
      <c r="AD603">
        <v>1</v>
      </c>
      <c r="AE603">
        <v>1</v>
      </c>
      <c r="AF603" t="s">
        <v>6</v>
      </c>
      <c r="AG603">
        <v>12.3</v>
      </c>
      <c r="AH603">
        <v>2</v>
      </c>
      <c r="AI603">
        <v>16751561</v>
      </c>
      <c r="AJ603">
        <v>657</v>
      </c>
      <c r="AK603">
        <v>0</v>
      </c>
      <c r="AL603">
        <v>0</v>
      </c>
      <c r="AM603">
        <v>0</v>
      </c>
      <c r="AN603">
        <v>0</v>
      </c>
      <c r="AO603">
        <v>0</v>
      </c>
      <c r="AP603">
        <v>0</v>
      </c>
      <c r="AQ603">
        <v>0</v>
      </c>
      <c r="AR603">
        <v>0</v>
      </c>
    </row>
    <row r="604" spans="1:44" x14ac:dyDescent="0.2">
      <c r="A604">
        <f>ROW(Source!A533)</f>
        <v>533</v>
      </c>
      <c r="B604">
        <v>16751569</v>
      </c>
      <c r="C604">
        <v>16751560</v>
      </c>
      <c r="D604">
        <v>15430395</v>
      </c>
      <c r="E604">
        <v>1</v>
      </c>
      <c r="F604">
        <v>1</v>
      </c>
      <c r="G604">
        <v>1</v>
      </c>
      <c r="H604">
        <v>1</v>
      </c>
      <c r="I604" t="s">
        <v>1073</v>
      </c>
      <c r="J604" t="s">
        <v>6</v>
      </c>
      <c r="K604" t="s">
        <v>1074</v>
      </c>
      <c r="L604">
        <v>1191</v>
      </c>
      <c r="N604">
        <v>1013</v>
      </c>
      <c r="O604" t="s">
        <v>1072</v>
      </c>
      <c r="P604" t="s">
        <v>1072</v>
      </c>
      <c r="Q604">
        <v>1</v>
      </c>
      <c r="X604">
        <v>0.49</v>
      </c>
      <c r="Y604">
        <v>0</v>
      </c>
      <c r="Z604">
        <v>0</v>
      </c>
      <c r="AA604">
        <v>0</v>
      </c>
      <c r="AB604">
        <v>0</v>
      </c>
      <c r="AC604">
        <v>0</v>
      </c>
      <c r="AD604">
        <v>1</v>
      </c>
      <c r="AE604">
        <v>2</v>
      </c>
      <c r="AF604" t="s">
        <v>6</v>
      </c>
      <c r="AG604">
        <v>0.49</v>
      </c>
      <c r="AH604">
        <v>2</v>
      </c>
      <c r="AI604">
        <v>16751562</v>
      </c>
      <c r="AJ604">
        <v>658</v>
      </c>
      <c r="AK604">
        <v>0</v>
      </c>
      <c r="AL604">
        <v>0</v>
      </c>
      <c r="AM604">
        <v>0</v>
      </c>
      <c r="AN604">
        <v>0</v>
      </c>
      <c r="AO604">
        <v>0</v>
      </c>
      <c r="AP604">
        <v>0</v>
      </c>
      <c r="AQ604">
        <v>0</v>
      </c>
      <c r="AR604">
        <v>0</v>
      </c>
    </row>
    <row r="605" spans="1:44" x14ac:dyDescent="0.2">
      <c r="A605">
        <f>ROW(Source!A533)</f>
        <v>533</v>
      </c>
      <c r="B605">
        <v>16751570</v>
      </c>
      <c r="C605">
        <v>16751560</v>
      </c>
      <c r="D605">
        <v>15247905</v>
      </c>
      <c r="E605">
        <v>1</v>
      </c>
      <c r="F605">
        <v>1</v>
      </c>
      <c r="G605">
        <v>1</v>
      </c>
      <c r="H605">
        <v>2</v>
      </c>
      <c r="I605" t="s">
        <v>1228</v>
      </c>
      <c r="J605" t="s">
        <v>1229</v>
      </c>
      <c r="K605" t="s">
        <v>1230</v>
      </c>
      <c r="L605">
        <v>1368</v>
      </c>
      <c r="N605">
        <v>1011</v>
      </c>
      <c r="O605" t="s">
        <v>1078</v>
      </c>
      <c r="P605" t="s">
        <v>1078</v>
      </c>
      <c r="Q605">
        <v>1</v>
      </c>
      <c r="X605">
        <v>0.49</v>
      </c>
      <c r="Y605">
        <v>0</v>
      </c>
      <c r="Z605">
        <v>89.99</v>
      </c>
      <c r="AA605">
        <v>10.06</v>
      </c>
      <c r="AB605">
        <v>0</v>
      </c>
      <c r="AC605">
        <v>0</v>
      </c>
      <c r="AD605">
        <v>1</v>
      </c>
      <c r="AE605">
        <v>0</v>
      </c>
      <c r="AF605" t="s">
        <v>6</v>
      </c>
      <c r="AG605">
        <v>0.49</v>
      </c>
      <c r="AH605">
        <v>2</v>
      </c>
      <c r="AI605">
        <v>16751563</v>
      </c>
      <c r="AJ605">
        <v>659</v>
      </c>
      <c r="AK605">
        <v>0</v>
      </c>
      <c r="AL605">
        <v>0</v>
      </c>
      <c r="AM605">
        <v>0</v>
      </c>
      <c r="AN605">
        <v>0</v>
      </c>
      <c r="AO605">
        <v>0</v>
      </c>
      <c r="AP605">
        <v>0</v>
      </c>
      <c r="AQ605">
        <v>0</v>
      </c>
      <c r="AR605">
        <v>0</v>
      </c>
    </row>
    <row r="606" spans="1:44" x14ac:dyDescent="0.2">
      <c r="A606">
        <f>ROW(Source!A533)</f>
        <v>533</v>
      </c>
      <c r="B606">
        <v>16751571</v>
      </c>
      <c r="C606">
        <v>16751560</v>
      </c>
      <c r="D606">
        <v>15203777</v>
      </c>
      <c r="E606">
        <v>1</v>
      </c>
      <c r="F606">
        <v>1</v>
      </c>
      <c r="G606">
        <v>1</v>
      </c>
      <c r="H606">
        <v>3</v>
      </c>
      <c r="I606" t="s">
        <v>1525</v>
      </c>
      <c r="J606" t="s">
        <v>1526</v>
      </c>
      <c r="K606" t="s">
        <v>1527</v>
      </c>
      <c r="L606">
        <v>1348</v>
      </c>
      <c r="N606">
        <v>1009</v>
      </c>
      <c r="O606" t="s">
        <v>71</v>
      </c>
      <c r="P606" t="s">
        <v>71</v>
      </c>
      <c r="Q606">
        <v>1000</v>
      </c>
      <c r="X606">
        <v>3.0000000000000001E-5</v>
      </c>
      <c r="Y606">
        <v>26932.42</v>
      </c>
      <c r="Z606">
        <v>0</v>
      </c>
      <c r="AA606">
        <v>0</v>
      </c>
      <c r="AB606">
        <v>0</v>
      </c>
      <c r="AC606">
        <v>0</v>
      </c>
      <c r="AD606">
        <v>1</v>
      </c>
      <c r="AE606">
        <v>0</v>
      </c>
      <c r="AF606" t="s">
        <v>6</v>
      </c>
      <c r="AG606">
        <v>3.0000000000000001E-5</v>
      </c>
      <c r="AH606">
        <v>2</v>
      </c>
      <c r="AI606">
        <v>16751564</v>
      </c>
      <c r="AJ606">
        <v>660</v>
      </c>
      <c r="AK606">
        <v>0</v>
      </c>
      <c r="AL606">
        <v>0</v>
      </c>
      <c r="AM606">
        <v>0</v>
      </c>
      <c r="AN606">
        <v>0</v>
      </c>
      <c r="AO606">
        <v>0</v>
      </c>
      <c r="AP606">
        <v>0</v>
      </c>
      <c r="AQ606">
        <v>0</v>
      </c>
      <c r="AR606">
        <v>0</v>
      </c>
    </row>
    <row r="607" spans="1:44" x14ac:dyDescent="0.2">
      <c r="A607">
        <f>ROW(Source!A533)</f>
        <v>533</v>
      </c>
      <c r="B607">
        <v>16751572</v>
      </c>
      <c r="C607">
        <v>16751560</v>
      </c>
      <c r="D607">
        <v>15204471</v>
      </c>
      <c r="E607">
        <v>1</v>
      </c>
      <c r="F607">
        <v>1</v>
      </c>
      <c r="G607">
        <v>1</v>
      </c>
      <c r="H607">
        <v>3</v>
      </c>
      <c r="I607" t="s">
        <v>1528</v>
      </c>
      <c r="J607" t="s">
        <v>1529</v>
      </c>
      <c r="K607" t="s">
        <v>1530</v>
      </c>
      <c r="L607">
        <v>1346</v>
      </c>
      <c r="N607">
        <v>1009</v>
      </c>
      <c r="O607" t="s">
        <v>323</v>
      </c>
      <c r="P607" t="s">
        <v>323</v>
      </c>
      <c r="Q607">
        <v>1</v>
      </c>
      <c r="X607">
        <v>1.0999999999999999E-2</v>
      </c>
      <c r="Y607">
        <v>32.6</v>
      </c>
      <c r="Z607">
        <v>0</v>
      </c>
      <c r="AA607">
        <v>0</v>
      </c>
      <c r="AB607">
        <v>0</v>
      </c>
      <c r="AC607">
        <v>0</v>
      </c>
      <c r="AD607">
        <v>1</v>
      </c>
      <c r="AE607">
        <v>0</v>
      </c>
      <c r="AF607" t="s">
        <v>6</v>
      </c>
      <c r="AG607">
        <v>1.0999999999999999E-2</v>
      </c>
      <c r="AH607">
        <v>2</v>
      </c>
      <c r="AI607">
        <v>16751565</v>
      </c>
      <c r="AJ607">
        <v>661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0</v>
      </c>
      <c r="AQ607">
        <v>0</v>
      </c>
      <c r="AR607">
        <v>0</v>
      </c>
    </row>
    <row r="608" spans="1:44" x14ac:dyDescent="0.2">
      <c r="A608">
        <f>ROW(Source!A533)</f>
        <v>533</v>
      </c>
      <c r="B608">
        <v>16751573</v>
      </c>
      <c r="C608">
        <v>16751560</v>
      </c>
      <c r="D608">
        <v>15164559</v>
      </c>
      <c r="E608">
        <v>17</v>
      </c>
      <c r="F608">
        <v>1</v>
      </c>
      <c r="G608">
        <v>1</v>
      </c>
      <c r="H608">
        <v>3</v>
      </c>
      <c r="I608" t="s">
        <v>1383</v>
      </c>
      <c r="J608" t="s">
        <v>6</v>
      </c>
      <c r="K608" t="s">
        <v>1384</v>
      </c>
      <c r="L608">
        <v>1374</v>
      </c>
      <c r="N608">
        <v>1013</v>
      </c>
      <c r="O608" t="s">
        <v>1385</v>
      </c>
      <c r="P608" t="s">
        <v>1385</v>
      </c>
      <c r="Q608">
        <v>1</v>
      </c>
      <c r="X608">
        <v>2.37</v>
      </c>
      <c r="Y608">
        <v>1</v>
      </c>
      <c r="Z608">
        <v>0</v>
      </c>
      <c r="AA608">
        <v>0</v>
      </c>
      <c r="AB608">
        <v>0</v>
      </c>
      <c r="AC608">
        <v>0</v>
      </c>
      <c r="AD608">
        <v>1</v>
      </c>
      <c r="AE608">
        <v>0</v>
      </c>
      <c r="AF608" t="s">
        <v>6</v>
      </c>
      <c r="AG608">
        <v>2.37</v>
      </c>
      <c r="AH608">
        <v>2</v>
      </c>
      <c r="AI608">
        <v>16751566</v>
      </c>
      <c r="AJ608">
        <v>663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0</v>
      </c>
      <c r="AR608">
        <v>0</v>
      </c>
    </row>
    <row r="609" spans="1:44" x14ac:dyDescent="0.2">
      <c r="A609">
        <f>ROW(Source!A535)</f>
        <v>535</v>
      </c>
      <c r="B609">
        <v>16751577</v>
      </c>
      <c r="C609">
        <v>16751575</v>
      </c>
      <c r="D609">
        <v>15430767</v>
      </c>
      <c r="E609">
        <v>1</v>
      </c>
      <c r="F609">
        <v>1</v>
      </c>
      <c r="G609">
        <v>1</v>
      </c>
      <c r="H609">
        <v>1</v>
      </c>
      <c r="I609" t="s">
        <v>1070</v>
      </c>
      <c r="J609" t="s">
        <v>6</v>
      </c>
      <c r="K609" t="s">
        <v>1071</v>
      </c>
      <c r="L609">
        <v>1191</v>
      </c>
      <c r="N609">
        <v>1013</v>
      </c>
      <c r="O609" t="s">
        <v>1072</v>
      </c>
      <c r="P609" t="s">
        <v>1072</v>
      </c>
      <c r="Q609">
        <v>1</v>
      </c>
      <c r="X609">
        <v>5.49</v>
      </c>
      <c r="Y609">
        <v>0</v>
      </c>
      <c r="Z609">
        <v>0</v>
      </c>
      <c r="AA609">
        <v>0</v>
      </c>
      <c r="AB609">
        <v>8.5299999999999994</v>
      </c>
      <c r="AC609">
        <v>0</v>
      </c>
      <c r="AD609">
        <v>1</v>
      </c>
      <c r="AE609">
        <v>1</v>
      </c>
      <c r="AF609" t="s">
        <v>6</v>
      </c>
      <c r="AG609">
        <v>5.49</v>
      </c>
      <c r="AH609">
        <v>2</v>
      </c>
      <c r="AI609">
        <v>16751576</v>
      </c>
      <c r="AJ609">
        <v>664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</row>
    <row r="610" spans="1:44" x14ac:dyDescent="0.2">
      <c r="A610">
        <f>ROW(Source!A535)</f>
        <v>535</v>
      </c>
      <c r="B610">
        <v>16751578</v>
      </c>
      <c r="C610">
        <v>16751575</v>
      </c>
      <c r="D610">
        <v>15164566</v>
      </c>
      <c r="E610">
        <v>17</v>
      </c>
      <c r="F610">
        <v>1</v>
      </c>
      <c r="G610">
        <v>1</v>
      </c>
      <c r="H610">
        <v>3</v>
      </c>
      <c r="I610" t="s">
        <v>69</v>
      </c>
      <c r="J610" t="s">
        <v>6</v>
      </c>
      <c r="K610" t="s">
        <v>70</v>
      </c>
      <c r="L610">
        <v>1348</v>
      </c>
      <c r="N610">
        <v>1009</v>
      </c>
      <c r="O610" t="s">
        <v>71</v>
      </c>
      <c r="P610" t="s">
        <v>71</v>
      </c>
      <c r="Q610">
        <v>1000</v>
      </c>
      <c r="X610">
        <v>6.0000000000000001E-3</v>
      </c>
      <c r="Y610">
        <v>0</v>
      </c>
      <c r="Z610">
        <v>0</v>
      </c>
      <c r="AA610">
        <v>0</v>
      </c>
      <c r="AB610">
        <v>0</v>
      </c>
      <c r="AC610">
        <v>0</v>
      </c>
      <c r="AD610">
        <v>0</v>
      </c>
      <c r="AE610">
        <v>0</v>
      </c>
      <c r="AF610" t="s">
        <v>6</v>
      </c>
      <c r="AG610">
        <v>6.0000000000000001E-3</v>
      </c>
      <c r="AH610">
        <v>3</v>
      </c>
      <c r="AI610">
        <v>-1</v>
      </c>
      <c r="AJ610" t="s">
        <v>6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0</v>
      </c>
    </row>
    <row r="611" spans="1:44" x14ac:dyDescent="0.2">
      <c r="A611">
        <f>ROW(Source!A536)</f>
        <v>536</v>
      </c>
      <c r="B611">
        <v>16751591</v>
      </c>
      <c r="C611">
        <v>16751579</v>
      </c>
      <c r="D611">
        <v>15430397</v>
      </c>
      <c r="E611">
        <v>1</v>
      </c>
      <c r="F611">
        <v>1</v>
      </c>
      <c r="G611">
        <v>1</v>
      </c>
      <c r="H611">
        <v>1</v>
      </c>
      <c r="I611" t="s">
        <v>1234</v>
      </c>
      <c r="J611" t="s">
        <v>6</v>
      </c>
      <c r="K611" t="s">
        <v>1235</v>
      </c>
      <c r="L611">
        <v>1191</v>
      </c>
      <c r="N611">
        <v>1013</v>
      </c>
      <c r="O611" t="s">
        <v>1072</v>
      </c>
      <c r="P611" t="s">
        <v>1072</v>
      </c>
      <c r="Q611">
        <v>1</v>
      </c>
      <c r="X611">
        <v>15.28</v>
      </c>
      <c r="Y611">
        <v>0</v>
      </c>
      <c r="Z611">
        <v>0</v>
      </c>
      <c r="AA611">
        <v>0</v>
      </c>
      <c r="AB611">
        <v>9.4</v>
      </c>
      <c r="AC611">
        <v>0</v>
      </c>
      <c r="AD611">
        <v>1</v>
      </c>
      <c r="AE611">
        <v>1</v>
      </c>
      <c r="AF611" t="s">
        <v>6</v>
      </c>
      <c r="AG611">
        <v>15.28</v>
      </c>
      <c r="AH611">
        <v>2</v>
      </c>
      <c r="AI611">
        <v>16751580</v>
      </c>
      <c r="AJ611">
        <v>665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</row>
    <row r="612" spans="1:44" x14ac:dyDescent="0.2">
      <c r="A612">
        <f>ROW(Source!A536)</f>
        <v>536</v>
      </c>
      <c r="B612">
        <v>16751592</v>
      </c>
      <c r="C612">
        <v>16751579</v>
      </c>
      <c r="D612">
        <v>15430395</v>
      </c>
      <c r="E612">
        <v>1</v>
      </c>
      <c r="F612">
        <v>1</v>
      </c>
      <c r="G612">
        <v>1</v>
      </c>
      <c r="H612">
        <v>1</v>
      </c>
      <c r="I612" t="s">
        <v>1073</v>
      </c>
      <c r="J612" t="s">
        <v>6</v>
      </c>
      <c r="K612" t="s">
        <v>1074</v>
      </c>
      <c r="L612">
        <v>1191</v>
      </c>
      <c r="N612">
        <v>1013</v>
      </c>
      <c r="O612" t="s">
        <v>1072</v>
      </c>
      <c r="P612" t="s">
        <v>1072</v>
      </c>
      <c r="Q612">
        <v>1</v>
      </c>
      <c r="X612">
        <v>0.22</v>
      </c>
      <c r="Y612">
        <v>0</v>
      </c>
      <c r="Z612">
        <v>0</v>
      </c>
      <c r="AA612">
        <v>0</v>
      </c>
      <c r="AB612">
        <v>0</v>
      </c>
      <c r="AC612">
        <v>0</v>
      </c>
      <c r="AD612">
        <v>1</v>
      </c>
      <c r="AE612">
        <v>2</v>
      </c>
      <c r="AF612" t="s">
        <v>6</v>
      </c>
      <c r="AG612">
        <v>0.22</v>
      </c>
      <c r="AH612">
        <v>2</v>
      </c>
      <c r="AI612">
        <v>16751581</v>
      </c>
      <c r="AJ612">
        <v>666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</row>
    <row r="613" spans="1:44" x14ac:dyDescent="0.2">
      <c r="A613">
        <f>ROW(Source!A536)</f>
        <v>536</v>
      </c>
      <c r="B613">
        <v>16751593</v>
      </c>
      <c r="C613">
        <v>16751579</v>
      </c>
      <c r="D613">
        <v>15247680</v>
      </c>
      <c r="E613">
        <v>1</v>
      </c>
      <c r="F613">
        <v>1</v>
      </c>
      <c r="G613">
        <v>1</v>
      </c>
      <c r="H613">
        <v>2</v>
      </c>
      <c r="I613" t="s">
        <v>1211</v>
      </c>
      <c r="J613" t="s">
        <v>1212</v>
      </c>
      <c r="K613" t="s">
        <v>1213</v>
      </c>
      <c r="L613">
        <v>1368</v>
      </c>
      <c r="N613">
        <v>1011</v>
      </c>
      <c r="O613" t="s">
        <v>1078</v>
      </c>
      <c r="P613" t="s">
        <v>1078</v>
      </c>
      <c r="Q613">
        <v>1</v>
      </c>
      <c r="X613">
        <v>0.11</v>
      </c>
      <c r="Y613">
        <v>0</v>
      </c>
      <c r="Z613">
        <v>111.99</v>
      </c>
      <c r="AA613">
        <v>13.5</v>
      </c>
      <c r="AB613">
        <v>0</v>
      </c>
      <c r="AC613">
        <v>0</v>
      </c>
      <c r="AD613">
        <v>1</v>
      </c>
      <c r="AE613">
        <v>0</v>
      </c>
      <c r="AF613" t="s">
        <v>6</v>
      </c>
      <c r="AG613">
        <v>0.11</v>
      </c>
      <c r="AH613">
        <v>2</v>
      </c>
      <c r="AI613">
        <v>16751582</v>
      </c>
      <c r="AJ613">
        <v>667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</row>
    <row r="614" spans="1:44" x14ac:dyDescent="0.2">
      <c r="A614">
        <f>ROW(Source!A536)</f>
        <v>536</v>
      </c>
      <c r="B614">
        <v>16751594</v>
      </c>
      <c r="C614">
        <v>16751579</v>
      </c>
      <c r="D614">
        <v>15249073</v>
      </c>
      <c r="E614">
        <v>1</v>
      </c>
      <c r="F614">
        <v>1</v>
      </c>
      <c r="G614">
        <v>1</v>
      </c>
      <c r="H614">
        <v>2</v>
      </c>
      <c r="I614" t="s">
        <v>1097</v>
      </c>
      <c r="J614" t="s">
        <v>1098</v>
      </c>
      <c r="K614" t="s">
        <v>1099</v>
      </c>
      <c r="L614">
        <v>1368</v>
      </c>
      <c r="N614">
        <v>1011</v>
      </c>
      <c r="O614" t="s">
        <v>1078</v>
      </c>
      <c r="P614" t="s">
        <v>1078</v>
      </c>
      <c r="Q614">
        <v>1</v>
      </c>
      <c r="X614">
        <v>0.11</v>
      </c>
      <c r="Y614">
        <v>0</v>
      </c>
      <c r="Z614">
        <v>65.709999999999994</v>
      </c>
      <c r="AA614">
        <v>11.6</v>
      </c>
      <c r="AB614">
        <v>0</v>
      </c>
      <c r="AC614">
        <v>0</v>
      </c>
      <c r="AD614">
        <v>1</v>
      </c>
      <c r="AE614">
        <v>0</v>
      </c>
      <c r="AF614" t="s">
        <v>6</v>
      </c>
      <c r="AG614">
        <v>0.11</v>
      </c>
      <c r="AH614">
        <v>2</v>
      </c>
      <c r="AI614">
        <v>16751583</v>
      </c>
      <c r="AJ614">
        <v>668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0</v>
      </c>
    </row>
    <row r="615" spans="1:44" x14ac:dyDescent="0.2">
      <c r="A615">
        <f>ROW(Source!A536)</f>
        <v>536</v>
      </c>
      <c r="B615">
        <v>16751595</v>
      </c>
      <c r="C615">
        <v>16751579</v>
      </c>
      <c r="D615">
        <v>15172838</v>
      </c>
      <c r="E615">
        <v>1</v>
      </c>
      <c r="F615">
        <v>1</v>
      </c>
      <c r="G615">
        <v>1</v>
      </c>
      <c r="H615">
        <v>3</v>
      </c>
      <c r="I615" t="s">
        <v>1422</v>
      </c>
      <c r="J615" t="s">
        <v>1423</v>
      </c>
      <c r="K615" t="s">
        <v>1424</v>
      </c>
      <c r="L615">
        <v>1339</v>
      </c>
      <c r="N615">
        <v>1007</v>
      </c>
      <c r="O615" t="s">
        <v>283</v>
      </c>
      <c r="P615" t="s">
        <v>283</v>
      </c>
      <c r="Q615">
        <v>1</v>
      </c>
      <c r="X615">
        <v>2.1000000000000001E-2</v>
      </c>
      <c r="Y615">
        <v>600</v>
      </c>
      <c r="Z615">
        <v>0</v>
      </c>
      <c r="AA615">
        <v>0</v>
      </c>
      <c r="AB615">
        <v>0</v>
      </c>
      <c r="AC615">
        <v>0</v>
      </c>
      <c r="AD615">
        <v>1</v>
      </c>
      <c r="AE615">
        <v>0</v>
      </c>
      <c r="AF615" t="s">
        <v>6</v>
      </c>
      <c r="AG615">
        <v>2.1000000000000001E-2</v>
      </c>
      <c r="AH615">
        <v>2</v>
      </c>
      <c r="AI615">
        <v>16751584</v>
      </c>
      <c r="AJ615">
        <v>669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</row>
    <row r="616" spans="1:44" x14ac:dyDescent="0.2">
      <c r="A616">
        <f>ROW(Source!A536)</f>
        <v>536</v>
      </c>
      <c r="B616">
        <v>16751596</v>
      </c>
      <c r="C616">
        <v>16751579</v>
      </c>
      <c r="D616">
        <v>15202442</v>
      </c>
      <c r="E616">
        <v>1</v>
      </c>
      <c r="F616">
        <v>1</v>
      </c>
      <c r="G616">
        <v>1</v>
      </c>
      <c r="H616">
        <v>3</v>
      </c>
      <c r="I616" t="s">
        <v>1425</v>
      </c>
      <c r="J616" t="s">
        <v>1426</v>
      </c>
      <c r="K616" t="s">
        <v>1427</v>
      </c>
      <c r="L616">
        <v>1346</v>
      </c>
      <c r="N616">
        <v>1009</v>
      </c>
      <c r="O616" t="s">
        <v>323</v>
      </c>
      <c r="P616" t="s">
        <v>323</v>
      </c>
      <c r="Q616">
        <v>1</v>
      </c>
      <c r="X616">
        <v>0.4</v>
      </c>
      <c r="Y616">
        <v>25.8</v>
      </c>
      <c r="Z616">
        <v>0</v>
      </c>
      <c r="AA616">
        <v>0</v>
      </c>
      <c r="AB616">
        <v>0</v>
      </c>
      <c r="AC616">
        <v>0</v>
      </c>
      <c r="AD616">
        <v>1</v>
      </c>
      <c r="AE616">
        <v>0</v>
      </c>
      <c r="AF616" t="s">
        <v>6</v>
      </c>
      <c r="AG616">
        <v>0.4</v>
      </c>
      <c r="AH616">
        <v>2</v>
      </c>
      <c r="AI616">
        <v>16751585</v>
      </c>
      <c r="AJ616">
        <v>670</v>
      </c>
      <c r="AK616">
        <v>0</v>
      </c>
      <c r="AL616">
        <v>0</v>
      </c>
      <c r="AM616">
        <v>0</v>
      </c>
      <c r="AN616">
        <v>0</v>
      </c>
      <c r="AO616">
        <v>0</v>
      </c>
      <c r="AP616">
        <v>0</v>
      </c>
      <c r="AQ616">
        <v>0</v>
      </c>
      <c r="AR616">
        <v>0</v>
      </c>
    </row>
    <row r="617" spans="1:44" x14ac:dyDescent="0.2">
      <c r="A617">
        <f>ROW(Source!A536)</f>
        <v>536</v>
      </c>
      <c r="B617">
        <v>16751597</v>
      </c>
      <c r="C617">
        <v>16751579</v>
      </c>
      <c r="D617">
        <v>15217585</v>
      </c>
      <c r="E617">
        <v>1</v>
      </c>
      <c r="F617">
        <v>1</v>
      </c>
      <c r="G617">
        <v>1</v>
      </c>
      <c r="H617">
        <v>3</v>
      </c>
      <c r="I617" t="s">
        <v>1428</v>
      </c>
      <c r="J617" t="s">
        <v>1429</v>
      </c>
      <c r="K617" t="s">
        <v>1430</v>
      </c>
      <c r="L617">
        <v>1356</v>
      </c>
      <c r="N617">
        <v>1010</v>
      </c>
      <c r="O617" t="s">
        <v>288</v>
      </c>
      <c r="P617" t="s">
        <v>288</v>
      </c>
      <c r="Q617">
        <v>1000</v>
      </c>
      <c r="X617">
        <v>3.2000000000000001E-2</v>
      </c>
      <c r="Y617">
        <v>270</v>
      </c>
      <c r="Z617">
        <v>0</v>
      </c>
      <c r="AA617">
        <v>0</v>
      </c>
      <c r="AB617">
        <v>0</v>
      </c>
      <c r="AC617">
        <v>0</v>
      </c>
      <c r="AD617">
        <v>1</v>
      </c>
      <c r="AE617">
        <v>0</v>
      </c>
      <c r="AF617" t="s">
        <v>6</v>
      </c>
      <c r="AG617">
        <v>3.2000000000000001E-2</v>
      </c>
      <c r="AH617">
        <v>2</v>
      </c>
      <c r="AI617">
        <v>16751586</v>
      </c>
      <c r="AJ617">
        <v>671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0</v>
      </c>
    </row>
    <row r="618" spans="1:44" x14ac:dyDescent="0.2">
      <c r="A618">
        <f>ROW(Source!A536)</f>
        <v>536</v>
      </c>
      <c r="B618">
        <v>16751598</v>
      </c>
      <c r="C618">
        <v>16751579</v>
      </c>
      <c r="D618">
        <v>15217593</v>
      </c>
      <c r="E618">
        <v>1</v>
      </c>
      <c r="F618">
        <v>1</v>
      </c>
      <c r="G618">
        <v>1</v>
      </c>
      <c r="H618">
        <v>3</v>
      </c>
      <c r="I618" t="s">
        <v>1431</v>
      </c>
      <c r="J618" t="s">
        <v>1432</v>
      </c>
      <c r="K618" t="s">
        <v>1433</v>
      </c>
      <c r="L618">
        <v>1358</v>
      </c>
      <c r="N618">
        <v>1010</v>
      </c>
      <c r="O618" t="s">
        <v>615</v>
      </c>
      <c r="P618" t="s">
        <v>615</v>
      </c>
      <c r="Q618">
        <v>10</v>
      </c>
      <c r="X618">
        <v>1</v>
      </c>
      <c r="Y618">
        <v>19.899999999999999</v>
      </c>
      <c r="Z618">
        <v>0</v>
      </c>
      <c r="AA618">
        <v>0</v>
      </c>
      <c r="AB618">
        <v>0</v>
      </c>
      <c r="AC618">
        <v>0</v>
      </c>
      <c r="AD618">
        <v>1</v>
      </c>
      <c r="AE618">
        <v>0</v>
      </c>
      <c r="AF618" t="s">
        <v>6</v>
      </c>
      <c r="AG618">
        <v>1</v>
      </c>
      <c r="AH618">
        <v>2</v>
      </c>
      <c r="AI618">
        <v>16751587</v>
      </c>
      <c r="AJ618">
        <v>672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0</v>
      </c>
    </row>
    <row r="619" spans="1:44" x14ac:dyDescent="0.2">
      <c r="A619">
        <f>ROW(Source!A536)</f>
        <v>536</v>
      </c>
      <c r="B619">
        <v>16751599</v>
      </c>
      <c r="C619">
        <v>16751579</v>
      </c>
      <c r="D619">
        <v>15218939</v>
      </c>
      <c r="E619">
        <v>1</v>
      </c>
      <c r="F619">
        <v>1</v>
      </c>
      <c r="G619">
        <v>1</v>
      </c>
      <c r="H619">
        <v>3</v>
      </c>
      <c r="I619" t="s">
        <v>1434</v>
      </c>
      <c r="J619" t="s">
        <v>1435</v>
      </c>
      <c r="K619" t="s">
        <v>1436</v>
      </c>
      <c r="L619">
        <v>1354</v>
      </c>
      <c r="N619">
        <v>1010</v>
      </c>
      <c r="O619" t="s">
        <v>53</v>
      </c>
      <c r="P619" t="s">
        <v>53</v>
      </c>
      <c r="Q619">
        <v>1</v>
      </c>
      <c r="X619">
        <v>0.5</v>
      </c>
      <c r="Y619">
        <v>66.819999999999993</v>
      </c>
      <c r="Z619">
        <v>0</v>
      </c>
      <c r="AA619">
        <v>0</v>
      </c>
      <c r="AB619">
        <v>0</v>
      </c>
      <c r="AC619">
        <v>0</v>
      </c>
      <c r="AD619">
        <v>1</v>
      </c>
      <c r="AE619">
        <v>0</v>
      </c>
      <c r="AF619" t="s">
        <v>6</v>
      </c>
      <c r="AG619">
        <v>0.5</v>
      </c>
      <c r="AH619">
        <v>2</v>
      </c>
      <c r="AI619">
        <v>16751588</v>
      </c>
      <c r="AJ619">
        <v>673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0</v>
      </c>
      <c r="AR619">
        <v>0</v>
      </c>
    </row>
    <row r="620" spans="1:44" x14ac:dyDescent="0.2">
      <c r="A620">
        <f>ROW(Source!A536)</f>
        <v>536</v>
      </c>
      <c r="B620">
        <v>16751600</v>
      </c>
      <c r="C620">
        <v>16751579</v>
      </c>
      <c r="D620">
        <v>15164559</v>
      </c>
      <c r="E620">
        <v>17</v>
      </c>
      <c r="F620">
        <v>1</v>
      </c>
      <c r="G620">
        <v>1</v>
      </c>
      <c r="H620">
        <v>3</v>
      </c>
      <c r="I620" t="s">
        <v>1383</v>
      </c>
      <c r="J620" t="s">
        <v>6</v>
      </c>
      <c r="K620" t="s">
        <v>1384</v>
      </c>
      <c r="L620">
        <v>1374</v>
      </c>
      <c r="N620">
        <v>1013</v>
      </c>
      <c r="O620" t="s">
        <v>1385</v>
      </c>
      <c r="P620" t="s">
        <v>1385</v>
      </c>
      <c r="Q620">
        <v>1</v>
      </c>
      <c r="X620">
        <v>2.87</v>
      </c>
      <c r="Y620">
        <v>1</v>
      </c>
      <c r="Z620">
        <v>0</v>
      </c>
      <c r="AA620">
        <v>0</v>
      </c>
      <c r="AB620">
        <v>0</v>
      </c>
      <c r="AC620">
        <v>0</v>
      </c>
      <c r="AD620">
        <v>1</v>
      </c>
      <c r="AE620">
        <v>0</v>
      </c>
      <c r="AF620" t="s">
        <v>6</v>
      </c>
      <c r="AG620">
        <v>2.87</v>
      </c>
      <c r="AH620">
        <v>2</v>
      </c>
      <c r="AI620">
        <v>16751590</v>
      </c>
      <c r="AJ620">
        <v>675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0</v>
      </c>
    </row>
    <row r="621" spans="1:44" x14ac:dyDescent="0.2">
      <c r="A621">
        <f>ROW(Source!A538)</f>
        <v>538</v>
      </c>
      <c r="B621">
        <v>16751616</v>
      </c>
      <c r="C621">
        <v>16751602</v>
      </c>
      <c r="D621">
        <v>15430397</v>
      </c>
      <c r="E621">
        <v>1</v>
      </c>
      <c r="F621">
        <v>1</v>
      </c>
      <c r="G621">
        <v>1</v>
      </c>
      <c r="H621">
        <v>1</v>
      </c>
      <c r="I621" t="s">
        <v>1234</v>
      </c>
      <c r="J621" t="s">
        <v>6</v>
      </c>
      <c r="K621" t="s">
        <v>1235</v>
      </c>
      <c r="L621">
        <v>1191</v>
      </c>
      <c r="N621">
        <v>1013</v>
      </c>
      <c r="O621" t="s">
        <v>1072</v>
      </c>
      <c r="P621" t="s">
        <v>1072</v>
      </c>
      <c r="Q621">
        <v>1</v>
      </c>
      <c r="X621">
        <v>8.56</v>
      </c>
      <c r="Y621">
        <v>0</v>
      </c>
      <c r="Z621">
        <v>0</v>
      </c>
      <c r="AA621">
        <v>0</v>
      </c>
      <c r="AB621">
        <v>9.4</v>
      </c>
      <c r="AC621">
        <v>0</v>
      </c>
      <c r="AD621">
        <v>1</v>
      </c>
      <c r="AE621">
        <v>1</v>
      </c>
      <c r="AF621" t="s">
        <v>6</v>
      </c>
      <c r="AG621">
        <v>8.56</v>
      </c>
      <c r="AH621">
        <v>2</v>
      </c>
      <c r="AI621">
        <v>16751603</v>
      </c>
      <c r="AJ621">
        <v>676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0</v>
      </c>
      <c r="AR621">
        <v>0</v>
      </c>
    </row>
    <row r="622" spans="1:44" x14ac:dyDescent="0.2">
      <c r="A622">
        <f>ROW(Source!A538)</f>
        <v>538</v>
      </c>
      <c r="B622">
        <v>16751617</v>
      </c>
      <c r="C622">
        <v>16751602</v>
      </c>
      <c r="D622">
        <v>15430395</v>
      </c>
      <c r="E622">
        <v>1</v>
      </c>
      <c r="F622">
        <v>1</v>
      </c>
      <c r="G622">
        <v>1</v>
      </c>
      <c r="H622">
        <v>1</v>
      </c>
      <c r="I622" t="s">
        <v>1073</v>
      </c>
      <c r="J622" t="s">
        <v>6</v>
      </c>
      <c r="K622" t="s">
        <v>1074</v>
      </c>
      <c r="L622">
        <v>1191</v>
      </c>
      <c r="N622">
        <v>1013</v>
      </c>
      <c r="O622" t="s">
        <v>1072</v>
      </c>
      <c r="P622" t="s">
        <v>1072</v>
      </c>
      <c r="Q622">
        <v>1</v>
      </c>
      <c r="X622">
        <v>2.27</v>
      </c>
      <c r="Y622">
        <v>0</v>
      </c>
      <c r="Z622">
        <v>0</v>
      </c>
      <c r="AA622">
        <v>0</v>
      </c>
      <c r="AB622">
        <v>0</v>
      </c>
      <c r="AC622">
        <v>0</v>
      </c>
      <c r="AD622">
        <v>1</v>
      </c>
      <c r="AE622">
        <v>2</v>
      </c>
      <c r="AF622" t="s">
        <v>6</v>
      </c>
      <c r="AG622">
        <v>2.27</v>
      </c>
      <c r="AH622">
        <v>2</v>
      </c>
      <c r="AI622">
        <v>16751604</v>
      </c>
      <c r="AJ622">
        <v>677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0</v>
      </c>
      <c r="AR622">
        <v>0</v>
      </c>
    </row>
    <row r="623" spans="1:44" x14ac:dyDescent="0.2">
      <c r="A623">
        <f>ROW(Source!A538)</f>
        <v>538</v>
      </c>
      <c r="B623">
        <v>16751618</v>
      </c>
      <c r="C623">
        <v>16751602</v>
      </c>
      <c r="D623">
        <v>15247680</v>
      </c>
      <c r="E623">
        <v>1</v>
      </c>
      <c r="F623">
        <v>1</v>
      </c>
      <c r="G623">
        <v>1</v>
      </c>
      <c r="H623">
        <v>2</v>
      </c>
      <c r="I623" t="s">
        <v>1211</v>
      </c>
      <c r="J623" t="s">
        <v>1212</v>
      </c>
      <c r="K623" t="s">
        <v>1213</v>
      </c>
      <c r="L623">
        <v>1368</v>
      </c>
      <c r="N623">
        <v>1011</v>
      </c>
      <c r="O623" t="s">
        <v>1078</v>
      </c>
      <c r="P623" t="s">
        <v>1078</v>
      </c>
      <c r="Q623">
        <v>1</v>
      </c>
      <c r="X623">
        <v>0.1</v>
      </c>
      <c r="Y623">
        <v>0</v>
      </c>
      <c r="Z623">
        <v>111.99</v>
      </c>
      <c r="AA623">
        <v>13.5</v>
      </c>
      <c r="AB623">
        <v>0</v>
      </c>
      <c r="AC623">
        <v>0</v>
      </c>
      <c r="AD623">
        <v>1</v>
      </c>
      <c r="AE623">
        <v>0</v>
      </c>
      <c r="AF623" t="s">
        <v>6</v>
      </c>
      <c r="AG623">
        <v>0.1</v>
      </c>
      <c r="AH623">
        <v>2</v>
      </c>
      <c r="AI623">
        <v>16751605</v>
      </c>
      <c r="AJ623">
        <v>678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0</v>
      </c>
    </row>
    <row r="624" spans="1:44" x14ac:dyDescent="0.2">
      <c r="A624">
        <f>ROW(Source!A538)</f>
        <v>538</v>
      </c>
      <c r="B624">
        <v>16751619</v>
      </c>
      <c r="C624">
        <v>16751602</v>
      </c>
      <c r="D624">
        <v>15247962</v>
      </c>
      <c r="E624">
        <v>1</v>
      </c>
      <c r="F624">
        <v>1</v>
      </c>
      <c r="G624">
        <v>1</v>
      </c>
      <c r="H624">
        <v>2</v>
      </c>
      <c r="I624" t="s">
        <v>1458</v>
      </c>
      <c r="J624" t="s">
        <v>1459</v>
      </c>
      <c r="K624" t="s">
        <v>1460</v>
      </c>
      <c r="L624">
        <v>1368</v>
      </c>
      <c r="N624">
        <v>1011</v>
      </c>
      <c r="O624" t="s">
        <v>1078</v>
      </c>
      <c r="P624" t="s">
        <v>1078</v>
      </c>
      <c r="Q624">
        <v>1</v>
      </c>
      <c r="X624">
        <v>2.0699999999999998</v>
      </c>
      <c r="Y624">
        <v>0</v>
      </c>
      <c r="Z624">
        <v>29.6</v>
      </c>
      <c r="AA624">
        <v>10.06</v>
      </c>
      <c r="AB624">
        <v>0</v>
      </c>
      <c r="AC624">
        <v>0</v>
      </c>
      <c r="AD624">
        <v>1</v>
      </c>
      <c r="AE624">
        <v>0</v>
      </c>
      <c r="AF624" t="s">
        <v>6</v>
      </c>
      <c r="AG624">
        <v>2.0699999999999998</v>
      </c>
      <c r="AH624">
        <v>2</v>
      </c>
      <c r="AI624">
        <v>16751606</v>
      </c>
      <c r="AJ624">
        <v>679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0</v>
      </c>
      <c r="AR624">
        <v>0</v>
      </c>
    </row>
    <row r="625" spans="1:44" x14ac:dyDescent="0.2">
      <c r="A625">
        <f>ROW(Source!A538)</f>
        <v>538</v>
      </c>
      <c r="B625">
        <v>16751620</v>
      </c>
      <c r="C625">
        <v>16751602</v>
      </c>
      <c r="D625">
        <v>15249073</v>
      </c>
      <c r="E625">
        <v>1</v>
      </c>
      <c r="F625">
        <v>1</v>
      </c>
      <c r="G625">
        <v>1</v>
      </c>
      <c r="H625">
        <v>2</v>
      </c>
      <c r="I625" t="s">
        <v>1097</v>
      </c>
      <c r="J625" t="s">
        <v>1098</v>
      </c>
      <c r="K625" t="s">
        <v>1099</v>
      </c>
      <c r="L625">
        <v>1368</v>
      </c>
      <c r="N625">
        <v>1011</v>
      </c>
      <c r="O625" t="s">
        <v>1078</v>
      </c>
      <c r="P625" t="s">
        <v>1078</v>
      </c>
      <c r="Q625">
        <v>1</v>
      </c>
      <c r="X625">
        <v>0.1</v>
      </c>
      <c r="Y625">
        <v>0</v>
      </c>
      <c r="Z625">
        <v>65.709999999999994</v>
      </c>
      <c r="AA625">
        <v>11.6</v>
      </c>
      <c r="AB625">
        <v>0</v>
      </c>
      <c r="AC625">
        <v>0</v>
      </c>
      <c r="AD625">
        <v>1</v>
      </c>
      <c r="AE625">
        <v>0</v>
      </c>
      <c r="AF625" t="s">
        <v>6</v>
      </c>
      <c r="AG625">
        <v>0.1</v>
      </c>
      <c r="AH625">
        <v>2</v>
      </c>
      <c r="AI625">
        <v>16751607</v>
      </c>
      <c r="AJ625">
        <v>680</v>
      </c>
      <c r="AK625">
        <v>0</v>
      </c>
      <c r="AL625">
        <v>0</v>
      </c>
      <c r="AM625">
        <v>0</v>
      </c>
      <c r="AN625">
        <v>0</v>
      </c>
      <c r="AO625">
        <v>0</v>
      </c>
      <c r="AP625">
        <v>0</v>
      </c>
      <c r="AQ625">
        <v>0</v>
      </c>
      <c r="AR625">
        <v>0</v>
      </c>
    </row>
    <row r="626" spans="1:44" x14ac:dyDescent="0.2">
      <c r="A626">
        <f>ROW(Source!A538)</f>
        <v>538</v>
      </c>
      <c r="B626">
        <v>16751621</v>
      </c>
      <c r="C626">
        <v>16751602</v>
      </c>
      <c r="D626">
        <v>15249377</v>
      </c>
      <c r="E626">
        <v>1</v>
      </c>
      <c r="F626">
        <v>1</v>
      </c>
      <c r="G626">
        <v>1</v>
      </c>
      <c r="H626">
        <v>2</v>
      </c>
      <c r="I626" t="s">
        <v>1100</v>
      </c>
      <c r="J626" t="s">
        <v>1101</v>
      </c>
      <c r="K626" t="s">
        <v>1102</v>
      </c>
      <c r="L626">
        <v>1368</v>
      </c>
      <c r="N626">
        <v>1011</v>
      </c>
      <c r="O626" t="s">
        <v>1078</v>
      </c>
      <c r="P626" t="s">
        <v>1078</v>
      </c>
      <c r="Q626">
        <v>1</v>
      </c>
      <c r="X626">
        <v>1.93</v>
      </c>
      <c r="Y626">
        <v>0</v>
      </c>
      <c r="Z626">
        <v>8.1</v>
      </c>
      <c r="AA626">
        <v>0</v>
      </c>
      <c r="AB626">
        <v>0</v>
      </c>
      <c r="AC626">
        <v>0</v>
      </c>
      <c r="AD626">
        <v>1</v>
      </c>
      <c r="AE626">
        <v>0</v>
      </c>
      <c r="AF626" t="s">
        <v>6</v>
      </c>
      <c r="AG626">
        <v>1.93</v>
      </c>
      <c r="AH626">
        <v>2</v>
      </c>
      <c r="AI626">
        <v>16751608</v>
      </c>
      <c r="AJ626">
        <v>681</v>
      </c>
      <c r="AK626">
        <v>0</v>
      </c>
      <c r="AL626">
        <v>0</v>
      </c>
      <c r="AM626">
        <v>0</v>
      </c>
      <c r="AN626">
        <v>0</v>
      </c>
      <c r="AO626">
        <v>0</v>
      </c>
      <c r="AP626">
        <v>0</v>
      </c>
      <c r="AQ626">
        <v>0</v>
      </c>
      <c r="AR626">
        <v>0</v>
      </c>
    </row>
    <row r="627" spans="1:44" x14ac:dyDescent="0.2">
      <c r="A627">
        <f>ROW(Source!A538)</f>
        <v>538</v>
      </c>
      <c r="B627">
        <v>16751622</v>
      </c>
      <c r="C627">
        <v>16751602</v>
      </c>
      <c r="D627">
        <v>15168752</v>
      </c>
      <c r="E627">
        <v>1</v>
      </c>
      <c r="F627">
        <v>1</v>
      </c>
      <c r="G627">
        <v>1</v>
      </c>
      <c r="H627">
        <v>3</v>
      </c>
      <c r="I627" t="s">
        <v>1443</v>
      </c>
      <c r="J627" t="s">
        <v>1444</v>
      </c>
      <c r="K627" t="s">
        <v>1445</v>
      </c>
      <c r="L627">
        <v>1346</v>
      </c>
      <c r="N627">
        <v>1009</v>
      </c>
      <c r="O627" t="s">
        <v>323</v>
      </c>
      <c r="P627" t="s">
        <v>323</v>
      </c>
      <c r="Q627">
        <v>1</v>
      </c>
      <c r="X627">
        <v>2.14</v>
      </c>
      <c r="Y627">
        <v>10.57</v>
      </c>
      <c r="Z627">
        <v>0</v>
      </c>
      <c r="AA627">
        <v>0</v>
      </c>
      <c r="AB627">
        <v>0</v>
      </c>
      <c r="AC627">
        <v>0</v>
      </c>
      <c r="AD627">
        <v>1</v>
      </c>
      <c r="AE627">
        <v>0</v>
      </c>
      <c r="AF627" t="s">
        <v>6</v>
      </c>
      <c r="AG627">
        <v>2.14</v>
      </c>
      <c r="AH627">
        <v>2</v>
      </c>
      <c r="AI627">
        <v>16751609</v>
      </c>
      <c r="AJ627">
        <v>682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</row>
    <row r="628" spans="1:44" x14ac:dyDescent="0.2">
      <c r="A628">
        <f>ROW(Source!A538)</f>
        <v>538</v>
      </c>
      <c r="B628">
        <v>16751623</v>
      </c>
      <c r="C628">
        <v>16751602</v>
      </c>
      <c r="D628">
        <v>15169942</v>
      </c>
      <c r="E628">
        <v>1</v>
      </c>
      <c r="F628">
        <v>1</v>
      </c>
      <c r="G628">
        <v>1</v>
      </c>
      <c r="H628">
        <v>3</v>
      </c>
      <c r="I628" t="s">
        <v>1391</v>
      </c>
      <c r="J628" t="s">
        <v>1392</v>
      </c>
      <c r="K628" t="s">
        <v>1291</v>
      </c>
      <c r="L628">
        <v>1346</v>
      </c>
      <c r="N628">
        <v>1009</v>
      </c>
      <c r="O628" t="s">
        <v>323</v>
      </c>
      <c r="P628" t="s">
        <v>323</v>
      </c>
      <c r="Q628">
        <v>1</v>
      </c>
      <c r="X628">
        <v>1.25</v>
      </c>
      <c r="Y628">
        <v>9.0399999999999991</v>
      </c>
      <c r="Z628">
        <v>0</v>
      </c>
      <c r="AA628">
        <v>0</v>
      </c>
      <c r="AB628">
        <v>0</v>
      </c>
      <c r="AC628">
        <v>0</v>
      </c>
      <c r="AD628">
        <v>1</v>
      </c>
      <c r="AE628">
        <v>0</v>
      </c>
      <c r="AF628" t="s">
        <v>6</v>
      </c>
      <c r="AG628">
        <v>1.25</v>
      </c>
      <c r="AH628">
        <v>2</v>
      </c>
      <c r="AI628">
        <v>16751610</v>
      </c>
      <c r="AJ628">
        <v>683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0</v>
      </c>
    </row>
    <row r="629" spans="1:44" x14ac:dyDescent="0.2">
      <c r="A629">
        <f>ROW(Source!A538)</f>
        <v>538</v>
      </c>
      <c r="B629">
        <v>16751624</v>
      </c>
      <c r="C629">
        <v>16751602</v>
      </c>
      <c r="D629">
        <v>15170074</v>
      </c>
      <c r="E629">
        <v>1</v>
      </c>
      <c r="F629">
        <v>1</v>
      </c>
      <c r="G629">
        <v>1</v>
      </c>
      <c r="H629">
        <v>3</v>
      </c>
      <c r="I629" t="s">
        <v>1399</v>
      </c>
      <c r="J629" t="s">
        <v>1400</v>
      </c>
      <c r="K629" t="s">
        <v>1401</v>
      </c>
      <c r="L629">
        <v>1355</v>
      </c>
      <c r="N629">
        <v>1010</v>
      </c>
      <c r="O629" t="s">
        <v>724</v>
      </c>
      <c r="P629" t="s">
        <v>724</v>
      </c>
      <c r="Q629">
        <v>100</v>
      </c>
      <c r="X629">
        <v>0.3</v>
      </c>
      <c r="Y629">
        <v>86</v>
      </c>
      <c r="Z629">
        <v>0</v>
      </c>
      <c r="AA629">
        <v>0</v>
      </c>
      <c r="AB629">
        <v>0</v>
      </c>
      <c r="AC629">
        <v>0</v>
      </c>
      <c r="AD629">
        <v>1</v>
      </c>
      <c r="AE629">
        <v>0</v>
      </c>
      <c r="AF629" t="s">
        <v>6</v>
      </c>
      <c r="AG629">
        <v>0.3</v>
      </c>
      <c r="AH629">
        <v>2</v>
      </c>
      <c r="AI629">
        <v>16751611</v>
      </c>
      <c r="AJ629">
        <v>684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0</v>
      </c>
    </row>
    <row r="630" spans="1:44" x14ac:dyDescent="0.2">
      <c r="A630">
        <f>ROW(Source!A538)</f>
        <v>538</v>
      </c>
      <c r="B630">
        <v>16751625</v>
      </c>
      <c r="C630">
        <v>16751602</v>
      </c>
      <c r="D630">
        <v>15217313</v>
      </c>
      <c r="E630">
        <v>1</v>
      </c>
      <c r="F630">
        <v>1</v>
      </c>
      <c r="G630">
        <v>1</v>
      </c>
      <c r="H630">
        <v>3</v>
      </c>
      <c r="I630" t="s">
        <v>1461</v>
      </c>
      <c r="J630" t="s">
        <v>1462</v>
      </c>
      <c r="K630" t="s">
        <v>1463</v>
      </c>
      <c r="L630">
        <v>1354</v>
      </c>
      <c r="N630">
        <v>1010</v>
      </c>
      <c r="O630" t="s">
        <v>53</v>
      </c>
      <c r="P630" t="s">
        <v>53</v>
      </c>
      <c r="Q630">
        <v>1</v>
      </c>
      <c r="X630">
        <v>30</v>
      </c>
      <c r="Y630">
        <v>10.54</v>
      </c>
      <c r="Z630">
        <v>0</v>
      </c>
      <c r="AA630">
        <v>0</v>
      </c>
      <c r="AB630">
        <v>0</v>
      </c>
      <c r="AC630">
        <v>0</v>
      </c>
      <c r="AD630">
        <v>1</v>
      </c>
      <c r="AE630">
        <v>0</v>
      </c>
      <c r="AF630" t="s">
        <v>6</v>
      </c>
      <c r="AG630">
        <v>30</v>
      </c>
      <c r="AH630">
        <v>2</v>
      </c>
      <c r="AI630">
        <v>16751612</v>
      </c>
      <c r="AJ630">
        <v>685</v>
      </c>
      <c r="AK630">
        <v>0</v>
      </c>
      <c r="AL630">
        <v>0</v>
      </c>
      <c r="AM630">
        <v>0</v>
      </c>
      <c r="AN630">
        <v>0</v>
      </c>
      <c r="AO630">
        <v>0</v>
      </c>
      <c r="AP630">
        <v>0</v>
      </c>
      <c r="AQ630">
        <v>0</v>
      </c>
      <c r="AR630">
        <v>0</v>
      </c>
    </row>
    <row r="631" spans="1:44" x14ac:dyDescent="0.2">
      <c r="A631">
        <f>ROW(Source!A538)</f>
        <v>538</v>
      </c>
      <c r="B631">
        <v>16751626</v>
      </c>
      <c r="C631">
        <v>16751602</v>
      </c>
      <c r="D631">
        <v>15219265</v>
      </c>
      <c r="E631">
        <v>1</v>
      </c>
      <c r="F631">
        <v>1</v>
      </c>
      <c r="G631">
        <v>1</v>
      </c>
      <c r="H631">
        <v>3</v>
      </c>
      <c r="I631" t="s">
        <v>1464</v>
      </c>
      <c r="J631" t="s">
        <v>1465</v>
      </c>
      <c r="K631" t="s">
        <v>1466</v>
      </c>
      <c r="L631">
        <v>1354</v>
      </c>
      <c r="N631">
        <v>1010</v>
      </c>
      <c r="O631" t="s">
        <v>53</v>
      </c>
      <c r="P631" t="s">
        <v>53</v>
      </c>
      <c r="Q631">
        <v>1</v>
      </c>
      <c r="X631">
        <v>6</v>
      </c>
      <c r="Y631">
        <v>5</v>
      </c>
      <c r="Z631">
        <v>0</v>
      </c>
      <c r="AA631">
        <v>0</v>
      </c>
      <c r="AB631">
        <v>0</v>
      </c>
      <c r="AC631">
        <v>0</v>
      </c>
      <c r="AD631">
        <v>1</v>
      </c>
      <c r="AE631">
        <v>0</v>
      </c>
      <c r="AF631" t="s">
        <v>6</v>
      </c>
      <c r="AG631">
        <v>6</v>
      </c>
      <c r="AH631">
        <v>2</v>
      </c>
      <c r="AI631">
        <v>16751613</v>
      </c>
      <c r="AJ631">
        <v>687</v>
      </c>
      <c r="AK631">
        <v>0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0</v>
      </c>
    </row>
    <row r="632" spans="1:44" x14ac:dyDescent="0.2">
      <c r="A632">
        <f>ROW(Source!A538)</f>
        <v>538</v>
      </c>
      <c r="B632">
        <v>16751627</v>
      </c>
      <c r="C632">
        <v>16751602</v>
      </c>
      <c r="D632">
        <v>15164559</v>
      </c>
      <c r="E632">
        <v>17</v>
      </c>
      <c r="F632">
        <v>1</v>
      </c>
      <c r="G632">
        <v>1</v>
      </c>
      <c r="H632">
        <v>3</v>
      </c>
      <c r="I632" t="s">
        <v>1383</v>
      </c>
      <c r="J632" t="s">
        <v>6</v>
      </c>
      <c r="K632" t="s">
        <v>1384</v>
      </c>
      <c r="L632">
        <v>1374</v>
      </c>
      <c r="N632">
        <v>1013</v>
      </c>
      <c r="O632" t="s">
        <v>1385</v>
      </c>
      <c r="P632" t="s">
        <v>1385</v>
      </c>
      <c r="Q632">
        <v>1</v>
      </c>
      <c r="X632">
        <v>1.61</v>
      </c>
      <c r="Y632">
        <v>1</v>
      </c>
      <c r="Z632">
        <v>0</v>
      </c>
      <c r="AA632">
        <v>0</v>
      </c>
      <c r="AB632">
        <v>0</v>
      </c>
      <c r="AC632">
        <v>0</v>
      </c>
      <c r="AD632">
        <v>1</v>
      </c>
      <c r="AE632">
        <v>0</v>
      </c>
      <c r="AF632" t="s">
        <v>6</v>
      </c>
      <c r="AG632">
        <v>1.61</v>
      </c>
      <c r="AH632">
        <v>2</v>
      </c>
      <c r="AI632">
        <v>16751614</v>
      </c>
      <c r="AJ632">
        <v>688</v>
      </c>
      <c r="AK632">
        <v>0</v>
      </c>
      <c r="AL632">
        <v>0</v>
      </c>
      <c r="AM632">
        <v>0</v>
      </c>
      <c r="AN632">
        <v>0</v>
      </c>
      <c r="AO632">
        <v>0</v>
      </c>
      <c r="AP632">
        <v>0</v>
      </c>
      <c r="AQ632">
        <v>0</v>
      </c>
      <c r="AR632">
        <v>0</v>
      </c>
    </row>
    <row r="633" spans="1:44" x14ac:dyDescent="0.2">
      <c r="A633">
        <f>ROW(Source!A574)</f>
        <v>574</v>
      </c>
      <c r="B633">
        <v>16751633</v>
      </c>
      <c r="C633">
        <v>16751629</v>
      </c>
      <c r="D633">
        <v>15431465</v>
      </c>
      <c r="E633">
        <v>1</v>
      </c>
      <c r="F633">
        <v>1</v>
      </c>
      <c r="G633">
        <v>1</v>
      </c>
      <c r="H633">
        <v>1</v>
      </c>
      <c r="I633" t="s">
        <v>1087</v>
      </c>
      <c r="J633" t="s">
        <v>6</v>
      </c>
      <c r="K633" t="s">
        <v>1088</v>
      </c>
      <c r="L633">
        <v>1191</v>
      </c>
      <c r="N633">
        <v>1013</v>
      </c>
      <c r="O633" t="s">
        <v>1072</v>
      </c>
      <c r="P633" t="s">
        <v>1072</v>
      </c>
      <c r="Q633">
        <v>1</v>
      </c>
      <c r="X633">
        <v>110</v>
      </c>
      <c r="Y633">
        <v>0</v>
      </c>
      <c r="Z633">
        <v>0</v>
      </c>
      <c r="AA633">
        <v>0</v>
      </c>
      <c r="AB633">
        <v>7.87</v>
      </c>
      <c r="AC633">
        <v>0</v>
      </c>
      <c r="AD633">
        <v>1</v>
      </c>
      <c r="AE633">
        <v>1</v>
      </c>
      <c r="AF633" t="s">
        <v>6</v>
      </c>
      <c r="AG633">
        <v>110</v>
      </c>
      <c r="AH633">
        <v>2</v>
      </c>
      <c r="AI633">
        <v>16751630</v>
      </c>
      <c r="AJ633">
        <v>689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0</v>
      </c>
    </row>
    <row r="634" spans="1:44" x14ac:dyDescent="0.2">
      <c r="A634">
        <f>ROW(Source!A574)</f>
        <v>574</v>
      </c>
      <c r="B634">
        <v>16751634</v>
      </c>
      <c r="C634">
        <v>16751629</v>
      </c>
      <c r="D634">
        <v>15430395</v>
      </c>
      <c r="E634">
        <v>1</v>
      </c>
      <c r="F634">
        <v>1</v>
      </c>
      <c r="G634">
        <v>1</v>
      </c>
      <c r="H634">
        <v>1</v>
      </c>
      <c r="I634" t="s">
        <v>1073</v>
      </c>
      <c r="J634" t="s">
        <v>6</v>
      </c>
      <c r="K634" t="s">
        <v>1074</v>
      </c>
      <c r="L634">
        <v>1191</v>
      </c>
      <c r="N634">
        <v>1013</v>
      </c>
      <c r="O634" t="s">
        <v>1072</v>
      </c>
      <c r="P634" t="s">
        <v>1072</v>
      </c>
      <c r="Q634">
        <v>1</v>
      </c>
      <c r="X634">
        <v>2.2400000000000002</v>
      </c>
      <c r="Y634">
        <v>0</v>
      </c>
      <c r="Z634">
        <v>0</v>
      </c>
      <c r="AA634">
        <v>0</v>
      </c>
      <c r="AB634">
        <v>0</v>
      </c>
      <c r="AC634">
        <v>0</v>
      </c>
      <c r="AD634">
        <v>1</v>
      </c>
      <c r="AE634">
        <v>2</v>
      </c>
      <c r="AF634" t="s">
        <v>6</v>
      </c>
      <c r="AG634">
        <v>2.2400000000000002</v>
      </c>
      <c r="AH634">
        <v>2</v>
      </c>
      <c r="AI634">
        <v>16751631</v>
      </c>
      <c r="AJ634">
        <v>690</v>
      </c>
      <c r="AK634">
        <v>0</v>
      </c>
      <c r="AL634">
        <v>0</v>
      </c>
      <c r="AM634">
        <v>0</v>
      </c>
      <c r="AN634">
        <v>0</v>
      </c>
      <c r="AO634">
        <v>0</v>
      </c>
      <c r="AP634">
        <v>0</v>
      </c>
      <c r="AQ634">
        <v>0</v>
      </c>
      <c r="AR634">
        <v>0</v>
      </c>
    </row>
    <row r="635" spans="1:44" x14ac:dyDescent="0.2">
      <c r="A635">
        <f>ROW(Source!A574)</f>
        <v>574</v>
      </c>
      <c r="B635">
        <v>16751635</v>
      </c>
      <c r="C635">
        <v>16751629</v>
      </c>
      <c r="D635">
        <v>15247974</v>
      </c>
      <c r="E635">
        <v>1</v>
      </c>
      <c r="F635">
        <v>1</v>
      </c>
      <c r="G635">
        <v>1</v>
      </c>
      <c r="H635">
        <v>2</v>
      </c>
      <c r="I635" t="s">
        <v>1075</v>
      </c>
      <c r="J635" t="s">
        <v>1076</v>
      </c>
      <c r="K635" t="s">
        <v>1077</v>
      </c>
      <c r="L635">
        <v>1368</v>
      </c>
      <c r="N635">
        <v>1011</v>
      </c>
      <c r="O635" t="s">
        <v>1078</v>
      </c>
      <c r="P635" t="s">
        <v>1078</v>
      </c>
      <c r="Q635">
        <v>1</v>
      </c>
      <c r="X635">
        <v>2.2400000000000002</v>
      </c>
      <c r="Y635">
        <v>0</v>
      </c>
      <c r="Z635">
        <v>31.26</v>
      </c>
      <c r="AA635">
        <v>13.5</v>
      </c>
      <c r="AB635">
        <v>0</v>
      </c>
      <c r="AC635">
        <v>0</v>
      </c>
      <c r="AD635">
        <v>1</v>
      </c>
      <c r="AE635">
        <v>0</v>
      </c>
      <c r="AF635" t="s">
        <v>6</v>
      </c>
      <c r="AG635">
        <v>2.2400000000000002</v>
      </c>
      <c r="AH635">
        <v>2</v>
      </c>
      <c r="AI635">
        <v>16751632</v>
      </c>
      <c r="AJ635">
        <v>691</v>
      </c>
      <c r="AK635">
        <v>0</v>
      </c>
      <c r="AL635">
        <v>0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0</v>
      </c>
    </row>
    <row r="636" spans="1:44" x14ac:dyDescent="0.2">
      <c r="A636">
        <f>ROW(Source!A575)</f>
        <v>575</v>
      </c>
      <c r="B636">
        <v>16751664</v>
      </c>
      <c r="C636">
        <v>16751650</v>
      </c>
      <c r="D636">
        <v>15435609</v>
      </c>
      <c r="E636">
        <v>1</v>
      </c>
      <c r="F636">
        <v>1</v>
      </c>
      <c r="G636">
        <v>1</v>
      </c>
      <c r="H636">
        <v>1</v>
      </c>
      <c r="I636" t="s">
        <v>1163</v>
      </c>
      <c r="J636" t="s">
        <v>6</v>
      </c>
      <c r="K636" t="s">
        <v>1164</v>
      </c>
      <c r="L636">
        <v>1191</v>
      </c>
      <c r="N636">
        <v>1013</v>
      </c>
      <c r="O636" t="s">
        <v>1072</v>
      </c>
      <c r="P636" t="s">
        <v>1072</v>
      </c>
      <c r="Q636">
        <v>1</v>
      </c>
      <c r="X636">
        <v>65.599999999999994</v>
      </c>
      <c r="Y636">
        <v>0</v>
      </c>
      <c r="Z636">
        <v>0</v>
      </c>
      <c r="AA636">
        <v>0</v>
      </c>
      <c r="AB636">
        <v>8.9700000000000006</v>
      </c>
      <c r="AC636">
        <v>0</v>
      </c>
      <c r="AD636">
        <v>1</v>
      </c>
      <c r="AE636">
        <v>1</v>
      </c>
      <c r="AF636" t="s">
        <v>173</v>
      </c>
      <c r="AG636">
        <v>75.439999999999984</v>
      </c>
      <c r="AH636">
        <v>2</v>
      </c>
      <c r="AI636">
        <v>16751651</v>
      </c>
      <c r="AJ636">
        <v>692</v>
      </c>
      <c r="AK636">
        <v>0</v>
      </c>
      <c r="AL636">
        <v>0</v>
      </c>
      <c r="AM636">
        <v>0</v>
      </c>
      <c r="AN636">
        <v>0</v>
      </c>
      <c r="AO636">
        <v>0</v>
      </c>
      <c r="AP636">
        <v>0</v>
      </c>
      <c r="AQ636">
        <v>0</v>
      </c>
      <c r="AR636">
        <v>0</v>
      </c>
    </row>
    <row r="637" spans="1:44" x14ac:dyDescent="0.2">
      <c r="A637">
        <f>ROW(Source!A575)</f>
        <v>575</v>
      </c>
      <c r="B637">
        <v>16751665</v>
      </c>
      <c r="C637">
        <v>16751650</v>
      </c>
      <c r="D637">
        <v>15430395</v>
      </c>
      <c r="E637">
        <v>1</v>
      </c>
      <c r="F637">
        <v>1</v>
      </c>
      <c r="G637">
        <v>1</v>
      </c>
      <c r="H637">
        <v>1</v>
      </c>
      <c r="I637" t="s">
        <v>1073</v>
      </c>
      <c r="J637" t="s">
        <v>6</v>
      </c>
      <c r="K637" t="s">
        <v>1074</v>
      </c>
      <c r="L637">
        <v>1191</v>
      </c>
      <c r="N637">
        <v>1013</v>
      </c>
      <c r="O637" t="s">
        <v>1072</v>
      </c>
      <c r="P637" t="s">
        <v>1072</v>
      </c>
      <c r="Q637">
        <v>1</v>
      </c>
      <c r="X637">
        <v>3.13</v>
      </c>
      <c r="Y637">
        <v>0</v>
      </c>
      <c r="Z637">
        <v>0</v>
      </c>
      <c r="AA637">
        <v>0</v>
      </c>
      <c r="AB637">
        <v>0</v>
      </c>
      <c r="AC637">
        <v>0</v>
      </c>
      <c r="AD637">
        <v>1</v>
      </c>
      <c r="AE637">
        <v>2</v>
      </c>
      <c r="AF637" t="s">
        <v>172</v>
      </c>
      <c r="AG637">
        <v>3.9124999999999996</v>
      </c>
      <c r="AH637">
        <v>2</v>
      </c>
      <c r="AI637">
        <v>16751652</v>
      </c>
      <c r="AJ637">
        <v>693</v>
      </c>
      <c r="AK637">
        <v>0</v>
      </c>
      <c r="AL637">
        <v>0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0</v>
      </c>
    </row>
    <row r="638" spans="1:44" x14ac:dyDescent="0.2">
      <c r="A638">
        <f>ROW(Source!A575)</f>
        <v>575</v>
      </c>
      <c r="B638">
        <v>16751666</v>
      </c>
      <c r="C638">
        <v>16751650</v>
      </c>
      <c r="D638">
        <v>15247680</v>
      </c>
      <c r="E638">
        <v>1</v>
      </c>
      <c r="F638">
        <v>1</v>
      </c>
      <c r="G638">
        <v>1</v>
      </c>
      <c r="H638">
        <v>2</v>
      </c>
      <c r="I638" t="s">
        <v>1211</v>
      </c>
      <c r="J638" t="s">
        <v>1212</v>
      </c>
      <c r="K638" t="s">
        <v>1213</v>
      </c>
      <c r="L638">
        <v>1368</v>
      </c>
      <c r="N638">
        <v>1011</v>
      </c>
      <c r="O638" t="s">
        <v>1078</v>
      </c>
      <c r="P638" t="s">
        <v>1078</v>
      </c>
      <c r="Q638">
        <v>1</v>
      </c>
      <c r="X638">
        <v>0.09</v>
      </c>
      <c r="Y638">
        <v>0</v>
      </c>
      <c r="Z638">
        <v>111.99</v>
      </c>
      <c r="AA638">
        <v>13.5</v>
      </c>
      <c r="AB638">
        <v>0</v>
      </c>
      <c r="AC638">
        <v>0</v>
      </c>
      <c r="AD638">
        <v>1</v>
      </c>
      <c r="AE638">
        <v>0</v>
      </c>
      <c r="AF638" t="s">
        <v>172</v>
      </c>
      <c r="AG638">
        <v>0.11249999999999999</v>
      </c>
      <c r="AH638">
        <v>2</v>
      </c>
      <c r="AI638">
        <v>16751653</v>
      </c>
      <c r="AJ638">
        <v>694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</row>
    <row r="639" spans="1:44" x14ac:dyDescent="0.2">
      <c r="A639">
        <f>ROW(Source!A575)</f>
        <v>575</v>
      </c>
      <c r="B639">
        <v>16751667</v>
      </c>
      <c r="C639">
        <v>16751650</v>
      </c>
      <c r="D639">
        <v>15247974</v>
      </c>
      <c r="E639">
        <v>1</v>
      </c>
      <c r="F639">
        <v>1</v>
      </c>
      <c r="G639">
        <v>1</v>
      </c>
      <c r="H639">
        <v>2</v>
      </c>
      <c r="I639" t="s">
        <v>1075</v>
      </c>
      <c r="J639" t="s">
        <v>1076</v>
      </c>
      <c r="K639" t="s">
        <v>1077</v>
      </c>
      <c r="L639">
        <v>1368</v>
      </c>
      <c r="N639">
        <v>1011</v>
      </c>
      <c r="O639" t="s">
        <v>1078</v>
      </c>
      <c r="P639" t="s">
        <v>1078</v>
      </c>
      <c r="Q639">
        <v>1</v>
      </c>
      <c r="X639">
        <v>1.19</v>
      </c>
      <c r="Y639">
        <v>0</v>
      </c>
      <c r="Z639">
        <v>31.26</v>
      </c>
      <c r="AA639">
        <v>13.5</v>
      </c>
      <c r="AB639">
        <v>0</v>
      </c>
      <c r="AC639">
        <v>0</v>
      </c>
      <c r="AD639">
        <v>1</v>
      </c>
      <c r="AE639">
        <v>0</v>
      </c>
      <c r="AF639" t="s">
        <v>172</v>
      </c>
      <c r="AG639">
        <v>1.4874999999999998</v>
      </c>
      <c r="AH639">
        <v>2</v>
      </c>
      <c r="AI639">
        <v>16751654</v>
      </c>
      <c r="AJ639">
        <v>695</v>
      </c>
      <c r="AK639">
        <v>0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0</v>
      </c>
      <c r="AR639">
        <v>0</v>
      </c>
    </row>
    <row r="640" spans="1:44" x14ac:dyDescent="0.2">
      <c r="A640">
        <f>ROW(Source!A575)</f>
        <v>575</v>
      </c>
      <c r="B640">
        <v>16751668</v>
      </c>
      <c r="C640">
        <v>16751650</v>
      </c>
      <c r="D640">
        <v>15248793</v>
      </c>
      <c r="E640">
        <v>1</v>
      </c>
      <c r="F640">
        <v>1</v>
      </c>
      <c r="G640">
        <v>1</v>
      </c>
      <c r="H640">
        <v>2</v>
      </c>
      <c r="I640" t="s">
        <v>1531</v>
      </c>
      <c r="J640" t="s">
        <v>1532</v>
      </c>
      <c r="K640" t="s">
        <v>1533</v>
      </c>
      <c r="L640">
        <v>1368</v>
      </c>
      <c r="N640">
        <v>1011</v>
      </c>
      <c r="O640" t="s">
        <v>1078</v>
      </c>
      <c r="P640" t="s">
        <v>1078</v>
      </c>
      <c r="Q640">
        <v>1</v>
      </c>
      <c r="X640">
        <v>0.8</v>
      </c>
      <c r="Y640">
        <v>0</v>
      </c>
      <c r="Z640">
        <v>29.67</v>
      </c>
      <c r="AA640">
        <v>0</v>
      </c>
      <c r="AB640">
        <v>0</v>
      </c>
      <c r="AC640">
        <v>0</v>
      </c>
      <c r="AD640">
        <v>1</v>
      </c>
      <c r="AE640">
        <v>0</v>
      </c>
      <c r="AF640" t="s">
        <v>172</v>
      </c>
      <c r="AG640">
        <v>1</v>
      </c>
      <c r="AH640">
        <v>2</v>
      </c>
      <c r="AI640">
        <v>16751655</v>
      </c>
      <c r="AJ640">
        <v>696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0</v>
      </c>
    </row>
    <row r="641" spans="1:44" x14ac:dyDescent="0.2">
      <c r="A641">
        <f>ROW(Source!A575)</f>
        <v>575</v>
      </c>
      <c r="B641">
        <v>16751669</v>
      </c>
      <c r="C641">
        <v>16751650</v>
      </c>
      <c r="D641">
        <v>15249073</v>
      </c>
      <c r="E641">
        <v>1</v>
      </c>
      <c r="F641">
        <v>1</v>
      </c>
      <c r="G641">
        <v>1</v>
      </c>
      <c r="H641">
        <v>2</v>
      </c>
      <c r="I641" t="s">
        <v>1097</v>
      </c>
      <c r="J641" t="s">
        <v>1098</v>
      </c>
      <c r="K641" t="s">
        <v>1099</v>
      </c>
      <c r="L641">
        <v>1368</v>
      </c>
      <c r="N641">
        <v>1011</v>
      </c>
      <c r="O641" t="s">
        <v>1078</v>
      </c>
      <c r="P641" t="s">
        <v>1078</v>
      </c>
      <c r="Q641">
        <v>1</v>
      </c>
      <c r="X641">
        <v>1.85</v>
      </c>
      <c r="Y641">
        <v>0</v>
      </c>
      <c r="Z641">
        <v>65.709999999999994</v>
      </c>
      <c r="AA641">
        <v>11.6</v>
      </c>
      <c r="AB641">
        <v>0</v>
      </c>
      <c r="AC641">
        <v>0</v>
      </c>
      <c r="AD641">
        <v>1</v>
      </c>
      <c r="AE641">
        <v>0</v>
      </c>
      <c r="AF641" t="s">
        <v>172</v>
      </c>
      <c r="AG641">
        <v>2.3125</v>
      </c>
      <c r="AH641">
        <v>2</v>
      </c>
      <c r="AI641">
        <v>16751656</v>
      </c>
      <c r="AJ641">
        <v>697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</row>
    <row r="642" spans="1:44" x14ac:dyDescent="0.2">
      <c r="A642">
        <f>ROW(Source!A575)</f>
        <v>575</v>
      </c>
      <c r="B642">
        <v>16751670</v>
      </c>
      <c r="C642">
        <v>16751650</v>
      </c>
      <c r="D642">
        <v>15166084</v>
      </c>
      <c r="E642">
        <v>1</v>
      </c>
      <c r="F642">
        <v>1</v>
      </c>
      <c r="G642">
        <v>1</v>
      </c>
      <c r="H642">
        <v>3</v>
      </c>
      <c r="I642" t="s">
        <v>1534</v>
      </c>
      <c r="J642" t="s">
        <v>1535</v>
      </c>
      <c r="K642" t="s">
        <v>1536</v>
      </c>
      <c r="L642">
        <v>1339</v>
      </c>
      <c r="N642">
        <v>1007</v>
      </c>
      <c r="O642" t="s">
        <v>283</v>
      </c>
      <c r="P642" t="s">
        <v>283</v>
      </c>
      <c r="Q642">
        <v>1</v>
      </c>
      <c r="X642">
        <v>0.67</v>
      </c>
      <c r="Y642">
        <v>45.83</v>
      </c>
      <c r="Z642">
        <v>0</v>
      </c>
      <c r="AA642">
        <v>0</v>
      </c>
      <c r="AB642">
        <v>0</v>
      </c>
      <c r="AC642">
        <v>0</v>
      </c>
      <c r="AD642">
        <v>1</v>
      </c>
      <c r="AE642">
        <v>0</v>
      </c>
      <c r="AF642" t="s">
        <v>6</v>
      </c>
      <c r="AG642">
        <v>0.67</v>
      </c>
      <c r="AH642">
        <v>2</v>
      </c>
      <c r="AI642">
        <v>16751657</v>
      </c>
      <c r="AJ642">
        <v>698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0</v>
      </c>
      <c r="AR642">
        <v>0</v>
      </c>
    </row>
    <row r="643" spans="1:44" x14ac:dyDescent="0.2">
      <c r="A643">
        <f>ROW(Source!A575)</f>
        <v>575</v>
      </c>
      <c r="B643">
        <v>16751671</v>
      </c>
      <c r="C643">
        <v>16751650</v>
      </c>
      <c r="D643">
        <v>15167286</v>
      </c>
      <c r="E643">
        <v>1</v>
      </c>
      <c r="F643">
        <v>1</v>
      </c>
      <c r="G643">
        <v>1</v>
      </c>
      <c r="H643">
        <v>3</v>
      </c>
      <c r="I643" t="s">
        <v>1079</v>
      </c>
      <c r="J643" t="s">
        <v>1080</v>
      </c>
      <c r="K643" t="s">
        <v>1081</v>
      </c>
      <c r="L643">
        <v>1339</v>
      </c>
      <c r="N643">
        <v>1007</v>
      </c>
      <c r="O643" t="s">
        <v>283</v>
      </c>
      <c r="P643" t="s">
        <v>283</v>
      </c>
      <c r="Q643">
        <v>1</v>
      </c>
      <c r="X643">
        <v>15</v>
      </c>
      <c r="Y643">
        <v>2.44</v>
      </c>
      <c r="Z643">
        <v>0</v>
      </c>
      <c r="AA643">
        <v>0</v>
      </c>
      <c r="AB643">
        <v>0</v>
      </c>
      <c r="AC643">
        <v>0</v>
      </c>
      <c r="AD643">
        <v>1</v>
      </c>
      <c r="AE643">
        <v>0</v>
      </c>
      <c r="AF643" t="s">
        <v>6</v>
      </c>
      <c r="AG643">
        <v>15</v>
      </c>
      <c r="AH643">
        <v>2</v>
      </c>
      <c r="AI643">
        <v>16751658</v>
      </c>
      <c r="AJ643">
        <v>699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</row>
    <row r="644" spans="1:44" x14ac:dyDescent="0.2">
      <c r="A644">
        <f>ROW(Source!A575)</f>
        <v>575</v>
      </c>
      <c r="B644">
        <v>16751672</v>
      </c>
      <c r="C644">
        <v>16751650</v>
      </c>
      <c r="D644">
        <v>15163011</v>
      </c>
      <c r="E644">
        <v>17</v>
      </c>
      <c r="F644">
        <v>1</v>
      </c>
      <c r="G644">
        <v>1</v>
      </c>
      <c r="H644">
        <v>3</v>
      </c>
      <c r="I644" t="s">
        <v>1588</v>
      </c>
      <c r="J644" t="s">
        <v>6</v>
      </c>
      <c r="K644" t="s">
        <v>1589</v>
      </c>
      <c r="L644">
        <v>1358</v>
      </c>
      <c r="N644">
        <v>1010</v>
      </c>
      <c r="O644" t="s">
        <v>615</v>
      </c>
      <c r="P644" t="s">
        <v>615</v>
      </c>
      <c r="Q644">
        <v>10</v>
      </c>
      <c r="X644">
        <v>8.9</v>
      </c>
      <c r="Y644">
        <v>0</v>
      </c>
      <c r="Z644">
        <v>0</v>
      </c>
      <c r="AA644">
        <v>0</v>
      </c>
      <c r="AB644">
        <v>0</v>
      </c>
      <c r="AC644">
        <v>0</v>
      </c>
      <c r="AD644">
        <v>0</v>
      </c>
      <c r="AE644">
        <v>0</v>
      </c>
      <c r="AF644" t="s">
        <v>6</v>
      </c>
      <c r="AG644">
        <v>8.9</v>
      </c>
      <c r="AH644">
        <v>3</v>
      </c>
      <c r="AI644">
        <v>-1</v>
      </c>
      <c r="AJ644" t="s">
        <v>6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</row>
    <row r="645" spans="1:44" x14ac:dyDescent="0.2">
      <c r="A645">
        <f>ROW(Source!A575)</f>
        <v>575</v>
      </c>
      <c r="B645">
        <v>16751673</v>
      </c>
      <c r="C645">
        <v>16751650</v>
      </c>
      <c r="D645">
        <v>15162072</v>
      </c>
      <c r="E645">
        <v>17</v>
      </c>
      <c r="F645">
        <v>1</v>
      </c>
      <c r="G645">
        <v>1</v>
      </c>
      <c r="H645">
        <v>3</v>
      </c>
      <c r="I645" t="s">
        <v>1590</v>
      </c>
      <c r="J645" t="s">
        <v>6</v>
      </c>
      <c r="K645" t="s">
        <v>1591</v>
      </c>
      <c r="L645">
        <v>1348</v>
      </c>
      <c r="N645">
        <v>1009</v>
      </c>
      <c r="O645" t="s">
        <v>71</v>
      </c>
      <c r="P645" t="s">
        <v>71</v>
      </c>
      <c r="Q645">
        <v>1000</v>
      </c>
      <c r="X645">
        <v>4.4999999999999997E-3</v>
      </c>
      <c r="Y645">
        <v>0</v>
      </c>
      <c r="Z645">
        <v>0</v>
      </c>
      <c r="AA645">
        <v>0</v>
      </c>
      <c r="AB645">
        <v>0</v>
      </c>
      <c r="AC645">
        <v>0</v>
      </c>
      <c r="AD645">
        <v>0</v>
      </c>
      <c r="AE645">
        <v>0</v>
      </c>
      <c r="AF645" t="s">
        <v>6</v>
      </c>
      <c r="AG645">
        <v>4.4999999999999997E-3</v>
      </c>
      <c r="AH645">
        <v>3</v>
      </c>
      <c r="AI645">
        <v>-1</v>
      </c>
      <c r="AJ645" t="s">
        <v>6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</row>
    <row r="646" spans="1:44" x14ac:dyDescent="0.2">
      <c r="A646">
        <f>ROW(Source!A575)</f>
        <v>575</v>
      </c>
      <c r="B646">
        <v>16751674</v>
      </c>
      <c r="C646">
        <v>16751650</v>
      </c>
      <c r="D646">
        <v>15212828</v>
      </c>
      <c r="E646">
        <v>1</v>
      </c>
      <c r="F646">
        <v>1</v>
      </c>
      <c r="G646">
        <v>1</v>
      </c>
      <c r="H646">
        <v>3</v>
      </c>
      <c r="I646" t="s">
        <v>1537</v>
      </c>
      <c r="J646" t="s">
        <v>1538</v>
      </c>
      <c r="K646" t="s">
        <v>1539</v>
      </c>
      <c r="L646">
        <v>1035</v>
      </c>
      <c r="N646">
        <v>1013</v>
      </c>
      <c r="O646" t="s">
        <v>230</v>
      </c>
      <c r="P646" t="s">
        <v>230</v>
      </c>
      <c r="Q646">
        <v>1</v>
      </c>
      <c r="X646">
        <v>44.2</v>
      </c>
      <c r="Y646">
        <v>24.75</v>
      </c>
      <c r="Z646">
        <v>0</v>
      </c>
      <c r="AA646">
        <v>0</v>
      </c>
      <c r="AB646">
        <v>0</v>
      </c>
      <c r="AC646">
        <v>0</v>
      </c>
      <c r="AD646">
        <v>1</v>
      </c>
      <c r="AE646">
        <v>0</v>
      </c>
      <c r="AF646" t="s">
        <v>6</v>
      </c>
      <c r="AG646">
        <v>44.2</v>
      </c>
      <c r="AH646">
        <v>2</v>
      </c>
      <c r="AI646">
        <v>16751659</v>
      </c>
      <c r="AJ646">
        <v>701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</row>
    <row r="647" spans="1:44" x14ac:dyDescent="0.2">
      <c r="A647">
        <f>ROW(Source!A575)</f>
        <v>575</v>
      </c>
      <c r="B647">
        <v>16751675</v>
      </c>
      <c r="C647">
        <v>16751650</v>
      </c>
      <c r="D647">
        <v>15163239</v>
      </c>
      <c r="E647">
        <v>17</v>
      </c>
      <c r="F647">
        <v>1</v>
      </c>
      <c r="G647">
        <v>1</v>
      </c>
      <c r="H647">
        <v>3</v>
      </c>
      <c r="I647" t="s">
        <v>912</v>
      </c>
      <c r="J647" t="s">
        <v>6</v>
      </c>
      <c r="K647" t="s">
        <v>913</v>
      </c>
      <c r="L647">
        <v>1033</v>
      </c>
      <c r="N647">
        <v>1013</v>
      </c>
      <c r="O647" t="s">
        <v>914</v>
      </c>
      <c r="P647" t="s">
        <v>914</v>
      </c>
      <c r="Q647">
        <v>1</v>
      </c>
      <c r="X647">
        <v>100</v>
      </c>
      <c r="Y647">
        <v>0</v>
      </c>
      <c r="Z647">
        <v>0</v>
      </c>
      <c r="AA647">
        <v>0</v>
      </c>
      <c r="AB647">
        <v>0</v>
      </c>
      <c r="AC647">
        <v>0</v>
      </c>
      <c r="AD647">
        <v>0</v>
      </c>
      <c r="AE647">
        <v>0</v>
      </c>
      <c r="AF647" t="s">
        <v>6</v>
      </c>
      <c r="AG647">
        <v>100</v>
      </c>
      <c r="AH647">
        <v>2</v>
      </c>
      <c r="AI647">
        <v>16751660</v>
      </c>
      <c r="AJ647">
        <v>703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</row>
    <row r="648" spans="1:44" x14ac:dyDescent="0.2">
      <c r="A648">
        <f>ROW(Source!A613)</f>
        <v>613</v>
      </c>
      <c r="B648">
        <v>16751824</v>
      </c>
      <c r="C648">
        <v>16751820</v>
      </c>
      <c r="D648">
        <v>15430767</v>
      </c>
      <c r="E648">
        <v>1</v>
      </c>
      <c r="F648">
        <v>1</v>
      </c>
      <c r="G648">
        <v>1</v>
      </c>
      <c r="H648">
        <v>1</v>
      </c>
      <c r="I648" t="s">
        <v>1070</v>
      </c>
      <c r="J648" t="s">
        <v>6</v>
      </c>
      <c r="K648" t="s">
        <v>1071</v>
      </c>
      <c r="L648">
        <v>1191</v>
      </c>
      <c r="N648">
        <v>1013</v>
      </c>
      <c r="O648" t="s">
        <v>1072</v>
      </c>
      <c r="P648" t="s">
        <v>1072</v>
      </c>
      <c r="Q648">
        <v>1</v>
      </c>
      <c r="X648">
        <v>51.3</v>
      </c>
      <c r="Y648">
        <v>0</v>
      </c>
      <c r="Z648">
        <v>0</v>
      </c>
      <c r="AA648">
        <v>0</v>
      </c>
      <c r="AB648">
        <v>8.5299999999999994</v>
      </c>
      <c r="AC648">
        <v>0</v>
      </c>
      <c r="AD648">
        <v>1</v>
      </c>
      <c r="AE648">
        <v>1</v>
      </c>
      <c r="AF648" t="s">
        <v>6</v>
      </c>
      <c r="AG648">
        <v>51.3</v>
      </c>
      <c r="AH648">
        <v>2</v>
      </c>
      <c r="AI648">
        <v>16751821</v>
      </c>
      <c r="AJ648">
        <v>704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</row>
    <row r="649" spans="1:44" x14ac:dyDescent="0.2">
      <c r="A649">
        <f>ROW(Source!A613)</f>
        <v>613</v>
      </c>
      <c r="B649">
        <v>16751825</v>
      </c>
      <c r="C649">
        <v>16751820</v>
      </c>
      <c r="D649">
        <v>15430395</v>
      </c>
      <c r="E649">
        <v>1</v>
      </c>
      <c r="F649">
        <v>1</v>
      </c>
      <c r="G649">
        <v>1</v>
      </c>
      <c r="H649">
        <v>1</v>
      </c>
      <c r="I649" t="s">
        <v>1073</v>
      </c>
      <c r="J649" t="s">
        <v>6</v>
      </c>
      <c r="K649" t="s">
        <v>1074</v>
      </c>
      <c r="L649">
        <v>1191</v>
      </c>
      <c r="N649">
        <v>1013</v>
      </c>
      <c r="O649" t="s">
        <v>1072</v>
      </c>
      <c r="P649" t="s">
        <v>1072</v>
      </c>
      <c r="Q649">
        <v>1</v>
      </c>
      <c r="X649">
        <v>0.26</v>
      </c>
      <c r="Y649">
        <v>0</v>
      </c>
      <c r="Z649">
        <v>0</v>
      </c>
      <c r="AA649">
        <v>0</v>
      </c>
      <c r="AB649">
        <v>0</v>
      </c>
      <c r="AC649">
        <v>0</v>
      </c>
      <c r="AD649">
        <v>1</v>
      </c>
      <c r="AE649">
        <v>2</v>
      </c>
      <c r="AF649" t="s">
        <v>6</v>
      </c>
      <c r="AG649">
        <v>0.26</v>
      </c>
      <c r="AH649">
        <v>2</v>
      </c>
      <c r="AI649">
        <v>16751822</v>
      </c>
      <c r="AJ649">
        <v>705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</row>
    <row r="650" spans="1:44" x14ac:dyDescent="0.2">
      <c r="A650">
        <f>ROW(Source!A613)</f>
        <v>613</v>
      </c>
      <c r="B650">
        <v>16751826</v>
      </c>
      <c r="C650">
        <v>16751820</v>
      </c>
      <c r="D650">
        <v>15247974</v>
      </c>
      <c r="E650">
        <v>1</v>
      </c>
      <c r="F650">
        <v>1</v>
      </c>
      <c r="G650">
        <v>1</v>
      </c>
      <c r="H650">
        <v>2</v>
      </c>
      <c r="I650" t="s">
        <v>1075</v>
      </c>
      <c r="J650" t="s">
        <v>1076</v>
      </c>
      <c r="K650" t="s">
        <v>1077</v>
      </c>
      <c r="L650">
        <v>1368</v>
      </c>
      <c r="N650">
        <v>1011</v>
      </c>
      <c r="O650" t="s">
        <v>1078</v>
      </c>
      <c r="P650" t="s">
        <v>1078</v>
      </c>
      <c r="Q650">
        <v>1</v>
      </c>
      <c r="X650">
        <v>0.26</v>
      </c>
      <c r="Y650">
        <v>0</v>
      </c>
      <c r="Z650">
        <v>31.26</v>
      </c>
      <c r="AA650">
        <v>13.5</v>
      </c>
      <c r="AB650">
        <v>0</v>
      </c>
      <c r="AC650">
        <v>0</v>
      </c>
      <c r="AD650">
        <v>1</v>
      </c>
      <c r="AE650">
        <v>0</v>
      </c>
      <c r="AF650" t="s">
        <v>6</v>
      </c>
      <c r="AG650">
        <v>0.26</v>
      </c>
      <c r="AH650">
        <v>2</v>
      </c>
      <c r="AI650">
        <v>16751823</v>
      </c>
      <c r="AJ650">
        <v>706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0</v>
      </c>
    </row>
    <row r="651" spans="1:44" x14ac:dyDescent="0.2">
      <c r="A651">
        <f>ROW(Source!A613)</f>
        <v>613</v>
      </c>
      <c r="B651">
        <v>16751827</v>
      </c>
      <c r="C651">
        <v>16751820</v>
      </c>
      <c r="D651">
        <v>15164566</v>
      </c>
      <c r="E651">
        <v>17</v>
      </c>
      <c r="F651">
        <v>1</v>
      </c>
      <c r="G651">
        <v>1</v>
      </c>
      <c r="H651">
        <v>3</v>
      </c>
      <c r="I651" t="s">
        <v>69</v>
      </c>
      <c r="J651" t="s">
        <v>6</v>
      </c>
      <c r="K651" t="s">
        <v>103</v>
      </c>
      <c r="L651">
        <v>1348</v>
      </c>
      <c r="N651">
        <v>1009</v>
      </c>
      <c r="O651" t="s">
        <v>71</v>
      </c>
      <c r="P651" t="s">
        <v>71</v>
      </c>
      <c r="Q651">
        <v>1000</v>
      </c>
      <c r="X651">
        <v>1.82</v>
      </c>
      <c r="Y651">
        <v>0</v>
      </c>
      <c r="Z651">
        <v>0</v>
      </c>
      <c r="AA651">
        <v>0</v>
      </c>
      <c r="AB651">
        <v>0</v>
      </c>
      <c r="AC651">
        <v>0</v>
      </c>
      <c r="AD651">
        <v>0</v>
      </c>
      <c r="AE651">
        <v>0</v>
      </c>
      <c r="AF651" t="s">
        <v>6</v>
      </c>
      <c r="AG651">
        <v>1.82</v>
      </c>
      <c r="AH651">
        <v>3</v>
      </c>
      <c r="AI651">
        <v>-1</v>
      </c>
      <c r="AJ651" t="s">
        <v>6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</row>
    <row r="652" spans="1:44" x14ac:dyDescent="0.2">
      <c r="A652">
        <f>ROW(Source!A614)</f>
        <v>614</v>
      </c>
      <c r="B652">
        <v>16753592</v>
      </c>
      <c r="C652">
        <v>16753591</v>
      </c>
      <c r="D652">
        <v>15430447</v>
      </c>
      <c r="E652">
        <v>1</v>
      </c>
      <c r="F652">
        <v>1</v>
      </c>
      <c r="G652">
        <v>1</v>
      </c>
      <c r="H652">
        <v>1</v>
      </c>
      <c r="I652" t="s">
        <v>1304</v>
      </c>
      <c r="J652" t="s">
        <v>6</v>
      </c>
      <c r="K652" t="s">
        <v>1305</v>
      </c>
      <c r="L652">
        <v>1191</v>
      </c>
      <c r="N652">
        <v>1013</v>
      </c>
      <c r="O652" t="s">
        <v>1072</v>
      </c>
      <c r="P652" t="s">
        <v>1072</v>
      </c>
      <c r="Q652">
        <v>1</v>
      </c>
      <c r="X652">
        <v>1.47</v>
      </c>
      <c r="Y652">
        <v>0</v>
      </c>
      <c r="Z652">
        <v>0</v>
      </c>
      <c r="AA652">
        <v>0</v>
      </c>
      <c r="AB652">
        <v>9.07</v>
      </c>
      <c r="AC652">
        <v>0</v>
      </c>
      <c r="AD652">
        <v>1</v>
      </c>
      <c r="AE652">
        <v>1</v>
      </c>
      <c r="AF652" t="s">
        <v>6</v>
      </c>
      <c r="AG652">
        <v>1.47</v>
      </c>
      <c r="AH652">
        <v>2</v>
      </c>
      <c r="AI652">
        <v>16753592</v>
      </c>
      <c r="AJ652">
        <v>707</v>
      </c>
      <c r="AK652">
        <v>0</v>
      </c>
      <c r="AL652">
        <v>0</v>
      </c>
      <c r="AM652">
        <v>0</v>
      </c>
      <c r="AN652">
        <v>0</v>
      </c>
      <c r="AO652">
        <v>0</v>
      </c>
      <c r="AP652">
        <v>0</v>
      </c>
      <c r="AQ652">
        <v>0</v>
      </c>
      <c r="AR652">
        <v>0</v>
      </c>
    </row>
    <row r="653" spans="1:44" x14ac:dyDescent="0.2">
      <c r="A653">
        <f>ROW(Source!A614)</f>
        <v>614</v>
      </c>
      <c r="B653">
        <v>16753593</v>
      </c>
      <c r="C653">
        <v>16753591</v>
      </c>
      <c r="D653">
        <v>15430395</v>
      </c>
      <c r="E653">
        <v>1</v>
      </c>
      <c r="F653">
        <v>1</v>
      </c>
      <c r="G653">
        <v>1</v>
      </c>
      <c r="H653">
        <v>1</v>
      </c>
      <c r="I653" t="s">
        <v>1073</v>
      </c>
      <c r="J653" t="s">
        <v>6</v>
      </c>
      <c r="K653" t="s">
        <v>1074</v>
      </c>
      <c r="L653">
        <v>1191</v>
      </c>
      <c r="N653">
        <v>1013</v>
      </c>
      <c r="O653" t="s">
        <v>1072</v>
      </c>
      <c r="P653" t="s">
        <v>1072</v>
      </c>
      <c r="Q653">
        <v>1</v>
      </c>
      <c r="X653">
        <v>0.01</v>
      </c>
      <c r="Y653">
        <v>0</v>
      </c>
      <c r="Z653">
        <v>0</v>
      </c>
      <c r="AA653">
        <v>0</v>
      </c>
      <c r="AB653">
        <v>0</v>
      </c>
      <c r="AC653">
        <v>0</v>
      </c>
      <c r="AD653">
        <v>1</v>
      </c>
      <c r="AE653">
        <v>2</v>
      </c>
      <c r="AF653" t="s">
        <v>6</v>
      </c>
      <c r="AG653">
        <v>0.01</v>
      </c>
      <c r="AH653">
        <v>2</v>
      </c>
      <c r="AI653">
        <v>16753593</v>
      </c>
      <c r="AJ653">
        <v>708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</row>
    <row r="654" spans="1:44" x14ac:dyDescent="0.2">
      <c r="A654">
        <f>ROW(Source!A614)</f>
        <v>614</v>
      </c>
      <c r="B654">
        <v>16753594</v>
      </c>
      <c r="C654">
        <v>16753591</v>
      </c>
      <c r="D654">
        <v>15249073</v>
      </c>
      <c r="E654">
        <v>1</v>
      </c>
      <c r="F654">
        <v>1</v>
      </c>
      <c r="G654">
        <v>1</v>
      </c>
      <c r="H654">
        <v>2</v>
      </c>
      <c r="I654" t="s">
        <v>1097</v>
      </c>
      <c r="J654" t="s">
        <v>1098</v>
      </c>
      <c r="K654" t="s">
        <v>1099</v>
      </c>
      <c r="L654">
        <v>1368</v>
      </c>
      <c r="N654">
        <v>1011</v>
      </c>
      <c r="O654" t="s">
        <v>1078</v>
      </c>
      <c r="P654" t="s">
        <v>1078</v>
      </c>
      <c r="Q654">
        <v>1</v>
      </c>
      <c r="X654">
        <v>0.01</v>
      </c>
      <c r="Y654">
        <v>0</v>
      </c>
      <c r="Z654">
        <v>65.709999999999994</v>
      </c>
      <c r="AA654">
        <v>11.6</v>
      </c>
      <c r="AB654">
        <v>0</v>
      </c>
      <c r="AC654">
        <v>0</v>
      </c>
      <c r="AD654">
        <v>1</v>
      </c>
      <c r="AE654">
        <v>0</v>
      </c>
      <c r="AF654" t="s">
        <v>6</v>
      </c>
      <c r="AG654">
        <v>0.01</v>
      </c>
      <c r="AH654">
        <v>2</v>
      </c>
      <c r="AI654">
        <v>16753594</v>
      </c>
      <c r="AJ654">
        <v>709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0</v>
      </c>
    </row>
    <row r="655" spans="1:44" x14ac:dyDescent="0.2">
      <c r="A655">
        <f>ROW(Source!A614)</f>
        <v>614</v>
      </c>
      <c r="B655">
        <v>16753595</v>
      </c>
      <c r="C655">
        <v>16753591</v>
      </c>
      <c r="D655">
        <v>15249377</v>
      </c>
      <c r="E655">
        <v>1</v>
      </c>
      <c r="F655">
        <v>1</v>
      </c>
      <c r="G655">
        <v>1</v>
      </c>
      <c r="H655">
        <v>2</v>
      </c>
      <c r="I655" t="s">
        <v>1100</v>
      </c>
      <c r="J655" t="s">
        <v>1101</v>
      </c>
      <c r="K655" t="s">
        <v>1102</v>
      </c>
      <c r="L655">
        <v>1368</v>
      </c>
      <c r="N655">
        <v>1011</v>
      </c>
      <c r="O655" t="s">
        <v>1078</v>
      </c>
      <c r="P655" t="s">
        <v>1078</v>
      </c>
      <c r="Q655">
        <v>1</v>
      </c>
      <c r="X655">
        <v>0.35</v>
      </c>
      <c r="Y655">
        <v>0</v>
      </c>
      <c r="Z655">
        <v>8.1</v>
      </c>
      <c r="AA655">
        <v>0</v>
      </c>
      <c r="AB655">
        <v>0</v>
      </c>
      <c r="AC655">
        <v>0</v>
      </c>
      <c r="AD655">
        <v>1</v>
      </c>
      <c r="AE655">
        <v>0</v>
      </c>
      <c r="AF655" t="s">
        <v>6</v>
      </c>
      <c r="AG655">
        <v>0.35</v>
      </c>
      <c r="AH655">
        <v>2</v>
      </c>
      <c r="AI655">
        <v>16753595</v>
      </c>
      <c r="AJ655">
        <v>710</v>
      </c>
      <c r="AK655">
        <v>0</v>
      </c>
      <c r="AL655">
        <v>0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0</v>
      </c>
    </row>
    <row r="656" spans="1:44" x14ac:dyDescent="0.2">
      <c r="A656">
        <f>ROW(Source!A614)</f>
        <v>614</v>
      </c>
      <c r="B656">
        <v>16753596</v>
      </c>
      <c r="C656">
        <v>16753591</v>
      </c>
      <c r="D656">
        <v>15165267</v>
      </c>
      <c r="E656">
        <v>1</v>
      </c>
      <c r="F656">
        <v>1</v>
      </c>
      <c r="G656">
        <v>1</v>
      </c>
      <c r="H656">
        <v>3</v>
      </c>
      <c r="I656" t="s">
        <v>1540</v>
      </c>
      <c r="J656" t="s">
        <v>1541</v>
      </c>
      <c r="K656" t="s">
        <v>1542</v>
      </c>
      <c r="L656">
        <v>1356</v>
      </c>
      <c r="N656">
        <v>1010</v>
      </c>
      <c r="O656" t="s">
        <v>288</v>
      </c>
      <c r="P656" t="s">
        <v>288</v>
      </c>
      <c r="Q656">
        <v>1000</v>
      </c>
      <c r="X656">
        <v>2E-3</v>
      </c>
      <c r="Y656">
        <v>3450</v>
      </c>
      <c r="Z656">
        <v>0</v>
      </c>
      <c r="AA656">
        <v>0</v>
      </c>
      <c r="AB656">
        <v>0</v>
      </c>
      <c r="AC656">
        <v>0</v>
      </c>
      <c r="AD656">
        <v>1</v>
      </c>
      <c r="AE656">
        <v>0</v>
      </c>
      <c r="AF656" t="s">
        <v>6</v>
      </c>
      <c r="AG656">
        <v>2E-3</v>
      </c>
      <c r="AH656">
        <v>2</v>
      </c>
      <c r="AI656">
        <v>16753596</v>
      </c>
      <c r="AJ656">
        <v>711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</row>
    <row r="657" spans="1:44" x14ac:dyDescent="0.2">
      <c r="A657">
        <f>ROW(Source!A614)</f>
        <v>614</v>
      </c>
      <c r="B657">
        <v>16753597</v>
      </c>
      <c r="C657">
        <v>16753591</v>
      </c>
      <c r="D657">
        <v>15168763</v>
      </c>
      <c r="E657">
        <v>1</v>
      </c>
      <c r="F657">
        <v>1</v>
      </c>
      <c r="G657">
        <v>1</v>
      </c>
      <c r="H657">
        <v>3</v>
      </c>
      <c r="I657" t="s">
        <v>1286</v>
      </c>
      <c r="J657" t="s">
        <v>1287</v>
      </c>
      <c r="K657" t="s">
        <v>1288</v>
      </c>
      <c r="L657">
        <v>1348</v>
      </c>
      <c r="N657">
        <v>1009</v>
      </c>
      <c r="O657" t="s">
        <v>71</v>
      </c>
      <c r="P657" t="s">
        <v>71</v>
      </c>
      <c r="Q657">
        <v>1000</v>
      </c>
      <c r="X657">
        <v>1.3999999999999999E-4</v>
      </c>
      <c r="Y657">
        <v>10362</v>
      </c>
      <c r="Z657">
        <v>0</v>
      </c>
      <c r="AA657">
        <v>0</v>
      </c>
      <c r="AB657">
        <v>0</v>
      </c>
      <c r="AC657">
        <v>0</v>
      </c>
      <c r="AD657">
        <v>1</v>
      </c>
      <c r="AE657">
        <v>0</v>
      </c>
      <c r="AF657" t="s">
        <v>6</v>
      </c>
      <c r="AG657">
        <v>1.3999999999999999E-4</v>
      </c>
      <c r="AH657">
        <v>2</v>
      </c>
      <c r="AI657">
        <v>16753597</v>
      </c>
      <c r="AJ657">
        <v>712</v>
      </c>
      <c r="AK657">
        <v>0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</row>
    <row r="658" spans="1:44" x14ac:dyDescent="0.2">
      <c r="A658">
        <f>ROW(Source!A614)</f>
        <v>614</v>
      </c>
      <c r="B658">
        <v>16753598</v>
      </c>
      <c r="C658">
        <v>16753591</v>
      </c>
      <c r="D658">
        <v>15169923</v>
      </c>
      <c r="E658">
        <v>1</v>
      </c>
      <c r="F658">
        <v>1</v>
      </c>
      <c r="G658">
        <v>1</v>
      </c>
      <c r="H658">
        <v>3</v>
      </c>
      <c r="I658" t="s">
        <v>1543</v>
      </c>
      <c r="J658" t="s">
        <v>1544</v>
      </c>
      <c r="K658" t="s">
        <v>1545</v>
      </c>
      <c r="L658">
        <v>1348</v>
      </c>
      <c r="N658">
        <v>1009</v>
      </c>
      <c r="O658" t="s">
        <v>71</v>
      </c>
      <c r="P658" t="s">
        <v>71</v>
      </c>
      <c r="Q658">
        <v>1000</v>
      </c>
      <c r="X658">
        <v>1.1000000000000001E-3</v>
      </c>
      <c r="Y658">
        <v>15323</v>
      </c>
      <c r="Z658">
        <v>0</v>
      </c>
      <c r="AA658">
        <v>0</v>
      </c>
      <c r="AB658">
        <v>0</v>
      </c>
      <c r="AC658">
        <v>0</v>
      </c>
      <c r="AD658">
        <v>1</v>
      </c>
      <c r="AE658">
        <v>0</v>
      </c>
      <c r="AF658" t="s">
        <v>6</v>
      </c>
      <c r="AG658">
        <v>1.1000000000000001E-3</v>
      </c>
      <c r="AH658">
        <v>2</v>
      </c>
      <c r="AI658">
        <v>16753598</v>
      </c>
      <c r="AJ658">
        <v>713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</row>
    <row r="659" spans="1:44" x14ac:dyDescent="0.2">
      <c r="A659">
        <f>ROW(Source!A614)</f>
        <v>614</v>
      </c>
      <c r="B659">
        <v>16753599</v>
      </c>
      <c r="C659">
        <v>16753591</v>
      </c>
      <c r="D659">
        <v>15163170</v>
      </c>
      <c r="E659">
        <v>17</v>
      </c>
      <c r="F659">
        <v>1</v>
      </c>
      <c r="G659">
        <v>1</v>
      </c>
      <c r="H659">
        <v>3</v>
      </c>
      <c r="I659" t="s">
        <v>1592</v>
      </c>
      <c r="J659" t="s">
        <v>6</v>
      </c>
      <c r="K659" t="s">
        <v>1593</v>
      </c>
      <c r="L659">
        <v>1354</v>
      </c>
      <c r="N659">
        <v>1010</v>
      </c>
      <c r="O659" t="s">
        <v>53</v>
      </c>
      <c r="P659" t="s">
        <v>53</v>
      </c>
      <c r="Q659">
        <v>1</v>
      </c>
      <c r="X659">
        <v>1</v>
      </c>
      <c r="Y659">
        <v>0</v>
      </c>
      <c r="Z659">
        <v>0</v>
      </c>
      <c r="AA659">
        <v>0</v>
      </c>
      <c r="AB659">
        <v>0</v>
      </c>
      <c r="AC659">
        <v>0</v>
      </c>
      <c r="AD659">
        <v>0</v>
      </c>
      <c r="AE659">
        <v>0</v>
      </c>
      <c r="AF659" t="s">
        <v>6</v>
      </c>
      <c r="AG659">
        <v>1</v>
      </c>
      <c r="AH659">
        <v>3</v>
      </c>
      <c r="AI659">
        <v>-1</v>
      </c>
      <c r="AJ659" t="s">
        <v>6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</row>
    <row r="660" spans="1:44" x14ac:dyDescent="0.2">
      <c r="A660">
        <f>ROW(Source!A614)</f>
        <v>614</v>
      </c>
      <c r="B660">
        <v>16753600</v>
      </c>
      <c r="C660">
        <v>16753591</v>
      </c>
      <c r="D660">
        <v>15163131</v>
      </c>
      <c r="E660">
        <v>17</v>
      </c>
      <c r="F660">
        <v>1</v>
      </c>
      <c r="G660">
        <v>1</v>
      </c>
      <c r="H660">
        <v>3</v>
      </c>
      <c r="I660" t="s">
        <v>1594</v>
      </c>
      <c r="J660" t="s">
        <v>6</v>
      </c>
      <c r="K660" t="s">
        <v>1595</v>
      </c>
      <c r="L660">
        <v>1354</v>
      </c>
      <c r="N660">
        <v>1010</v>
      </c>
      <c r="O660" t="s">
        <v>53</v>
      </c>
      <c r="P660" t="s">
        <v>53</v>
      </c>
      <c r="Q660">
        <v>1</v>
      </c>
      <c r="X660">
        <v>2</v>
      </c>
      <c r="Y660">
        <v>0</v>
      </c>
      <c r="Z660">
        <v>0</v>
      </c>
      <c r="AA660">
        <v>0</v>
      </c>
      <c r="AB660">
        <v>0</v>
      </c>
      <c r="AC660">
        <v>0</v>
      </c>
      <c r="AD660">
        <v>0</v>
      </c>
      <c r="AE660">
        <v>0</v>
      </c>
      <c r="AF660" t="s">
        <v>6</v>
      </c>
      <c r="AG660">
        <v>2</v>
      </c>
      <c r="AH660">
        <v>3</v>
      </c>
      <c r="AI660">
        <v>-1</v>
      </c>
      <c r="AJ660" t="s">
        <v>6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</row>
    <row r="661" spans="1:44" x14ac:dyDescent="0.2">
      <c r="A661">
        <f>ROW(Source!A616)</f>
        <v>616</v>
      </c>
      <c r="B661">
        <v>16751877</v>
      </c>
      <c r="C661">
        <v>16751864</v>
      </c>
      <c r="D661">
        <v>15436556</v>
      </c>
      <c r="E661">
        <v>1</v>
      </c>
      <c r="F661">
        <v>1</v>
      </c>
      <c r="G661">
        <v>1</v>
      </c>
      <c r="H661">
        <v>1</v>
      </c>
      <c r="I661" t="s">
        <v>1265</v>
      </c>
      <c r="J661" t="s">
        <v>6</v>
      </c>
      <c r="K661" t="s">
        <v>1266</v>
      </c>
      <c r="L661">
        <v>1191</v>
      </c>
      <c r="N661">
        <v>1013</v>
      </c>
      <c r="O661" t="s">
        <v>1072</v>
      </c>
      <c r="P661" t="s">
        <v>1072</v>
      </c>
      <c r="Q661">
        <v>1</v>
      </c>
      <c r="X661">
        <v>8.99</v>
      </c>
      <c r="Y661">
        <v>0</v>
      </c>
      <c r="Z661">
        <v>0</v>
      </c>
      <c r="AA661">
        <v>0</v>
      </c>
      <c r="AB661">
        <v>9.6199999999999992</v>
      </c>
      <c r="AC661">
        <v>0</v>
      </c>
      <c r="AD661">
        <v>1</v>
      </c>
      <c r="AE661">
        <v>1</v>
      </c>
      <c r="AF661" t="s">
        <v>173</v>
      </c>
      <c r="AG661">
        <v>10.3385</v>
      </c>
      <c r="AH661">
        <v>2</v>
      </c>
      <c r="AI661">
        <v>16751865</v>
      </c>
      <c r="AJ661">
        <v>715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</row>
    <row r="662" spans="1:44" x14ac:dyDescent="0.2">
      <c r="A662">
        <f>ROW(Source!A616)</f>
        <v>616</v>
      </c>
      <c r="B662">
        <v>16751878</v>
      </c>
      <c r="C662">
        <v>16751864</v>
      </c>
      <c r="D662">
        <v>15430395</v>
      </c>
      <c r="E662">
        <v>1</v>
      </c>
      <c r="F662">
        <v>1</v>
      </c>
      <c r="G662">
        <v>1</v>
      </c>
      <c r="H662">
        <v>1</v>
      </c>
      <c r="I662" t="s">
        <v>1073</v>
      </c>
      <c r="J662" t="s">
        <v>6</v>
      </c>
      <c r="K662" t="s">
        <v>1074</v>
      </c>
      <c r="L662">
        <v>1191</v>
      </c>
      <c r="N662">
        <v>1013</v>
      </c>
      <c r="O662" t="s">
        <v>1072</v>
      </c>
      <c r="P662" t="s">
        <v>1072</v>
      </c>
      <c r="Q662">
        <v>1</v>
      </c>
      <c r="X662">
        <v>0.21</v>
      </c>
      <c r="Y662">
        <v>0</v>
      </c>
      <c r="Z662">
        <v>0</v>
      </c>
      <c r="AA662">
        <v>0</v>
      </c>
      <c r="AB662">
        <v>0</v>
      </c>
      <c r="AC662">
        <v>0</v>
      </c>
      <c r="AD662">
        <v>1</v>
      </c>
      <c r="AE662">
        <v>2</v>
      </c>
      <c r="AF662" t="s">
        <v>172</v>
      </c>
      <c r="AG662">
        <v>0.26250000000000001</v>
      </c>
      <c r="AH662">
        <v>2</v>
      </c>
      <c r="AI662">
        <v>16751866</v>
      </c>
      <c r="AJ662">
        <v>716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0</v>
      </c>
    </row>
    <row r="663" spans="1:44" x14ac:dyDescent="0.2">
      <c r="A663">
        <f>ROW(Source!A616)</f>
        <v>616</v>
      </c>
      <c r="B663">
        <v>16751879</v>
      </c>
      <c r="C663">
        <v>16751864</v>
      </c>
      <c r="D663">
        <v>15247974</v>
      </c>
      <c r="E663">
        <v>1</v>
      </c>
      <c r="F663">
        <v>1</v>
      </c>
      <c r="G663">
        <v>1</v>
      </c>
      <c r="H663">
        <v>2</v>
      </c>
      <c r="I663" t="s">
        <v>1075</v>
      </c>
      <c r="J663" t="s">
        <v>1076</v>
      </c>
      <c r="K663" t="s">
        <v>1077</v>
      </c>
      <c r="L663">
        <v>1368</v>
      </c>
      <c r="N663">
        <v>1011</v>
      </c>
      <c r="O663" t="s">
        <v>1078</v>
      </c>
      <c r="P663" t="s">
        <v>1078</v>
      </c>
      <c r="Q663">
        <v>1</v>
      </c>
      <c r="X663">
        <v>7.0000000000000007E-2</v>
      </c>
      <c r="Y663">
        <v>0</v>
      </c>
      <c r="Z663">
        <v>31.26</v>
      </c>
      <c r="AA663">
        <v>13.5</v>
      </c>
      <c r="AB663">
        <v>0</v>
      </c>
      <c r="AC663">
        <v>0</v>
      </c>
      <c r="AD663">
        <v>1</v>
      </c>
      <c r="AE663">
        <v>0</v>
      </c>
      <c r="AF663" t="s">
        <v>172</v>
      </c>
      <c r="AG663">
        <v>8.7500000000000008E-2</v>
      </c>
      <c r="AH663">
        <v>2</v>
      </c>
      <c r="AI663">
        <v>16751867</v>
      </c>
      <c r="AJ663">
        <v>717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</row>
    <row r="664" spans="1:44" x14ac:dyDescent="0.2">
      <c r="A664">
        <f>ROW(Source!A616)</f>
        <v>616</v>
      </c>
      <c r="B664">
        <v>16751880</v>
      </c>
      <c r="C664">
        <v>16751864</v>
      </c>
      <c r="D664">
        <v>15249073</v>
      </c>
      <c r="E664">
        <v>1</v>
      </c>
      <c r="F664">
        <v>1</v>
      </c>
      <c r="G664">
        <v>1</v>
      </c>
      <c r="H664">
        <v>2</v>
      </c>
      <c r="I664" t="s">
        <v>1097</v>
      </c>
      <c r="J664" t="s">
        <v>1098</v>
      </c>
      <c r="K664" t="s">
        <v>1099</v>
      </c>
      <c r="L664">
        <v>1368</v>
      </c>
      <c r="N664">
        <v>1011</v>
      </c>
      <c r="O664" t="s">
        <v>1078</v>
      </c>
      <c r="P664" t="s">
        <v>1078</v>
      </c>
      <c r="Q664">
        <v>1</v>
      </c>
      <c r="X664">
        <v>0.14000000000000001</v>
      </c>
      <c r="Y664">
        <v>0</v>
      </c>
      <c r="Z664">
        <v>65.709999999999994</v>
      </c>
      <c r="AA664">
        <v>11.6</v>
      </c>
      <c r="AB664">
        <v>0</v>
      </c>
      <c r="AC664">
        <v>0</v>
      </c>
      <c r="AD664">
        <v>1</v>
      </c>
      <c r="AE664">
        <v>0</v>
      </c>
      <c r="AF664" t="s">
        <v>172</v>
      </c>
      <c r="AG664">
        <v>0.17500000000000002</v>
      </c>
      <c r="AH664">
        <v>2</v>
      </c>
      <c r="AI664">
        <v>16751868</v>
      </c>
      <c r="AJ664">
        <v>718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</row>
    <row r="665" spans="1:44" x14ac:dyDescent="0.2">
      <c r="A665">
        <f>ROW(Source!A616)</f>
        <v>616</v>
      </c>
      <c r="B665">
        <v>16751881</v>
      </c>
      <c r="C665">
        <v>16751864</v>
      </c>
      <c r="D665">
        <v>15167955</v>
      </c>
      <c r="E665">
        <v>1</v>
      </c>
      <c r="F665">
        <v>1</v>
      </c>
      <c r="G665">
        <v>1</v>
      </c>
      <c r="H665">
        <v>3</v>
      </c>
      <c r="I665" t="s">
        <v>1546</v>
      </c>
      <c r="J665" t="s">
        <v>1547</v>
      </c>
      <c r="K665" t="s">
        <v>1548</v>
      </c>
      <c r="L665">
        <v>1348</v>
      </c>
      <c r="N665">
        <v>1009</v>
      </c>
      <c r="O665" t="s">
        <v>71</v>
      </c>
      <c r="P665" t="s">
        <v>71</v>
      </c>
      <c r="Q665">
        <v>1000</v>
      </c>
      <c r="X665">
        <v>1.4E-3</v>
      </c>
      <c r="Y665">
        <v>30030</v>
      </c>
      <c r="Z665">
        <v>0</v>
      </c>
      <c r="AA665">
        <v>0</v>
      </c>
      <c r="AB665">
        <v>0</v>
      </c>
      <c r="AC665">
        <v>0</v>
      </c>
      <c r="AD665">
        <v>1</v>
      </c>
      <c r="AE665">
        <v>0</v>
      </c>
      <c r="AF665" t="s">
        <v>6</v>
      </c>
      <c r="AG665">
        <v>1.4E-3</v>
      </c>
      <c r="AH665">
        <v>2</v>
      </c>
      <c r="AI665">
        <v>16751869</v>
      </c>
      <c r="AJ665">
        <v>719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</row>
    <row r="666" spans="1:44" x14ac:dyDescent="0.2">
      <c r="A666">
        <f>ROW(Source!A616)</f>
        <v>616</v>
      </c>
      <c r="B666">
        <v>16751882</v>
      </c>
      <c r="C666">
        <v>16751864</v>
      </c>
      <c r="D666">
        <v>15167963</v>
      </c>
      <c r="E666">
        <v>1</v>
      </c>
      <c r="F666">
        <v>1</v>
      </c>
      <c r="G666">
        <v>1</v>
      </c>
      <c r="H666">
        <v>3</v>
      </c>
      <c r="I666" t="s">
        <v>1549</v>
      </c>
      <c r="J666" t="s">
        <v>1550</v>
      </c>
      <c r="K666" t="s">
        <v>1551</v>
      </c>
      <c r="L666">
        <v>1346</v>
      </c>
      <c r="N666">
        <v>1009</v>
      </c>
      <c r="O666" t="s">
        <v>323</v>
      </c>
      <c r="P666" t="s">
        <v>323</v>
      </c>
      <c r="Q666">
        <v>1</v>
      </c>
      <c r="X666">
        <v>0.02</v>
      </c>
      <c r="Y666">
        <v>37.29</v>
      </c>
      <c r="Z666">
        <v>0</v>
      </c>
      <c r="AA666">
        <v>0</v>
      </c>
      <c r="AB666">
        <v>0</v>
      </c>
      <c r="AC666">
        <v>0</v>
      </c>
      <c r="AD666">
        <v>1</v>
      </c>
      <c r="AE666">
        <v>0</v>
      </c>
      <c r="AF666" t="s">
        <v>6</v>
      </c>
      <c r="AG666">
        <v>0.02</v>
      </c>
      <c r="AH666">
        <v>2</v>
      </c>
      <c r="AI666">
        <v>16751870</v>
      </c>
      <c r="AJ666">
        <v>720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0</v>
      </c>
    </row>
    <row r="667" spans="1:44" x14ac:dyDescent="0.2">
      <c r="A667">
        <f>ROW(Source!A616)</f>
        <v>616</v>
      </c>
      <c r="B667">
        <v>16751883</v>
      </c>
      <c r="C667">
        <v>16751864</v>
      </c>
      <c r="D667">
        <v>15163011</v>
      </c>
      <c r="E667">
        <v>17</v>
      </c>
      <c r="F667">
        <v>1</v>
      </c>
      <c r="G667">
        <v>1</v>
      </c>
      <c r="H667">
        <v>3</v>
      </c>
      <c r="I667" t="s">
        <v>1588</v>
      </c>
      <c r="J667" t="s">
        <v>6</v>
      </c>
      <c r="K667" t="s">
        <v>1589</v>
      </c>
      <c r="L667">
        <v>1358</v>
      </c>
      <c r="N667">
        <v>1010</v>
      </c>
      <c r="O667" t="s">
        <v>615</v>
      </c>
      <c r="P667" t="s">
        <v>615</v>
      </c>
      <c r="Q667">
        <v>10</v>
      </c>
      <c r="X667">
        <v>4</v>
      </c>
      <c r="Y667">
        <v>0</v>
      </c>
      <c r="Z667">
        <v>0</v>
      </c>
      <c r="AA667">
        <v>0</v>
      </c>
      <c r="AB667">
        <v>0</v>
      </c>
      <c r="AC667">
        <v>0</v>
      </c>
      <c r="AD667">
        <v>0</v>
      </c>
      <c r="AE667">
        <v>0</v>
      </c>
      <c r="AF667" t="s">
        <v>6</v>
      </c>
      <c r="AG667">
        <v>4</v>
      </c>
      <c r="AH667">
        <v>3</v>
      </c>
      <c r="AI667">
        <v>-1</v>
      </c>
      <c r="AJ667" t="s">
        <v>6</v>
      </c>
      <c r="AK667">
        <v>0</v>
      </c>
      <c r="AL667">
        <v>0</v>
      </c>
      <c r="AM667">
        <v>0</v>
      </c>
      <c r="AN667">
        <v>0</v>
      </c>
      <c r="AO667">
        <v>0</v>
      </c>
      <c r="AP667">
        <v>0</v>
      </c>
      <c r="AQ667">
        <v>0</v>
      </c>
      <c r="AR667">
        <v>0</v>
      </c>
    </row>
    <row r="668" spans="1:44" x14ac:dyDescent="0.2">
      <c r="A668">
        <f>ROW(Source!A616)</f>
        <v>616</v>
      </c>
      <c r="B668">
        <v>16751884</v>
      </c>
      <c r="C668">
        <v>16751864</v>
      </c>
      <c r="D668">
        <v>15162072</v>
      </c>
      <c r="E668">
        <v>17</v>
      </c>
      <c r="F668">
        <v>1</v>
      </c>
      <c r="G668">
        <v>1</v>
      </c>
      <c r="H668">
        <v>3</v>
      </c>
      <c r="I668" t="s">
        <v>1590</v>
      </c>
      <c r="J668" t="s">
        <v>6</v>
      </c>
      <c r="K668" t="s">
        <v>1591</v>
      </c>
      <c r="L668">
        <v>1348</v>
      </c>
      <c r="N668">
        <v>1009</v>
      </c>
      <c r="O668" t="s">
        <v>71</v>
      </c>
      <c r="P668" t="s">
        <v>71</v>
      </c>
      <c r="Q668">
        <v>1000</v>
      </c>
      <c r="X668">
        <v>6.9999999999999999E-4</v>
      </c>
      <c r="Y668">
        <v>0</v>
      </c>
      <c r="Z668">
        <v>0</v>
      </c>
      <c r="AA668">
        <v>0</v>
      </c>
      <c r="AB668">
        <v>0</v>
      </c>
      <c r="AC668">
        <v>0</v>
      </c>
      <c r="AD668">
        <v>0</v>
      </c>
      <c r="AE668">
        <v>0</v>
      </c>
      <c r="AF668" t="s">
        <v>6</v>
      </c>
      <c r="AG668">
        <v>6.9999999999999999E-4</v>
      </c>
      <c r="AH668">
        <v>3</v>
      </c>
      <c r="AI668">
        <v>-1</v>
      </c>
      <c r="AJ668" t="s">
        <v>6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0</v>
      </c>
    </row>
    <row r="669" spans="1:44" x14ac:dyDescent="0.2">
      <c r="A669">
        <f>ROW(Source!A616)</f>
        <v>616</v>
      </c>
      <c r="B669">
        <v>16751885</v>
      </c>
      <c r="C669">
        <v>16751864</v>
      </c>
      <c r="D669">
        <v>15172117</v>
      </c>
      <c r="E669">
        <v>1</v>
      </c>
      <c r="F669">
        <v>1</v>
      </c>
      <c r="G669">
        <v>1</v>
      </c>
      <c r="H669">
        <v>3</v>
      </c>
      <c r="I669" t="s">
        <v>1552</v>
      </c>
      <c r="J669" t="s">
        <v>1553</v>
      </c>
      <c r="K669" t="s">
        <v>1554</v>
      </c>
      <c r="L669">
        <v>1348</v>
      </c>
      <c r="N669">
        <v>1009</v>
      </c>
      <c r="O669" t="s">
        <v>71</v>
      </c>
      <c r="P669" t="s">
        <v>71</v>
      </c>
      <c r="Q669">
        <v>1000</v>
      </c>
      <c r="X669">
        <v>2E-3</v>
      </c>
      <c r="Y669">
        <v>1836</v>
      </c>
      <c r="Z669">
        <v>0</v>
      </c>
      <c r="AA669">
        <v>0</v>
      </c>
      <c r="AB669">
        <v>0</v>
      </c>
      <c r="AC669">
        <v>0</v>
      </c>
      <c r="AD669">
        <v>1</v>
      </c>
      <c r="AE669">
        <v>0</v>
      </c>
      <c r="AF669" t="s">
        <v>6</v>
      </c>
      <c r="AG669">
        <v>2E-3</v>
      </c>
      <c r="AH669">
        <v>2</v>
      </c>
      <c r="AI669">
        <v>16751871</v>
      </c>
      <c r="AJ669">
        <v>721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0</v>
      </c>
    </row>
    <row r="670" spans="1:44" x14ac:dyDescent="0.2">
      <c r="A670">
        <f>ROW(Source!A616)</f>
        <v>616</v>
      </c>
      <c r="B670">
        <v>16751886</v>
      </c>
      <c r="C670">
        <v>16751864</v>
      </c>
      <c r="D670">
        <v>15203740</v>
      </c>
      <c r="E670">
        <v>1</v>
      </c>
      <c r="F670">
        <v>1</v>
      </c>
      <c r="G670">
        <v>1</v>
      </c>
      <c r="H670">
        <v>3</v>
      </c>
      <c r="I670" t="s">
        <v>1555</v>
      </c>
      <c r="J670" t="s">
        <v>1556</v>
      </c>
      <c r="K670" t="s">
        <v>1557</v>
      </c>
      <c r="L670">
        <v>1348</v>
      </c>
      <c r="N670">
        <v>1009</v>
      </c>
      <c r="O670" t="s">
        <v>71</v>
      </c>
      <c r="P670" t="s">
        <v>71</v>
      </c>
      <c r="Q670">
        <v>1000</v>
      </c>
      <c r="X670">
        <v>4.0000000000000002E-4</v>
      </c>
      <c r="Y670">
        <v>15119</v>
      </c>
      <c r="Z670">
        <v>0</v>
      </c>
      <c r="AA670">
        <v>0</v>
      </c>
      <c r="AB670">
        <v>0</v>
      </c>
      <c r="AC670">
        <v>0</v>
      </c>
      <c r="AD670">
        <v>1</v>
      </c>
      <c r="AE670">
        <v>0</v>
      </c>
      <c r="AF670" t="s">
        <v>6</v>
      </c>
      <c r="AG670">
        <v>4.0000000000000002E-4</v>
      </c>
      <c r="AH670">
        <v>2</v>
      </c>
      <c r="AI670">
        <v>16751872</v>
      </c>
      <c r="AJ670">
        <v>722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0</v>
      </c>
      <c r="AR670">
        <v>0</v>
      </c>
    </row>
    <row r="671" spans="1:44" x14ac:dyDescent="0.2">
      <c r="A671">
        <f>ROW(Source!A616)</f>
        <v>616</v>
      </c>
      <c r="B671">
        <v>16751887</v>
      </c>
      <c r="C671">
        <v>16751864</v>
      </c>
      <c r="D671">
        <v>15163194</v>
      </c>
      <c r="E671">
        <v>17</v>
      </c>
      <c r="F671">
        <v>1</v>
      </c>
      <c r="G671">
        <v>1</v>
      </c>
      <c r="H671">
        <v>3</v>
      </c>
      <c r="I671" t="s">
        <v>1596</v>
      </c>
      <c r="J671" t="s">
        <v>6</v>
      </c>
      <c r="K671" t="s">
        <v>1597</v>
      </c>
      <c r="L671">
        <v>1346</v>
      </c>
      <c r="N671">
        <v>1009</v>
      </c>
      <c r="O671" t="s">
        <v>323</v>
      </c>
      <c r="P671" t="s">
        <v>323</v>
      </c>
      <c r="Q671">
        <v>1</v>
      </c>
      <c r="X671">
        <v>2</v>
      </c>
      <c r="Y671">
        <v>0</v>
      </c>
      <c r="Z671">
        <v>0</v>
      </c>
      <c r="AA671">
        <v>0</v>
      </c>
      <c r="AB671">
        <v>0</v>
      </c>
      <c r="AC671">
        <v>0</v>
      </c>
      <c r="AD671">
        <v>0</v>
      </c>
      <c r="AE671">
        <v>0</v>
      </c>
      <c r="AF671" t="s">
        <v>6</v>
      </c>
      <c r="AG671">
        <v>2</v>
      </c>
      <c r="AH671">
        <v>3</v>
      </c>
      <c r="AI671">
        <v>-1</v>
      </c>
      <c r="AJ671" t="s">
        <v>6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0</v>
      </c>
    </row>
    <row r="672" spans="1:44" x14ac:dyDescent="0.2">
      <c r="A672">
        <f>ROW(Source!A616)</f>
        <v>616</v>
      </c>
      <c r="B672">
        <v>16751888</v>
      </c>
      <c r="C672">
        <v>16751864</v>
      </c>
      <c r="D672">
        <v>15204468</v>
      </c>
      <c r="E672">
        <v>1</v>
      </c>
      <c r="F672">
        <v>1</v>
      </c>
      <c r="G672">
        <v>1</v>
      </c>
      <c r="H672">
        <v>3</v>
      </c>
      <c r="I672" t="s">
        <v>1558</v>
      </c>
      <c r="J672" t="s">
        <v>1559</v>
      </c>
      <c r="K672" t="s">
        <v>1560</v>
      </c>
      <c r="L672">
        <v>1348</v>
      </c>
      <c r="N672">
        <v>1009</v>
      </c>
      <c r="O672" t="s">
        <v>71</v>
      </c>
      <c r="P672" t="s">
        <v>71</v>
      </c>
      <c r="Q672">
        <v>1000</v>
      </c>
      <c r="X672">
        <v>2.0000000000000001E-4</v>
      </c>
      <c r="Y672">
        <v>16950</v>
      </c>
      <c r="Z672">
        <v>0</v>
      </c>
      <c r="AA672">
        <v>0</v>
      </c>
      <c r="AB672">
        <v>0</v>
      </c>
      <c r="AC672">
        <v>0</v>
      </c>
      <c r="AD672">
        <v>1</v>
      </c>
      <c r="AE672">
        <v>0</v>
      </c>
      <c r="AF672" t="s">
        <v>6</v>
      </c>
      <c r="AG672">
        <v>2.0000000000000001E-4</v>
      </c>
      <c r="AH672">
        <v>2</v>
      </c>
      <c r="AI672">
        <v>16751873</v>
      </c>
      <c r="AJ672">
        <v>723</v>
      </c>
      <c r="AK672">
        <v>0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0</v>
      </c>
    </row>
    <row r="673" spans="1:44" x14ac:dyDescent="0.2">
      <c r="A673">
        <f>ROW(Source!A616)</f>
        <v>616</v>
      </c>
      <c r="B673">
        <v>16751889</v>
      </c>
      <c r="C673">
        <v>16751864</v>
      </c>
      <c r="D673">
        <v>15161722</v>
      </c>
      <c r="E673">
        <v>17</v>
      </c>
      <c r="F673">
        <v>1</v>
      </c>
      <c r="G673">
        <v>1</v>
      </c>
      <c r="H673">
        <v>3</v>
      </c>
      <c r="I673" t="s">
        <v>1598</v>
      </c>
      <c r="J673" t="s">
        <v>6</v>
      </c>
      <c r="K673" t="s">
        <v>1599</v>
      </c>
      <c r="L673">
        <v>1035</v>
      </c>
      <c r="N673">
        <v>1013</v>
      </c>
      <c r="O673" t="s">
        <v>230</v>
      </c>
      <c r="P673" t="s">
        <v>230</v>
      </c>
      <c r="Q673">
        <v>1</v>
      </c>
      <c r="X673">
        <v>10</v>
      </c>
      <c r="Y673">
        <v>0</v>
      </c>
      <c r="Z673">
        <v>0</v>
      </c>
      <c r="AA673">
        <v>0</v>
      </c>
      <c r="AB673">
        <v>0</v>
      </c>
      <c r="AC673">
        <v>0</v>
      </c>
      <c r="AD673">
        <v>0</v>
      </c>
      <c r="AE673">
        <v>0</v>
      </c>
      <c r="AF673" t="s">
        <v>6</v>
      </c>
      <c r="AG673">
        <v>10</v>
      </c>
      <c r="AH673">
        <v>3</v>
      </c>
      <c r="AI673">
        <v>-1</v>
      </c>
      <c r="AJ673" t="s">
        <v>6</v>
      </c>
      <c r="AK673">
        <v>0</v>
      </c>
      <c r="AL673">
        <v>0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0</v>
      </c>
    </row>
    <row r="674" spans="1:44" x14ac:dyDescent="0.2">
      <c r="A674">
        <f>ROW(Source!A620)</f>
        <v>620</v>
      </c>
      <c r="B674">
        <v>16751898</v>
      </c>
      <c r="C674">
        <v>16751893</v>
      </c>
      <c r="D674">
        <v>15436556</v>
      </c>
      <c r="E674">
        <v>1</v>
      </c>
      <c r="F674">
        <v>1</v>
      </c>
      <c r="G674">
        <v>1</v>
      </c>
      <c r="H674">
        <v>1</v>
      </c>
      <c r="I674" t="s">
        <v>1265</v>
      </c>
      <c r="J674" t="s">
        <v>6</v>
      </c>
      <c r="K674" t="s">
        <v>1266</v>
      </c>
      <c r="L674">
        <v>1191</v>
      </c>
      <c r="N674">
        <v>1013</v>
      </c>
      <c r="O674" t="s">
        <v>1072</v>
      </c>
      <c r="P674" t="s">
        <v>1072</v>
      </c>
      <c r="Q674">
        <v>1</v>
      </c>
      <c r="X674">
        <v>7</v>
      </c>
      <c r="Y674">
        <v>0</v>
      </c>
      <c r="Z674">
        <v>0</v>
      </c>
      <c r="AA674">
        <v>0</v>
      </c>
      <c r="AB674">
        <v>9.6199999999999992</v>
      </c>
      <c r="AC674">
        <v>0</v>
      </c>
      <c r="AD674">
        <v>1</v>
      </c>
      <c r="AE674">
        <v>1</v>
      </c>
      <c r="AF674" t="s">
        <v>173</v>
      </c>
      <c r="AG674">
        <v>8.0499999999999989</v>
      </c>
      <c r="AH674">
        <v>2</v>
      </c>
      <c r="AI674">
        <v>16751894</v>
      </c>
      <c r="AJ674">
        <v>727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</row>
    <row r="675" spans="1:44" x14ac:dyDescent="0.2">
      <c r="A675">
        <f>ROW(Source!A620)</f>
        <v>620</v>
      </c>
      <c r="B675">
        <v>16751899</v>
      </c>
      <c r="C675">
        <v>16751893</v>
      </c>
      <c r="D675">
        <v>15167963</v>
      </c>
      <c r="E675">
        <v>1</v>
      </c>
      <c r="F675">
        <v>1</v>
      </c>
      <c r="G675">
        <v>1</v>
      </c>
      <c r="H675">
        <v>3</v>
      </c>
      <c r="I675" t="s">
        <v>1549</v>
      </c>
      <c r="J675" t="s">
        <v>1550</v>
      </c>
      <c r="K675" t="s">
        <v>1551</v>
      </c>
      <c r="L675">
        <v>1346</v>
      </c>
      <c r="N675">
        <v>1009</v>
      </c>
      <c r="O675" t="s">
        <v>323</v>
      </c>
      <c r="P675" t="s">
        <v>323</v>
      </c>
      <c r="Q675">
        <v>1</v>
      </c>
      <c r="X675">
        <v>0.13</v>
      </c>
      <c r="Y675">
        <v>37.29</v>
      </c>
      <c r="Z675">
        <v>0</v>
      </c>
      <c r="AA675">
        <v>0</v>
      </c>
      <c r="AB675">
        <v>0</v>
      </c>
      <c r="AC675">
        <v>0</v>
      </c>
      <c r="AD675">
        <v>1</v>
      </c>
      <c r="AE675">
        <v>0</v>
      </c>
      <c r="AF675" t="s">
        <v>6</v>
      </c>
      <c r="AG675">
        <v>0.13</v>
      </c>
      <c r="AH675">
        <v>2</v>
      </c>
      <c r="AI675">
        <v>16751895</v>
      </c>
      <c r="AJ675">
        <v>728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</row>
    <row r="676" spans="1:44" x14ac:dyDescent="0.2">
      <c r="A676">
        <f>ROW(Source!A620)</f>
        <v>620</v>
      </c>
      <c r="B676">
        <v>16751900</v>
      </c>
      <c r="C676">
        <v>16751893</v>
      </c>
      <c r="D676">
        <v>15163011</v>
      </c>
      <c r="E676">
        <v>17</v>
      </c>
      <c r="F676">
        <v>1</v>
      </c>
      <c r="G676">
        <v>1</v>
      </c>
      <c r="H676">
        <v>3</v>
      </c>
      <c r="I676" t="s">
        <v>1588</v>
      </c>
      <c r="J676" t="s">
        <v>6</v>
      </c>
      <c r="K676" t="s">
        <v>1589</v>
      </c>
      <c r="L676">
        <v>1358</v>
      </c>
      <c r="N676">
        <v>1010</v>
      </c>
      <c r="O676" t="s">
        <v>615</v>
      </c>
      <c r="P676" t="s">
        <v>615</v>
      </c>
      <c r="Q676">
        <v>10</v>
      </c>
      <c r="X676">
        <v>2</v>
      </c>
      <c r="Y676">
        <v>0</v>
      </c>
      <c r="Z676">
        <v>0</v>
      </c>
      <c r="AA676">
        <v>0</v>
      </c>
      <c r="AB676">
        <v>0</v>
      </c>
      <c r="AC676">
        <v>0</v>
      </c>
      <c r="AD676">
        <v>0</v>
      </c>
      <c r="AE676">
        <v>0</v>
      </c>
      <c r="AF676" t="s">
        <v>6</v>
      </c>
      <c r="AG676">
        <v>2</v>
      </c>
      <c r="AH676">
        <v>3</v>
      </c>
      <c r="AI676">
        <v>-1</v>
      </c>
      <c r="AJ676" t="s">
        <v>6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0</v>
      </c>
      <c r="AR676">
        <v>0</v>
      </c>
    </row>
    <row r="677" spans="1:44" x14ac:dyDescent="0.2">
      <c r="A677">
        <f>ROW(Source!A620)</f>
        <v>620</v>
      </c>
      <c r="B677">
        <v>16751901</v>
      </c>
      <c r="C677">
        <v>16751893</v>
      </c>
      <c r="D677">
        <v>15162072</v>
      </c>
      <c r="E677">
        <v>17</v>
      </c>
      <c r="F677">
        <v>1</v>
      </c>
      <c r="G677">
        <v>1</v>
      </c>
      <c r="H677">
        <v>3</v>
      </c>
      <c r="I677" t="s">
        <v>1590</v>
      </c>
      <c r="J677" t="s">
        <v>6</v>
      </c>
      <c r="K677" t="s">
        <v>1591</v>
      </c>
      <c r="L677">
        <v>1348</v>
      </c>
      <c r="N677">
        <v>1009</v>
      </c>
      <c r="O677" t="s">
        <v>71</v>
      </c>
      <c r="P677" t="s">
        <v>71</v>
      </c>
      <c r="Q677">
        <v>1000</v>
      </c>
      <c r="X677">
        <v>1E-4</v>
      </c>
      <c r="Y677">
        <v>0</v>
      </c>
      <c r="Z677">
        <v>0</v>
      </c>
      <c r="AA677">
        <v>0</v>
      </c>
      <c r="AB677">
        <v>0</v>
      </c>
      <c r="AC677">
        <v>0</v>
      </c>
      <c r="AD677">
        <v>0</v>
      </c>
      <c r="AE677">
        <v>0</v>
      </c>
      <c r="AF677" t="s">
        <v>6</v>
      </c>
      <c r="AG677">
        <v>1E-4</v>
      </c>
      <c r="AH677">
        <v>3</v>
      </c>
      <c r="AI677">
        <v>-1</v>
      </c>
      <c r="AJ677" t="s">
        <v>6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0</v>
      </c>
    </row>
    <row r="678" spans="1:44" x14ac:dyDescent="0.2">
      <c r="A678">
        <f>ROW(Source!A620)</f>
        <v>620</v>
      </c>
      <c r="B678">
        <v>16751902</v>
      </c>
      <c r="C678">
        <v>16751893</v>
      </c>
      <c r="D678">
        <v>15203740</v>
      </c>
      <c r="E678">
        <v>1</v>
      </c>
      <c r="F678">
        <v>1</v>
      </c>
      <c r="G678">
        <v>1</v>
      </c>
      <c r="H678">
        <v>3</v>
      </c>
      <c r="I678" t="s">
        <v>1555</v>
      </c>
      <c r="J678" t="s">
        <v>1556</v>
      </c>
      <c r="K678" t="s">
        <v>1557</v>
      </c>
      <c r="L678">
        <v>1348</v>
      </c>
      <c r="N678">
        <v>1009</v>
      </c>
      <c r="O678" t="s">
        <v>71</v>
      </c>
      <c r="P678" t="s">
        <v>71</v>
      </c>
      <c r="Q678">
        <v>1000</v>
      </c>
      <c r="X678">
        <v>2.5999999999999998E-4</v>
      </c>
      <c r="Y678">
        <v>15119</v>
      </c>
      <c r="Z678">
        <v>0</v>
      </c>
      <c r="AA678">
        <v>0</v>
      </c>
      <c r="AB678">
        <v>0</v>
      </c>
      <c r="AC678">
        <v>0</v>
      </c>
      <c r="AD678">
        <v>1</v>
      </c>
      <c r="AE678">
        <v>0</v>
      </c>
      <c r="AF678" t="s">
        <v>6</v>
      </c>
      <c r="AG678">
        <v>2.5999999999999998E-4</v>
      </c>
      <c r="AH678">
        <v>2</v>
      </c>
      <c r="AI678">
        <v>16751896</v>
      </c>
      <c r="AJ678">
        <v>729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0</v>
      </c>
    </row>
    <row r="679" spans="1:44" x14ac:dyDescent="0.2">
      <c r="A679">
        <f>ROW(Source!A620)</f>
        <v>620</v>
      </c>
      <c r="B679">
        <v>16751903</v>
      </c>
      <c r="C679">
        <v>16751893</v>
      </c>
      <c r="D679">
        <v>15204468</v>
      </c>
      <c r="E679">
        <v>1</v>
      </c>
      <c r="F679">
        <v>1</v>
      </c>
      <c r="G679">
        <v>1</v>
      </c>
      <c r="H679">
        <v>3</v>
      </c>
      <c r="I679" t="s">
        <v>1558</v>
      </c>
      <c r="J679" t="s">
        <v>1559</v>
      </c>
      <c r="K679" t="s">
        <v>1560</v>
      </c>
      <c r="L679">
        <v>1348</v>
      </c>
      <c r="N679">
        <v>1009</v>
      </c>
      <c r="O679" t="s">
        <v>71</v>
      </c>
      <c r="P679" t="s">
        <v>71</v>
      </c>
      <c r="Q679">
        <v>1000</v>
      </c>
      <c r="X679">
        <v>1.2999999999999999E-4</v>
      </c>
      <c r="Y679">
        <v>16950</v>
      </c>
      <c r="Z679">
        <v>0</v>
      </c>
      <c r="AA679">
        <v>0</v>
      </c>
      <c r="AB679">
        <v>0</v>
      </c>
      <c r="AC679">
        <v>0</v>
      </c>
      <c r="AD679">
        <v>1</v>
      </c>
      <c r="AE679">
        <v>0</v>
      </c>
      <c r="AF679" t="s">
        <v>6</v>
      </c>
      <c r="AG679">
        <v>1.2999999999999999E-4</v>
      </c>
      <c r="AH679">
        <v>2</v>
      </c>
      <c r="AI679">
        <v>16751897</v>
      </c>
      <c r="AJ679">
        <v>730</v>
      </c>
      <c r="AK679">
        <v>0</v>
      </c>
      <c r="AL679">
        <v>0</v>
      </c>
      <c r="AM679">
        <v>0</v>
      </c>
      <c r="AN679">
        <v>0</v>
      </c>
      <c r="AO679">
        <v>0</v>
      </c>
      <c r="AP679">
        <v>0</v>
      </c>
      <c r="AQ679">
        <v>0</v>
      </c>
      <c r="AR679">
        <v>0</v>
      </c>
    </row>
    <row r="680" spans="1:44" x14ac:dyDescent="0.2">
      <c r="A680">
        <f>ROW(Source!A620)</f>
        <v>620</v>
      </c>
      <c r="B680">
        <v>16751904</v>
      </c>
      <c r="C680">
        <v>16751893</v>
      </c>
      <c r="D680">
        <v>15163207</v>
      </c>
      <c r="E680">
        <v>17</v>
      </c>
      <c r="F680">
        <v>1</v>
      </c>
      <c r="G680">
        <v>1</v>
      </c>
      <c r="H680">
        <v>3</v>
      </c>
      <c r="I680" t="s">
        <v>1600</v>
      </c>
      <c r="J680" t="s">
        <v>6</v>
      </c>
      <c r="K680" t="s">
        <v>1601</v>
      </c>
      <c r="L680">
        <v>1354</v>
      </c>
      <c r="N680">
        <v>1010</v>
      </c>
      <c r="O680" t="s">
        <v>53</v>
      </c>
      <c r="P680" t="s">
        <v>53</v>
      </c>
      <c r="Q680">
        <v>1</v>
      </c>
      <c r="X680">
        <v>10</v>
      </c>
      <c r="Y680">
        <v>0</v>
      </c>
      <c r="Z680">
        <v>0</v>
      </c>
      <c r="AA680">
        <v>0</v>
      </c>
      <c r="AB680">
        <v>0</v>
      </c>
      <c r="AC680">
        <v>0</v>
      </c>
      <c r="AD680">
        <v>0</v>
      </c>
      <c r="AE680">
        <v>0</v>
      </c>
      <c r="AF680" t="s">
        <v>6</v>
      </c>
      <c r="AG680">
        <v>10</v>
      </c>
      <c r="AH680">
        <v>3</v>
      </c>
      <c r="AI680">
        <v>-1</v>
      </c>
      <c r="AJ680" t="s">
        <v>6</v>
      </c>
      <c r="AK680">
        <v>0</v>
      </c>
      <c r="AL680">
        <v>0</v>
      </c>
      <c r="AM680">
        <v>0</v>
      </c>
      <c r="AN680">
        <v>0</v>
      </c>
      <c r="AO680">
        <v>0</v>
      </c>
      <c r="AP680">
        <v>0</v>
      </c>
      <c r="AQ680">
        <v>0</v>
      </c>
      <c r="AR680">
        <v>0</v>
      </c>
    </row>
    <row r="681" spans="1:44" x14ac:dyDescent="0.2">
      <c r="A681">
        <f>ROW(Source!A655)</f>
        <v>655</v>
      </c>
      <c r="B681">
        <v>16751933</v>
      </c>
      <c r="C681">
        <v>16751926</v>
      </c>
      <c r="D681">
        <v>15436556</v>
      </c>
      <c r="E681">
        <v>1</v>
      </c>
      <c r="F681">
        <v>1</v>
      </c>
      <c r="G681">
        <v>1</v>
      </c>
      <c r="H681">
        <v>1</v>
      </c>
      <c r="I681" t="s">
        <v>1265</v>
      </c>
      <c r="J681" t="s">
        <v>6</v>
      </c>
      <c r="K681" t="s">
        <v>1266</v>
      </c>
      <c r="L681">
        <v>1191</v>
      </c>
      <c r="N681">
        <v>1013</v>
      </c>
      <c r="O681" t="s">
        <v>1072</v>
      </c>
      <c r="P681" t="s">
        <v>1072</v>
      </c>
      <c r="Q681">
        <v>1</v>
      </c>
      <c r="X681">
        <v>8.77</v>
      </c>
      <c r="Y681">
        <v>0</v>
      </c>
      <c r="Z681">
        <v>0</v>
      </c>
      <c r="AA681">
        <v>0</v>
      </c>
      <c r="AB681">
        <v>9.6199999999999992</v>
      </c>
      <c r="AC681">
        <v>0</v>
      </c>
      <c r="AD681">
        <v>1</v>
      </c>
      <c r="AE681">
        <v>1</v>
      </c>
      <c r="AF681" t="s">
        <v>956</v>
      </c>
      <c r="AG681">
        <v>3.508</v>
      </c>
      <c r="AH681">
        <v>2</v>
      </c>
      <c r="AI681">
        <v>16751927</v>
      </c>
      <c r="AJ681">
        <v>731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0</v>
      </c>
    </row>
    <row r="682" spans="1:44" x14ac:dyDescent="0.2">
      <c r="A682">
        <f>ROW(Source!A655)</f>
        <v>655</v>
      </c>
      <c r="B682">
        <v>16751934</v>
      </c>
      <c r="C682">
        <v>16751926</v>
      </c>
      <c r="D682">
        <v>15430395</v>
      </c>
      <c r="E682">
        <v>1</v>
      </c>
      <c r="F682">
        <v>1</v>
      </c>
      <c r="G682">
        <v>1</v>
      </c>
      <c r="H682">
        <v>1</v>
      </c>
      <c r="I682" t="s">
        <v>1073</v>
      </c>
      <c r="J682" t="s">
        <v>6</v>
      </c>
      <c r="K682" t="s">
        <v>1074</v>
      </c>
      <c r="L682">
        <v>1191</v>
      </c>
      <c r="N682">
        <v>1013</v>
      </c>
      <c r="O682" t="s">
        <v>1072</v>
      </c>
      <c r="P682" t="s">
        <v>1072</v>
      </c>
      <c r="Q682">
        <v>1</v>
      </c>
      <c r="X682">
        <v>0.28999999999999998</v>
      </c>
      <c r="Y682">
        <v>0</v>
      </c>
      <c r="Z682">
        <v>0</v>
      </c>
      <c r="AA682">
        <v>0</v>
      </c>
      <c r="AB682">
        <v>0</v>
      </c>
      <c r="AC682">
        <v>0</v>
      </c>
      <c r="AD682">
        <v>1</v>
      </c>
      <c r="AE682">
        <v>2</v>
      </c>
      <c r="AF682" t="s">
        <v>956</v>
      </c>
      <c r="AG682">
        <v>0.11599999999999999</v>
      </c>
      <c r="AH682">
        <v>2</v>
      </c>
      <c r="AI682">
        <v>16751928</v>
      </c>
      <c r="AJ682">
        <v>732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0</v>
      </c>
      <c r="AQ682">
        <v>0</v>
      </c>
      <c r="AR682">
        <v>0</v>
      </c>
    </row>
    <row r="683" spans="1:44" x14ac:dyDescent="0.2">
      <c r="A683">
        <f>ROW(Source!A655)</f>
        <v>655</v>
      </c>
      <c r="B683">
        <v>16751935</v>
      </c>
      <c r="C683">
        <v>16751926</v>
      </c>
      <c r="D683">
        <v>15247974</v>
      </c>
      <c r="E683">
        <v>1</v>
      </c>
      <c r="F683">
        <v>1</v>
      </c>
      <c r="G683">
        <v>1</v>
      </c>
      <c r="H683">
        <v>2</v>
      </c>
      <c r="I683" t="s">
        <v>1075</v>
      </c>
      <c r="J683" t="s">
        <v>1076</v>
      </c>
      <c r="K683" t="s">
        <v>1077</v>
      </c>
      <c r="L683">
        <v>1368</v>
      </c>
      <c r="N683">
        <v>1011</v>
      </c>
      <c r="O683" t="s">
        <v>1078</v>
      </c>
      <c r="P683" t="s">
        <v>1078</v>
      </c>
      <c r="Q683">
        <v>1</v>
      </c>
      <c r="X683">
        <v>0.1</v>
      </c>
      <c r="Y683">
        <v>0</v>
      </c>
      <c r="Z683">
        <v>31.26</v>
      </c>
      <c r="AA683">
        <v>13.5</v>
      </c>
      <c r="AB683">
        <v>0</v>
      </c>
      <c r="AC683">
        <v>0</v>
      </c>
      <c r="AD683">
        <v>1</v>
      </c>
      <c r="AE683">
        <v>0</v>
      </c>
      <c r="AF683" t="s">
        <v>956</v>
      </c>
      <c r="AG683">
        <v>4.0000000000000008E-2</v>
      </c>
      <c r="AH683">
        <v>2</v>
      </c>
      <c r="AI683">
        <v>16751929</v>
      </c>
      <c r="AJ683">
        <v>733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0</v>
      </c>
    </row>
    <row r="684" spans="1:44" x14ac:dyDescent="0.2">
      <c r="A684">
        <f>ROW(Source!A655)</f>
        <v>655</v>
      </c>
      <c r="B684">
        <v>16751936</v>
      </c>
      <c r="C684">
        <v>16751926</v>
      </c>
      <c r="D684">
        <v>15249073</v>
      </c>
      <c r="E684">
        <v>1</v>
      </c>
      <c r="F684">
        <v>1</v>
      </c>
      <c r="G684">
        <v>1</v>
      </c>
      <c r="H684">
        <v>2</v>
      </c>
      <c r="I684" t="s">
        <v>1097</v>
      </c>
      <c r="J684" t="s">
        <v>1098</v>
      </c>
      <c r="K684" t="s">
        <v>1099</v>
      </c>
      <c r="L684">
        <v>1368</v>
      </c>
      <c r="N684">
        <v>1011</v>
      </c>
      <c r="O684" t="s">
        <v>1078</v>
      </c>
      <c r="P684" t="s">
        <v>1078</v>
      </c>
      <c r="Q684">
        <v>1</v>
      </c>
      <c r="X684">
        <v>0.19</v>
      </c>
      <c r="Y684">
        <v>0</v>
      </c>
      <c r="Z684">
        <v>65.709999999999994</v>
      </c>
      <c r="AA684">
        <v>11.6</v>
      </c>
      <c r="AB684">
        <v>0</v>
      </c>
      <c r="AC684">
        <v>0</v>
      </c>
      <c r="AD684">
        <v>1</v>
      </c>
      <c r="AE684">
        <v>0</v>
      </c>
      <c r="AF684" t="s">
        <v>956</v>
      </c>
      <c r="AG684">
        <v>7.6000000000000012E-2</v>
      </c>
      <c r="AH684">
        <v>2</v>
      </c>
      <c r="AI684">
        <v>16751930</v>
      </c>
      <c r="AJ684">
        <v>734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0</v>
      </c>
    </row>
    <row r="685" spans="1:44" x14ac:dyDescent="0.2">
      <c r="A685">
        <f>ROW(Source!A655)</f>
        <v>655</v>
      </c>
      <c r="B685">
        <v>16751937</v>
      </c>
      <c r="C685">
        <v>16751926</v>
      </c>
      <c r="D685">
        <v>15167955</v>
      </c>
      <c r="E685">
        <v>1</v>
      </c>
      <c r="F685">
        <v>1</v>
      </c>
      <c r="G685">
        <v>1</v>
      </c>
      <c r="H685">
        <v>3</v>
      </c>
      <c r="I685" t="s">
        <v>1546</v>
      </c>
      <c r="J685" t="s">
        <v>1547</v>
      </c>
      <c r="K685" t="s">
        <v>1548</v>
      </c>
      <c r="L685">
        <v>1348</v>
      </c>
      <c r="N685">
        <v>1009</v>
      </c>
      <c r="O685" t="s">
        <v>71</v>
      </c>
      <c r="P685" t="s">
        <v>71</v>
      </c>
      <c r="Q685">
        <v>1000</v>
      </c>
      <c r="X685">
        <v>1.1999999999999999E-3</v>
      </c>
      <c r="Y685">
        <v>30030</v>
      </c>
      <c r="Z685">
        <v>0</v>
      </c>
      <c r="AA685">
        <v>0</v>
      </c>
      <c r="AB685">
        <v>0</v>
      </c>
      <c r="AC685">
        <v>0</v>
      </c>
      <c r="AD685">
        <v>1</v>
      </c>
      <c r="AE685">
        <v>0</v>
      </c>
      <c r="AF685" t="s">
        <v>92</v>
      </c>
      <c r="AG685">
        <v>0</v>
      </c>
      <c r="AH685">
        <v>2</v>
      </c>
      <c r="AI685">
        <v>16751931</v>
      </c>
      <c r="AJ685">
        <v>735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0</v>
      </c>
    </row>
    <row r="686" spans="1:44" x14ac:dyDescent="0.2">
      <c r="A686">
        <f>ROW(Source!A655)</f>
        <v>655</v>
      </c>
      <c r="B686">
        <v>16751938</v>
      </c>
      <c r="C686">
        <v>16751926</v>
      </c>
      <c r="D686">
        <v>15172117</v>
      </c>
      <c r="E686">
        <v>1</v>
      </c>
      <c r="F686">
        <v>1</v>
      </c>
      <c r="G686">
        <v>1</v>
      </c>
      <c r="H686">
        <v>3</v>
      </c>
      <c r="I686" t="s">
        <v>1552</v>
      </c>
      <c r="J686" t="s">
        <v>1553</v>
      </c>
      <c r="K686" t="s">
        <v>1554</v>
      </c>
      <c r="L686">
        <v>1348</v>
      </c>
      <c r="N686">
        <v>1009</v>
      </c>
      <c r="O686" t="s">
        <v>71</v>
      </c>
      <c r="P686" t="s">
        <v>71</v>
      </c>
      <c r="Q686">
        <v>1000</v>
      </c>
      <c r="X686">
        <v>3.2000000000000002E-3</v>
      </c>
      <c r="Y686">
        <v>1836</v>
      </c>
      <c r="Z686">
        <v>0</v>
      </c>
      <c r="AA686">
        <v>0</v>
      </c>
      <c r="AB686">
        <v>0</v>
      </c>
      <c r="AC686">
        <v>0</v>
      </c>
      <c r="AD686">
        <v>1</v>
      </c>
      <c r="AE686">
        <v>0</v>
      </c>
      <c r="AF686" t="s">
        <v>92</v>
      </c>
      <c r="AG686">
        <v>0</v>
      </c>
      <c r="AH686">
        <v>2</v>
      </c>
      <c r="AI686">
        <v>16751932</v>
      </c>
      <c r="AJ686">
        <v>736</v>
      </c>
      <c r="AK686">
        <v>0</v>
      </c>
      <c r="AL686">
        <v>0</v>
      </c>
      <c r="AM686">
        <v>0</v>
      </c>
      <c r="AN686">
        <v>0</v>
      </c>
      <c r="AO686">
        <v>0</v>
      </c>
      <c r="AP686">
        <v>0</v>
      </c>
      <c r="AQ686">
        <v>0</v>
      </c>
      <c r="AR686">
        <v>0</v>
      </c>
    </row>
    <row r="687" spans="1:44" x14ac:dyDescent="0.2">
      <c r="A687">
        <f>ROW(Source!A655)</f>
        <v>655</v>
      </c>
      <c r="B687">
        <v>16751939</v>
      </c>
      <c r="C687">
        <v>16751926</v>
      </c>
      <c r="D687">
        <v>15161722</v>
      </c>
      <c r="E687">
        <v>17</v>
      </c>
      <c r="F687">
        <v>1</v>
      </c>
      <c r="G687">
        <v>1</v>
      </c>
      <c r="H687">
        <v>3</v>
      </c>
      <c r="I687" t="s">
        <v>1598</v>
      </c>
      <c r="J687" t="s">
        <v>6</v>
      </c>
      <c r="K687" t="s">
        <v>1599</v>
      </c>
      <c r="L687">
        <v>1035</v>
      </c>
      <c r="N687">
        <v>1013</v>
      </c>
      <c r="O687" t="s">
        <v>230</v>
      </c>
      <c r="P687" t="s">
        <v>230</v>
      </c>
      <c r="Q687">
        <v>1</v>
      </c>
      <c r="X687">
        <v>10</v>
      </c>
      <c r="Y687">
        <v>0</v>
      </c>
      <c r="Z687">
        <v>0</v>
      </c>
      <c r="AA687">
        <v>0</v>
      </c>
      <c r="AB687">
        <v>0</v>
      </c>
      <c r="AC687">
        <v>0</v>
      </c>
      <c r="AD687">
        <v>0</v>
      </c>
      <c r="AE687">
        <v>0</v>
      </c>
      <c r="AF687" t="s">
        <v>92</v>
      </c>
      <c r="AG687">
        <v>0</v>
      </c>
      <c r="AH687">
        <v>3</v>
      </c>
      <c r="AI687">
        <v>-1</v>
      </c>
      <c r="AJ687" t="s">
        <v>6</v>
      </c>
      <c r="AK687">
        <v>0</v>
      </c>
      <c r="AL687">
        <v>0</v>
      </c>
      <c r="AM687">
        <v>0</v>
      </c>
      <c r="AN687">
        <v>0</v>
      </c>
      <c r="AO687">
        <v>0</v>
      </c>
      <c r="AP687">
        <v>0</v>
      </c>
      <c r="AQ687">
        <v>0</v>
      </c>
      <c r="AR687">
        <v>0</v>
      </c>
    </row>
    <row r="688" spans="1:44" x14ac:dyDescent="0.2">
      <c r="A688">
        <f>ROW(Source!A656)</f>
        <v>656</v>
      </c>
      <c r="B688">
        <v>16751944</v>
      </c>
      <c r="C688">
        <v>16751940</v>
      </c>
      <c r="D688">
        <v>15430767</v>
      </c>
      <c r="E688">
        <v>1</v>
      </c>
      <c r="F688">
        <v>1</v>
      </c>
      <c r="G688">
        <v>1</v>
      </c>
      <c r="H688">
        <v>1</v>
      </c>
      <c r="I688" t="s">
        <v>1070</v>
      </c>
      <c r="J688" t="s">
        <v>6</v>
      </c>
      <c r="K688" t="s">
        <v>1071</v>
      </c>
      <c r="L688">
        <v>1191</v>
      </c>
      <c r="N688">
        <v>1013</v>
      </c>
      <c r="O688" t="s">
        <v>1072</v>
      </c>
      <c r="P688" t="s">
        <v>1072</v>
      </c>
      <c r="Q688">
        <v>1</v>
      </c>
      <c r="X688">
        <v>63.84</v>
      </c>
      <c r="Y688">
        <v>0</v>
      </c>
      <c r="Z688">
        <v>0</v>
      </c>
      <c r="AA688">
        <v>0</v>
      </c>
      <c r="AB688">
        <v>8.5299999999999994</v>
      </c>
      <c r="AC688">
        <v>0</v>
      </c>
      <c r="AD688">
        <v>1</v>
      </c>
      <c r="AE688">
        <v>1</v>
      </c>
      <c r="AF688" t="s">
        <v>6</v>
      </c>
      <c r="AG688">
        <v>63.84</v>
      </c>
      <c r="AH688">
        <v>2</v>
      </c>
      <c r="AI688">
        <v>16751941</v>
      </c>
      <c r="AJ688">
        <v>737</v>
      </c>
      <c r="AK688">
        <v>0</v>
      </c>
      <c r="AL688">
        <v>0</v>
      </c>
      <c r="AM688">
        <v>0</v>
      </c>
      <c r="AN688">
        <v>0</v>
      </c>
      <c r="AO688">
        <v>0</v>
      </c>
      <c r="AP688">
        <v>0</v>
      </c>
      <c r="AQ688">
        <v>0</v>
      </c>
      <c r="AR688">
        <v>0</v>
      </c>
    </row>
    <row r="689" spans="1:44" x14ac:dyDescent="0.2">
      <c r="A689">
        <f>ROW(Source!A656)</f>
        <v>656</v>
      </c>
      <c r="B689">
        <v>16751945</v>
      </c>
      <c r="C689">
        <v>16751940</v>
      </c>
      <c r="D689">
        <v>15430395</v>
      </c>
      <c r="E689">
        <v>1</v>
      </c>
      <c r="F689">
        <v>1</v>
      </c>
      <c r="G689">
        <v>1</v>
      </c>
      <c r="H689">
        <v>1</v>
      </c>
      <c r="I689" t="s">
        <v>1073</v>
      </c>
      <c r="J689" t="s">
        <v>6</v>
      </c>
      <c r="K689" t="s">
        <v>1074</v>
      </c>
      <c r="L689">
        <v>1191</v>
      </c>
      <c r="N689">
        <v>1013</v>
      </c>
      <c r="O689" t="s">
        <v>1072</v>
      </c>
      <c r="P689" t="s">
        <v>1072</v>
      </c>
      <c r="Q689">
        <v>1</v>
      </c>
      <c r="X689">
        <v>0.28999999999999998</v>
      </c>
      <c r="Y689">
        <v>0</v>
      </c>
      <c r="Z689">
        <v>0</v>
      </c>
      <c r="AA689">
        <v>0</v>
      </c>
      <c r="AB689">
        <v>0</v>
      </c>
      <c r="AC689">
        <v>0</v>
      </c>
      <c r="AD689">
        <v>1</v>
      </c>
      <c r="AE689">
        <v>2</v>
      </c>
      <c r="AF689" t="s">
        <v>6</v>
      </c>
      <c r="AG689">
        <v>0.28999999999999998</v>
      </c>
      <c r="AH689">
        <v>2</v>
      </c>
      <c r="AI689">
        <v>16751942</v>
      </c>
      <c r="AJ689">
        <v>738</v>
      </c>
      <c r="AK689">
        <v>0</v>
      </c>
      <c r="AL689">
        <v>0</v>
      </c>
      <c r="AM689">
        <v>0</v>
      </c>
      <c r="AN689">
        <v>0</v>
      </c>
      <c r="AO689">
        <v>0</v>
      </c>
      <c r="AP689">
        <v>0</v>
      </c>
      <c r="AQ689">
        <v>0</v>
      </c>
      <c r="AR689">
        <v>0</v>
      </c>
    </row>
    <row r="690" spans="1:44" x14ac:dyDescent="0.2">
      <c r="A690">
        <f>ROW(Source!A656)</f>
        <v>656</v>
      </c>
      <c r="B690">
        <v>16751946</v>
      </c>
      <c r="C690">
        <v>16751940</v>
      </c>
      <c r="D690">
        <v>15247974</v>
      </c>
      <c r="E690">
        <v>1</v>
      </c>
      <c r="F690">
        <v>1</v>
      </c>
      <c r="G690">
        <v>1</v>
      </c>
      <c r="H690">
        <v>2</v>
      </c>
      <c r="I690" t="s">
        <v>1075</v>
      </c>
      <c r="J690" t="s">
        <v>1076</v>
      </c>
      <c r="K690" t="s">
        <v>1077</v>
      </c>
      <c r="L690">
        <v>1368</v>
      </c>
      <c r="N690">
        <v>1011</v>
      </c>
      <c r="O690" t="s">
        <v>1078</v>
      </c>
      <c r="P690" t="s">
        <v>1078</v>
      </c>
      <c r="Q690">
        <v>1</v>
      </c>
      <c r="X690">
        <v>0.28999999999999998</v>
      </c>
      <c r="Y690">
        <v>0</v>
      </c>
      <c r="Z690">
        <v>31.26</v>
      </c>
      <c r="AA690">
        <v>13.5</v>
      </c>
      <c r="AB690">
        <v>0</v>
      </c>
      <c r="AC690">
        <v>0</v>
      </c>
      <c r="AD690">
        <v>1</v>
      </c>
      <c r="AE690">
        <v>0</v>
      </c>
      <c r="AF690" t="s">
        <v>6</v>
      </c>
      <c r="AG690">
        <v>0.28999999999999998</v>
      </c>
      <c r="AH690">
        <v>2</v>
      </c>
      <c r="AI690">
        <v>16751943</v>
      </c>
      <c r="AJ690">
        <v>739</v>
      </c>
      <c r="AK690">
        <v>0</v>
      </c>
      <c r="AL690">
        <v>0</v>
      </c>
      <c r="AM690">
        <v>0</v>
      </c>
      <c r="AN690">
        <v>0</v>
      </c>
      <c r="AO690">
        <v>0</v>
      </c>
      <c r="AP690">
        <v>0</v>
      </c>
      <c r="AQ690">
        <v>0</v>
      </c>
      <c r="AR690">
        <v>0</v>
      </c>
    </row>
    <row r="691" spans="1:44" x14ac:dyDescent="0.2">
      <c r="A691">
        <f>ROW(Source!A656)</f>
        <v>656</v>
      </c>
      <c r="B691">
        <v>16751947</v>
      </c>
      <c r="C691">
        <v>16751940</v>
      </c>
      <c r="D691">
        <v>15164566</v>
      </c>
      <c r="E691">
        <v>17</v>
      </c>
      <c r="F691">
        <v>1</v>
      </c>
      <c r="G691">
        <v>1</v>
      </c>
      <c r="H691">
        <v>3</v>
      </c>
      <c r="I691" t="s">
        <v>69</v>
      </c>
      <c r="J691" t="s">
        <v>6</v>
      </c>
      <c r="K691" t="s">
        <v>103</v>
      </c>
      <c r="L691">
        <v>1348</v>
      </c>
      <c r="N691">
        <v>1009</v>
      </c>
      <c r="O691" t="s">
        <v>71</v>
      </c>
      <c r="P691" t="s">
        <v>71</v>
      </c>
      <c r="Q691">
        <v>1000</v>
      </c>
      <c r="X691">
        <v>2.65</v>
      </c>
      <c r="Y691">
        <v>0</v>
      </c>
      <c r="Z691">
        <v>0</v>
      </c>
      <c r="AA691">
        <v>0</v>
      </c>
      <c r="AB691">
        <v>0</v>
      </c>
      <c r="AC691">
        <v>0</v>
      </c>
      <c r="AD691">
        <v>0</v>
      </c>
      <c r="AE691">
        <v>0</v>
      </c>
      <c r="AF691" t="s">
        <v>6</v>
      </c>
      <c r="AG691">
        <v>2.65</v>
      </c>
      <c r="AH691">
        <v>3</v>
      </c>
      <c r="AI691">
        <v>-1</v>
      </c>
      <c r="AJ691" t="s">
        <v>6</v>
      </c>
      <c r="AK691">
        <v>0</v>
      </c>
      <c r="AL691">
        <v>0</v>
      </c>
      <c r="AM691">
        <v>0</v>
      </c>
      <c r="AN691">
        <v>0</v>
      </c>
      <c r="AO691">
        <v>0</v>
      </c>
      <c r="AP691">
        <v>0</v>
      </c>
      <c r="AQ691">
        <v>0</v>
      </c>
      <c r="AR691">
        <v>0</v>
      </c>
    </row>
    <row r="692" spans="1:44" x14ac:dyDescent="0.2">
      <c r="A692">
        <f>ROW(Source!A657)</f>
        <v>657</v>
      </c>
      <c r="B692">
        <v>16751962</v>
      </c>
      <c r="C692">
        <v>16751948</v>
      </c>
      <c r="D692">
        <v>15435721</v>
      </c>
      <c r="E692">
        <v>1</v>
      </c>
      <c r="F692">
        <v>1</v>
      </c>
      <c r="G692">
        <v>1</v>
      </c>
      <c r="H692">
        <v>1</v>
      </c>
      <c r="I692" t="s">
        <v>1353</v>
      </c>
      <c r="J692" t="s">
        <v>6</v>
      </c>
      <c r="K692" t="s">
        <v>1354</v>
      </c>
      <c r="L692">
        <v>1191</v>
      </c>
      <c r="N692">
        <v>1013</v>
      </c>
      <c r="O692" t="s">
        <v>1072</v>
      </c>
      <c r="P692" t="s">
        <v>1072</v>
      </c>
      <c r="Q692">
        <v>1</v>
      </c>
      <c r="X692">
        <v>24.64</v>
      </c>
      <c r="Y692">
        <v>0</v>
      </c>
      <c r="Z692">
        <v>0</v>
      </c>
      <c r="AA692">
        <v>0</v>
      </c>
      <c r="AB692">
        <v>9.51</v>
      </c>
      <c r="AC692">
        <v>0</v>
      </c>
      <c r="AD692">
        <v>1</v>
      </c>
      <c r="AE692">
        <v>1</v>
      </c>
      <c r="AF692" t="s">
        <v>173</v>
      </c>
      <c r="AG692">
        <v>28.335999999999999</v>
      </c>
      <c r="AH692">
        <v>2</v>
      </c>
      <c r="AI692">
        <v>16751949</v>
      </c>
      <c r="AJ692">
        <v>740</v>
      </c>
      <c r="AK692">
        <v>0</v>
      </c>
      <c r="AL692">
        <v>0</v>
      </c>
      <c r="AM692">
        <v>0</v>
      </c>
      <c r="AN692">
        <v>0</v>
      </c>
      <c r="AO692">
        <v>0</v>
      </c>
      <c r="AP692">
        <v>0</v>
      </c>
      <c r="AQ692">
        <v>0</v>
      </c>
      <c r="AR692">
        <v>0</v>
      </c>
    </row>
    <row r="693" spans="1:44" x14ac:dyDescent="0.2">
      <c r="A693">
        <f>ROW(Source!A657)</f>
        <v>657</v>
      </c>
      <c r="B693">
        <v>16751963</v>
      </c>
      <c r="C693">
        <v>16751948</v>
      </c>
      <c r="D693">
        <v>15430395</v>
      </c>
      <c r="E693">
        <v>1</v>
      </c>
      <c r="F693">
        <v>1</v>
      </c>
      <c r="G693">
        <v>1</v>
      </c>
      <c r="H693">
        <v>1</v>
      </c>
      <c r="I693" t="s">
        <v>1073</v>
      </c>
      <c r="J693" t="s">
        <v>6</v>
      </c>
      <c r="K693" t="s">
        <v>1074</v>
      </c>
      <c r="L693">
        <v>1191</v>
      </c>
      <c r="N693">
        <v>1013</v>
      </c>
      <c r="O693" t="s">
        <v>1072</v>
      </c>
      <c r="P693" t="s">
        <v>1072</v>
      </c>
      <c r="Q693">
        <v>1</v>
      </c>
      <c r="X693">
        <v>0.71</v>
      </c>
      <c r="Y693">
        <v>0</v>
      </c>
      <c r="Z693">
        <v>0</v>
      </c>
      <c r="AA693">
        <v>0</v>
      </c>
      <c r="AB693">
        <v>0</v>
      </c>
      <c r="AC693">
        <v>0</v>
      </c>
      <c r="AD693">
        <v>1</v>
      </c>
      <c r="AE693">
        <v>2</v>
      </c>
      <c r="AF693" t="s">
        <v>172</v>
      </c>
      <c r="AG693">
        <v>0.88749999999999996</v>
      </c>
      <c r="AH693">
        <v>2</v>
      </c>
      <c r="AI693">
        <v>16751950</v>
      </c>
      <c r="AJ693">
        <v>741</v>
      </c>
      <c r="AK693">
        <v>0</v>
      </c>
      <c r="AL693">
        <v>0</v>
      </c>
      <c r="AM693">
        <v>0</v>
      </c>
      <c r="AN693">
        <v>0</v>
      </c>
      <c r="AO693">
        <v>0</v>
      </c>
      <c r="AP693">
        <v>0</v>
      </c>
      <c r="AQ693">
        <v>0</v>
      </c>
      <c r="AR693">
        <v>0</v>
      </c>
    </row>
    <row r="694" spans="1:44" x14ac:dyDescent="0.2">
      <c r="A694">
        <f>ROW(Source!A657)</f>
        <v>657</v>
      </c>
      <c r="B694">
        <v>16751964</v>
      </c>
      <c r="C694">
        <v>16751948</v>
      </c>
      <c r="D694">
        <v>15247974</v>
      </c>
      <c r="E694">
        <v>1</v>
      </c>
      <c r="F694">
        <v>1</v>
      </c>
      <c r="G694">
        <v>1</v>
      </c>
      <c r="H694">
        <v>2</v>
      </c>
      <c r="I694" t="s">
        <v>1075</v>
      </c>
      <c r="J694" t="s">
        <v>1076</v>
      </c>
      <c r="K694" t="s">
        <v>1077</v>
      </c>
      <c r="L694">
        <v>1368</v>
      </c>
      <c r="N694">
        <v>1011</v>
      </c>
      <c r="O694" t="s">
        <v>1078</v>
      </c>
      <c r="P694" t="s">
        <v>1078</v>
      </c>
      <c r="Q694">
        <v>1</v>
      </c>
      <c r="X694">
        <v>0.32</v>
      </c>
      <c r="Y694">
        <v>0</v>
      </c>
      <c r="Z694">
        <v>31.26</v>
      </c>
      <c r="AA694">
        <v>13.5</v>
      </c>
      <c r="AB694">
        <v>0</v>
      </c>
      <c r="AC694">
        <v>0</v>
      </c>
      <c r="AD694">
        <v>1</v>
      </c>
      <c r="AE694">
        <v>0</v>
      </c>
      <c r="AF694" t="s">
        <v>172</v>
      </c>
      <c r="AG694">
        <v>0.4</v>
      </c>
      <c r="AH694">
        <v>2</v>
      </c>
      <c r="AI694">
        <v>16751951</v>
      </c>
      <c r="AJ694">
        <v>742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0</v>
      </c>
    </row>
    <row r="695" spans="1:44" x14ac:dyDescent="0.2">
      <c r="A695">
        <f>ROW(Source!A657)</f>
        <v>657</v>
      </c>
      <c r="B695">
        <v>16751965</v>
      </c>
      <c r="C695">
        <v>16751948</v>
      </c>
      <c r="D695">
        <v>15249073</v>
      </c>
      <c r="E695">
        <v>1</v>
      </c>
      <c r="F695">
        <v>1</v>
      </c>
      <c r="G695">
        <v>1</v>
      </c>
      <c r="H695">
        <v>2</v>
      </c>
      <c r="I695" t="s">
        <v>1097</v>
      </c>
      <c r="J695" t="s">
        <v>1098</v>
      </c>
      <c r="K695" t="s">
        <v>1099</v>
      </c>
      <c r="L695">
        <v>1368</v>
      </c>
      <c r="N695">
        <v>1011</v>
      </c>
      <c r="O695" t="s">
        <v>1078</v>
      </c>
      <c r="P695" t="s">
        <v>1078</v>
      </c>
      <c r="Q695">
        <v>1</v>
      </c>
      <c r="X695">
        <v>0.39</v>
      </c>
      <c r="Y695">
        <v>0</v>
      </c>
      <c r="Z695">
        <v>65.709999999999994</v>
      </c>
      <c r="AA695">
        <v>11.6</v>
      </c>
      <c r="AB695">
        <v>0</v>
      </c>
      <c r="AC695">
        <v>0</v>
      </c>
      <c r="AD695">
        <v>1</v>
      </c>
      <c r="AE695">
        <v>0</v>
      </c>
      <c r="AF695" t="s">
        <v>172</v>
      </c>
      <c r="AG695">
        <v>0.48750000000000004</v>
      </c>
      <c r="AH695">
        <v>2</v>
      </c>
      <c r="AI695">
        <v>16751952</v>
      </c>
      <c r="AJ695">
        <v>743</v>
      </c>
      <c r="AK695">
        <v>0</v>
      </c>
      <c r="AL695">
        <v>0</v>
      </c>
      <c r="AM695">
        <v>0</v>
      </c>
      <c r="AN695">
        <v>0</v>
      </c>
      <c r="AO695">
        <v>0</v>
      </c>
      <c r="AP695">
        <v>0</v>
      </c>
      <c r="AQ695">
        <v>0</v>
      </c>
      <c r="AR695">
        <v>0</v>
      </c>
    </row>
    <row r="696" spans="1:44" x14ac:dyDescent="0.2">
      <c r="A696">
        <f>ROW(Source!A657)</f>
        <v>657</v>
      </c>
      <c r="B696">
        <v>16751966</v>
      </c>
      <c r="C696">
        <v>16751948</v>
      </c>
      <c r="D696">
        <v>15167955</v>
      </c>
      <c r="E696">
        <v>1</v>
      </c>
      <c r="F696">
        <v>1</v>
      </c>
      <c r="G696">
        <v>1</v>
      </c>
      <c r="H696">
        <v>3</v>
      </c>
      <c r="I696" t="s">
        <v>1546</v>
      </c>
      <c r="J696" t="s">
        <v>1547</v>
      </c>
      <c r="K696" t="s">
        <v>1548</v>
      </c>
      <c r="L696">
        <v>1348</v>
      </c>
      <c r="N696">
        <v>1009</v>
      </c>
      <c r="O696" t="s">
        <v>71</v>
      </c>
      <c r="P696" t="s">
        <v>71</v>
      </c>
      <c r="Q696">
        <v>1000</v>
      </c>
      <c r="X696">
        <v>1E-3</v>
      </c>
      <c r="Y696">
        <v>30030</v>
      </c>
      <c r="Z696">
        <v>0</v>
      </c>
      <c r="AA696">
        <v>0</v>
      </c>
      <c r="AB696">
        <v>0</v>
      </c>
      <c r="AC696">
        <v>0</v>
      </c>
      <c r="AD696">
        <v>1</v>
      </c>
      <c r="AE696">
        <v>0</v>
      </c>
      <c r="AF696" t="s">
        <v>6</v>
      </c>
      <c r="AG696">
        <v>1E-3</v>
      </c>
      <c r="AH696">
        <v>2</v>
      </c>
      <c r="AI696">
        <v>16751953</v>
      </c>
      <c r="AJ696">
        <v>744</v>
      </c>
      <c r="AK696">
        <v>0</v>
      </c>
      <c r="AL696">
        <v>0</v>
      </c>
      <c r="AM696">
        <v>0</v>
      </c>
      <c r="AN696">
        <v>0</v>
      </c>
      <c r="AO696">
        <v>0</v>
      </c>
      <c r="AP696">
        <v>0</v>
      </c>
      <c r="AQ696">
        <v>0</v>
      </c>
      <c r="AR696">
        <v>0</v>
      </c>
    </row>
    <row r="697" spans="1:44" x14ac:dyDescent="0.2">
      <c r="A697">
        <f>ROW(Source!A657)</f>
        <v>657</v>
      </c>
      <c r="B697">
        <v>16751967</v>
      </c>
      <c r="C697">
        <v>16751948</v>
      </c>
      <c r="D697">
        <v>15167963</v>
      </c>
      <c r="E697">
        <v>1</v>
      </c>
      <c r="F697">
        <v>1</v>
      </c>
      <c r="G697">
        <v>1</v>
      </c>
      <c r="H697">
        <v>3</v>
      </c>
      <c r="I697" t="s">
        <v>1549</v>
      </c>
      <c r="J697" t="s">
        <v>1550</v>
      </c>
      <c r="K697" t="s">
        <v>1551</v>
      </c>
      <c r="L697">
        <v>1346</v>
      </c>
      <c r="N697">
        <v>1009</v>
      </c>
      <c r="O697" t="s">
        <v>323</v>
      </c>
      <c r="P697" t="s">
        <v>323</v>
      </c>
      <c r="Q697">
        <v>1</v>
      </c>
      <c r="X697">
        <v>0.04</v>
      </c>
      <c r="Y697">
        <v>37.29</v>
      </c>
      <c r="Z697">
        <v>0</v>
      </c>
      <c r="AA697">
        <v>0</v>
      </c>
      <c r="AB697">
        <v>0</v>
      </c>
      <c r="AC697">
        <v>0</v>
      </c>
      <c r="AD697">
        <v>1</v>
      </c>
      <c r="AE697">
        <v>0</v>
      </c>
      <c r="AF697" t="s">
        <v>6</v>
      </c>
      <c r="AG697">
        <v>0.04</v>
      </c>
      <c r="AH697">
        <v>2</v>
      </c>
      <c r="AI697">
        <v>16751954</v>
      </c>
      <c r="AJ697">
        <v>745</v>
      </c>
      <c r="AK697">
        <v>0</v>
      </c>
      <c r="AL697">
        <v>0</v>
      </c>
      <c r="AM697">
        <v>0</v>
      </c>
      <c r="AN697">
        <v>0</v>
      </c>
      <c r="AO697">
        <v>0</v>
      </c>
      <c r="AP697">
        <v>0</v>
      </c>
      <c r="AQ697">
        <v>0</v>
      </c>
      <c r="AR697">
        <v>0</v>
      </c>
    </row>
    <row r="698" spans="1:44" x14ac:dyDescent="0.2">
      <c r="A698">
        <f>ROW(Source!A657)</f>
        <v>657</v>
      </c>
      <c r="B698">
        <v>16751968</v>
      </c>
      <c r="C698">
        <v>16751948</v>
      </c>
      <c r="D698">
        <v>15163011</v>
      </c>
      <c r="E698">
        <v>17</v>
      </c>
      <c r="F698">
        <v>1</v>
      </c>
      <c r="G698">
        <v>1</v>
      </c>
      <c r="H698">
        <v>3</v>
      </c>
      <c r="I698" t="s">
        <v>1588</v>
      </c>
      <c r="J698" t="s">
        <v>6</v>
      </c>
      <c r="K698" t="s">
        <v>1589</v>
      </c>
      <c r="L698">
        <v>1358</v>
      </c>
      <c r="N698">
        <v>1010</v>
      </c>
      <c r="O698" t="s">
        <v>615</v>
      </c>
      <c r="P698" t="s">
        <v>615</v>
      </c>
      <c r="Q698">
        <v>10</v>
      </c>
      <c r="X698">
        <v>4</v>
      </c>
      <c r="Y698">
        <v>0</v>
      </c>
      <c r="Z698">
        <v>0</v>
      </c>
      <c r="AA698">
        <v>0</v>
      </c>
      <c r="AB698">
        <v>0</v>
      </c>
      <c r="AC698">
        <v>0</v>
      </c>
      <c r="AD698">
        <v>0</v>
      </c>
      <c r="AE698">
        <v>0</v>
      </c>
      <c r="AF698" t="s">
        <v>6</v>
      </c>
      <c r="AG698">
        <v>4</v>
      </c>
      <c r="AH698">
        <v>3</v>
      </c>
      <c r="AI698">
        <v>-1</v>
      </c>
      <c r="AJ698" t="s">
        <v>6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</row>
    <row r="699" spans="1:44" x14ac:dyDescent="0.2">
      <c r="A699">
        <f>ROW(Source!A657)</f>
        <v>657</v>
      </c>
      <c r="B699">
        <v>16751969</v>
      </c>
      <c r="C699">
        <v>16751948</v>
      </c>
      <c r="D699">
        <v>15170213</v>
      </c>
      <c r="E699">
        <v>1</v>
      </c>
      <c r="F699">
        <v>1</v>
      </c>
      <c r="G699">
        <v>1</v>
      </c>
      <c r="H699">
        <v>3</v>
      </c>
      <c r="I699" t="s">
        <v>1561</v>
      </c>
      <c r="J699" t="s">
        <v>1562</v>
      </c>
      <c r="K699" t="s">
        <v>1563</v>
      </c>
      <c r="L699">
        <v>1346</v>
      </c>
      <c r="N699">
        <v>1009</v>
      </c>
      <c r="O699" t="s">
        <v>323</v>
      </c>
      <c r="P699" t="s">
        <v>323</v>
      </c>
      <c r="Q699">
        <v>1</v>
      </c>
      <c r="X699">
        <v>20</v>
      </c>
      <c r="Y699">
        <v>6.5</v>
      </c>
      <c r="Z699">
        <v>0</v>
      </c>
      <c r="AA699">
        <v>0</v>
      </c>
      <c r="AB699">
        <v>0</v>
      </c>
      <c r="AC699">
        <v>0</v>
      </c>
      <c r="AD699">
        <v>1</v>
      </c>
      <c r="AE699">
        <v>0</v>
      </c>
      <c r="AF699" t="s">
        <v>6</v>
      </c>
      <c r="AG699">
        <v>20</v>
      </c>
      <c r="AH699">
        <v>2</v>
      </c>
      <c r="AI699">
        <v>16751955</v>
      </c>
      <c r="AJ699">
        <v>746</v>
      </c>
      <c r="AK699">
        <v>0</v>
      </c>
      <c r="AL699">
        <v>0</v>
      </c>
      <c r="AM699">
        <v>0</v>
      </c>
      <c r="AN699">
        <v>0</v>
      </c>
      <c r="AO699">
        <v>0</v>
      </c>
      <c r="AP699">
        <v>0</v>
      </c>
      <c r="AQ699">
        <v>0</v>
      </c>
      <c r="AR699">
        <v>0</v>
      </c>
    </row>
    <row r="700" spans="1:44" x14ac:dyDescent="0.2">
      <c r="A700">
        <f>ROW(Source!A657)</f>
        <v>657</v>
      </c>
      <c r="B700">
        <v>16751970</v>
      </c>
      <c r="C700">
        <v>16751948</v>
      </c>
      <c r="D700">
        <v>15162072</v>
      </c>
      <c r="E700">
        <v>17</v>
      </c>
      <c r="F700">
        <v>1</v>
      </c>
      <c r="G700">
        <v>1</v>
      </c>
      <c r="H700">
        <v>3</v>
      </c>
      <c r="I700" t="s">
        <v>1590</v>
      </c>
      <c r="J700" t="s">
        <v>6</v>
      </c>
      <c r="K700" t="s">
        <v>1591</v>
      </c>
      <c r="L700">
        <v>1348</v>
      </c>
      <c r="N700">
        <v>1009</v>
      </c>
      <c r="O700" t="s">
        <v>71</v>
      </c>
      <c r="P700" t="s">
        <v>71</v>
      </c>
      <c r="Q700">
        <v>1000</v>
      </c>
      <c r="X700">
        <v>5.0000000000000001E-4</v>
      </c>
      <c r="Y700">
        <v>0</v>
      </c>
      <c r="Z700">
        <v>0</v>
      </c>
      <c r="AA700">
        <v>0</v>
      </c>
      <c r="AB700">
        <v>0</v>
      </c>
      <c r="AC700">
        <v>0</v>
      </c>
      <c r="AD700">
        <v>0</v>
      </c>
      <c r="AE700">
        <v>0</v>
      </c>
      <c r="AF700" t="s">
        <v>6</v>
      </c>
      <c r="AG700">
        <v>5.0000000000000001E-4</v>
      </c>
      <c r="AH700">
        <v>3</v>
      </c>
      <c r="AI700">
        <v>-1</v>
      </c>
      <c r="AJ700" t="s">
        <v>6</v>
      </c>
      <c r="AK700">
        <v>0</v>
      </c>
      <c r="AL700">
        <v>0</v>
      </c>
      <c r="AM700">
        <v>0</v>
      </c>
      <c r="AN700">
        <v>0</v>
      </c>
      <c r="AO700">
        <v>0</v>
      </c>
      <c r="AP700">
        <v>0</v>
      </c>
      <c r="AQ700">
        <v>0</v>
      </c>
      <c r="AR700">
        <v>0</v>
      </c>
    </row>
    <row r="701" spans="1:44" x14ac:dyDescent="0.2">
      <c r="A701">
        <f>ROW(Source!A657)</f>
        <v>657</v>
      </c>
      <c r="B701">
        <v>16751971</v>
      </c>
      <c r="C701">
        <v>16751948</v>
      </c>
      <c r="D701">
        <v>15170815</v>
      </c>
      <c r="E701">
        <v>1</v>
      </c>
      <c r="F701">
        <v>1</v>
      </c>
      <c r="G701">
        <v>1</v>
      </c>
      <c r="H701">
        <v>3</v>
      </c>
      <c r="I701" t="s">
        <v>1564</v>
      </c>
      <c r="J701" t="s">
        <v>1565</v>
      </c>
      <c r="K701" t="s">
        <v>1566</v>
      </c>
      <c r="L701">
        <v>1346</v>
      </c>
      <c r="N701">
        <v>1009</v>
      </c>
      <c r="O701" t="s">
        <v>323</v>
      </c>
      <c r="P701" t="s">
        <v>323</v>
      </c>
      <c r="Q701">
        <v>1</v>
      </c>
      <c r="X701">
        <v>0.8</v>
      </c>
      <c r="Y701">
        <v>13.56</v>
      </c>
      <c r="Z701">
        <v>0</v>
      </c>
      <c r="AA701">
        <v>0</v>
      </c>
      <c r="AB701">
        <v>0</v>
      </c>
      <c r="AC701">
        <v>0</v>
      </c>
      <c r="AD701">
        <v>1</v>
      </c>
      <c r="AE701">
        <v>0</v>
      </c>
      <c r="AF701" t="s">
        <v>6</v>
      </c>
      <c r="AG701">
        <v>0.8</v>
      </c>
      <c r="AH701">
        <v>2</v>
      </c>
      <c r="AI701">
        <v>16751956</v>
      </c>
      <c r="AJ701">
        <v>747</v>
      </c>
      <c r="AK701">
        <v>0</v>
      </c>
      <c r="AL701">
        <v>0</v>
      </c>
      <c r="AM701">
        <v>0</v>
      </c>
      <c r="AN701">
        <v>0</v>
      </c>
      <c r="AO701">
        <v>0</v>
      </c>
      <c r="AP701">
        <v>0</v>
      </c>
      <c r="AQ701">
        <v>0</v>
      </c>
      <c r="AR701">
        <v>0</v>
      </c>
    </row>
    <row r="702" spans="1:44" x14ac:dyDescent="0.2">
      <c r="A702">
        <f>ROW(Source!A657)</f>
        <v>657</v>
      </c>
      <c r="B702">
        <v>16751972</v>
      </c>
      <c r="C702">
        <v>16751948</v>
      </c>
      <c r="D702">
        <v>15202525</v>
      </c>
      <c r="E702">
        <v>1</v>
      </c>
      <c r="F702">
        <v>1</v>
      </c>
      <c r="G702">
        <v>1</v>
      </c>
      <c r="H702">
        <v>3</v>
      </c>
      <c r="I702" t="s">
        <v>1567</v>
      </c>
      <c r="J702" t="s">
        <v>1568</v>
      </c>
      <c r="K702" t="s">
        <v>1569</v>
      </c>
      <c r="L702">
        <v>1348</v>
      </c>
      <c r="N702">
        <v>1009</v>
      </c>
      <c r="O702" t="s">
        <v>71</v>
      </c>
      <c r="P702" t="s">
        <v>71</v>
      </c>
      <c r="Q702">
        <v>1000</v>
      </c>
      <c r="X702">
        <v>8.0000000000000004E-4</v>
      </c>
      <c r="Y702">
        <v>12330</v>
      </c>
      <c r="Z702">
        <v>0</v>
      </c>
      <c r="AA702">
        <v>0</v>
      </c>
      <c r="AB702">
        <v>0</v>
      </c>
      <c r="AC702">
        <v>0</v>
      </c>
      <c r="AD702">
        <v>1</v>
      </c>
      <c r="AE702">
        <v>0</v>
      </c>
      <c r="AF702" t="s">
        <v>6</v>
      </c>
      <c r="AG702">
        <v>8.0000000000000004E-4</v>
      </c>
      <c r="AH702">
        <v>2</v>
      </c>
      <c r="AI702">
        <v>16751957</v>
      </c>
      <c r="AJ702">
        <v>748</v>
      </c>
      <c r="AK702">
        <v>0</v>
      </c>
      <c r="AL702">
        <v>0</v>
      </c>
      <c r="AM702">
        <v>0</v>
      </c>
      <c r="AN702">
        <v>0</v>
      </c>
      <c r="AO702">
        <v>0</v>
      </c>
      <c r="AP702">
        <v>0</v>
      </c>
      <c r="AQ702">
        <v>0</v>
      </c>
      <c r="AR702">
        <v>0</v>
      </c>
    </row>
    <row r="703" spans="1:44" x14ac:dyDescent="0.2">
      <c r="A703">
        <f>ROW(Source!A657)</f>
        <v>657</v>
      </c>
      <c r="B703">
        <v>16751973</v>
      </c>
      <c r="C703">
        <v>16751948</v>
      </c>
      <c r="D703">
        <v>15203740</v>
      </c>
      <c r="E703">
        <v>1</v>
      </c>
      <c r="F703">
        <v>1</v>
      </c>
      <c r="G703">
        <v>1</v>
      </c>
      <c r="H703">
        <v>3</v>
      </c>
      <c r="I703" t="s">
        <v>1555</v>
      </c>
      <c r="J703" t="s">
        <v>1556</v>
      </c>
      <c r="K703" t="s">
        <v>1557</v>
      </c>
      <c r="L703">
        <v>1348</v>
      </c>
      <c r="N703">
        <v>1009</v>
      </c>
      <c r="O703" t="s">
        <v>71</v>
      </c>
      <c r="P703" t="s">
        <v>71</v>
      </c>
      <c r="Q703">
        <v>1000</v>
      </c>
      <c r="X703">
        <v>4.0000000000000002E-4</v>
      </c>
      <c r="Y703">
        <v>15119</v>
      </c>
      <c r="Z703">
        <v>0</v>
      </c>
      <c r="AA703">
        <v>0</v>
      </c>
      <c r="AB703">
        <v>0</v>
      </c>
      <c r="AC703">
        <v>0</v>
      </c>
      <c r="AD703">
        <v>1</v>
      </c>
      <c r="AE703">
        <v>0</v>
      </c>
      <c r="AF703" t="s">
        <v>6</v>
      </c>
      <c r="AG703">
        <v>4.0000000000000002E-4</v>
      </c>
      <c r="AH703">
        <v>2</v>
      </c>
      <c r="AI703">
        <v>16751958</v>
      </c>
      <c r="AJ703">
        <v>749</v>
      </c>
      <c r="AK703">
        <v>0</v>
      </c>
      <c r="AL703">
        <v>0</v>
      </c>
      <c r="AM703">
        <v>0</v>
      </c>
      <c r="AN703">
        <v>0</v>
      </c>
      <c r="AO703">
        <v>0</v>
      </c>
      <c r="AP703">
        <v>0</v>
      </c>
      <c r="AQ703">
        <v>0</v>
      </c>
      <c r="AR703">
        <v>0</v>
      </c>
    </row>
    <row r="704" spans="1:44" x14ac:dyDescent="0.2">
      <c r="A704">
        <f>ROW(Source!A657)</f>
        <v>657</v>
      </c>
      <c r="B704">
        <v>16751974</v>
      </c>
      <c r="C704">
        <v>16751948</v>
      </c>
      <c r="D704">
        <v>15163194</v>
      </c>
      <c r="E704">
        <v>17</v>
      </c>
      <c r="F704">
        <v>1</v>
      </c>
      <c r="G704">
        <v>1</v>
      </c>
      <c r="H704">
        <v>3</v>
      </c>
      <c r="I704" t="s">
        <v>1596</v>
      </c>
      <c r="J704" t="s">
        <v>6</v>
      </c>
      <c r="K704" t="s">
        <v>1597</v>
      </c>
      <c r="L704">
        <v>1346</v>
      </c>
      <c r="N704">
        <v>1009</v>
      </c>
      <c r="O704" t="s">
        <v>323</v>
      </c>
      <c r="P704" t="s">
        <v>323</v>
      </c>
      <c r="Q704">
        <v>1</v>
      </c>
      <c r="X704">
        <v>4</v>
      </c>
      <c r="Y704">
        <v>0</v>
      </c>
      <c r="Z704">
        <v>0</v>
      </c>
      <c r="AA704">
        <v>0</v>
      </c>
      <c r="AB704">
        <v>0</v>
      </c>
      <c r="AC704">
        <v>0</v>
      </c>
      <c r="AD704">
        <v>0</v>
      </c>
      <c r="AE704">
        <v>0</v>
      </c>
      <c r="AF704" t="s">
        <v>6</v>
      </c>
      <c r="AG704">
        <v>4</v>
      </c>
      <c r="AH704">
        <v>3</v>
      </c>
      <c r="AI704">
        <v>-1</v>
      </c>
      <c r="AJ704" t="s">
        <v>6</v>
      </c>
      <c r="AK704">
        <v>0</v>
      </c>
      <c r="AL704">
        <v>0</v>
      </c>
      <c r="AM704">
        <v>0</v>
      </c>
      <c r="AN704">
        <v>0</v>
      </c>
      <c r="AO704">
        <v>0</v>
      </c>
      <c r="AP704">
        <v>0</v>
      </c>
      <c r="AQ704">
        <v>0</v>
      </c>
      <c r="AR704">
        <v>0</v>
      </c>
    </row>
    <row r="705" spans="1:44" x14ac:dyDescent="0.2">
      <c r="A705">
        <f>ROW(Source!A657)</f>
        <v>657</v>
      </c>
      <c r="B705">
        <v>16751975</v>
      </c>
      <c r="C705">
        <v>16751948</v>
      </c>
      <c r="D705">
        <v>15204468</v>
      </c>
      <c r="E705">
        <v>1</v>
      </c>
      <c r="F705">
        <v>1</v>
      </c>
      <c r="G705">
        <v>1</v>
      </c>
      <c r="H705">
        <v>3</v>
      </c>
      <c r="I705" t="s">
        <v>1558</v>
      </c>
      <c r="J705" t="s">
        <v>1559</v>
      </c>
      <c r="K705" t="s">
        <v>1560</v>
      </c>
      <c r="L705">
        <v>1348</v>
      </c>
      <c r="N705">
        <v>1009</v>
      </c>
      <c r="O705" t="s">
        <v>71</v>
      </c>
      <c r="P705" t="s">
        <v>71</v>
      </c>
      <c r="Q705">
        <v>1000</v>
      </c>
      <c r="X705">
        <v>2.0000000000000001E-4</v>
      </c>
      <c r="Y705">
        <v>16950</v>
      </c>
      <c r="Z705">
        <v>0</v>
      </c>
      <c r="AA705">
        <v>0</v>
      </c>
      <c r="AB705">
        <v>0</v>
      </c>
      <c r="AC705">
        <v>0</v>
      </c>
      <c r="AD705">
        <v>1</v>
      </c>
      <c r="AE705">
        <v>0</v>
      </c>
      <c r="AF705" t="s">
        <v>6</v>
      </c>
      <c r="AG705">
        <v>2.0000000000000001E-4</v>
      </c>
      <c r="AH705">
        <v>2</v>
      </c>
      <c r="AI705">
        <v>16751959</v>
      </c>
      <c r="AJ705">
        <v>750</v>
      </c>
      <c r="AK705">
        <v>0</v>
      </c>
      <c r="AL705">
        <v>0</v>
      </c>
      <c r="AM705">
        <v>0</v>
      </c>
      <c r="AN705">
        <v>0</v>
      </c>
      <c r="AO705">
        <v>0</v>
      </c>
      <c r="AP705">
        <v>0</v>
      </c>
      <c r="AQ705">
        <v>0</v>
      </c>
      <c r="AR705">
        <v>0</v>
      </c>
    </row>
    <row r="706" spans="1:44" x14ac:dyDescent="0.2">
      <c r="A706">
        <f>ROW(Source!A657)</f>
        <v>657</v>
      </c>
      <c r="B706">
        <v>16751976</v>
      </c>
      <c r="C706">
        <v>16751948</v>
      </c>
      <c r="D706">
        <v>15161722</v>
      </c>
      <c r="E706">
        <v>17</v>
      </c>
      <c r="F706">
        <v>1</v>
      </c>
      <c r="G706">
        <v>1</v>
      </c>
      <c r="H706">
        <v>3</v>
      </c>
      <c r="I706" t="s">
        <v>1598</v>
      </c>
      <c r="J706" t="s">
        <v>6</v>
      </c>
      <c r="K706" t="s">
        <v>1599</v>
      </c>
      <c r="L706">
        <v>1035</v>
      </c>
      <c r="N706">
        <v>1013</v>
      </c>
      <c r="O706" t="s">
        <v>230</v>
      </c>
      <c r="P706" t="s">
        <v>230</v>
      </c>
      <c r="Q706">
        <v>1</v>
      </c>
      <c r="X706">
        <v>10</v>
      </c>
      <c r="Y706">
        <v>0</v>
      </c>
      <c r="Z706">
        <v>0</v>
      </c>
      <c r="AA706">
        <v>0</v>
      </c>
      <c r="AB706">
        <v>0</v>
      </c>
      <c r="AC706">
        <v>0</v>
      </c>
      <c r="AD706">
        <v>0</v>
      </c>
      <c r="AE706">
        <v>0</v>
      </c>
      <c r="AF706" t="s">
        <v>6</v>
      </c>
      <c r="AG706">
        <v>10</v>
      </c>
      <c r="AH706">
        <v>3</v>
      </c>
      <c r="AI706">
        <v>-1</v>
      </c>
      <c r="AJ706" t="s">
        <v>6</v>
      </c>
      <c r="AK706">
        <v>0</v>
      </c>
      <c r="AL706">
        <v>0</v>
      </c>
      <c r="AM706">
        <v>0</v>
      </c>
      <c r="AN706">
        <v>0</v>
      </c>
      <c r="AO706">
        <v>0</v>
      </c>
      <c r="AP706">
        <v>0</v>
      </c>
      <c r="AQ706">
        <v>0</v>
      </c>
      <c r="AR706">
        <v>0</v>
      </c>
    </row>
    <row r="707" spans="1:44" x14ac:dyDescent="0.2">
      <c r="A707">
        <f>ROW(Source!A660)</f>
        <v>660</v>
      </c>
      <c r="B707">
        <v>16751987</v>
      </c>
      <c r="C707">
        <v>16751979</v>
      </c>
      <c r="D707">
        <v>15436556</v>
      </c>
      <c r="E707">
        <v>1</v>
      </c>
      <c r="F707">
        <v>1</v>
      </c>
      <c r="G707">
        <v>1</v>
      </c>
      <c r="H707">
        <v>1</v>
      </c>
      <c r="I707" t="s">
        <v>1265</v>
      </c>
      <c r="J707" t="s">
        <v>6</v>
      </c>
      <c r="K707" t="s">
        <v>1266</v>
      </c>
      <c r="L707">
        <v>1191</v>
      </c>
      <c r="N707">
        <v>1013</v>
      </c>
      <c r="O707" t="s">
        <v>1072</v>
      </c>
      <c r="P707" t="s">
        <v>1072</v>
      </c>
      <c r="Q707">
        <v>1</v>
      </c>
      <c r="X707">
        <v>8.77</v>
      </c>
      <c r="Y707">
        <v>0</v>
      </c>
      <c r="Z707">
        <v>0</v>
      </c>
      <c r="AA707">
        <v>0</v>
      </c>
      <c r="AB707">
        <v>9.6199999999999992</v>
      </c>
      <c r="AC707">
        <v>0</v>
      </c>
      <c r="AD707">
        <v>1</v>
      </c>
      <c r="AE707">
        <v>1</v>
      </c>
      <c r="AF707" t="s">
        <v>173</v>
      </c>
      <c r="AG707">
        <v>10.085499999999998</v>
      </c>
      <c r="AH707">
        <v>2</v>
      </c>
      <c r="AI707">
        <v>16751980</v>
      </c>
      <c r="AJ707">
        <v>753</v>
      </c>
      <c r="AK707">
        <v>0</v>
      </c>
      <c r="AL707">
        <v>0</v>
      </c>
      <c r="AM707">
        <v>0</v>
      </c>
      <c r="AN707">
        <v>0</v>
      </c>
      <c r="AO707">
        <v>0</v>
      </c>
      <c r="AP707">
        <v>0</v>
      </c>
      <c r="AQ707">
        <v>0</v>
      </c>
      <c r="AR707">
        <v>0</v>
      </c>
    </row>
    <row r="708" spans="1:44" x14ac:dyDescent="0.2">
      <c r="A708">
        <f>ROW(Source!A660)</f>
        <v>660</v>
      </c>
      <c r="B708">
        <v>16751988</v>
      </c>
      <c r="C708">
        <v>16751979</v>
      </c>
      <c r="D708">
        <v>15430395</v>
      </c>
      <c r="E708">
        <v>1</v>
      </c>
      <c r="F708">
        <v>1</v>
      </c>
      <c r="G708">
        <v>1</v>
      </c>
      <c r="H708">
        <v>1</v>
      </c>
      <c r="I708" t="s">
        <v>1073</v>
      </c>
      <c r="J708" t="s">
        <v>6</v>
      </c>
      <c r="K708" t="s">
        <v>1074</v>
      </c>
      <c r="L708">
        <v>1191</v>
      </c>
      <c r="N708">
        <v>1013</v>
      </c>
      <c r="O708" t="s">
        <v>1072</v>
      </c>
      <c r="P708" t="s">
        <v>1072</v>
      </c>
      <c r="Q708">
        <v>1</v>
      </c>
      <c r="X708">
        <v>0.28999999999999998</v>
      </c>
      <c r="Y708">
        <v>0</v>
      </c>
      <c r="Z708">
        <v>0</v>
      </c>
      <c r="AA708">
        <v>0</v>
      </c>
      <c r="AB708">
        <v>0</v>
      </c>
      <c r="AC708">
        <v>0</v>
      </c>
      <c r="AD708">
        <v>1</v>
      </c>
      <c r="AE708">
        <v>2</v>
      </c>
      <c r="AF708" t="s">
        <v>172</v>
      </c>
      <c r="AG708">
        <v>0.36249999999999999</v>
      </c>
      <c r="AH708">
        <v>2</v>
      </c>
      <c r="AI708">
        <v>16751981</v>
      </c>
      <c r="AJ708">
        <v>754</v>
      </c>
      <c r="AK708">
        <v>0</v>
      </c>
      <c r="AL708">
        <v>0</v>
      </c>
      <c r="AM708">
        <v>0</v>
      </c>
      <c r="AN708">
        <v>0</v>
      </c>
      <c r="AO708">
        <v>0</v>
      </c>
      <c r="AP708">
        <v>0</v>
      </c>
      <c r="AQ708">
        <v>0</v>
      </c>
      <c r="AR708">
        <v>0</v>
      </c>
    </row>
    <row r="709" spans="1:44" x14ac:dyDescent="0.2">
      <c r="A709">
        <f>ROW(Source!A660)</f>
        <v>660</v>
      </c>
      <c r="B709">
        <v>16751989</v>
      </c>
      <c r="C709">
        <v>16751979</v>
      </c>
      <c r="D709">
        <v>15247974</v>
      </c>
      <c r="E709">
        <v>1</v>
      </c>
      <c r="F709">
        <v>1</v>
      </c>
      <c r="G709">
        <v>1</v>
      </c>
      <c r="H709">
        <v>2</v>
      </c>
      <c r="I709" t="s">
        <v>1075</v>
      </c>
      <c r="J709" t="s">
        <v>1076</v>
      </c>
      <c r="K709" t="s">
        <v>1077</v>
      </c>
      <c r="L709">
        <v>1368</v>
      </c>
      <c r="N709">
        <v>1011</v>
      </c>
      <c r="O709" t="s">
        <v>1078</v>
      </c>
      <c r="P709" t="s">
        <v>1078</v>
      </c>
      <c r="Q709">
        <v>1</v>
      </c>
      <c r="X709">
        <v>0.1</v>
      </c>
      <c r="Y709">
        <v>0</v>
      </c>
      <c r="Z709">
        <v>31.26</v>
      </c>
      <c r="AA709">
        <v>13.5</v>
      </c>
      <c r="AB709">
        <v>0</v>
      </c>
      <c r="AC709">
        <v>0</v>
      </c>
      <c r="AD709">
        <v>1</v>
      </c>
      <c r="AE709">
        <v>0</v>
      </c>
      <c r="AF709" t="s">
        <v>172</v>
      </c>
      <c r="AG709">
        <v>0.125</v>
      </c>
      <c r="AH709">
        <v>2</v>
      </c>
      <c r="AI709">
        <v>16751982</v>
      </c>
      <c r="AJ709">
        <v>755</v>
      </c>
      <c r="AK709">
        <v>0</v>
      </c>
      <c r="AL709">
        <v>0</v>
      </c>
      <c r="AM709">
        <v>0</v>
      </c>
      <c r="AN709">
        <v>0</v>
      </c>
      <c r="AO709">
        <v>0</v>
      </c>
      <c r="AP709">
        <v>0</v>
      </c>
      <c r="AQ709">
        <v>0</v>
      </c>
      <c r="AR709">
        <v>0</v>
      </c>
    </row>
    <row r="710" spans="1:44" x14ac:dyDescent="0.2">
      <c r="A710">
        <f>ROW(Source!A660)</f>
        <v>660</v>
      </c>
      <c r="B710">
        <v>16751990</v>
      </c>
      <c r="C710">
        <v>16751979</v>
      </c>
      <c r="D710">
        <v>15249073</v>
      </c>
      <c r="E710">
        <v>1</v>
      </c>
      <c r="F710">
        <v>1</v>
      </c>
      <c r="G710">
        <v>1</v>
      </c>
      <c r="H710">
        <v>2</v>
      </c>
      <c r="I710" t="s">
        <v>1097</v>
      </c>
      <c r="J710" t="s">
        <v>1098</v>
      </c>
      <c r="K710" t="s">
        <v>1099</v>
      </c>
      <c r="L710">
        <v>1368</v>
      </c>
      <c r="N710">
        <v>1011</v>
      </c>
      <c r="O710" t="s">
        <v>1078</v>
      </c>
      <c r="P710" t="s">
        <v>1078</v>
      </c>
      <c r="Q710">
        <v>1</v>
      </c>
      <c r="X710">
        <v>0.19</v>
      </c>
      <c r="Y710">
        <v>0</v>
      </c>
      <c r="Z710">
        <v>65.709999999999994</v>
      </c>
      <c r="AA710">
        <v>11.6</v>
      </c>
      <c r="AB710">
        <v>0</v>
      </c>
      <c r="AC710">
        <v>0</v>
      </c>
      <c r="AD710">
        <v>1</v>
      </c>
      <c r="AE710">
        <v>0</v>
      </c>
      <c r="AF710" t="s">
        <v>172</v>
      </c>
      <c r="AG710">
        <v>0.23749999999999999</v>
      </c>
      <c r="AH710">
        <v>2</v>
      </c>
      <c r="AI710">
        <v>16751983</v>
      </c>
      <c r="AJ710">
        <v>756</v>
      </c>
      <c r="AK710">
        <v>0</v>
      </c>
      <c r="AL710">
        <v>0</v>
      </c>
      <c r="AM710">
        <v>0</v>
      </c>
      <c r="AN710">
        <v>0</v>
      </c>
      <c r="AO710">
        <v>0</v>
      </c>
      <c r="AP710">
        <v>0</v>
      </c>
      <c r="AQ710">
        <v>0</v>
      </c>
      <c r="AR710">
        <v>0</v>
      </c>
    </row>
    <row r="711" spans="1:44" x14ac:dyDescent="0.2">
      <c r="A711">
        <f>ROW(Source!A660)</f>
        <v>660</v>
      </c>
      <c r="B711">
        <v>16751991</v>
      </c>
      <c r="C711">
        <v>16751979</v>
      </c>
      <c r="D711">
        <v>15167955</v>
      </c>
      <c r="E711">
        <v>1</v>
      </c>
      <c r="F711">
        <v>1</v>
      </c>
      <c r="G711">
        <v>1</v>
      </c>
      <c r="H711">
        <v>3</v>
      </c>
      <c r="I711" t="s">
        <v>1546</v>
      </c>
      <c r="J711" t="s">
        <v>1547</v>
      </c>
      <c r="K711" t="s">
        <v>1548</v>
      </c>
      <c r="L711">
        <v>1348</v>
      </c>
      <c r="N711">
        <v>1009</v>
      </c>
      <c r="O711" t="s">
        <v>71</v>
      </c>
      <c r="P711" t="s">
        <v>71</v>
      </c>
      <c r="Q711">
        <v>1000</v>
      </c>
      <c r="X711">
        <v>1.1999999999999999E-3</v>
      </c>
      <c r="Y711">
        <v>30030</v>
      </c>
      <c r="Z711">
        <v>0</v>
      </c>
      <c r="AA711">
        <v>0</v>
      </c>
      <c r="AB711">
        <v>0</v>
      </c>
      <c r="AC711">
        <v>0</v>
      </c>
      <c r="AD711">
        <v>1</v>
      </c>
      <c r="AE711">
        <v>0</v>
      </c>
      <c r="AF711" t="s">
        <v>6</v>
      </c>
      <c r="AG711">
        <v>1.1999999999999999E-3</v>
      </c>
      <c r="AH711">
        <v>2</v>
      </c>
      <c r="AI711">
        <v>16751984</v>
      </c>
      <c r="AJ711">
        <v>757</v>
      </c>
      <c r="AK711">
        <v>0</v>
      </c>
      <c r="AL711">
        <v>0</v>
      </c>
      <c r="AM711">
        <v>0</v>
      </c>
      <c r="AN711">
        <v>0</v>
      </c>
      <c r="AO711">
        <v>0</v>
      </c>
      <c r="AP711">
        <v>0</v>
      </c>
      <c r="AQ711">
        <v>0</v>
      </c>
      <c r="AR711">
        <v>0</v>
      </c>
    </row>
    <row r="712" spans="1:44" x14ac:dyDescent="0.2">
      <c r="A712">
        <f>ROW(Source!A660)</f>
        <v>660</v>
      </c>
      <c r="B712">
        <v>16751992</v>
      </c>
      <c r="C712">
        <v>16751979</v>
      </c>
      <c r="D712">
        <v>15172117</v>
      </c>
      <c r="E712">
        <v>1</v>
      </c>
      <c r="F712">
        <v>1</v>
      </c>
      <c r="G712">
        <v>1</v>
      </c>
      <c r="H712">
        <v>3</v>
      </c>
      <c r="I712" t="s">
        <v>1552</v>
      </c>
      <c r="J712" t="s">
        <v>1553</v>
      </c>
      <c r="K712" t="s">
        <v>1554</v>
      </c>
      <c r="L712">
        <v>1348</v>
      </c>
      <c r="N712">
        <v>1009</v>
      </c>
      <c r="O712" t="s">
        <v>71</v>
      </c>
      <c r="P712" t="s">
        <v>71</v>
      </c>
      <c r="Q712">
        <v>1000</v>
      </c>
      <c r="X712">
        <v>3.2000000000000002E-3</v>
      </c>
      <c r="Y712">
        <v>1836</v>
      </c>
      <c r="Z712">
        <v>0</v>
      </c>
      <c r="AA712">
        <v>0</v>
      </c>
      <c r="AB712">
        <v>0</v>
      </c>
      <c r="AC712">
        <v>0</v>
      </c>
      <c r="AD712">
        <v>1</v>
      </c>
      <c r="AE712">
        <v>0</v>
      </c>
      <c r="AF712" t="s">
        <v>6</v>
      </c>
      <c r="AG712">
        <v>3.2000000000000002E-3</v>
      </c>
      <c r="AH712">
        <v>2</v>
      </c>
      <c r="AI712">
        <v>16751985</v>
      </c>
      <c r="AJ712">
        <v>758</v>
      </c>
      <c r="AK712">
        <v>0</v>
      </c>
      <c r="AL712">
        <v>0</v>
      </c>
      <c r="AM712">
        <v>0</v>
      </c>
      <c r="AN712">
        <v>0</v>
      </c>
      <c r="AO712">
        <v>0</v>
      </c>
      <c r="AP712">
        <v>0</v>
      </c>
      <c r="AQ712">
        <v>0</v>
      </c>
      <c r="AR712">
        <v>0</v>
      </c>
    </row>
    <row r="713" spans="1:44" x14ac:dyDescent="0.2">
      <c r="A713">
        <f>ROW(Source!A660)</f>
        <v>660</v>
      </c>
      <c r="B713">
        <v>16751993</v>
      </c>
      <c r="C713">
        <v>16751979</v>
      </c>
      <c r="D713">
        <v>15161722</v>
      </c>
      <c r="E713">
        <v>17</v>
      </c>
      <c r="F713">
        <v>1</v>
      </c>
      <c r="G713">
        <v>1</v>
      </c>
      <c r="H713">
        <v>3</v>
      </c>
      <c r="I713" t="s">
        <v>1598</v>
      </c>
      <c r="J713" t="s">
        <v>6</v>
      </c>
      <c r="K713" t="s">
        <v>1599</v>
      </c>
      <c r="L713">
        <v>1035</v>
      </c>
      <c r="N713">
        <v>1013</v>
      </c>
      <c r="O713" t="s">
        <v>230</v>
      </c>
      <c r="P713" t="s">
        <v>230</v>
      </c>
      <c r="Q713">
        <v>1</v>
      </c>
      <c r="X713">
        <v>10</v>
      </c>
      <c r="Y713">
        <v>0</v>
      </c>
      <c r="Z713">
        <v>0</v>
      </c>
      <c r="AA713">
        <v>0</v>
      </c>
      <c r="AB713">
        <v>0</v>
      </c>
      <c r="AC713">
        <v>0</v>
      </c>
      <c r="AD713">
        <v>0</v>
      </c>
      <c r="AE713">
        <v>0</v>
      </c>
      <c r="AF713" t="s">
        <v>6</v>
      </c>
      <c r="AG713">
        <v>10</v>
      </c>
      <c r="AH713">
        <v>3</v>
      </c>
      <c r="AI713">
        <v>-1</v>
      </c>
      <c r="AJ713" t="s">
        <v>6</v>
      </c>
      <c r="AK713">
        <v>0</v>
      </c>
      <c r="AL713">
        <v>0</v>
      </c>
      <c r="AM713">
        <v>0</v>
      </c>
      <c r="AN713">
        <v>0</v>
      </c>
      <c r="AO713">
        <v>0</v>
      </c>
      <c r="AP713">
        <v>0</v>
      </c>
      <c r="AQ713">
        <v>0</v>
      </c>
      <c r="AR713">
        <v>0</v>
      </c>
    </row>
    <row r="714" spans="1:44" x14ac:dyDescent="0.2">
      <c r="A714">
        <f>ROW(Source!A662)</f>
        <v>662</v>
      </c>
      <c r="B714">
        <v>16752006</v>
      </c>
      <c r="C714">
        <v>16751995</v>
      </c>
      <c r="D714">
        <v>15446300</v>
      </c>
      <c r="E714">
        <v>1</v>
      </c>
      <c r="F714">
        <v>1</v>
      </c>
      <c r="G714">
        <v>1</v>
      </c>
      <c r="H714">
        <v>1</v>
      </c>
      <c r="I714" t="s">
        <v>1095</v>
      </c>
      <c r="J714" t="s">
        <v>6</v>
      </c>
      <c r="K714" t="s">
        <v>1096</v>
      </c>
      <c r="L714">
        <v>1191</v>
      </c>
      <c r="N714">
        <v>1013</v>
      </c>
      <c r="O714" t="s">
        <v>1072</v>
      </c>
      <c r="P714" t="s">
        <v>1072</v>
      </c>
      <c r="Q714">
        <v>1</v>
      </c>
      <c r="X714">
        <v>61.6</v>
      </c>
      <c r="Y714">
        <v>0</v>
      </c>
      <c r="Z714">
        <v>0</v>
      </c>
      <c r="AA714">
        <v>0</v>
      </c>
      <c r="AB714">
        <v>9.92</v>
      </c>
      <c r="AC714">
        <v>0</v>
      </c>
      <c r="AD714">
        <v>1</v>
      </c>
      <c r="AE714">
        <v>1</v>
      </c>
      <c r="AF714" t="s">
        <v>173</v>
      </c>
      <c r="AG714">
        <v>70.839999999999989</v>
      </c>
      <c r="AH714">
        <v>2</v>
      </c>
      <c r="AI714">
        <v>16751996</v>
      </c>
      <c r="AJ714">
        <v>760</v>
      </c>
      <c r="AK714">
        <v>0</v>
      </c>
      <c r="AL714">
        <v>0</v>
      </c>
      <c r="AM714">
        <v>0</v>
      </c>
      <c r="AN714">
        <v>0</v>
      </c>
      <c r="AO714">
        <v>0</v>
      </c>
      <c r="AP714">
        <v>0</v>
      </c>
      <c r="AQ714">
        <v>0</v>
      </c>
      <c r="AR714">
        <v>0</v>
      </c>
    </row>
    <row r="715" spans="1:44" x14ac:dyDescent="0.2">
      <c r="A715">
        <f>ROW(Source!A662)</f>
        <v>662</v>
      </c>
      <c r="B715">
        <v>16752007</v>
      </c>
      <c r="C715">
        <v>16751995</v>
      </c>
      <c r="D715">
        <v>15430395</v>
      </c>
      <c r="E715">
        <v>1</v>
      </c>
      <c r="F715">
        <v>1</v>
      </c>
      <c r="G715">
        <v>1</v>
      </c>
      <c r="H715">
        <v>1</v>
      </c>
      <c r="I715" t="s">
        <v>1073</v>
      </c>
      <c r="J715" t="s">
        <v>6</v>
      </c>
      <c r="K715" t="s">
        <v>1074</v>
      </c>
      <c r="L715">
        <v>1191</v>
      </c>
      <c r="N715">
        <v>1013</v>
      </c>
      <c r="O715" t="s">
        <v>1072</v>
      </c>
      <c r="P715" t="s">
        <v>1072</v>
      </c>
      <c r="Q715">
        <v>1</v>
      </c>
      <c r="X715">
        <v>7.0000000000000007E-2</v>
      </c>
      <c r="Y715">
        <v>0</v>
      </c>
      <c r="Z715">
        <v>0</v>
      </c>
      <c r="AA715">
        <v>0</v>
      </c>
      <c r="AB715">
        <v>0</v>
      </c>
      <c r="AC715">
        <v>0</v>
      </c>
      <c r="AD715">
        <v>1</v>
      </c>
      <c r="AE715">
        <v>2</v>
      </c>
      <c r="AF715" t="s">
        <v>172</v>
      </c>
      <c r="AG715">
        <v>8.7500000000000008E-2</v>
      </c>
      <c r="AH715">
        <v>2</v>
      </c>
      <c r="AI715">
        <v>16751997</v>
      </c>
      <c r="AJ715">
        <v>761</v>
      </c>
      <c r="AK715">
        <v>0</v>
      </c>
      <c r="AL715">
        <v>0</v>
      </c>
      <c r="AM715">
        <v>0</v>
      </c>
      <c r="AN715">
        <v>0</v>
      </c>
      <c r="AO715">
        <v>0</v>
      </c>
      <c r="AP715">
        <v>0</v>
      </c>
      <c r="AQ715">
        <v>0</v>
      </c>
      <c r="AR715">
        <v>0</v>
      </c>
    </row>
    <row r="716" spans="1:44" x14ac:dyDescent="0.2">
      <c r="A716">
        <f>ROW(Source!A662)</f>
        <v>662</v>
      </c>
      <c r="B716">
        <v>16752008</v>
      </c>
      <c r="C716">
        <v>16751995</v>
      </c>
      <c r="D716">
        <v>15247578</v>
      </c>
      <c r="E716">
        <v>1</v>
      </c>
      <c r="F716">
        <v>1</v>
      </c>
      <c r="G716">
        <v>1</v>
      </c>
      <c r="H716">
        <v>2</v>
      </c>
      <c r="I716" t="s">
        <v>1143</v>
      </c>
      <c r="J716" t="s">
        <v>1144</v>
      </c>
      <c r="K716" t="s">
        <v>1145</v>
      </c>
      <c r="L716">
        <v>1368</v>
      </c>
      <c r="N716">
        <v>1011</v>
      </c>
      <c r="O716" t="s">
        <v>1078</v>
      </c>
      <c r="P716" t="s">
        <v>1078</v>
      </c>
      <c r="Q716">
        <v>1</v>
      </c>
      <c r="X716">
        <v>0.03</v>
      </c>
      <c r="Y716">
        <v>0</v>
      </c>
      <c r="Z716">
        <v>86.4</v>
      </c>
      <c r="AA716">
        <v>13.5</v>
      </c>
      <c r="AB716">
        <v>0</v>
      </c>
      <c r="AC716">
        <v>0</v>
      </c>
      <c r="AD716">
        <v>1</v>
      </c>
      <c r="AE716">
        <v>0</v>
      </c>
      <c r="AF716" t="s">
        <v>172</v>
      </c>
      <c r="AG716">
        <v>3.7499999999999999E-2</v>
      </c>
      <c r="AH716">
        <v>2</v>
      </c>
      <c r="AI716">
        <v>16751998</v>
      </c>
      <c r="AJ716">
        <v>762</v>
      </c>
      <c r="AK716">
        <v>0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0</v>
      </c>
    </row>
    <row r="717" spans="1:44" x14ac:dyDescent="0.2">
      <c r="A717">
        <f>ROW(Source!A662)</f>
        <v>662</v>
      </c>
      <c r="B717">
        <v>16752009</v>
      </c>
      <c r="C717">
        <v>16751995</v>
      </c>
      <c r="D717">
        <v>15247680</v>
      </c>
      <c r="E717">
        <v>1</v>
      </c>
      <c r="F717">
        <v>1</v>
      </c>
      <c r="G717">
        <v>1</v>
      </c>
      <c r="H717">
        <v>2</v>
      </c>
      <c r="I717" t="s">
        <v>1211</v>
      </c>
      <c r="J717" t="s">
        <v>1212</v>
      </c>
      <c r="K717" t="s">
        <v>1213</v>
      </c>
      <c r="L717">
        <v>1368</v>
      </c>
      <c r="N717">
        <v>1011</v>
      </c>
      <c r="O717" t="s">
        <v>1078</v>
      </c>
      <c r="P717" t="s">
        <v>1078</v>
      </c>
      <c r="Q717">
        <v>1</v>
      </c>
      <c r="X717">
        <v>0.02</v>
      </c>
      <c r="Y717">
        <v>0</v>
      </c>
      <c r="Z717">
        <v>111.99</v>
      </c>
      <c r="AA717">
        <v>13.5</v>
      </c>
      <c r="AB717">
        <v>0</v>
      </c>
      <c r="AC717">
        <v>0</v>
      </c>
      <c r="AD717">
        <v>1</v>
      </c>
      <c r="AE717">
        <v>0</v>
      </c>
      <c r="AF717" t="s">
        <v>172</v>
      </c>
      <c r="AG717">
        <v>2.5000000000000001E-2</v>
      </c>
      <c r="AH717">
        <v>2</v>
      </c>
      <c r="AI717">
        <v>16751999</v>
      </c>
      <c r="AJ717">
        <v>763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</row>
    <row r="718" spans="1:44" x14ac:dyDescent="0.2">
      <c r="A718">
        <f>ROW(Source!A662)</f>
        <v>662</v>
      </c>
      <c r="B718">
        <v>16752010</v>
      </c>
      <c r="C718">
        <v>16751995</v>
      </c>
      <c r="D718">
        <v>15249073</v>
      </c>
      <c r="E718">
        <v>1</v>
      </c>
      <c r="F718">
        <v>1</v>
      </c>
      <c r="G718">
        <v>1</v>
      </c>
      <c r="H718">
        <v>2</v>
      </c>
      <c r="I718" t="s">
        <v>1097</v>
      </c>
      <c r="J718" t="s">
        <v>1098</v>
      </c>
      <c r="K718" t="s">
        <v>1099</v>
      </c>
      <c r="L718">
        <v>1368</v>
      </c>
      <c r="N718">
        <v>1011</v>
      </c>
      <c r="O718" t="s">
        <v>1078</v>
      </c>
      <c r="P718" t="s">
        <v>1078</v>
      </c>
      <c r="Q718">
        <v>1</v>
      </c>
      <c r="X718">
        <v>0.02</v>
      </c>
      <c r="Y718">
        <v>0</v>
      </c>
      <c r="Z718">
        <v>65.709999999999994</v>
      </c>
      <c r="AA718">
        <v>11.6</v>
      </c>
      <c r="AB718">
        <v>0</v>
      </c>
      <c r="AC718">
        <v>0</v>
      </c>
      <c r="AD718">
        <v>1</v>
      </c>
      <c r="AE718">
        <v>0</v>
      </c>
      <c r="AF718" t="s">
        <v>172</v>
      </c>
      <c r="AG718">
        <v>2.5000000000000001E-2</v>
      </c>
      <c r="AH718">
        <v>2</v>
      </c>
      <c r="AI718">
        <v>16752000</v>
      </c>
      <c r="AJ718">
        <v>764</v>
      </c>
      <c r="AK718">
        <v>0</v>
      </c>
      <c r="AL718">
        <v>0</v>
      </c>
      <c r="AM718">
        <v>0</v>
      </c>
      <c r="AN718">
        <v>0</v>
      </c>
      <c r="AO718">
        <v>0</v>
      </c>
      <c r="AP718">
        <v>0</v>
      </c>
      <c r="AQ718">
        <v>0</v>
      </c>
      <c r="AR718">
        <v>0</v>
      </c>
    </row>
    <row r="719" spans="1:44" x14ac:dyDescent="0.2">
      <c r="A719">
        <f>ROW(Source!A662)</f>
        <v>662</v>
      </c>
      <c r="B719">
        <v>16752011</v>
      </c>
      <c r="C719">
        <v>16751995</v>
      </c>
      <c r="D719">
        <v>15167286</v>
      </c>
      <c r="E719">
        <v>1</v>
      </c>
      <c r="F719">
        <v>1</v>
      </c>
      <c r="G719">
        <v>1</v>
      </c>
      <c r="H719">
        <v>3</v>
      </c>
      <c r="I719" t="s">
        <v>1079</v>
      </c>
      <c r="J719" t="s">
        <v>1080</v>
      </c>
      <c r="K719" t="s">
        <v>1081</v>
      </c>
      <c r="L719">
        <v>1339</v>
      </c>
      <c r="N719">
        <v>1007</v>
      </c>
      <c r="O719" t="s">
        <v>283</v>
      </c>
      <c r="P719" t="s">
        <v>283</v>
      </c>
      <c r="Q719">
        <v>1</v>
      </c>
      <c r="X719">
        <v>1.57</v>
      </c>
      <c r="Y719">
        <v>2.44</v>
      </c>
      <c r="Z719">
        <v>0</v>
      </c>
      <c r="AA719">
        <v>0</v>
      </c>
      <c r="AB719">
        <v>0</v>
      </c>
      <c r="AC719">
        <v>0</v>
      </c>
      <c r="AD719">
        <v>1</v>
      </c>
      <c r="AE719">
        <v>0</v>
      </c>
      <c r="AF719" t="s">
        <v>6</v>
      </c>
      <c r="AG719">
        <v>1.57</v>
      </c>
      <c r="AH719">
        <v>2</v>
      </c>
      <c r="AI719">
        <v>16752001</v>
      </c>
      <c r="AJ719">
        <v>765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</row>
    <row r="720" spans="1:44" x14ac:dyDescent="0.2">
      <c r="A720">
        <f>ROW(Source!A662)</f>
        <v>662</v>
      </c>
      <c r="B720">
        <v>16752012</v>
      </c>
      <c r="C720">
        <v>16751995</v>
      </c>
      <c r="D720">
        <v>15169924</v>
      </c>
      <c r="E720">
        <v>1</v>
      </c>
      <c r="F720">
        <v>1</v>
      </c>
      <c r="G720">
        <v>1</v>
      </c>
      <c r="H720">
        <v>3</v>
      </c>
      <c r="I720" t="s">
        <v>1570</v>
      </c>
      <c r="J720" t="s">
        <v>1571</v>
      </c>
      <c r="K720" t="s">
        <v>1572</v>
      </c>
      <c r="L720">
        <v>1348</v>
      </c>
      <c r="N720">
        <v>1009</v>
      </c>
      <c r="O720" t="s">
        <v>71</v>
      </c>
      <c r="P720" t="s">
        <v>71</v>
      </c>
      <c r="Q720">
        <v>1000</v>
      </c>
      <c r="X720">
        <v>2.66E-3</v>
      </c>
      <c r="Y720">
        <v>14830</v>
      </c>
      <c r="Z720">
        <v>0</v>
      </c>
      <c r="AA720">
        <v>0</v>
      </c>
      <c r="AB720">
        <v>0</v>
      </c>
      <c r="AC720">
        <v>0</v>
      </c>
      <c r="AD720">
        <v>1</v>
      </c>
      <c r="AE720">
        <v>0</v>
      </c>
      <c r="AF720" t="s">
        <v>6</v>
      </c>
      <c r="AG720">
        <v>2.66E-3</v>
      </c>
      <c r="AH720">
        <v>2</v>
      </c>
      <c r="AI720">
        <v>16752002</v>
      </c>
      <c r="AJ720">
        <v>766</v>
      </c>
      <c r="AK720">
        <v>0</v>
      </c>
      <c r="AL720">
        <v>0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</row>
    <row r="721" spans="1:44" x14ac:dyDescent="0.2">
      <c r="A721">
        <f>ROW(Source!A662)</f>
        <v>662</v>
      </c>
      <c r="B721">
        <v>16752013</v>
      </c>
      <c r="C721">
        <v>16751995</v>
      </c>
      <c r="D721">
        <v>15170781</v>
      </c>
      <c r="E721">
        <v>1</v>
      </c>
      <c r="F721">
        <v>1</v>
      </c>
      <c r="G721">
        <v>1</v>
      </c>
      <c r="H721">
        <v>3</v>
      </c>
      <c r="I721" t="s">
        <v>1573</v>
      </c>
      <c r="J721" t="s">
        <v>1574</v>
      </c>
      <c r="K721" t="s">
        <v>1575</v>
      </c>
      <c r="L721">
        <v>1346</v>
      </c>
      <c r="N721">
        <v>1009</v>
      </c>
      <c r="O721" t="s">
        <v>323</v>
      </c>
      <c r="P721" t="s">
        <v>323</v>
      </c>
      <c r="Q721">
        <v>1</v>
      </c>
      <c r="X721">
        <v>4</v>
      </c>
      <c r="Y721">
        <v>24.41</v>
      </c>
      <c r="Z721">
        <v>0</v>
      </c>
      <c r="AA721">
        <v>0</v>
      </c>
      <c r="AB721">
        <v>0</v>
      </c>
      <c r="AC721">
        <v>0</v>
      </c>
      <c r="AD721">
        <v>1</v>
      </c>
      <c r="AE721">
        <v>0</v>
      </c>
      <c r="AF721" t="s">
        <v>6</v>
      </c>
      <c r="AG721">
        <v>4</v>
      </c>
      <c r="AH721">
        <v>2</v>
      </c>
      <c r="AI721">
        <v>16752003</v>
      </c>
      <c r="AJ721">
        <v>767</v>
      </c>
      <c r="AK721">
        <v>0</v>
      </c>
      <c r="AL721">
        <v>0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</row>
    <row r="722" spans="1:44" x14ac:dyDescent="0.2">
      <c r="A722">
        <f>ROW(Source!A662)</f>
        <v>662</v>
      </c>
      <c r="B722">
        <v>16752014</v>
      </c>
      <c r="C722">
        <v>16751995</v>
      </c>
      <c r="D722">
        <v>15161573</v>
      </c>
      <c r="E722">
        <v>17</v>
      </c>
      <c r="F722">
        <v>1</v>
      </c>
      <c r="G722">
        <v>1</v>
      </c>
      <c r="H722">
        <v>3</v>
      </c>
      <c r="I722" t="s">
        <v>1602</v>
      </c>
      <c r="J722" t="s">
        <v>6</v>
      </c>
      <c r="K722" t="s">
        <v>1603</v>
      </c>
      <c r="L722">
        <v>1354</v>
      </c>
      <c r="N722">
        <v>1010</v>
      </c>
      <c r="O722" t="s">
        <v>53</v>
      </c>
      <c r="P722" t="s">
        <v>53</v>
      </c>
      <c r="Q722">
        <v>1</v>
      </c>
      <c r="X722">
        <v>0</v>
      </c>
      <c r="Y722">
        <v>0</v>
      </c>
      <c r="Z722">
        <v>0</v>
      </c>
      <c r="AA722">
        <v>0</v>
      </c>
      <c r="AB722">
        <v>0</v>
      </c>
      <c r="AC722">
        <v>1</v>
      </c>
      <c r="AD722">
        <v>0</v>
      </c>
      <c r="AE722">
        <v>0</v>
      </c>
      <c r="AF722" t="s">
        <v>6</v>
      </c>
      <c r="AG722">
        <v>0</v>
      </c>
      <c r="AH722">
        <v>3</v>
      </c>
      <c r="AI722">
        <v>-1</v>
      </c>
      <c r="AJ722" t="s">
        <v>6</v>
      </c>
      <c r="AK722">
        <v>0</v>
      </c>
      <c r="AL722">
        <v>0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0</v>
      </c>
    </row>
    <row r="723" spans="1:44" x14ac:dyDescent="0.2">
      <c r="A723">
        <f>ROW(Source!A662)</f>
        <v>662</v>
      </c>
      <c r="B723">
        <v>16752015</v>
      </c>
      <c r="C723">
        <v>16751995</v>
      </c>
      <c r="D723">
        <v>15163115</v>
      </c>
      <c r="E723">
        <v>17</v>
      </c>
      <c r="F723">
        <v>1</v>
      </c>
      <c r="G723">
        <v>1</v>
      </c>
      <c r="H723">
        <v>3</v>
      </c>
      <c r="I723" t="s">
        <v>1604</v>
      </c>
      <c r="J723" t="s">
        <v>6</v>
      </c>
      <c r="K723" t="s">
        <v>1605</v>
      </c>
      <c r="L723">
        <v>1346</v>
      </c>
      <c r="N723">
        <v>1009</v>
      </c>
      <c r="O723" t="s">
        <v>323</v>
      </c>
      <c r="P723" t="s">
        <v>323</v>
      </c>
      <c r="Q723">
        <v>1</v>
      </c>
      <c r="X723">
        <v>0</v>
      </c>
      <c r="Y723">
        <v>0</v>
      </c>
      <c r="Z723">
        <v>0</v>
      </c>
      <c r="AA723">
        <v>0</v>
      </c>
      <c r="AB723">
        <v>0</v>
      </c>
      <c r="AC723">
        <v>1</v>
      </c>
      <c r="AD723">
        <v>0</v>
      </c>
      <c r="AE723">
        <v>0</v>
      </c>
      <c r="AF723" t="s">
        <v>6</v>
      </c>
      <c r="AG723">
        <v>0</v>
      </c>
      <c r="AH723">
        <v>3</v>
      </c>
      <c r="AI723">
        <v>-1</v>
      </c>
      <c r="AJ723" t="s">
        <v>6</v>
      </c>
      <c r="AK723">
        <v>0</v>
      </c>
      <c r="AL723">
        <v>0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0</v>
      </c>
    </row>
    <row r="724" spans="1:44" x14ac:dyDescent="0.2">
      <c r="A724">
        <f>ROW(Source!A662)</f>
        <v>662</v>
      </c>
      <c r="B724">
        <v>16752016</v>
      </c>
      <c r="C724">
        <v>16751995</v>
      </c>
      <c r="D724">
        <v>15163153</v>
      </c>
      <c r="E724">
        <v>17</v>
      </c>
      <c r="F724">
        <v>1</v>
      </c>
      <c r="G724">
        <v>1</v>
      </c>
      <c r="H724">
        <v>3</v>
      </c>
      <c r="I724" t="s">
        <v>1606</v>
      </c>
      <c r="J724" t="s">
        <v>6</v>
      </c>
      <c r="K724" t="s">
        <v>1607</v>
      </c>
      <c r="L724">
        <v>1301</v>
      </c>
      <c r="N724">
        <v>1003</v>
      </c>
      <c r="O724" t="s">
        <v>206</v>
      </c>
      <c r="P724" t="s">
        <v>206</v>
      </c>
      <c r="Q724">
        <v>1</v>
      </c>
      <c r="X724">
        <v>99.8</v>
      </c>
      <c r="Y724">
        <v>0</v>
      </c>
      <c r="Z724">
        <v>0</v>
      </c>
      <c r="AA724">
        <v>0</v>
      </c>
      <c r="AB724">
        <v>0</v>
      </c>
      <c r="AC724">
        <v>0</v>
      </c>
      <c r="AD724">
        <v>0</v>
      </c>
      <c r="AE724">
        <v>0</v>
      </c>
      <c r="AF724" t="s">
        <v>6</v>
      </c>
      <c r="AG724">
        <v>99.8</v>
      </c>
      <c r="AH724">
        <v>3</v>
      </c>
      <c r="AI724">
        <v>-1</v>
      </c>
      <c r="AJ724" t="s">
        <v>6</v>
      </c>
      <c r="AK724">
        <v>0</v>
      </c>
      <c r="AL724">
        <v>0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0</v>
      </c>
    </row>
    <row r="725" spans="1:44" x14ac:dyDescent="0.2">
      <c r="A725">
        <f>ROW(Source!A665)</f>
        <v>665</v>
      </c>
      <c r="B725">
        <v>16752030</v>
      </c>
      <c r="C725">
        <v>16752019</v>
      </c>
      <c r="D725">
        <v>15446300</v>
      </c>
      <c r="E725">
        <v>1</v>
      </c>
      <c r="F725">
        <v>1</v>
      </c>
      <c r="G725">
        <v>1</v>
      </c>
      <c r="H725">
        <v>1</v>
      </c>
      <c r="I725" t="s">
        <v>1095</v>
      </c>
      <c r="J725" t="s">
        <v>6</v>
      </c>
      <c r="K725" t="s">
        <v>1096</v>
      </c>
      <c r="L725">
        <v>1191</v>
      </c>
      <c r="N725">
        <v>1013</v>
      </c>
      <c r="O725" t="s">
        <v>1072</v>
      </c>
      <c r="P725" t="s">
        <v>1072</v>
      </c>
      <c r="Q725">
        <v>1</v>
      </c>
      <c r="X725">
        <v>64.239999999999995</v>
      </c>
      <c r="Y725">
        <v>0</v>
      </c>
      <c r="Z725">
        <v>0</v>
      </c>
      <c r="AA725">
        <v>0</v>
      </c>
      <c r="AB725">
        <v>9.92</v>
      </c>
      <c r="AC725">
        <v>0</v>
      </c>
      <c r="AD725">
        <v>1</v>
      </c>
      <c r="AE725">
        <v>1</v>
      </c>
      <c r="AF725" t="s">
        <v>173</v>
      </c>
      <c r="AG725">
        <v>73.875999999999991</v>
      </c>
      <c r="AH725">
        <v>2</v>
      </c>
      <c r="AI725">
        <v>16752020</v>
      </c>
      <c r="AJ725">
        <v>770</v>
      </c>
      <c r="AK725">
        <v>0</v>
      </c>
      <c r="AL725">
        <v>0</v>
      </c>
      <c r="AM725">
        <v>0</v>
      </c>
      <c r="AN725">
        <v>0</v>
      </c>
      <c r="AO725">
        <v>0</v>
      </c>
      <c r="AP725">
        <v>0</v>
      </c>
      <c r="AQ725">
        <v>0</v>
      </c>
      <c r="AR725">
        <v>0</v>
      </c>
    </row>
    <row r="726" spans="1:44" x14ac:dyDescent="0.2">
      <c r="A726">
        <f>ROW(Source!A665)</f>
        <v>665</v>
      </c>
      <c r="B726">
        <v>16752031</v>
      </c>
      <c r="C726">
        <v>16752019</v>
      </c>
      <c r="D726">
        <v>15430395</v>
      </c>
      <c r="E726">
        <v>1</v>
      </c>
      <c r="F726">
        <v>1</v>
      </c>
      <c r="G726">
        <v>1</v>
      </c>
      <c r="H726">
        <v>1</v>
      </c>
      <c r="I726" t="s">
        <v>1073</v>
      </c>
      <c r="J726" t="s">
        <v>6</v>
      </c>
      <c r="K726" t="s">
        <v>1074</v>
      </c>
      <c r="L726">
        <v>1191</v>
      </c>
      <c r="N726">
        <v>1013</v>
      </c>
      <c r="O726" t="s">
        <v>1072</v>
      </c>
      <c r="P726" t="s">
        <v>1072</v>
      </c>
      <c r="Q726">
        <v>1</v>
      </c>
      <c r="X726">
        <v>0.03</v>
      </c>
      <c r="Y726">
        <v>0</v>
      </c>
      <c r="Z726">
        <v>0</v>
      </c>
      <c r="AA726">
        <v>0</v>
      </c>
      <c r="AB726">
        <v>0</v>
      </c>
      <c r="AC726">
        <v>0</v>
      </c>
      <c r="AD726">
        <v>1</v>
      </c>
      <c r="AE726">
        <v>2</v>
      </c>
      <c r="AF726" t="s">
        <v>172</v>
      </c>
      <c r="AG726">
        <v>3.7499999999999999E-2</v>
      </c>
      <c r="AH726">
        <v>2</v>
      </c>
      <c r="AI726">
        <v>16752021</v>
      </c>
      <c r="AJ726">
        <v>771</v>
      </c>
      <c r="AK726">
        <v>0</v>
      </c>
      <c r="AL726">
        <v>0</v>
      </c>
      <c r="AM726">
        <v>0</v>
      </c>
      <c r="AN726">
        <v>0</v>
      </c>
      <c r="AO726">
        <v>0</v>
      </c>
      <c r="AP726">
        <v>0</v>
      </c>
      <c r="AQ726">
        <v>0</v>
      </c>
      <c r="AR726">
        <v>0</v>
      </c>
    </row>
    <row r="727" spans="1:44" x14ac:dyDescent="0.2">
      <c r="A727">
        <f>ROW(Source!A665)</f>
        <v>665</v>
      </c>
      <c r="B727">
        <v>16752032</v>
      </c>
      <c r="C727">
        <v>16752019</v>
      </c>
      <c r="D727">
        <v>15247578</v>
      </c>
      <c r="E727">
        <v>1</v>
      </c>
      <c r="F727">
        <v>1</v>
      </c>
      <c r="G727">
        <v>1</v>
      </c>
      <c r="H727">
        <v>2</v>
      </c>
      <c r="I727" t="s">
        <v>1143</v>
      </c>
      <c r="J727" t="s">
        <v>1144</v>
      </c>
      <c r="K727" t="s">
        <v>1145</v>
      </c>
      <c r="L727">
        <v>1368</v>
      </c>
      <c r="N727">
        <v>1011</v>
      </c>
      <c r="O727" t="s">
        <v>1078</v>
      </c>
      <c r="P727" t="s">
        <v>1078</v>
      </c>
      <c r="Q727">
        <v>1</v>
      </c>
      <c r="X727">
        <v>0.01</v>
      </c>
      <c r="Y727">
        <v>0</v>
      </c>
      <c r="Z727">
        <v>86.4</v>
      </c>
      <c r="AA727">
        <v>13.5</v>
      </c>
      <c r="AB727">
        <v>0</v>
      </c>
      <c r="AC727">
        <v>0</v>
      </c>
      <c r="AD727">
        <v>1</v>
      </c>
      <c r="AE727">
        <v>0</v>
      </c>
      <c r="AF727" t="s">
        <v>172</v>
      </c>
      <c r="AG727">
        <v>1.2500000000000001E-2</v>
      </c>
      <c r="AH727">
        <v>2</v>
      </c>
      <c r="AI727">
        <v>16752022</v>
      </c>
      <c r="AJ727">
        <v>772</v>
      </c>
      <c r="AK727">
        <v>0</v>
      </c>
      <c r="AL727">
        <v>0</v>
      </c>
      <c r="AM727">
        <v>0</v>
      </c>
      <c r="AN727">
        <v>0</v>
      </c>
      <c r="AO727">
        <v>0</v>
      </c>
      <c r="AP727">
        <v>0</v>
      </c>
      <c r="AQ727">
        <v>0</v>
      </c>
      <c r="AR727">
        <v>0</v>
      </c>
    </row>
    <row r="728" spans="1:44" x14ac:dyDescent="0.2">
      <c r="A728">
        <f>ROW(Source!A665)</f>
        <v>665</v>
      </c>
      <c r="B728">
        <v>16752033</v>
      </c>
      <c r="C728">
        <v>16752019</v>
      </c>
      <c r="D728">
        <v>15247680</v>
      </c>
      <c r="E728">
        <v>1</v>
      </c>
      <c r="F728">
        <v>1</v>
      </c>
      <c r="G728">
        <v>1</v>
      </c>
      <c r="H728">
        <v>2</v>
      </c>
      <c r="I728" t="s">
        <v>1211</v>
      </c>
      <c r="J728" t="s">
        <v>1212</v>
      </c>
      <c r="K728" t="s">
        <v>1213</v>
      </c>
      <c r="L728">
        <v>1368</v>
      </c>
      <c r="N728">
        <v>1011</v>
      </c>
      <c r="O728" t="s">
        <v>1078</v>
      </c>
      <c r="P728" t="s">
        <v>1078</v>
      </c>
      <c r="Q728">
        <v>1</v>
      </c>
      <c r="X728">
        <v>0.01</v>
      </c>
      <c r="Y728">
        <v>0</v>
      </c>
      <c r="Z728">
        <v>111.99</v>
      </c>
      <c r="AA728">
        <v>13.5</v>
      </c>
      <c r="AB728">
        <v>0</v>
      </c>
      <c r="AC728">
        <v>0</v>
      </c>
      <c r="AD728">
        <v>1</v>
      </c>
      <c r="AE728">
        <v>0</v>
      </c>
      <c r="AF728" t="s">
        <v>172</v>
      </c>
      <c r="AG728">
        <v>1.2500000000000001E-2</v>
      </c>
      <c r="AH728">
        <v>2</v>
      </c>
      <c r="AI728">
        <v>16752023</v>
      </c>
      <c r="AJ728">
        <v>773</v>
      </c>
      <c r="AK728">
        <v>0</v>
      </c>
      <c r="AL728">
        <v>0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0</v>
      </c>
    </row>
    <row r="729" spans="1:44" x14ac:dyDescent="0.2">
      <c r="A729">
        <f>ROW(Source!A665)</f>
        <v>665</v>
      </c>
      <c r="B729">
        <v>16752034</v>
      </c>
      <c r="C729">
        <v>16752019</v>
      </c>
      <c r="D729">
        <v>15249073</v>
      </c>
      <c r="E729">
        <v>1</v>
      </c>
      <c r="F729">
        <v>1</v>
      </c>
      <c r="G729">
        <v>1</v>
      </c>
      <c r="H729">
        <v>2</v>
      </c>
      <c r="I729" t="s">
        <v>1097</v>
      </c>
      <c r="J729" t="s">
        <v>1098</v>
      </c>
      <c r="K729" t="s">
        <v>1099</v>
      </c>
      <c r="L729">
        <v>1368</v>
      </c>
      <c r="N729">
        <v>1011</v>
      </c>
      <c r="O729" t="s">
        <v>1078</v>
      </c>
      <c r="P729" t="s">
        <v>1078</v>
      </c>
      <c r="Q729">
        <v>1</v>
      </c>
      <c r="X729">
        <v>0.01</v>
      </c>
      <c r="Y729">
        <v>0</v>
      </c>
      <c r="Z729">
        <v>65.709999999999994</v>
      </c>
      <c r="AA729">
        <v>11.6</v>
      </c>
      <c r="AB729">
        <v>0</v>
      </c>
      <c r="AC729">
        <v>0</v>
      </c>
      <c r="AD729">
        <v>1</v>
      </c>
      <c r="AE729">
        <v>0</v>
      </c>
      <c r="AF729" t="s">
        <v>172</v>
      </c>
      <c r="AG729">
        <v>1.2500000000000001E-2</v>
      </c>
      <c r="AH729">
        <v>2</v>
      </c>
      <c r="AI729">
        <v>16752024</v>
      </c>
      <c r="AJ729">
        <v>774</v>
      </c>
      <c r="AK729">
        <v>0</v>
      </c>
      <c r="AL729">
        <v>0</v>
      </c>
      <c r="AM729">
        <v>0</v>
      </c>
      <c r="AN729">
        <v>0</v>
      </c>
      <c r="AO729">
        <v>0</v>
      </c>
      <c r="AP729">
        <v>0</v>
      </c>
      <c r="AQ729">
        <v>0</v>
      </c>
      <c r="AR729">
        <v>0</v>
      </c>
    </row>
    <row r="730" spans="1:44" x14ac:dyDescent="0.2">
      <c r="A730">
        <f>ROW(Source!A665)</f>
        <v>665</v>
      </c>
      <c r="B730">
        <v>16752035</v>
      </c>
      <c r="C730">
        <v>16752019</v>
      </c>
      <c r="D730">
        <v>15167286</v>
      </c>
      <c r="E730">
        <v>1</v>
      </c>
      <c r="F730">
        <v>1</v>
      </c>
      <c r="G730">
        <v>1</v>
      </c>
      <c r="H730">
        <v>3</v>
      </c>
      <c r="I730" t="s">
        <v>1079</v>
      </c>
      <c r="J730" t="s">
        <v>1080</v>
      </c>
      <c r="K730" t="s">
        <v>1081</v>
      </c>
      <c r="L730">
        <v>1339</v>
      </c>
      <c r="N730">
        <v>1007</v>
      </c>
      <c r="O730" t="s">
        <v>283</v>
      </c>
      <c r="P730" t="s">
        <v>283</v>
      </c>
      <c r="Q730">
        <v>1</v>
      </c>
      <c r="X730">
        <v>0.39</v>
      </c>
      <c r="Y730">
        <v>2.44</v>
      </c>
      <c r="Z730">
        <v>0</v>
      </c>
      <c r="AA730">
        <v>0</v>
      </c>
      <c r="AB730">
        <v>0</v>
      </c>
      <c r="AC730">
        <v>0</v>
      </c>
      <c r="AD730">
        <v>1</v>
      </c>
      <c r="AE730">
        <v>0</v>
      </c>
      <c r="AF730" t="s">
        <v>6</v>
      </c>
      <c r="AG730">
        <v>0.39</v>
      </c>
      <c r="AH730">
        <v>2</v>
      </c>
      <c r="AI730">
        <v>16752025</v>
      </c>
      <c r="AJ730">
        <v>775</v>
      </c>
      <c r="AK730">
        <v>0</v>
      </c>
      <c r="AL730">
        <v>0</v>
      </c>
      <c r="AM730">
        <v>0</v>
      </c>
      <c r="AN730">
        <v>0</v>
      </c>
      <c r="AO730">
        <v>0</v>
      </c>
      <c r="AP730">
        <v>0</v>
      </c>
      <c r="AQ730">
        <v>0</v>
      </c>
      <c r="AR730">
        <v>0</v>
      </c>
    </row>
    <row r="731" spans="1:44" x14ac:dyDescent="0.2">
      <c r="A731">
        <f>ROW(Source!A665)</f>
        <v>665</v>
      </c>
      <c r="B731">
        <v>16752036</v>
      </c>
      <c r="C731">
        <v>16752019</v>
      </c>
      <c r="D731">
        <v>15169924</v>
      </c>
      <c r="E731">
        <v>1</v>
      </c>
      <c r="F731">
        <v>1</v>
      </c>
      <c r="G731">
        <v>1</v>
      </c>
      <c r="H731">
        <v>3</v>
      </c>
      <c r="I731" t="s">
        <v>1570</v>
      </c>
      <c r="J731" t="s">
        <v>1571</v>
      </c>
      <c r="K731" t="s">
        <v>1572</v>
      </c>
      <c r="L731">
        <v>1348</v>
      </c>
      <c r="N731">
        <v>1009</v>
      </c>
      <c r="O731" t="s">
        <v>71</v>
      </c>
      <c r="P731" t="s">
        <v>71</v>
      </c>
      <c r="Q731">
        <v>1000</v>
      </c>
      <c r="X731">
        <v>1.1999999999999999E-3</v>
      </c>
      <c r="Y731">
        <v>14830</v>
      </c>
      <c r="Z731">
        <v>0</v>
      </c>
      <c r="AA731">
        <v>0</v>
      </c>
      <c r="AB731">
        <v>0</v>
      </c>
      <c r="AC731">
        <v>0</v>
      </c>
      <c r="AD731">
        <v>1</v>
      </c>
      <c r="AE731">
        <v>0</v>
      </c>
      <c r="AF731" t="s">
        <v>6</v>
      </c>
      <c r="AG731">
        <v>1.1999999999999999E-3</v>
      </c>
      <c r="AH731">
        <v>2</v>
      </c>
      <c r="AI731">
        <v>16752026</v>
      </c>
      <c r="AJ731">
        <v>776</v>
      </c>
      <c r="AK731">
        <v>0</v>
      </c>
      <c r="AL731">
        <v>0</v>
      </c>
      <c r="AM731">
        <v>0</v>
      </c>
      <c r="AN731">
        <v>0</v>
      </c>
      <c r="AO731">
        <v>0</v>
      </c>
      <c r="AP731">
        <v>0</v>
      </c>
      <c r="AQ731">
        <v>0</v>
      </c>
      <c r="AR731">
        <v>0</v>
      </c>
    </row>
    <row r="732" spans="1:44" x14ac:dyDescent="0.2">
      <c r="A732">
        <f>ROW(Source!A665)</f>
        <v>665</v>
      </c>
      <c r="B732">
        <v>16752037</v>
      </c>
      <c r="C732">
        <v>16752019</v>
      </c>
      <c r="D732">
        <v>15170781</v>
      </c>
      <c r="E732">
        <v>1</v>
      </c>
      <c r="F732">
        <v>1</v>
      </c>
      <c r="G732">
        <v>1</v>
      </c>
      <c r="H732">
        <v>3</v>
      </c>
      <c r="I732" t="s">
        <v>1573</v>
      </c>
      <c r="J732" t="s">
        <v>1574</v>
      </c>
      <c r="K732" t="s">
        <v>1575</v>
      </c>
      <c r="L732">
        <v>1346</v>
      </c>
      <c r="N732">
        <v>1009</v>
      </c>
      <c r="O732" t="s">
        <v>323</v>
      </c>
      <c r="P732" t="s">
        <v>323</v>
      </c>
      <c r="Q732">
        <v>1</v>
      </c>
      <c r="X732">
        <v>1.5</v>
      </c>
      <c r="Y732">
        <v>24.41</v>
      </c>
      <c r="Z732">
        <v>0</v>
      </c>
      <c r="AA732">
        <v>0</v>
      </c>
      <c r="AB732">
        <v>0</v>
      </c>
      <c r="AC732">
        <v>0</v>
      </c>
      <c r="AD732">
        <v>1</v>
      </c>
      <c r="AE732">
        <v>0</v>
      </c>
      <c r="AF732" t="s">
        <v>6</v>
      </c>
      <c r="AG732">
        <v>1.5</v>
      </c>
      <c r="AH732">
        <v>2</v>
      </c>
      <c r="AI732">
        <v>16752027</v>
      </c>
      <c r="AJ732">
        <v>777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0</v>
      </c>
    </row>
    <row r="733" spans="1:44" x14ac:dyDescent="0.2">
      <c r="A733">
        <f>ROW(Source!A665)</f>
        <v>665</v>
      </c>
      <c r="B733">
        <v>16752038</v>
      </c>
      <c r="C733">
        <v>16752019</v>
      </c>
      <c r="D733">
        <v>15161573</v>
      </c>
      <c r="E733">
        <v>17</v>
      </c>
      <c r="F733">
        <v>1</v>
      </c>
      <c r="G733">
        <v>1</v>
      </c>
      <c r="H733">
        <v>3</v>
      </c>
      <c r="I733" t="s">
        <v>1602</v>
      </c>
      <c r="J733" t="s">
        <v>6</v>
      </c>
      <c r="K733" t="s">
        <v>1603</v>
      </c>
      <c r="L733">
        <v>1354</v>
      </c>
      <c r="N733">
        <v>1010</v>
      </c>
      <c r="O733" t="s">
        <v>53</v>
      </c>
      <c r="P733" t="s">
        <v>53</v>
      </c>
      <c r="Q733">
        <v>1</v>
      </c>
      <c r="X733">
        <v>0</v>
      </c>
      <c r="Y733">
        <v>0</v>
      </c>
      <c r="Z733">
        <v>0</v>
      </c>
      <c r="AA733">
        <v>0</v>
      </c>
      <c r="AB733">
        <v>0</v>
      </c>
      <c r="AC733">
        <v>1</v>
      </c>
      <c r="AD733">
        <v>0</v>
      </c>
      <c r="AE733">
        <v>0</v>
      </c>
      <c r="AF733" t="s">
        <v>6</v>
      </c>
      <c r="AG733">
        <v>0</v>
      </c>
      <c r="AH733">
        <v>3</v>
      </c>
      <c r="AI733">
        <v>-1</v>
      </c>
      <c r="AJ733" t="s">
        <v>6</v>
      </c>
      <c r="AK733">
        <v>0</v>
      </c>
      <c r="AL733">
        <v>0</v>
      </c>
      <c r="AM733">
        <v>0</v>
      </c>
      <c r="AN733">
        <v>0</v>
      </c>
      <c r="AO733">
        <v>0</v>
      </c>
      <c r="AP733">
        <v>0</v>
      </c>
      <c r="AQ733">
        <v>0</v>
      </c>
      <c r="AR733">
        <v>0</v>
      </c>
    </row>
    <row r="734" spans="1:44" x14ac:dyDescent="0.2">
      <c r="A734">
        <f>ROW(Source!A665)</f>
        <v>665</v>
      </c>
      <c r="B734">
        <v>16752039</v>
      </c>
      <c r="C734">
        <v>16752019</v>
      </c>
      <c r="D734">
        <v>15163115</v>
      </c>
      <c r="E734">
        <v>17</v>
      </c>
      <c r="F734">
        <v>1</v>
      </c>
      <c r="G734">
        <v>1</v>
      </c>
      <c r="H734">
        <v>3</v>
      </c>
      <c r="I734" t="s">
        <v>1604</v>
      </c>
      <c r="J734" t="s">
        <v>6</v>
      </c>
      <c r="K734" t="s">
        <v>1605</v>
      </c>
      <c r="L734">
        <v>1346</v>
      </c>
      <c r="N734">
        <v>1009</v>
      </c>
      <c r="O734" t="s">
        <v>323</v>
      </c>
      <c r="P734" t="s">
        <v>323</v>
      </c>
      <c r="Q734">
        <v>1</v>
      </c>
      <c r="X734">
        <v>0</v>
      </c>
      <c r="Y734">
        <v>0</v>
      </c>
      <c r="Z734">
        <v>0</v>
      </c>
      <c r="AA734">
        <v>0</v>
      </c>
      <c r="AB734">
        <v>0</v>
      </c>
      <c r="AC734">
        <v>1</v>
      </c>
      <c r="AD734">
        <v>0</v>
      </c>
      <c r="AE734">
        <v>0</v>
      </c>
      <c r="AF734" t="s">
        <v>6</v>
      </c>
      <c r="AG734">
        <v>0</v>
      </c>
      <c r="AH734">
        <v>3</v>
      </c>
      <c r="AI734">
        <v>-1</v>
      </c>
      <c r="AJ734" t="s">
        <v>6</v>
      </c>
      <c r="AK734">
        <v>0</v>
      </c>
      <c r="AL734">
        <v>0</v>
      </c>
      <c r="AM734">
        <v>0</v>
      </c>
      <c r="AN734">
        <v>0</v>
      </c>
      <c r="AO734">
        <v>0</v>
      </c>
      <c r="AP734">
        <v>0</v>
      </c>
      <c r="AQ734">
        <v>0</v>
      </c>
      <c r="AR734">
        <v>0</v>
      </c>
    </row>
    <row r="735" spans="1:44" x14ac:dyDescent="0.2">
      <c r="A735">
        <f>ROW(Source!A665)</f>
        <v>665</v>
      </c>
      <c r="B735">
        <v>16752040</v>
      </c>
      <c r="C735">
        <v>16752019</v>
      </c>
      <c r="D735">
        <v>15163153</v>
      </c>
      <c r="E735">
        <v>17</v>
      </c>
      <c r="F735">
        <v>1</v>
      </c>
      <c r="G735">
        <v>1</v>
      </c>
      <c r="H735">
        <v>3</v>
      </c>
      <c r="I735" t="s">
        <v>1606</v>
      </c>
      <c r="J735" t="s">
        <v>6</v>
      </c>
      <c r="K735" t="s">
        <v>1608</v>
      </c>
      <c r="L735">
        <v>1301</v>
      </c>
      <c r="N735">
        <v>1003</v>
      </c>
      <c r="O735" t="s">
        <v>206</v>
      </c>
      <c r="P735" t="s">
        <v>206</v>
      </c>
      <c r="Q735">
        <v>1</v>
      </c>
      <c r="X735">
        <v>99.8</v>
      </c>
      <c r="Y735">
        <v>0</v>
      </c>
      <c r="Z735">
        <v>0</v>
      </c>
      <c r="AA735">
        <v>0</v>
      </c>
      <c r="AB735">
        <v>0</v>
      </c>
      <c r="AC735">
        <v>0</v>
      </c>
      <c r="AD735">
        <v>0</v>
      </c>
      <c r="AE735">
        <v>0</v>
      </c>
      <c r="AF735" t="s">
        <v>6</v>
      </c>
      <c r="AG735">
        <v>99.8</v>
      </c>
      <c r="AH735">
        <v>3</v>
      </c>
      <c r="AI735">
        <v>-1</v>
      </c>
      <c r="AJ735" t="s">
        <v>6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4</vt:i4>
      </vt:variant>
    </vt:vector>
  </HeadingPairs>
  <TitlesOfParts>
    <vt:vector size="11" baseType="lpstr">
      <vt:lpstr>Смета 12 гр. по ФЕР</vt:lpstr>
      <vt:lpstr>Акт КС-2 c НР и СП</vt:lpstr>
      <vt:lpstr>Макет форма-3</vt:lpstr>
      <vt:lpstr>Source</vt:lpstr>
      <vt:lpstr>SourceObSm</vt:lpstr>
      <vt:lpstr>SmtRes</vt:lpstr>
      <vt:lpstr>EtalonRes</vt:lpstr>
      <vt:lpstr>'Акт КС-2 c НР и СП'!Заголовки_для_печати</vt:lpstr>
      <vt:lpstr>'Смета 12 гр. по ФЕР'!Заголовки_для_печати</vt:lpstr>
      <vt:lpstr>'Акт КС-2 c НР и СП'!Область_печати</vt:lpstr>
      <vt:lpstr>'Смета 12 гр. по ФЕР'!Область_печати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2018-10-12T11:56:50Z</cp:lastPrinted>
  <dcterms:created xsi:type="dcterms:W3CDTF">2018-08-24T06:35:29Z</dcterms:created>
  <dcterms:modified xsi:type="dcterms:W3CDTF">2018-10-12T11:58:25Z</dcterms:modified>
</cp:coreProperties>
</file>